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sdx" ContentType="application/vnd.ms-visio.drawing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worksheets/sheet1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DISCO D\Paraguay\Censo\POD\QRR\"/>
    </mc:Choice>
  </mc:AlternateContent>
  <bookViews>
    <workbookView xWindow="0" yWindow="0" windowWidth="23040" windowHeight="9080" activeTab="9" xr2:uid="{00000000-000D-0000-FFFF-FFFF00000000}"/>
  </bookViews>
  <sheets>
    <sheet name="INDICE" sheetId="16" r:id="rId1"/>
    <sheet name="EDT" sheetId="7" r:id="rId2"/>
    <sheet name="MDR" sheetId="17" r:id="rId3"/>
    <sheet name="CC Gral" sheetId="8" r:id="rId4"/>
    <sheet name="CC detallado" sheetId="1" r:id="rId5"/>
    <sheet name="PEP" sheetId="6" r:id="rId6"/>
    <sheet name="Hoja1" sheetId="4" state="hidden" r:id="rId7"/>
    <sheet name="POA año 1" sheetId="19" r:id="rId8"/>
    <sheet name="Cronograma" sheetId="13" r:id="rId9"/>
    <sheet name="PA" sheetId="14" r:id="rId10"/>
    <sheet name="PAI" sheetId="15" r:id="rId11"/>
    <sheet name="Rem Adic" sheetId="5" state="hidden" r:id="rId12"/>
  </sheets>
  <definedNames>
    <definedName name="_2" localSheetId="7">#REF!</definedName>
    <definedName name="_2">#REF!</definedName>
    <definedName name="_6" localSheetId="7">#REF!</definedName>
    <definedName name="_6">#REF!</definedName>
    <definedName name="_Fill" localSheetId="7" hidden="1">#REF!</definedName>
    <definedName name="_Fill" hidden="1">#REF!</definedName>
    <definedName name="_xlnm._FilterDatabase" localSheetId="4" hidden="1">'CC detallado'!$A$4:$BB$173</definedName>
    <definedName name="_xlnm._FilterDatabase" localSheetId="9" hidden="1">PA!$B$10:$O$115</definedName>
    <definedName name="_xlnm._FilterDatabase" localSheetId="7" hidden="1">'POA año 1'!$C$7:$H$131</definedName>
    <definedName name="_ftn1" localSheetId="2">MDR!$A$44</definedName>
    <definedName name="_ftnref1" localSheetId="2">MDR!$B$38</definedName>
    <definedName name="aaa" localSheetId="7">#REF!</definedName>
    <definedName name="aaa">#REF!</definedName>
    <definedName name="e" localSheetId="7">#REF!</definedName>
    <definedName name="e">#REF!</definedName>
    <definedName name="ffff" localSheetId="7">#REF!</definedName>
    <definedName name="ffff">#REF!</definedName>
    <definedName name="GRAFI" localSheetId="7">#REF!</definedName>
    <definedName name="GRAFI">#REF!</definedName>
    <definedName name="GRAFICO" localSheetId="7">#REF!</definedName>
    <definedName name="GRAFICO">#REF!</definedName>
    <definedName name="Pres" localSheetId="7">#REF!</definedName>
    <definedName name="Pres">#REF!</definedName>
    <definedName name="_xlnm.Print_Area" localSheetId="9">PA!$B$1:$O$115</definedName>
    <definedName name="_xlnm.Print_Area" localSheetId="10">PAI!$A$1:$D$100</definedName>
    <definedName name="Resumen" localSheetId="7">#REF!</definedName>
    <definedName name="Resumen">#REF!</definedName>
    <definedName name="SFGH" localSheetId="7">#REF!</definedName>
    <definedName name="SFGH">#REF!</definedName>
  </definedNames>
  <calcPr calcId="171027"/>
</workbook>
</file>

<file path=xl/calcChain.xml><?xml version="1.0" encoding="utf-8"?>
<calcChain xmlns="http://schemas.openxmlformats.org/spreadsheetml/2006/main">
  <c r="G42" i="14" l="1"/>
  <c r="H31" i="14"/>
  <c r="N65" i="1"/>
  <c r="N46" i="1"/>
  <c r="N47" i="1"/>
  <c r="N48" i="1"/>
  <c r="N49" i="1"/>
  <c r="N50" i="1"/>
  <c r="N51" i="1"/>
  <c r="H10" i="8" l="1"/>
  <c r="I10" i="8"/>
  <c r="J10" i="8"/>
  <c r="F10" i="8"/>
  <c r="J9" i="8"/>
  <c r="I9" i="8"/>
  <c r="H9" i="8"/>
  <c r="G9" i="8"/>
  <c r="F9" i="8"/>
  <c r="F8" i="8"/>
  <c r="C129" i="13" l="1"/>
  <c r="C130" i="13"/>
  <c r="U131" i="19"/>
  <c r="T131" i="19"/>
  <c r="S131" i="19"/>
  <c r="R131" i="19"/>
  <c r="Q131" i="19"/>
  <c r="P131" i="19"/>
  <c r="O131" i="19"/>
  <c r="N131" i="19"/>
  <c r="M131" i="19"/>
  <c r="L131" i="19"/>
  <c r="K131" i="19"/>
  <c r="J131" i="19"/>
  <c r="I131" i="19"/>
  <c r="J118" i="19"/>
  <c r="K118" i="19"/>
  <c r="L118" i="19"/>
  <c r="M118" i="19"/>
  <c r="N118" i="19"/>
  <c r="O118" i="19"/>
  <c r="P118" i="19"/>
  <c r="Q118" i="19"/>
  <c r="R118" i="19"/>
  <c r="S118" i="19"/>
  <c r="T118" i="19"/>
  <c r="U118" i="19"/>
  <c r="I118" i="19"/>
  <c r="E118" i="19"/>
  <c r="BW132" i="6"/>
  <c r="B8" i="8"/>
  <c r="B7" i="8"/>
  <c r="B6" i="8"/>
  <c r="C50" i="19" l="1"/>
  <c r="C51" i="19"/>
  <c r="C52" i="19"/>
  <c r="C53" i="19"/>
  <c r="C54" i="19"/>
  <c r="C55" i="19"/>
  <c r="C56" i="19"/>
  <c r="C57" i="19"/>
  <c r="D79" i="19"/>
  <c r="D80" i="19"/>
  <c r="D81" i="19"/>
  <c r="D82" i="19"/>
  <c r="D131" i="19"/>
  <c r="E130" i="19"/>
  <c r="D130" i="19"/>
  <c r="D129" i="19"/>
  <c r="C129" i="19"/>
  <c r="T128" i="19"/>
  <c r="S128" i="19"/>
  <c r="R128" i="19"/>
  <c r="Q128" i="19"/>
  <c r="P128" i="19"/>
  <c r="O128" i="19"/>
  <c r="N128" i="19"/>
  <c r="M128" i="19"/>
  <c r="L128" i="19"/>
  <c r="K128" i="19"/>
  <c r="J128" i="19"/>
  <c r="I128" i="19"/>
  <c r="D128" i="19"/>
  <c r="C128" i="19"/>
  <c r="D127" i="19"/>
  <c r="C127" i="19"/>
  <c r="D126" i="19"/>
  <c r="C126" i="19"/>
  <c r="T125" i="19"/>
  <c r="S125" i="19"/>
  <c r="R125" i="19"/>
  <c r="Q125" i="19"/>
  <c r="P125" i="19"/>
  <c r="O125" i="19"/>
  <c r="N125" i="19"/>
  <c r="M125" i="19"/>
  <c r="L125" i="19"/>
  <c r="K125" i="19"/>
  <c r="J125" i="19"/>
  <c r="I125" i="19"/>
  <c r="D125" i="19"/>
  <c r="C125" i="19"/>
  <c r="E124" i="19"/>
  <c r="U124" i="19" s="1"/>
  <c r="D124" i="19"/>
  <c r="C124" i="19"/>
  <c r="D123" i="19"/>
  <c r="C123" i="19"/>
  <c r="D122" i="19"/>
  <c r="C122" i="19"/>
  <c r="D121" i="19"/>
  <c r="C121" i="19"/>
  <c r="D120" i="19"/>
  <c r="C120" i="19"/>
  <c r="K119" i="19"/>
  <c r="J119" i="19"/>
  <c r="I119" i="19"/>
  <c r="D119" i="19"/>
  <c r="C119" i="19"/>
  <c r="D118" i="19"/>
  <c r="C118" i="19"/>
  <c r="D117" i="19"/>
  <c r="C117" i="19"/>
  <c r="T116" i="19"/>
  <c r="S116" i="19"/>
  <c r="R116" i="19"/>
  <c r="Q116" i="19"/>
  <c r="P116" i="19"/>
  <c r="O116" i="19"/>
  <c r="N116" i="19"/>
  <c r="M116" i="19"/>
  <c r="L116" i="19"/>
  <c r="K116" i="19"/>
  <c r="J116" i="19"/>
  <c r="I116" i="19"/>
  <c r="D116" i="19"/>
  <c r="C116" i="19"/>
  <c r="D115" i="19"/>
  <c r="C115" i="19"/>
  <c r="D114" i="19"/>
  <c r="C114" i="19"/>
  <c r="D113" i="19"/>
  <c r="C113" i="19"/>
  <c r="D112" i="19"/>
  <c r="C112" i="19"/>
  <c r="D111" i="19"/>
  <c r="C111" i="19"/>
  <c r="D110" i="19"/>
  <c r="C110" i="19"/>
  <c r="D109" i="19"/>
  <c r="C109" i="19"/>
  <c r="D108" i="19"/>
  <c r="C108" i="19"/>
  <c r="D107" i="19"/>
  <c r="C107" i="19"/>
  <c r="D106" i="19"/>
  <c r="C106" i="19"/>
  <c r="D105" i="19"/>
  <c r="C105" i="19"/>
  <c r="T104" i="19"/>
  <c r="S104" i="19"/>
  <c r="R104" i="19"/>
  <c r="Q104" i="19"/>
  <c r="P104" i="19"/>
  <c r="O104" i="19"/>
  <c r="N104" i="19"/>
  <c r="M104" i="19"/>
  <c r="L104" i="19"/>
  <c r="K104" i="19"/>
  <c r="J104" i="19"/>
  <c r="I104" i="19"/>
  <c r="D104" i="19"/>
  <c r="C104" i="19"/>
  <c r="D103" i="19"/>
  <c r="C103" i="19"/>
  <c r="D102" i="19"/>
  <c r="C102" i="19"/>
  <c r="D101" i="19"/>
  <c r="C101" i="19"/>
  <c r="P100" i="19"/>
  <c r="N100" i="19"/>
  <c r="M100" i="19"/>
  <c r="L100" i="19"/>
  <c r="K100" i="19"/>
  <c r="J100" i="19"/>
  <c r="I100" i="19"/>
  <c r="D100" i="19"/>
  <c r="C100" i="19"/>
  <c r="D99" i="19"/>
  <c r="C99" i="19"/>
  <c r="D98" i="19"/>
  <c r="C98" i="19"/>
  <c r="D97" i="19"/>
  <c r="C97" i="19"/>
  <c r="D96" i="19"/>
  <c r="C96" i="19"/>
  <c r="D95" i="19"/>
  <c r="C95" i="19"/>
  <c r="D94" i="19"/>
  <c r="C94" i="19"/>
  <c r="C93" i="19"/>
  <c r="D92" i="19"/>
  <c r="C92" i="19"/>
  <c r="E91" i="19"/>
  <c r="S91" i="19" s="1"/>
  <c r="D91" i="19"/>
  <c r="C91" i="19"/>
  <c r="N90" i="19"/>
  <c r="M90" i="19"/>
  <c r="L90" i="19"/>
  <c r="K90" i="19"/>
  <c r="J90" i="19"/>
  <c r="I90" i="19"/>
  <c r="D90" i="19"/>
  <c r="C90" i="19"/>
  <c r="U89" i="19"/>
  <c r="E89" i="19"/>
  <c r="D89" i="19"/>
  <c r="C89" i="19"/>
  <c r="E88" i="19"/>
  <c r="D88" i="19"/>
  <c r="C88" i="19"/>
  <c r="E87" i="19"/>
  <c r="M87" i="19" s="1"/>
  <c r="D87" i="19"/>
  <c r="C87" i="19"/>
  <c r="E86" i="19"/>
  <c r="D86" i="19"/>
  <c r="C86" i="19"/>
  <c r="T85" i="19"/>
  <c r="S85" i="19"/>
  <c r="R85" i="19"/>
  <c r="Q85" i="19"/>
  <c r="P85" i="19"/>
  <c r="L85" i="19"/>
  <c r="K85" i="19"/>
  <c r="K84" i="19" s="1"/>
  <c r="J85" i="19"/>
  <c r="I85" i="19"/>
  <c r="I84" i="19" s="1"/>
  <c r="D85" i="19"/>
  <c r="C85" i="19"/>
  <c r="D84" i="19"/>
  <c r="C84" i="19"/>
  <c r="D83" i="19"/>
  <c r="C83" i="19"/>
  <c r="C82" i="19"/>
  <c r="C81" i="19"/>
  <c r="C80" i="19"/>
  <c r="C79" i="19"/>
  <c r="D78" i="19"/>
  <c r="C78" i="19"/>
  <c r="T77" i="19"/>
  <c r="S77" i="19"/>
  <c r="R77" i="19"/>
  <c r="Q77" i="19"/>
  <c r="P77" i="19"/>
  <c r="O77" i="19"/>
  <c r="N77" i="19"/>
  <c r="M77" i="19"/>
  <c r="L77" i="19"/>
  <c r="K77" i="19"/>
  <c r="J77" i="19"/>
  <c r="I77" i="19"/>
  <c r="D77" i="19"/>
  <c r="C77" i="19"/>
  <c r="D76" i="19"/>
  <c r="C76" i="19"/>
  <c r="D75" i="19"/>
  <c r="C75" i="19"/>
  <c r="D74" i="19"/>
  <c r="C74" i="19"/>
  <c r="T73" i="19"/>
  <c r="S73" i="19"/>
  <c r="R73" i="19"/>
  <c r="Q73" i="19"/>
  <c r="P73" i="19"/>
  <c r="O73" i="19"/>
  <c r="N73" i="19"/>
  <c r="M73" i="19"/>
  <c r="L73" i="19"/>
  <c r="K73" i="19"/>
  <c r="J73" i="19"/>
  <c r="I73" i="19"/>
  <c r="D73" i="19"/>
  <c r="C73" i="19"/>
  <c r="D72" i="19"/>
  <c r="C72" i="19"/>
  <c r="D71" i="19"/>
  <c r="C71" i="19"/>
  <c r="D70" i="19"/>
  <c r="C70" i="19"/>
  <c r="U69" i="19"/>
  <c r="D69" i="19"/>
  <c r="C69" i="19"/>
  <c r="U68" i="19"/>
  <c r="D68" i="19"/>
  <c r="C68" i="19"/>
  <c r="U67" i="19"/>
  <c r="D67" i="19"/>
  <c r="C67" i="19"/>
  <c r="D66" i="19"/>
  <c r="C66" i="19"/>
  <c r="D65" i="19"/>
  <c r="C65" i="19"/>
  <c r="D64" i="19"/>
  <c r="C64" i="19"/>
  <c r="D63" i="19"/>
  <c r="C63" i="19"/>
  <c r="D62" i="19"/>
  <c r="C62" i="19"/>
  <c r="T61" i="19"/>
  <c r="S61" i="19"/>
  <c r="R61" i="19"/>
  <c r="Q61" i="19"/>
  <c r="P61" i="19"/>
  <c r="O61" i="19"/>
  <c r="N61" i="19"/>
  <c r="M61" i="19"/>
  <c r="L61" i="19"/>
  <c r="K61" i="19"/>
  <c r="J61" i="19"/>
  <c r="I61" i="19"/>
  <c r="D61" i="19"/>
  <c r="C61" i="19"/>
  <c r="U60" i="19"/>
  <c r="D60" i="19"/>
  <c r="C60" i="19"/>
  <c r="D59" i="19"/>
  <c r="C59" i="19"/>
  <c r="T58" i="19"/>
  <c r="S58" i="19"/>
  <c r="R58" i="19"/>
  <c r="Q58" i="19"/>
  <c r="P58" i="19"/>
  <c r="O58" i="19"/>
  <c r="N58" i="19"/>
  <c r="M58" i="19"/>
  <c r="L58" i="19"/>
  <c r="K58" i="19"/>
  <c r="J58" i="19"/>
  <c r="I58" i="19"/>
  <c r="D58" i="19"/>
  <c r="C58" i="19"/>
  <c r="D57" i="19"/>
  <c r="D56" i="19"/>
  <c r="D55" i="19"/>
  <c r="D54" i="19"/>
  <c r="U53" i="19"/>
  <c r="D53" i="19"/>
  <c r="U52" i="19"/>
  <c r="D52" i="19"/>
  <c r="U51" i="19"/>
  <c r="D51" i="19"/>
  <c r="U50" i="19"/>
  <c r="D50" i="19"/>
  <c r="U49" i="19"/>
  <c r="D49" i="19"/>
  <c r="C49" i="19"/>
  <c r="U48" i="19"/>
  <c r="D48" i="19"/>
  <c r="C48" i="19"/>
  <c r="D47" i="19"/>
  <c r="C47" i="19"/>
  <c r="D46" i="19"/>
  <c r="C46" i="19"/>
  <c r="S45" i="19"/>
  <c r="R45" i="19"/>
  <c r="P45" i="19"/>
  <c r="O45" i="19"/>
  <c r="K45" i="19"/>
  <c r="J45" i="19"/>
  <c r="I45" i="19"/>
  <c r="D45" i="19"/>
  <c r="C45" i="19"/>
  <c r="D44" i="19"/>
  <c r="C44" i="19"/>
  <c r="T43" i="19"/>
  <c r="S43" i="19"/>
  <c r="R43" i="19"/>
  <c r="Q43" i="19"/>
  <c r="P43" i="19"/>
  <c r="O43" i="19"/>
  <c r="N43" i="19"/>
  <c r="M43" i="19"/>
  <c r="L43" i="19"/>
  <c r="K43" i="19"/>
  <c r="J43" i="19"/>
  <c r="I43" i="19"/>
  <c r="D43" i="19"/>
  <c r="C43" i="19"/>
  <c r="I42" i="19"/>
  <c r="D42" i="19"/>
  <c r="C42" i="19"/>
  <c r="I41" i="19"/>
  <c r="D41" i="19"/>
  <c r="C41" i="19"/>
  <c r="I40" i="19"/>
  <c r="D40" i="19"/>
  <c r="C40" i="19"/>
  <c r="D39" i="19"/>
  <c r="C39" i="19"/>
  <c r="D38" i="19"/>
  <c r="C38" i="19"/>
  <c r="D37" i="19"/>
  <c r="C37" i="19"/>
  <c r="D36" i="19"/>
  <c r="C36" i="19"/>
  <c r="D35" i="19"/>
  <c r="C35" i="19"/>
  <c r="D34" i="19"/>
  <c r="C34" i="19"/>
  <c r="D33" i="19"/>
  <c r="C33" i="19"/>
  <c r="D32" i="19"/>
  <c r="C32" i="19"/>
  <c r="D31" i="19"/>
  <c r="C31" i="19"/>
  <c r="L30" i="19"/>
  <c r="K30" i="19"/>
  <c r="J30" i="19"/>
  <c r="I30" i="19"/>
  <c r="D30" i="19"/>
  <c r="C30" i="19"/>
  <c r="D29" i="19"/>
  <c r="C29" i="19"/>
  <c r="D28" i="19"/>
  <c r="C28" i="19"/>
  <c r="D27" i="19"/>
  <c r="C27" i="19"/>
  <c r="D26" i="19"/>
  <c r="C26" i="19"/>
  <c r="D25" i="19"/>
  <c r="C25" i="19"/>
  <c r="D24" i="19"/>
  <c r="C24" i="19"/>
  <c r="D23" i="19"/>
  <c r="C23" i="19"/>
  <c r="D22" i="19"/>
  <c r="C22" i="19"/>
  <c r="D21" i="19"/>
  <c r="C21" i="19"/>
  <c r="M20" i="19"/>
  <c r="L20" i="19"/>
  <c r="K20" i="19"/>
  <c r="J20" i="19"/>
  <c r="I20" i="19"/>
  <c r="D20" i="19"/>
  <c r="C20" i="19"/>
  <c r="D19" i="19"/>
  <c r="C19" i="19"/>
  <c r="D18" i="19"/>
  <c r="D17" i="19"/>
  <c r="D16" i="19"/>
  <c r="D15" i="19"/>
  <c r="D14" i="19"/>
  <c r="D13" i="19"/>
  <c r="D12" i="19"/>
  <c r="D11" i="19"/>
  <c r="D10" i="19"/>
  <c r="D9" i="19"/>
  <c r="D8" i="19"/>
  <c r="C101" i="6"/>
  <c r="C100" i="13" s="1"/>
  <c r="C102" i="6"/>
  <c r="C101" i="13" s="1"/>
  <c r="C103" i="6"/>
  <c r="C102" i="13" s="1"/>
  <c r="C104" i="6"/>
  <c r="C103" i="13" s="1"/>
  <c r="C105" i="6"/>
  <c r="C104" i="13" s="1"/>
  <c r="C106" i="6"/>
  <c r="C105" i="13" s="1"/>
  <c r="C107" i="6"/>
  <c r="C106" i="13" s="1"/>
  <c r="C108" i="6"/>
  <c r="C107" i="13" s="1"/>
  <c r="C109" i="6"/>
  <c r="C108" i="13" s="1"/>
  <c r="C110" i="6"/>
  <c r="C109" i="13" s="1"/>
  <c r="C111" i="6"/>
  <c r="C110" i="13" s="1"/>
  <c r="C112" i="6"/>
  <c r="C111" i="13" s="1"/>
  <c r="C113" i="6"/>
  <c r="C112" i="13" s="1"/>
  <c r="C114" i="6"/>
  <c r="C113" i="13" s="1"/>
  <c r="C115" i="6"/>
  <c r="C114" i="13" s="1"/>
  <c r="C116" i="6"/>
  <c r="C115" i="13" s="1"/>
  <c r="C117" i="6"/>
  <c r="C116" i="13" s="1"/>
  <c r="C118" i="6"/>
  <c r="C117" i="13" s="1"/>
  <c r="C119" i="6"/>
  <c r="C118" i="13" s="1"/>
  <c r="C120" i="6"/>
  <c r="C119" i="13" s="1"/>
  <c r="C121" i="6"/>
  <c r="C120" i="13" s="1"/>
  <c r="C122" i="6"/>
  <c r="C121" i="13" s="1"/>
  <c r="C123" i="6"/>
  <c r="C122" i="13" s="1"/>
  <c r="C124" i="6"/>
  <c r="C123" i="13" s="1"/>
  <c r="C125" i="6"/>
  <c r="C124" i="13" s="1"/>
  <c r="C126" i="6"/>
  <c r="C125" i="13" s="1"/>
  <c r="C127" i="6"/>
  <c r="C126" i="13" s="1"/>
  <c r="C128" i="6"/>
  <c r="C127" i="13" s="1"/>
  <c r="C129" i="6"/>
  <c r="C128" i="13" s="1"/>
  <c r="C100" i="6"/>
  <c r="C99" i="13" s="1"/>
  <c r="C99" i="6"/>
  <c r="C98" i="13" s="1"/>
  <c r="C98" i="6"/>
  <c r="C97" i="13" s="1"/>
  <c r="C97" i="6"/>
  <c r="C96" i="13" s="1"/>
  <c r="C96" i="6"/>
  <c r="C95" i="13" s="1"/>
  <c r="C95" i="6"/>
  <c r="C94" i="13" s="1"/>
  <c r="C94" i="6"/>
  <c r="C93" i="13" s="1"/>
  <c r="C93" i="6"/>
  <c r="C92" i="13" s="1"/>
  <c r="C31" i="6"/>
  <c r="C30" i="13" s="1"/>
  <c r="C32" i="6"/>
  <c r="C31" i="13" s="1"/>
  <c r="C33" i="6"/>
  <c r="C32" i="13" s="1"/>
  <c r="C34" i="6"/>
  <c r="C33" i="13" s="1"/>
  <c r="C35" i="6"/>
  <c r="C34" i="13" s="1"/>
  <c r="C36" i="6"/>
  <c r="C35" i="13" s="1"/>
  <c r="C37" i="6"/>
  <c r="C36" i="13" s="1"/>
  <c r="C38" i="6"/>
  <c r="C37" i="13" s="1"/>
  <c r="C39" i="6"/>
  <c r="C38" i="13" s="1"/>
  <c r="C40" i="6"/>
  <c r="C39" i="13" s="1"/>
  <c r="C41" i="6"/>
  <c r="C40" i="13" s="1"/>
  <c r="C42" i="6"/>
  <c r="C41" i="13" s="1"/>
  <c r="C43" i="6"/>
  <c r="C42" i="13" s="1"/>
  <c r="C44" i="6"/>
  <c r="C43" i="13" s="1"/>
  <c r="C45" i="6"/>
  <c r="C44" i="13" s="1"/>
  <c r="C46" i="6"/>
  <c r="C45" i="13" s="1"/>
  <c r="C47" i="6"/>
  <c r="C46" i="13" s="1"/>
  <c r="C48" i="6"/>
  <c r="C47" i="13" s="1"/>
  <c r="C49" i="6"/>
  <c r="C48" i="13" s="1"/>
  <c r="C50" i="6"/>
  <c r="C49" i="13" s="1"/>
  <c r="C51" i="6"/>
  <c r="C50" i="13" s="1"/>
  <c r="C52" i="6"/>
  <c r="C51" i="13" s="1"/>
  <c r="C53" i="6"/>
  <c r="C52" i="13" s="1"/>
  <c r="C54" i="6"/>
  <c r="C53" i="13" s="1"/>
  <c r="C55" i="6"/>
  <c r="C54" i="13" s="1"/>
  <c r="C56" i="6"/>
  <c r="C55" i="13" s="1"/>
  <c r="C57" i="6"/>
  <c r="C56" i="13" s="1"/>
  <c r="C58" i="6"/>
  <c r="C57" i="13" s="1"/>
  <c r="C59" i="6"/>
  <c r="C58" i="13" s="1"/>
  <c r="C60" i="6"/>
  <c r="C59" i="13" s="1"/>
  <c r="C61" i="6"/>
  <c r="C60" i="13" s="1"/>
  <c r="C62" i="6"/>
  <c r="C61" i="13" s="1"/>
  <c r="C63" i="6"/>
  <c r="C62" i="13" s="1"/>
  <c r="C64" i="6"/>
  <c r="C63" i="13" s="1"/>
  <c r="C65" i="6"/>
  <c r="C64" i="13" s="1"/>
  <c r="C66" i="6"/>
  <c r="C65" i="13" s="1"/>
  <c r="C67" i="6"/>
  <c r="C66" i="13" s="1"/>
  <c r="C68" i="6"/>
  <c r="C67" i="13" s="1"/>
  <c r="C69" i="6"/>
  <c r="C68" i="13" s="1"/>
  <c r="C70" i="6"/>
  <c r="C69" i="13" s="1"/>
  <c r="C71" i="6"/>
  <c r="C70" i="13" s="1"/>
  <c r="C72" i="6"/>
  <c r="C71" i="13" s="1"/>
  <c r="C73" i="6"/>
  <c r="C72" i="13" s="1"/>
  <c r="C74" i="6"/>
  <c r="C73" i="13" s="1"/>
  <c r="C75" i="6"/>
  <c r="C74" i="13" s="1"/>
  <c r="C76" i="6"/>
  <c r="C75" i="13" s="1"/>
  <c r="C77" i="6"/>
  <c r="C76" i="13" s="1"/>
  <c r="C78" i="6"/>
  <c r="C77" i="13" s="1"/>
  <c r="C79" i="6"/>
  <c r="C78" i="13" s="1"/>
  <c r="C80" i="6"/>
  <c r="C79" i="13" s="1"/>
  <c r="C81" i="6"/>
  <c r="C80" i="13" s="1"/>
  <c r="C82" i="6"/>
  <c r="C81" i="13" s="1"/>
  <c r="C83" i="6"/>
  <c r="C82" i="13" s="1"/>
  <c r="C84" i="6"/>
  <c r="C83" i="13" s="1"/>
  <c r="C85" i="6"/>
  <c r="C84" i="13" s="1"/>
  <c r="C86" i="6"/>
  <c r="C85" i="13" s="1"/>
  <c r="C87" i="6"/>
  <c r="C86" i="13" s="1"/>
  <c r="C88" i="6"/>
  <c r="C87" i="13" s="1"/>
  <c r="C89" i="6"/>
  <c r="C88" i="13" s="1"/>
  <c r="C90" i="6"/>
  <c r="C89" i="13" s="1"/>
  <c r="C91" i="6"/>
  <c r="C90" i="13" s="1"/>
  <c r="C92" i="6"/>
  <c r="C91" i="13" s="1"/>
  <c r="C20" i="6"/>
  <c r="C19" i="13" s="1"/>
  <c r="C21" i="6"/>
  <c r="C20" i="13" s="1"/>
  <c r="C22" i="6"/>
  <c r="C21" i="13" s="1"/>
  <c r="C23" i="6"/>
  <c r="C22" i="13" s="1"/>
  <c r="C24" i="6"/>
  <c r="C23" i="13" s="1"/>
  <c r="C25" i="6"/>
  <c r="C24" i="13" s="1"/>
  <c r="C26" i="6"/>
  <c r="C25" i="13" s="1"/>
  <c r="C27" i="6"/>
  <c r="C26" i="13" s="1"/>
  <c r="C28" i="6"/>
  <c r="C27" i="13" s="1"/>
  <c r="C29" i="6"/>
  <c r="C28" i="13" s="1"/>
  <c r="C30" i="6"/>
  <c r="C29" i="13" s="1"/>
  <c r="C19" i="6"/>
  <c r="C18" i="13" s="1"/>
  <c r="M169" i="1"/>
  <c r="N169" i="1" s="1"/>
  <c r="E127" i="19" s="1"/>
  <c r="M168" i="1"/>
  <c r="N168" i="1" s="1"/>
  <c r="E126" i="19" s="1"/>
  <c r="M172" i="1"/>
  <c r="M171" i="1"/>
  <c r="M170" i="1" s="1"/>
  <c r="H116" i="6"/>
  <c r="I116" i="6"/>
  <c r="J116" i="6"/>
  <c r="K116" i="6"/>
  <c r="L116" i="6"/>
  <c r="M116" i="6"/>
  <c r="N116" i="6"/>
  <c r="O116" i="6"/>
  <c r="P116" i="6"/>
  <c r="Q116" i="6"/>
  <c r="R116" i="6"/>
  <c r="S116" i="6"/>
  <c r="T116" i="6"/>
  <c r="U116" i="6"/>
  <c r="V116" i="6"/>
  <c r="W116" i="6"/>
  <c r="X116" i="6"/>
  <c r="Y116" i="6"/>
  <c r="Z116" i="6"/>
  <c r="AA116" i="6"/>
  <c r="AB116" i="6"/>
  <c r="AC116" i="6"/>
  <c r="AD116" i="6"/>
  <c r="AE116" i="6"/>
  <c r="AF116" i="6"/>
  <c r="AK116" i="6"/>
  <c r="AL116" i="6"/>
  <c r="AM116" i="6"/>
  <c r="AN116" i="6"/>
  <c r="AO116" i="6"/>
  <c r="AP116" i="6"/>
  <c r="AQ116" i="6"/>
  <c r="AR116" i="6"/>
  <c r="AS116" i="6"/>
  <c r="AT116" i="6"/>
  <c r="AU116" i="6"/>
  <c r="AV116" i="6"/>
  <c r="AW116" i="6"/>
  <c r="AX116" i="6"/>
  <c r="AY116" i="6"/>
  <c r="AZ116" i="6"/>
  <c r="BA116" i="6"/>
  <c r="BB116" i="6"/>
  <c r="BC116" i="6"/>
  <c r="BD116" i="6"/>
  <c r="BE116" i="6"/>
  <c r="BF116" i="6"/>
  <c r="BG116" i="6"/>
  <c r="BH116" i="6"/>
  <c r="BI116" i="6"/>
  <c r="BJ116" i="6"/>
  <c r="BK116" i="6"/>
  <c r="BL116" i="6"/>
  <c r="BM116" i="6"/>
  <c r="BN116" i="6"/>
  <c r="G116" i="6"/>
  <c r="BQ129" i="6"/>
  <c r="BT127" i="6"/>
  <c r="BS127" i="6"/>
  <c r="BR127" i="6"/>
  <c r="BQ127" i="6"/>
  <c r="BU126" i="6"/>
  <c r="BT126" i="6"/>
  <c r="BR126" i="6"/>
  <c r="BR125" i="6" s="1"/>
  <c r="BQ126" i="6"/>
  <c r="BQ125" i="6" s="1"/>
  <c r="H128" i="6"/>
  <c r="I128" i="6"/>
  <c r="J128" i="6"/>
  <c r="K128" i="6"/>
  <c r="L128" i="6"/>
  <c r="M128" i="6"/>
  <c r="N128" i="6"/>
  <c r="O128" i="6"/>
  <c r="P128" i="6"/>
  <c r="Q128" i="6"/>
  <c r="R128" i="6"/>
  <c r="T128" i="6"/>
  <c r="U128" i="6"/>
  <c r="W128" i="6"/>
  <c r="X128" i="6"/>
  <c r="Y128" i="6"/>
  <c r="Z128" i="6"/>
  <c r="AA128" i="6"/>
  <c r="AB128" i="6"/>
  <c r="AC128" i="6"/>
  <c r="AD128" i="6"/>
  <c r="AE128" i="6"/>
  <c r="AF128" i="6"/>
  <c r="AG128" i="6"/>
  <c r="AH128" i="6"/>
  <c r="AJ128" i="6"/>
  <c r="AK128" i="6"/>
  <c r="AL128" i="6"/>
  <c r="AM128" i="6"/>
  <c r="AN128" i="6"/>
  <c r="AO128" i="6"/>
  <c r="AP128" i="6"/>
  <c r="AQ128" i="6"/>
  <c r="AR128" i="6"/>
  <c r="AS128" i="6"/>
  <c r="AU128" i="6"/>
  <c r="AV128" i="6"/>
  <c r="AW128" i="6"/>
  <c r="AX128" i="6"/>
  <c r="AY128" i="6"/>
  <c r="AZ128" i="6"/>
  <c r="BA128" i="6"/>
  <c r="BB128" i="6"/>
  <c r="BC128" i="6"/>
  <c r="BD128" i="6"/>
  <c r="BE128" i="6"/>
  <c r="BG128" i="6"/>
  <c r="BH128" i="6"/>
  <c r="BI128" i="6"/>
  <c r="BJ128" i="6"/>
  <c r="BK128" i="6"/>
  <c r="BL128" i="6"/>
  <c r="BN128" i="6"/>
  <c r="H125" i="6"/>
  <c r="I125" i="6"/>
  <c r="J125" i="6"/>
  <c r="K125" i="6"/>
  <c r="L125" i="6"/>
  <c r="M125" i="6"/>
  <c r="N125" i="6"/>
  <c r="O125" i="6"/>
  <c r="P125" i="6"/>
  <c r="Q125" i="6"/>
  <c r="R125" i="6"/>
  <c r="S125" i="6"/>
  <c r="T125" i="6"/>
  <c r="U125" i="6"/>
  <c r="V125" i="6"/>
  <c r="W125" i="6"/>
  <c r="X125" i="6"/>
  <c r="Y125" i="6"/>
  <c r="Z125" i="6"/>
  <c r="AA125" i="6"/>
  <c r="AB125" i="6"/>
  <c r="AC125" i="6"/>
  <c r="AD125" i="6"/>
  <c r="AE125" i="6"/>
  <c r="AF125" i="6"/>
  <c r="AG125" i="6"/>
  <c r="AH125" i="6"/>
  <c r="AI125" i="6"/>
  <c r="AK125" i="6"/>
  <c r="AN125" i="6"/>
  <c r="AO125" i="6"/>
  <c r="AP125" i="6"/>
  <c r="AQ125" i="6"/>
  <c r="AR125" i="6"/>
  <c r="AS125" i="6"/>
  <c r="AT125" i="6"/>
  <c r="AU125" i="6"/>
  <c r="AV125" i="6"/>
  <c r="AW125" i="6"/>
  <c r="AX125" i="6"/>
  <c r="AY125" i="6"/>
  <c r="AZ125" i="6"/>
  <c r="BA125" i="6"/>
  <c r="BB125" i="6"/>
  <c r="BC125" i="6"/>
  <c r="BD125" i="6"/>
  <c r="BE125" i="6"/>
  <c r="BF125" i="6"/>
  <c r="BG125" i="6"/>
  <c r="BH125" i="6"/>
  <c r="BJ125" i="6"/>
  <c r="BM125" i="6"/>
  <c r="BN125" i="6"/>
  <c r="G128" i="6"/>
  <c r="G125" i="6"/>
  <c r="D128" i="6"/>
  <c r="D127" i="13" s="1"/>
  <c r="J98" i="14"/>
  <c r="C98" i="14"/>
  <c r="D117" i="6"/>
  <c r="D116" i="13" s="1"/>
  <c r="D116" i="6"/>
  <c r="D115" i="13" s="1"/>
  <c r="M159" i="1"/>
  <c r="N159" i="1" s="1"/>
  <c r="N158" i="1" s="1"/>
  <c r="E116" i="6" s="1"/>
  <c r="BP8" i="6"/>
  <c r="BP9" i="6"/>
  <c r="BP10" i="6"/>
  <c r="BP11" i="6"/>
  <c r="BP12" i="6"/>
  <c r="E115" i="13" l="1"/>
  <c r="L84" i="19"/>
  <c r="E117" i="19"/>
  <c r="E116" i="19"/>
  <c r="L83" i="19"/>
  <c r="K83" i="19"/>
  <c r="E125" i="19"/>
  <c r="J84" i="19"/>
  <c r="J83" i="19" s="1"/>
  <c r="I83" i="19"/>
  <c r="U130" i="19"/>
  <c r="T91" i="19"/>
  <c r="I36" i="19"/>
  <c r="I29" i="19" s="1"/>
  <c r="I19" i="19" s="1"/>
  <c r="J41" i="19"/>
  <c r="J40" i="19"/>
  <c r="J42" i="19"/>
  <c r="K42" i="19" s="1"/>
  <c r="L42" i="19" s="1"/>
  <c r="M42" i="19" s="1"/>
  <c r="N42" i="19" s="1"/>
  <c r="O42" i="19" s="1"/>
  <c r="P42" i="19" s="1"/>
  <c r="Q42" i="19" s="1"/>
  <c r="R42" i="19" s="1"/>
  <c r="S42" i="19" s="1"/>
  <c r="T42" i="19" s="1"/>
  <c r="U88" i="19"/>
  <c r="O87" i="19"/>
  <c r="N87" i="19"/>
  <c r="N86" i="19"/>
  <c r="M86" i="19"/>
  <c r="E85" i="19"/>
  <c r="O86" i="19"/>
  <c r="U66" i="19"/>
  <c r="R91" i="19"/>
  <c r="U106" i="19"/>
  <c r="U105" i="19"/>
  <c r="U108" i="19"/>
  <c r="U110" i="19"/>
  <c r="U126" i="19"/>
  <c r="M167" i="1"/>
  <c r="N171" i="1"/>
  <c r="E129" i="19" s="1"/>
  <c r="E128" i="19" s="1"/>
  <c r="N167" i="1"/>
  <c r="BT125" i="6"/>
  <c r="BQ128" i="6"/>
  <c r="E117" i="6"/>
  <c r="G98" i="14"/>
  <c r="M158" i="1"/>
  <c r="AE41" i="6"/>
  <c r="AA124" i="5"/>
  <c r="AB124" i="5" s="1"/>
  <c r="AC124" i="5" s="1"/>
  <c r="AD124" i="5" s="1"/>
  <c r="AE124" i="5" s="1"/>
  <c r="AF124" i="5" s="1"/>
  <c r="AG124" i="5" s="1"/>
  <c r="AH124" i="5" s="1"/>
  <c r="AI124" i="5" s="1"/>
  <c r="AJ124" i="5" s="1"/>
  <c r="AK124" i="5" s="1"/>
  <c r="AL124" i="5" s="1"/>
  <c r="AM124" i="5" s="1"/>
  <c r="AN124" i="5" s="1"/>
  <c r="AO124" i="5" s="1"/>
  <c r="AP124" i="5" s="1"/>
  <c r="AQ124" i="5" s="1"/>
  <c r="AR124" i="5" s="1"/>
  <c r="AS124" i="5" s="1"/>
  <c r="AT124" i="5" s="1"/>
  <c r="AU124" i="5" s="1"/>
  <c r="AV124" i="5" s="1"/>
  <c r="AW124" i="5" s="1"/>
  <c r="AX124" i="5" s="1"/>
  <c r="AY124" i="5" s="1"/>
  <c r="AZ124" i="5" s="1"/>
  <c r="BA124" i="5" s="1"/>
  <c r="BB124" i="5" s="1"/>
  <c r="BC124" i="5" s="1"/>
  <c r="BD124" i="5" s="1"/>
  <c r="BE124" i="5" s="1"/>
  <c r="BF124" i="5" s="1"/>
  <c r="BG124" i="5" s="1"/>
  <c r="BH124" i="5" s="1"/>
  <c r="BI124" i="5" s="1"/>
  <c r="M72" i="1"/>
  <c r="J115" i="5"/>
  <c r="K115" i="5" s="1"/>
  <c r="J114" i="5"/>
  <c r="K114" i="5" s="1"/>
  <c r="B110" i="5"/>
  <c r="J109" i="5"/>
  <c r="K109" i="5" s="1"/>
  <c r="J108" i="5"/>
  <c r="K108" i="5" s="1"/>
  <c r="J107" i="5"/>
  <c r="K107" i="5" s="1"/>
  <c r="J106" i="5"/>
  <c r="K106" i="5" s="1"/>
  <c r="J105" i="5"/>
  <c r="K105" i="5" s="1"/>
  <c r="B100" i="5"/>
  <c r="I99" i="5"/>
  <c r="J99" i="5" s="1"/>
  <c r="K99" i="5" s="1"/>
  <c r="I98" i="5"/>
  <c r="J98" i="5" s="1"/>
  <c r="K98" i="5" s="1"/>
  <c r="I97" i="5"/>
  <c r="J97" i="5" s="1"/>
  <c r="K97" i="5" s="1"/>
  <c r="I96" i="5"/>
  <c r="J96" i="5" s="1"/>
  <c r="K96" i="5" s="1"/>
  <c r="I95" i="5"/>
  <c r="J95" i="5" s="1"/>
  <c r="K95" i="5" s="1"/>
  <c r="I94" i="5"/>
  <c r="J94" i="5" s="1"/>
  <c r="K94" i="5" s="1"/>
  <c r="I93" i="5"/>
  <c r="J93" i="5" s="1"/>
  <c r="K93" i="5" s="1"/>
  <c r="I92" i="5"/>
  <c r="J92" i="5" s="1"/>
  <c r="K92" i="5" s="1"/>
  <c r="I91" i="5"/>
  <c r="J91" i="5" s="1"/>
  <c r="K91" i="5" s="1"/>
  <c r="I90" i="5"/>
  <c r="J90" i="5" s="1"/>
  <c r="K90" i="5" s="1"/>
  <c r="I89" i="5"/>
  <c r="J89" i="5" s="1"/>
  <c r="K89" i="5" s="1"/>
  <c r="I88" i="5"/>
  <c r="J88" i="5" s="1"/>
  <c r="K88" i="5" s="1"/>
  <c r="I87" i="5"/>
  <c r="J87" i="5" s="1"/>
  <c r="I80" i="5"/>
  <c r="J80" i="5" s="1"/>
  <c r="K80" i="5" s="1"/>
  <c r="I79" i="5"/>
  <c r="J79" i="5" s="1"/>
  <c r="K79" i="5" s="1"/>
  <c r="I78" i="5"/>
  <c r="J78" i="5" s="1"/>
  <c r="K78" i="5" s="1"/>
  <c r="I77" i="5"/>
  <c r="J77" i="5" s="1"/>
  <c r="B72" i="5"/>
  <c r="I71" i="5"/>
  <c r="J71" i="5" s="1"/>
  <c r="K71" i="5" s="1"/>
  <c r="I70" i="5"/>
  <c r="J70" i="5" s="1"/>
  <c r="K70" i="5" s="1"/>
  <c r="I69" i="5"/>
  <c r="J69" i="5" s="1"/>
  <c r="K69" i="5" s="1"/>
  <c r="I68" i="5"/>
  <c r="J68" i="5" s="1"/>
  <c r="K68" i="5" s="1"/>
  <c r="I67" i="5"/>
  <c r="J67" i="5" s="1"/>
  <c r="K67" i="5" s="1"/>
  <c r="I66" i="5"/>
  <c r="J66" i="5" s="1"/>
  <c r="K66" i="5" s="1"/>
  <c r="I65" i="5"/>
  <c r="J65" i="5" s="1"/>
  <c r="K65" i="5" s="1"/>
  <c r="I64" i="5"/>
  <c r="J64" i="5" s="1"/>
  <c r="K64" i="5" s="1"/>
  <c r="I63" i="5"/>
  <c r="J63" i="5" s="1"/>
  <c r="K63" i="5" s="1"/>
  <c r="I62" i="5"/>
  <c r="J62" i="5" s="1"/>
  <c r="K62" i="5" s="1"/>
  <c r="I61" i="5"/>
  <c r="J61" i="5" s="1"/>
  <c r="K61" i="5" s="1"/>
  <c r="I60" i="5"/>
  <c r="J60" i="5" s="1"/>
  <c r="K60" i="5" s="1"/>
  <c r="I59" i="5"/>
  <c r="J59" i="5" s="1"/>
  <c r="K59" i="5" s="1"/>
  <c r="I9" i="5"/>
  <c r="E116" i="13" l="1"/>
  <c r="U112" i="19"/>
  <c r="O85" i="19"/>
  <c r="N85" i="19"/>
  <c r="U87" i="19"/>
  <c r="U127" i="19"/>
  <c r="U113" i="19"/>
  <c r="U107" i="19"/>
  <c r="U80" i="19"/>
  <c r="K40" i="19"/>
  <c r="J36" i="19"/>
  <c r="J29" i="19" s="1"/>
  <c r="J19" i="19" s="1"/>
  <c r="U70" i="19"/>
  <c r="U44" i="19"/>
  <c r="M85" i="19"/>
  <c r="U86" i="19"/>
  <c r="U54" i="19"/>
  <c r="U79" i="19"/>
  <c r="U47" i="19"/>
  <c r="U59" i="19"/>
  <c r="U111" i="19"/>
  <c r="U109" i="19"/>
  <c r="U91" i="19"/>
  <c r="U72" i="19"/>
  <c r="K41" i="19"/>
  <c r="L41" i="19" s="1"/>
  <c r="M41" i="19" s="1"/>
  <c r="N41" i="19" s="1"/>
  <c r="O41" i="19" s="1"/>
  <c r="P41" i="19" s="1"/>
  <c r="Q41" i="19" s="1"/>
  <c r="R41" i="19" s="1"/>
  <c r="S41" i="19" s="1"/>
  <c r="T41" i="19" s="1"/>
  <c r="AF41" i="6"/>
  <c r="K116" i="5"/>
  <c r="K117" i="5" s="1"/>
  <c r="Z125" i="5" s="1"/>
  <c r="J100" i="5"/>
  <c r="I34" i="5" s="1"/>
  <c r="I35" i="5" s="1"/>
  <c r="H27" i="5"/>
  <c r="H28" i="5" s="1"/>
  <c r="K110" i="5"/>
  <c r="K111" i="5" s="1"/>
  <c r="B125" i="5" s="1"/>
  <c r="K72" i="5"/>
  <c r="K73" i="5" s="1"/>
  <c r="B123" i="5" s="1"/>
  <c r="K77" i="5"/>
  <c r="K81" i="5" s="1"/>
  <c r="K82" i="5" s="1"/>
  <c r="J81" i="5"/>
  <c r="J116" i="5"/>
  <c r="J72" i="5"/>
  <c r="K87" i="5"/>
  <c r="K100" i="5" s="1"/>
  <c r="K101" i="5" s="1"/>
  <c r="J110" i="5"/>
  <c r="J9" i="5"/>
  <c r="K9" i="5" s="1"/>
  <c r="L9" i="5" s="1"/>
  <c r="C38" i="15"/>
  <c r="C39" i="15"/>
  <c r="C35" i="15"/>
  <c r="C23" i="15"/>
  <c r="C24" i="15"/>
  <c r="C25" i="15"/>
  <c r="C26" i="15"/>
  <c r="B27" i="15"/>
  <c r="C27" i="15"/>
  <c r="B28" i="15"/>
  <c r="C28" i="15"/>
  <c r="A29" i="15"/>
  <c r="C29" i="15"/>
  <c r="C30" i="15"/>
  <c r="A31" i="15"/>
  <c r="C31" i="15"/>
  <c r="C32" i="15"/>
  <c r="C33" i="15"/>
  <c r="C34" i="15"/>
  <c r="A11" i="15"/>
  <c r="A12" i="15"/>
  <c r="A13" i="15"/>
  <c r="A14" i="15"/>
  <c r="A10" i="15"/>
  <c r="E41" i="14"/>
  <c r="B34" i="15" s="1"/>
  <c r="C41" i="14"/>
  <c r="A34" i="15" s="1"/>
  <c r="U125" i="19" l="1"/>
  <c r="U75" i="19"/>
  <c r="U81" i="19"/>
  <c r="U58" i="19"/>
  <c r="U42" i="19"/>
  <c r="U74" i="19"/>
  <c r="U82" i="19"/>
  <c r="U71" i="19"/>
  <c r="U85" i="19"/>
  <c r="U43" i="19"/>
  <c r="K36" i="19"/>
  <c r="K29" i="19" s="1"/>
  <c r="K19" i="19" s="1"/>
  <c r="L40" i="19"/>
  <c r="U76" i="19"/>
  <c r="N54" i="5"/>
  <c r="BK124" i="5" s="1"/>
  <c r="B124" i="5"/>
  <c r="C123" i="5"/>
  <c r="D123" i="5" s="1"/>
  <c r="E123" i="5" s="1"/>
  <c r="F123" i="5" s="1"/>
  <c r="G123" i="5" s="1"/>
  <c r="H123" i="5" s="1"/>
  <c r="I123" i="5" s="1"/>
  <c r="J123" i="5" s="1"/>
  <c r="K123" i="5" s="1"/>
  <c r="L123" i="5" s="1"/>
  <c r="M123" i="5" s="1"/>
  <c r="N123" i="5" s="1"/>
  <c r="O123" i="5" s="1"/>
  <c r="P123" i="5" s="1"/>
  <c r="Q123" i="5" s="1"/>
  <c r="R123" i="5" s="1"/>
  <c r="S123" i="5" s="1"/>
  <c r="T123" i="5" s="1"/>
  <c r="U123" i="5" s="1"/>
  <c r="V123" i="5" s="1"/>
  <c r="W123" i="5" s="1"/>
  <c r="X123" i="5" s="1"/>
  <c r="Y123" i="5" s="1"/>
  <c r="G40" i="6"/>
  <c r="H40" i="6" s="1"/>
  <c r="I40" i="6" s="1"/>
  <c r="J40" i="6" s="1"/>
  <c r="K40" i="6" s="1"/>
  <c r="L40" i="6" s="1"/>
  <c r="M40" i="6" s="1"/>
  <c r="N40" i="6" s="1"/>
  <c r="O40" i="6" s="1"/>
  <c r="P40" i="6" s="1"/>
  <c r="Q40" i="6" s="1"/>
  <c r="R40" i="6" s="1"/>
  <c r="S40" i="6" s="1"/>
  <c r="T40" i="6" s="1"/>
  <c r="U40" i="6" s="1"/>
  <c r="V40" i="6" s="1"/>
  <c r="W40" i="6" s="1"/>
  <c r="X40" i="6" s="1"/>
  <c r="Y40" i="6" s="1"/>
  <c r="Z40" i="6" s="1"/>
  <c r="AA40" i="6" s="1"/>
  <c r="AB40" i="6" s="1"/>
  <c r="AC40" i="6" s="1"/>
  <c r="AD40" i="6" s="1"/>
  <c r="I27" i="5"/>
  <c r="I28" i="5" s="1"/>
  <c r="F27" i="5"/>
  <c r="F28" i="5" s="1"/>
  <c r="K27" i="5"/>
  <c r="L82" i="5"/>
  <c r="Z123" i="5"/>
  <c r="F34" i="5"/>
  <c r="F35" i="5" s="1"/>
  <c r="D34" i="5"/>
  <c r="D35" i="5" s="1"/>
  <c r="A34" i="5"/>
  <c r="A35" i="5" s="1"/>
  <c r="E27" i="5"/>
  <c r="E28" i="5" s="1"/>
  <c r="B27" i="5"/>
  <c r="B28" i="5" s="1"/>
  <c r="C27" i="5"/>
  <c r="C28" i="5" s="1"/>
  <c r="B34" i="5"/>
  <c r="B35" i="5" s="1"/>
  <c r="B54" i="5" s="1"/>
  <c r="AA125" i="5"/>
  <c r="AB125" i="5" s="1"/>
  <c r="AC125" i="5" s="1"/>
  <c r="AD125" i="5" s="1"/>
  <c r="AE125" i="5" s="1"/>
  <c r="AF125" i="5" s="1"/>
  <c r="AG125" i="5" s="1"/>
  <c r="AH125" i="5" s="1"/>
  <c r="AI125" i="5" s="1"/>
  <c r="AJ125" i="5" s="1"/>
  <c r="AK125" i="5" s="1"/>
  <c r="AL125" i="5" s="1"/>
  <c r="AM125" i="5" s="1"/>
  <c r="AN125" i="5" s="1"/>
  <c r="AO125" i="5" s="1"/>
  <c r="AP125" i="5" s="1"/>
  <c r="AQ125" i="5" s="1"/>
  <c r="AR125" i="5" s="1"/>
  <c r="AS125" i="5" s="1"/>
  <c r="AT125" i="5" s="1"/>
  <c r="AU125" i="5" s="1"/>
  <c r="AV125" i="5" s="1"/>
  <c r="AW125" i="5" s="1"/>
  <c r="AX125" i="5" s="1"/>
  <c r="AY125" i="5" s="1"/>
  <c r="AZ125" i="5" s="1"/>
  <c r="BA125" i="5" s="1"/>
  <c r="BB125" i="5" s="1"/>
  <c r="BC125" i="5" s="1"/>
  <c r="BD125" i="5" s="1"/>
  <c r="BE125" i="5" s="1"/>
  <c r="BF125" i="5" s="1"/>
  <c r="BG125" i="5" s="1"/>
  <c r="BH125" i="5" s="1"/>
  <c r="BI125" i="5" s="1"/>
  <c r="AE42" i="6"/>
  <c r="C125" i="5"/>
  <c r="G42" i="6"/>
  <c r="C34" i="5"/>
  <c r="C35" i="5" s="1"/>
  <c r="D27" i="5"/>
  <c r="D28" i="5" s="1"/>
  <c r="D54" i="5" s="1"/>
  <c r="J34" i="5"/>
  <c r="J35" i="5" s="1"/>
  <c r="K34" i="5"/>
  <c r="H34" i="5"/>
  <c r="H35" i="5" s="1"/>
  <c r="E34" i="5"/>
  <c r="E35" i="5" s="1"/>
  <c r="AG41" i="6"/>
  <c r="AH41" i="6" s="1"/>
  <c r="AI41" i="6" s="1"/>
  <c r="AJ41" i="6" s="1"/>
  <c r="AK41" i="6" s="1"/>
  <c r="AL41" i="6" s="1"/>
  <c r="AM41" i="6" s="1"/>
  <c r="AN41" i="6" s="1"/>
  <c r="AO41" i="6" s="1"/>
  <c r="AP41" i="6" s="1"/>
  <c r="AQ41" i="6" s="1"/>
  <c r="AR41" i="6" s="1"/>
  <c r="AS41" i="6" s="1"/>
  <c r="AT41" i="6" s="1"/>
  <c r="AU41" i="6" s="1"/>
  <c r="AV41" i="6" s="1"/>
  <c r="AW41" i="6" s="1"/>
  <c r="AX41" i="6" s="1"/>
  <c r="AY41" i="6" s="1"/>
  <c r="AZ41" i="6" s="1"/>
  <c r="BA41" i="6" s="1"/>
  <c r="BB41" i="6" s="1"/>
  <c r="BC41" i="6" s="1"/>
  <c r="BD41" i="6" s="1"/>
  <c r="BE41" i="6" s="1"/>
  <c r="BF41" i="6" s="1"/>
  <c r="BG41" i="6" s="1"/>
  <c r="BH41" i="6" s="1"/>
  <c r="BI41" i="6" s="1"/>
  <c r="BJ41" i="6" s="1"/>
  <c r="BK41" i="6" s="1"/>
  <c r="BL41" i="6" s="1"/>
  <c r="BM41" i="6" s="1"/>
  <c r="BN41" i="6" s="1"/>
  <c r="H54" i="5"/>
  <c r="A27" i="5"/>
  <c r="A28" i="5" s="1"/>
  <c r="G34" i="5"/>
  <c r="G35" i="5" s="1"/>
  <c r="J27" i="5"/>
  <c r="J28" i="5" s="1"/>
  <c r="G27" i="5"/>
  <c r="G28" i="5" s="1"/>
  <c r="I54" i="5"/>
  <c r="E54" i="5"/>
  <c r="N53" i="5"/>
  <c r="BK123" i="5" s="1"/>
  <c r="L73" i="5"/>
  <c r="L10" i="5"/>
  <c r="J10" i="5" s="1"/>
  <c r="H10" i="5"/>
  <c r="I48" i="5"/>
  <c r="I49" i="5" s="1"/>
  <c r="E48" i="5"/>
  <c r="E49" i="5" s="1"/>
  <c r="A48" i="5"/>
  <c r="A49" i="5" s="1"/>
  <c r="H48" i="5"/>
  <c r="H49" i="5" s="1"/>
  <c r="D48" i="5"/>
  <c r="D49" i="5" s="1"/>
  <c r="K48" i="5"/>
  <c r="G48" i="5"/>
  <c r="G49" i="5" s="1"/>
  <c r="C48" i="5"/>
  <c r="C49" i="5" s="1"/>
  <c r="J48" i="5"/>
  <c r="J49" i="5" s="1"/>
  <c r="F48" i="5"/>
  <c r="F49" i="5" s="1"/>
  <c r="B48" i="5"/>
  <c r="K35" i="5"/>
  <c r="L34" i="5"/>
  <c r="L35" i="5" s="1"/>
  <c r="K28" i="5"/>
  <c r="L27" i="5"/>
  <c r="L28" i="5" s="1"/>
  <c r="K42" i="5"/>
  <c r="G42" i="5"/>
  <c r="G43" i="5" s="1"/>
  <c r="C42" i="5"/>
  <c r="C43" i="5" s="1"/>
  <c r="J42" i="5"/>
  <c r="J43" i="5" s="1"/>
  <c r="F42" i="5"/>
  <c r="F43" i="5" s="1"/>
  <c r="F55" i="5" s="1"/>
  <c r="B42" i="5"/>
  <c r="I42" i="5"/>
  <c r="I43" i="5" s="1"/>
  <c r="E42" i="5"/>
  <c r="E43" i="5" s="1"/>
  <c r="E55" i="5" s="1"/>
  <c r="A42" i="5"/>
  <c r="A43" i="5" s="1"/>
  <c r="H42" i="5"/>
  <c r="H43" i="5" s="1"/>
  <c r="D42" i="5"/>
  <c r="D43" i="5" s="1"/>
  <c r="L117" i="5"/>
  <c r="N55" i="5"/>
  <c r="BK125" i="5" s="1"/>
  <c r="J20" i="5"/>
  <c r="J21" i="5" s="1"/>
  <c r="F20" i="5"/>
  <c r="F21" i="5" s="1"/>
  <c r="B20" i="5"/>
  <c r="B21" i="5" s="1"/>
  <c r="I20" i="5"/>
  <c r="I21" i="5" s="1"/>
  <c r="E20" i="5"/>
  <c r="A20" i="5"/>
  <c r="H20" i="5"/>
  <c r="H21" i="5" s="1"/>
  <c r="D20" i="5"/>
  <c r="D21" i="5" s="1"/>
  <c r="K20" i="5"/>
  <c r="G20" i="5"/>
  <c r="G21" i="5" s="1"/>
  <c r="C20" i="5"/>
  <c r="C21" i="5" s="1"/>
  <c r="F54" i="5"/>
  <c r="C54" i="5"/>
  <c r="H13" i="5"/>
  <c r="H14" i="5" s="1"/>
  <c r="D13" i="5"/>
  <c r="D14" i="5" s="1"/>
  <c r="I6" i="5"/>
  <c r="I7" i="5" s="1"/>
  <c r="E6" i="5"/>
  <c r="A6" i="5"/>
  <c r="K13" i="5"/>
  <c r="G13" i="5"/>
  <c r="G14" i="5" s="1"/>
  <c r="C13" i="5"/>
  <c r="C14" i="5" s="1"/>
  <c r="H6" i="5"/>
  <c r="H7" i="5" s="1"/>
  <c r="D6" i="5"/>
  <c r="D7" i="5" s="1"/>
  <c r="J13" i="5"/>
  <c r="J14" i="5" s="1"/>
  <c r="F13" i="5"/>
  <c r="F14" i="5" s="1"/>
  <c r="B13" i="5"/>
  <c r="B14" i="5" s="1"/>
  <c r="K6" i="5"/>
  <c r="G6" i="5"/>
  <c r="G7" i="5" s="1"/>
  <c r="C6" i="5"/>
  <c r="C7" i="5" s="1"/>
  <c r="C53" i="5" s="1"/>
  <c r="I13" i="5"/>
  <c r="I14" i="5" s="1"/>
  <c r="E13" i="5"/>
  <c r="E14" i="5" s="1"/>
  <c r="A13" i="5"/>
  <c r="J6" i="5"/>
  <c r="J7" i="5" s="1"/>
  <c r="F6" i="5"/>
  <c r="F7" i="5" s="1"/>
  <c r="B6" i="5"/>
  <c r="B7" i="5" s="1"/>
  <c r="J54" i="5"/>
  <c r="B87" i="15"/>
  <c r="C87" i="15"/>
  <c r="B88" i="15"/>
  <c r="C88" i="15"/>
  <c r="B89" i="15"/>
  <c r="C89" i="15"/>
  <c r="B76" i="15"/>
  <c r="C76" i="15"/>
  <c r="B77" i="15"/>
  <c r="C77" i="15"/>
  <c r="B78" i="15"/>
  <c r="C78" i="15"/>
  <c r="B79" i="15"/>
  <c r="C79" i="15"/>
  <c r="B80" i="15"/>
  <c r="C80" i="15"/>
  <c r="B81" i="15"/>
  <c r="C81" i="15"/>
  <c r="B82" i="15"/>
  <c r="C82" i="15"/>
  <c r="B83" i="15"/>
  <c r="C83" i="15"/>
  <c r="B84" i="15"/>
  <c r="C84" i="15"/>
  <c r="B85" i="15"/>
  <c r="C85" i="15"/>
  <c r="B86" i="15"/>
  <c r="C86" i="15"/>
  <c r="B47" i="15"/>
  <c r="C47" i="15"/>
  <c r="B48" i="15"/>
  <c r="C48" i="15"/>
  <c r="B49" i="15"/>
  <c r="C49" i="15"/>
  <c r="B50" i="15"/>
  <c r="C50" i="15"/>
  <c r="B51" i="15"/>
  <c r="C51" i="15"/>
  <c r="B52" i="15"/>
  <c r="C52" i="15"/>
  <c r="B53" i="15"/>
  <c r="C53" i="15"/>
  <c r="B54" i="15"/>
  <c r="C54" i="15"/>
  <c r="B55" i="15"/>
  <c r="C55" i="15"/>
  <c r="B56" i="15"/>
  <c r="C56" i="15"/>
  <c r="B57" i="15"/>
  <c r="C57" i="15"/>
  <c r="B58" i="15"/>
  <c r="C58" i="15"/>
  <c r="B59" i="15"/>
  <c r="C59" i="15"/>
  <c r="B60" i="15"/>
  <c r="C60" i="15"/>
  <c r="B61" i="15"/>
  <c r="C61" i="15"/>
  <c r="B62" i="15"/>
  <c r="C62" i="15"/>
  <c r="B63" i="15"/>
  <c r="C63" i="15"/>
  <c r="B64" i="15"/>
  <c r="C64" i="15"/>
  <c r="B65" i="15"/>
  <c r="C65" i="15"/>
  <c r="B66" i="15"/>
  <c r="C66" i="15"/>
  <c r="B67" i="15"/>
  <c r="C67" i="15"/>
  <c r="B68" i="15"/>
  <c r="C68" i="15"/>
  <c r="B69" i="15"/>
  <c r="C69" i="15"/>
  <c r="B70" i="15"/>
  <c r="C70" i="15"/>
  <c r="B71" i="15"/>
  <c r="C71" i="15"/>
  <c r="B72" i="15"/>
  <c r="C72" i="15"/>
  <c r="B73" i="15"/>
  <c r="C73" i="15"/>
  <c r="B74" i="15"/>
  <c r="C74" i="15"/>
  <c r="B75" i="15"/>
  <c r="C75" i="15"/>
  <c r="C46" i="15"/>
  <c r="B46" i="15"/>
  <c r="J78" i="14"/>
  <c r="C78" i="14"/>
  <c r="A65" i="15" s="1"/>
  <c r="J77" i="14"/>
  <c r="C77" i="14"/>
  <c r="A64" i="15" s="1"/>
  <c r="J68" i="14"/>
  <c r="C68" i="14"/>
  <c r="A55" i="15" s="1"/>
  <c r="E49" i="14"/>
  <c r="B39" i="15" s="1"/>
  <c r="E48" i="14"/>
  <c r="B38" i="15" s="1"/>
  <c r="C49" i="14"/>
  <c r="A39" i="15" s="1"/>
  <c r="C48" i="14"/>
  <c r="A38" i="15" s="1"/>
  <c r="E42" i="14"/>
  <c r="B35" i="15" s="1"/>
  <c r="E39" i="14"/>
  <c r="B32" i="15" s="1"/>
  <c r="C42" i="14"/>
  <c r="A35" i="15" s="1"/>
  <c r="C39" i="14"/>
  <c r="A32" i="15" s="1"/>
  <c r="E37" i="14"/>
  <c r="B30" i="15" s="1"/>
  <c r="C37" i="14"/>
  <c r="A30" i="15" s="1"/>
  <c r="E38" i="14"/>
  <c r="B31" i="15" s="1"/>
  <c r="E32" i="14"/>
  <c r="B25" i="15" s="1"/>
  <c r="C32" i="14"/>
  <c r="A25" i="15" s="1"/>
  <c r="E31" i="14"/>
  <c r="B24" i="15" s="1"/>
  <c r="C31" i="14"/>
  <c r="A24" i="15" s="1"/>
  <c r="E30" i="14"/>
  <c r="B23" i="15" s="1"/>
  <c r="E29" i="14"/>
  <c r="C30" i="14"/>
  <c r="A23" i="15" s="1"/>
  <c r="K131" i="1"/>
  <c r="K132" i="1"/>
  <c r="G90" i="6"/>
  <c r="H90" i="6"/>
  <c r="I90" i="6"/>
  <c r="J90" i="6"/>
  <c r="K90" i="6"/>
  <c r="L90" i="6"/>
  <c r="S90" i="6"/>
  <c r="T90" i="6"/>
  <c r="U90" i="6"/>
  <c r="V90" i="6"/>
  <c r="W90" i="6"/>
  <c r="X90" i="6"/>
  <c r="Y90" i="6"/>
  <c r="Z90" i="6"/>
  <c r="AA90" i="6"/>
  <c r="AB90" i="6"/>
  <c r="AC90" i="6"/>
  <c r="AD90" i="6"/>
  <c r="AE90" i="6"/>
  <c r="AF90" i="6"/>
  <c r="AG90" i="6"/>
  <c r="AH90" i="6"/>
  <c r="AI90" i="6"/>
  <c r="AJ90" i="6"/>
  <c r="AK90" i="6"/>
  <c r="AL90" i="6"/>
  <c r="AM90" i="6"/>
  <c r="AN90" i="6"/>
  <c r="AO90" i="6"/>
  <c r="AP90" i="6"/>
  <c r="AQ90" i="6"/>
  <c r="AR90" i="6"/>
  <c r="AS90" i="6"/>
  <c r="AT90" i="6"/>
  <c r="AU90" i="6"/>
  <c r="AV90" i="6"/>
  <c r="AW90" i="6"/>
  <c r="AX90" i="6"/>
  <c r="AY90" i="6"/>
  <c r="AZ90" i="6"/>
  <c r="BA90" i="6"/>
  <c r="BB90" i="6"/>
  <c r="BC90" i="6"/>
  <c r="BD90" i="6"/>
  <c r="BE90" i="6"/>
  <c r="BF90" i="6"/>
  <c r="BG90" i="6"/>
  <c r="BH90" i="6"/>
  <c r="BI90" i="6"/>
  <c r="BJ90" i="6"/>
  <c r="BK90" i="6"/>
  <c r="BL90" i="6"/>
  <c r="BM90" i="6"/>
  <c r="BN90" i="6"/>
  <c r="BS92" i="6"/>
  <c r="BT92" i="6"/>
  <c r="BU92" i="6"/>
  <c r="BQ93" i="6"/>
  <c r="BS93" i="6"/>
  <c r="BT93" i="6"/>
  <c r="BU93" i="6"/>
  <c r="BQ94" i="6"/>
  <c r="BS94" i="6"/>
  <c r="BT94" i="6"/>
  <c r="BU94" i="6"/>
  <c r="BQ95" i="6"/>
  <c r="BS95" i="6"/>
  <c r="BT95" i="6"/>
  <c r="BU95" i="6"/>
  <c r="BS96" i="6"/>
  <c r="BT96" i="6"/>
  <c r="BU96" i="6"/>
  <c r="BS97" i="6"/>
  <c r="BT97" i="6"/>
  <c r="BU97" i="6"/>
  <c r="BQ98" i="6"/>
  <c r="BS99" i="6"/>
  <c r="BT99" i="6"/>
  <c r="BU99" i="6"/>
  <c r="D99" i="6"/>
  <c r="D98" i="13" s="1"/>
  <c r="D98" i="6"/>
  <c r="D97" i="13" s="1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H73" i="6"/>
  <c r="AI73" i="6"/>
  <c r="AK73" i="6"/>
  <c r="AL73" i="6"/>
  <c r="AM73" i="6"/>
  <c r="AN73" i="6"/>
  <c r="AO73" i="6"/>
  <c r="AP73" i="6"/>
  <c r="AQ73" i="6"/>
  <c r="AR73" i="6"/>
  <c r="AS73" i="6"/>
  <c r="AT73" i="6"/>
  <c r="AU73" i="6"/>
  <c r="AV73" i="6"/>
  <c r="AW73" i="6"/>
  <c r="AX73" i="6"/>
  <c r="AY73" i="6"/>
  <c r="AZ73" i="6"/>
  <c r="BA73" i="6"/>
  <c r="BB73" i="6"/>
  <c r="BC73" i="6"/>
  <c r="BD73" i="6"/>
  <c r="BE73" i="6"/>
  <c r="BF73" i="6"/>
  <c r="BG73" i="6"/>
  <c r="BH73" i="6"/>
  <c r="BI73" i="6"/>
  <c r="BJ73" i="6"/>
  <c r="BK73" i="6"/>
  <c r="BL73" i="6"/>
  <c r="BM73" i="6"/>
  <c r="BN73" i="6"/>
  <c r="K141" i="1"/>
  <c r="M141" i="1" s="1"/>
  <c r="M139" i="1"/>
  <c r="M134" i="1"/>
  <c r="N134" i="1" l="1"/>
  <c r="N141" i="1"/>
  <c r="G49" i="14" s="1"/>
  <c r="D39" i="15" s="1"/>
  <c r="M140" i="1"/>
  <c r="N139" i="1"/>
  <c r="N138" i="1" s="1"/>
  <c r="E98" i="19" s="1"/>
  <c r="R98" i="19" s="1"/>
  <c r="M138" i="1"/>
  <c r="M40" i="19"/>
  <c r="L36" i="19"/>
  <c r="U117" i="19"/>
  <c r="U114" i="19"/>
  <c r="U63" i="19"/>
  <c r="U73" i="19"/>
  <c r="U65" i="19"/>
  <c r="U115" i="19"/>
  <c r="A54" i="5"/>
  <c r="H42" i="6"/>
  <c r="I42" i="6" s="1"/>
  <c r="J42" i="6" s="1"/>
  <c r="K42" i="6" s="1"/>
  <c r="L42" i="6" s="1"/>
  <c r="M42" i="6" s="1"/>
  <c r="N42" i="6" s="1"/>
  <c r="O42" i="6" s="1"/>
  <c r="P42" i="6" s="1"/>
  <c r="Q42" i="6" s="1"/>
  <c r="R42" i="6" s="1"/>
  <c r="S42" i="6" s="1"/>
  <c r="T42" i="6" s="1"/>
  <c r="U42" i="6" s="1"/>
  <c r="V42" i="6" s="1"/>
  <c r="W42" i="6" s="1"/>
  <c r="X42" i="6" s="1"/>
  <c r="Y42" i="6" s="1"/>
  <c r="Z42" i="6" s="1"/>
  <c r="AA42" i="6" s="1"/>
  <c r="AB42" i="6" s="1"/>
  <c r="AC42" i="6" s="1"/>
  <c r="AD42" i="6" s="1"/>
  <c r="AF42" i="6" s="1"/>
  <c r="AG42" i="6" s="1"/>
  <c r="AH42" i="6" s="1"/>
  <c r="AI42" i="6" s="1"/>
  <c r="AJ42" i="6" s="1"/>
  <c r="AK42" i="6" s="1"/>
  <c r="AL42" i="6" s="1"/>
  <c r="AM42" i="6" s="1"/>
  <c r="AN42" i="6" s="1"/>
  <c r="AO42" i="6" s="1"/>
  <c r="AP42" i="6" s="1"/>
  <c r="AQ42" i="6" s="1"/>
  <c r="AR42" i="6" s="1"/>
  <c r="AS42" i="6" s="1"/>
  <c r="AT42" i="6" s="1"/>
  <c r="AU42" i="6" s="1"/>
  <c r="AV42" i="6" s="1"/>
  <c r="AW42" i="6" s="1"/>
  <c r="AX42" i="6" s="1"/>
  <c r="AY42" i="6" s="1"/>
  <c r="AZ42" i="6" s="1"/>
  <c r="BA42" i="6" s="1"/>
  <c r="BB42" i="6" s="1"/>
  <c r="BC42" i="6" s="1"/>
  <c r="BD42" i="6" s="1"/>
  <c r="BE42" i="6" s="1"/>
  <c r="BF42" i="6" s="1"/>
  <c r="BG42" i="6" s="1"/>
  <c r="BH42" i="6" s="1"/>
  <c r="BI42" i="6" s="1"/>
  <c r="BJ42" i="6" s="1"/>
  <c r="BK42" i="6" s="1"/>
  <c r="BL42" i="6" s="1"/>
  <c r="BM42" i="6" s="1"/>
  <c r="BN42" i="6" s="1"/>
  <c r="D125" i="5"/>
  <c r="E125" i="5" s="1"/>
  <c r="F125" i="5" s="1"/>
  <c r="G125" i="5" s="1"/>
  <c r="H125" i="5" s="1"/>
  <c r="I125" i="5" s="1"/>
  <c r="J125" i="5" s="1"/>
  <c r="K125" i="5" s="1"/>
  <c r="L125" i="5" s="1"/>
  <c r="M125" i="5" s="1"/>
  <c r="N125" i="5" s="1"/>
  <c r="O125" i="5" s="1"/>
  <c r="P125" i="5" s="1"/>
  <c r="Q125" i="5" s="1"/>
  <c r="R125" i="5" s="1"/>
  <c r="S125" i="5" s="1"/>
  <c r="T125" i="5" s="1"/>
  <c r="U125" i="5" s="1"/>
  <c r="V125" i="5" s="1"/>
  <c r="W125" i="5" s="1"/>
  <c r="X125" i="5" s="1"/>
  <c r="Y125" i="5" s="1"/>
  <c r="C124" i="5"/>
  <c r="D124" i="5" s="1"/>
  <c r="E124" i="5" s="1"/>
  <c r="F124" i="5" s="1"/>
  <c r="G124" i="5" s="1"/>
  <c r="H124" i="5" s="1"/>
  <c r="I124" i="5" s="1"/>
  <c r="J124" i="5" s="1"/>
  <c r="K124" i="5" s="1"/>
  <c r="L124" i="5" s="1"/>
  <c r="M124" i="5" s="1"/>
  <c r="N124" i="5" s="1"/>
  <c r="O124" i="5" s="1"/>
  <c r="P124" i="5" s="1"/>
  <c r="Q124" i="5" s="1"/>
  <c r="R124" i="5" s="1"/>
  <c r="S124" i="5" s="1"/>
  <c r="T124" i="5" s="1"/>
  <c r="U124" i="5" s="1"/>
  <c r="V124" i="5" s="1"/>
  <c r="W124" i="5" s="1"/>
  <c r="X124" i="5" s="1"/>
  <c r="Y124" i="5" s="1"/>
  <c r="G41" i="6"/>
  <c r="H41" i="6" s="1"/>
  <c r="I41" i="6" s="1"/>
  <c r="J41" i="6" s="1"/>
  <c r="K41" i="6" s="1"/>
  <c r="L41" i="6" s="1"/>
  <c r="M41" i="6" s="1"/>
  <c r="N41" i="6" s="1"/>
  <c r="O41" i="6" s="1"/>
  <c r="P41" i="6" s="1"/>
  <c r="Q41" i="6" s="1"/>
  <c r="R41" i="6" s="1"/>
  <c r="S41" i="6" s="1"/>
  <c r="T41" i="6" s="1"/>
  <c r="U41" i="6" s="1"/>
  <c r="V41" i="6" s="1"/>
  <c r="W41" i="6" s="1"/>
  <c r="X41" i="6" s="1"/>
  <c r="Y41" i="6" s="1"/>
  <c r="Z41" i="6" s="1"/>
  <c r="AA41" i="6" s="1"/>
  <c r="AB41" i="6" s="1"/>
  <c r="AC41" i="6" s="1"/>
  <c r="AD41" i="6" s="1"/>
  <c r="F53" i="5"/>
  <c r="A55" i="5"/>
  <c r="G54" i="5"/>
  <c r="M54" i="5" s="1"/>
  <c r="N38" i="1" s="1"/>
  <c r="E41" i="19" s="1"/>
  <c r="AA123" i="5"/>
  <c r="AB123" i="5" s="1"/>
  <c r="AC123" i="5" s="1"/>
  <c r="AD123" i="5" s="1"/>
  <c r="AE123" i="5" s="1"/>
  <c r="AF123" i="5" s="1"/>
  <c r="AG123" i="5" s="1"/>
  <c r="AH123" i="5" s="1"/>
  <c r="AI123" i="5" s="1"/>
  <c r="AJ123" i="5" s="1"/>
  <c r="AK123" i="5" s="1"/>
  <c r="AL123" i="5" s="1"/>
  <c r="AM123" i="5" s="1"/>
  <c r="AN123" i="5" s="1"/>
  <c r="AO123" i="5" s="1"/>
  <c r="AP123" i="5" s="1"/>
  <c r="AQ123" i="5" s="1"/>
  <c r="AR123" i="5" s="1"/>
  <c r="AS123" i="5" s="1"/>
  <c r="AT123" i="5" s="1"/>
  <c r="AU123" i="5" s="1"/>
  <c r="AV123" i="5" s="1"/>
  <c r="AW123" i="5" s="1"/>
  <c r="AX123" i="5" s="1"/>
  <c r="AY123" i="5" s="1"/>
  <c r="AZ123" i="5" s="1"/>
  <c r="BA123" i="5" s="1"/>
  <c r="BB123" i="5" s="1"/>
  <c r="BC123" i="5" s="1"/>
  <c r="BD123" i="5" s="1"/>
  <c r="BE123" i="5" s="1"/>
  <c r="BF123" i="5" s="1"/>
  <c r="BG123" i="5" s="1"/>
  <c r="BH123" i="5" s="1"/>
  <c r="BI123" i="5" s="1"/>
  <c r="AE40" i="6"/>
  <c r="AF40" i="6" s="1"/>
  <c r="AG40" i="6" s="1"/>
  <c r="AH40" i="6" s="1"/>
  <c r="AI40" i="6" s="1"/>
  <c r="AJ40" i="6" s="1"/>
  <c r="AK40" i="6" s="1"/>
  <c r="AL40" i="6" s="1"/>
  <c r="AM40" i="6" s="1"/>
  <c r="AN40" i="6" s="1"/>
  <c r="AO40" i="6" s="1"/>
  <c r="AP40" i="6" s="1"/>
  <c r="AQ40" i="6" s="1"/>
  <c r="AR40" i="6" s="1"/>
  <c r="AS40" i="6" s="1"/>
  <c r="AT40" i="6" s="1"/>
  <c r="AU40" i="6" s="1"/>
  <c r="AV40" i="6" s="1"/>
  <c r="AW40" i="6" s="1"/>
  <c r="AX40" i="6" s="1"/>
  <c r="AY40" i="6" s="1"/>
  <c r="AZ40" i="6" s="1"/>
  <c r="BA40" i="6" s="1"/>
  <c r="BB40" i="6" s="1"/>
  <c r="BC40" i="6" s="1"/>
  <c r="BD40" i="6" s="1"/>
  <c r="BE40" i="6" s="1"/>
  <c r="BF40" i="6" s="1"/>
  <c r="BG40" i="6" s="1"/>
  <c r="BH40" i="6" s="1"/>
  <c r="BI40" i="6" s="1"/>
  <c r="BJ40" i="6" s="1"/>
  <c r="BK40" i="6" s="1"/>
  <c r="BL40" i="6" s="1"/>
  <c r="BM40" i="6" s="1"/>
  <c r="BN40" i="6" s="1"/>
  <c r="D53" i="5"/>
  <c r="H55" i="5"/>
  <c r="G55" i="5"/>
  <c r="G53" i="5"/>
  <c r="J55" i="5"/>
  <c r="L54" i="5"/>
  <c r="M27" i="5"/>
  <c r="M28" i="5" s="1"/>
  <c r="N56" i="5"/>
  <c r="BK126" i="5" s="1"/>
  <c r="B53" i="5"/>
  <c r="M34" i="5"/>
  <c r="M35" i="5" s="1"/>
  <c r="D55" i="5"/>
  <c r="I55" i="5"/>
  <c r="C55" i="5"/>
  <c r="K54" i="5"/>
  <c r="H53" i="5"/>
  <c r="A7" i="5"/>
  <c r="A21" i="5"/>
  <c r="B43" i="5"/>
  <c r="K49" i="5"/>
  <c r="L48" i="5"/>
  <c r="L49" i="5" s="1"/>
  <c r="J53" i="5"/>
  <c r="F1" i="5"/>
  <c r="E7" i="5"/>
  <c r="K21" i="5"/>
  <c r="L20" i="5"/>
  <c r="L21" i="5" s="1"/>
  <c r="E21" i="5"/>
  <c r="H23" i="5"/>
  <c r="K43" i="5"/>
  <c r="L42" i="5"/>
  <c r="L43" i="5" s="1"/>
  <c r="A14" i="5"/>
  <c r="I53" i="5"/>
  <c r="K7" i="5"/>
  <c r="L6" i="5"/>
  <c r="L7" i="5" s="1"/>
  <c r="K14" i="5"/>
  <c r="L13" i="5"/>
  <c r="L14" i="5" s="1"/>
  <c r="B49" i="5"/>
  <c r="E98" i="6"/>
  <c r="P98" i="6" s="1"/>
  <c r="AB98" i="6" s="1"/>
  <c r="H41" i="14"/>
  <c r="D34" i="15" s="1"/>
  <c r="N140" i="1"/>
  <c r="M132" i="1"/>
  <c r="N132" i="1" s="1"/>
  <c r="H39" i="14" s="1"/>
  <c r="D32" i="15" s="1"/>
  <c r="E99" i="6" l="1"/>
  <c r="K99" i="6" s="1"/>
  <c r="E99" i="19"/>
  <c r="M99" i="19" s="1"/>
  <c r="U98" i="19"/>
  <c r="U64" i="19"/>
  <c r="U129" i="19"/>
  <c r="U41" i="19"/>
  <c r="U104" i="19"/>
  <c r="U116" i="19"/>
  <c r="N40" i="19"/>
  <c r="M36" i="19"/>
  <c r="BO42" i="6"/>
  <c r="BO41" i="6"/>
  <c r="BJ123" i="5"/>
  <c r="M48" i="5"/>
  <c r="M49" i="5" s="1"/>
  <c r="L55" i="5"/>
  <c r="BO40" i="6"/>
  <c r="BJ124" i="5"/>
  <c r="BJ125" i="5"/>
  <c r="K55" i="5"/>
  <c r="L53" i="5"/>
  <c r="M20" i="5"/>
  <c r="M21" i="5" s="1"/>
  <c r="K53" i="5"/>
  <c r="E53" i="5"/>
  <c r="M42" i="5"/>
  <c r="M43" i="5" s="1"/>
  <c r="A53" i="5"/>
  <c r="M13" i="5"/>
  <c r="M14" i="5" s="1"/>
  <c r="B55" i="5"/>
  <c r="M55" i="5" s="1"/>
  <c r="N39" i="1" s="1"/>
  <c r="E42" i="19" s="1"/>
  <c r="M6" i="5"/>
  <c r="M7" i="5" s="1"/>
  <c r="E97" i="13"/>
  <c r="E98" i="13"/>
  <c r="AN98" i="6"/>
  <c r="BR98" i="6"/>
  <c r="Q99" i="19" l="1"/>
  <c r="U99" i="19" s="1"/>
  <c r="M84" i="19"/>
  <c r="M83" i="19" s="1"/>
  <c r="O40" i="19"/>
  <c r="U128" i="19"/>
  <c r="U78" i="19"/>
  <c r="BJ126" i="5"/>
  <c r="M53" i="5"/>
  <c r="M56" i="5"/>
  <c r="N37" i="1"/>
  <c r="E40" i="19" s="1"/>
  <c r="BQ99" i="6"/>
  <c r="O99" i="6"/>
  <c r="S99" i="6" s="1"/>
  <c r="W99" i="6" s="1"/>
  <c r="BS98" i="6"/>
  <c r="AZ98" i="6"/>
  <c r="E47" i="13"/>
  <c r="E48" i="13"/>
  <c r="E49" i="13"/>
  <c r="E50" i="13"/>
  <c r="E51" i="13"/>
  <c r="E52" i="13"/>
  <c r="E66" i="13"/>
  <c r="E67" i="13"/>
  <c r="D92" i="13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U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U61" i="6"/>
  <c r="AV61" i="6"/>
  <c r="AW61" i="6"/>
  <c r="AX61" i="6"/>
  <c r="AY61" i="6"/>
  <c r="AZ61" i="6"/>
  <c r="BA61" i="6"/>
  <c r="BB61" i="6"/>
  <c r="BC61" i="6"/>
  <c r="BD61" i="6"/>
  <c r="BE61" i="6"/>
  <c r="BF61" i="6"/>
  <c r="BG61" i="6"/>
  <c r="BH61" i="6"/>
  <c r="BI61" i="6"/>
  <c r="BJ61" i="6"/>
  <c r="BK61" i="6"/>
  <c r="BL61" i="6"/>
  <c r="BM61" i="6"/>
  <c r="BN61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AS58" i="6"/>
  <c r="AT58" i="6"/>
  <c r="AU58" i="6"/>
  <c r="AV58" i="6"/>
  <c r="AW58" i="6"/>
  <c r="AX58" i="6"/>
  <c r="AY58" i="6"/>
  <c r="AZ58" i="6"/>
  <c r="BA58" i="6"/>
  <c r="BB58" i="6"/>
  <c r="BC58" i="6"/>
  <c r="BD58" i="6"/>
  <c r="BE58" i="6"/>
  <c r="BF58" i="6"/>
  <c r="BG58" i="6"/>
  <c r="BH58" i="6"/>
  <c r="BI58" i="6"/>
  <c r="BJ58" i="6"/>
  <c r="BK58" i="6"/>
  <c r="BL58" i="6"/>
  <c r="BM58" i="6"/>
  <c r="BN58" i="6"/>
  <c r="G45" i="6"/>
  <c r="H45" i="6"/>
  <c r="I45" i="6"/>
  <c r="M45" i="6"/>
  <c r="N45" i="6"/>
  <c r="P45" i="6"/>
  <c r="Q45" i="6"/>
  <c r="S45" i="6"/>
  <c r="U45" i="6"/>
  <c r="V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AX45" i="6"/>
  <c r="AY45" i="6"/>
  <c r="AZ45" i="6"/>
  <c r="BA45" i="6"/>
  <c r="BB45" i="6"/>
  <c r="BC45" i="6"/>
  <c r="BD45" i="6"/>
  <c r="BE45" i="6"/>
  <c r="BF45" i="6"/>
  <c r="BG45" i="6"/>
  <c r="BH45" i="6"/>
  <c r="BI45" i="6"/>
  <c r="BJ45" i="6"/>
  <c r="BK45" i="6"/>
  <c r="BL45" i="6"/>
  <c r="BM45" i="6"/>
  <c r="BN45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W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AX43" i="6"/>
  <c r="AY43" i="6"/>
  <c r="AZ43" i="6"/>
  <c r="BA43" i="6"/>
  <c r="BB43" i="6"/>
  <c r="BC43" i="6"/>
  <c r="BD43" i="6"/>
  <c r="BE43" i="6"/>
  <c r="BF43" i="6"/>
  <c r="BG43" i="6"/>
  <c r="BH43" i="6"/>
  <c r="BI43" i="6"/>
  <c r="BJ43" i="6"/>
  <c r="BK43" i="6"/>
  <c r="BL43" i="6"/>
  <c r="BM43" i="6"/>
  <c r="BN43" i="6"/>
  <c r="H30" i="6"/>
  <c r="I30" i="6"/>
  <c r="J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AX30" i="6"/>
  <c r="AY30" i="6"/>
  <c r="AZ30" i="6"/>
  <c r="BA30" i="6"/>
  <c r="BB30" i="6"/>
  <c r="BC30" i="6"/>
  <c r="BD30" i="6"/>
  <c r="BE30" i="6"/>
  <c r="BF30" i="6"/>
  <c r="BG30" i="6"/>
  <c r="BH30" i="6"/>
  <c r="BI30" i="6"/>
  <c r="BJ30" i="6"/>
  <c r="BK30" i="6"/>
  <c r="BL30" i="6"/>
  <c r="BM30" i="6"/>
  <c r="BN30" i="6"/>
  <c r="G30" i="6"/>
  <c r="E130" i="6"/>
  <c r="D85" i="6"/>
  <c r="D84" i="13" s="1"/>
  <c r="D84" i="6"/>
  <c r="D83" i="13" s="1"/>
  <c r="BP13" i="6"/>
  <c r="BP14" i="6"/>
  <c r="BP15" i="6"/>
  <c r="BP16" i="6"/>
  <c r="BP17" i="6"/>
  <c r="BP18" i="6"/>
  <c r="H77" i="6"/>
  <c r="I77" i="6"/>
  <c r="J77" i="6"/>
  <c r="K77" i="6"/>
  <c r="L77" i="6"/>
  <c r="M77" i="6"/>
  <c r="N77" i="6"/>
  <c r="O77" i="6"/>
  <c r="P77" i="6"/>
  <c r="Q77" i="6"/>
  <c r="R77" i="6"/>
  <c r="S77" i="6"/>
  <c r="T77" i="6"/>
  <c r="U77" i="6"/>
  <c r="V77" i="6"/>
  <c r="W77" i="6"/>
  <c r="X77" i="6"/>
  <c r="Y77" i="6"/>
  <c r="Z77" i="6"/>
  <c r="AA77" i="6"/>
  <c r="AB77" i="6"/>
  <c r="AC77" i="6"/>
  <c r="AD77" i="6"/>
  <c r="AN77" i="6"/>
  <c r="AO77" i="6"/>
  <c r="AP77" i="6"/>
  <c r="AQ77" i="6"/>
  <c r="AR77" i="6"/>
  <c r="AS77" i="6"/>
  <c r="AT77" i="6"/>
  <c r="AU77" i="6"/>
  <c r="AV77" i="6"/>
  <c r="AW77" i="6"/>
  <c r="AX77" i="6"/>
  <c r="AY77" i="6"/>
  <c r="AZ77" i="6"/>
  <c r="BA77" i="6"/>
  <c r="BB77" i="6"/>
  <c r="BC77" i="6"/>
  <c r="BD77" i="6"/>
  <c r="BE77" i="6"/>
  <c r="BF77" i="6"/>
  <c r="BG77" i="6"/>
  <c r="BH77" i="6"/>
  <c r="BI77" i="6"/>
  <c r="BJ77" i="6"/>
  <c r="BK77" i="6"/>
  <c r="BL77" i="6"/>
  <c r="BM77" i="6"/>
  <c r="BN77" i="6"/>
  <c r="G77" i="6"/>
  <c r="H20" i="6"/>
  <c r="I20" i="6"/>
  <c r="J20" i="6"/>
  <c r="K20" i="6"/>
  <c r="BC20" i="6"/>
  <c r="BD20" i="6"/>
  <c r="BE20" i="6"/>
  <c r="BF20" i="6"/>
  <c r="BG20" i="6"/>
  <c r="BH20" i="6"/>
  <c r="BI20" i="6"/>
  <c r="BJ20" i="6"/>
  <c r="BK20" i="6"/>
  <c r="BL20" i="6"/>
  <c r="BM20" i="6"/>
  <c r="BN20" i="6"/>
  <c r="G20" i="6"/>
  <c r="D29" i="6"/>
  <c r="D28" i="13" s="1"/>
  <c r="N82" i="1"/>
  <c r="E129" i="13" l="1"/>
  <c r="C9" i="8"/>
  <c r="U77" i="19"/>
  <c r="P40" i="19"/>
  <c r="AA99" i="6"/>
  <c r="BR99" i="6" s="1"/>
  <c r="BV99" i="6" s="1"/>
  <c r="BT98" i="6"/>
  <c r="BL98" i="6"/>
  <c r="BO98" i="6" s="1"/>
  <c r="C12" i="15"/>
  <c r="C13" i="15"/>
  <c r="C14" i="15"/>
  <c r="C15" i="15"/>
  <c r="D20" i="6"/>
  <c r="D19" i="13" s="1"/>
  <c r="Q40" i="19" l="1"/>
  <c r="BP98" i="6"/>
  <c r="BU98" i="6"/>
  <c r="BV98" i="6" s="1"/>
  <c r="BW98" i="6" s="1"/>
  <c r="BO99" i="6"/>
  <c r="BQ44" i="6"/>
  <c r="BQ43" i="6" s="1"/>
  <c r="BS44" i="6"/>
  <c r="BS43" i="6" s="1"/>
  <c r="BT44" i="6"/>
  <c r="BT43" i="6" s="1"/>
  <c r="BU44" i="6"/>
  <c r="BU43" i="6" s="1"/>
  <c r="BR46" i="6"/>
  <c r="BS46" i="6"/>
  <c r="BT46" i="6"/>
  <c r="BU46" i="6"/>
  <c r="BQ47" i="6"/>
  <c r="BS47" i="6"/>
  <c r="BT47" i="6"/>
  <c r="BU47" i="6"/>
  <c r="BQ48" i="6"/>
  <c r="BR48" i="6"/>
  <c r="BS48" i="6"/>
  <c r="BT48" i="6"/>
  <c r="BU48" i="6"/>
  <c r="BQ49" i="6"/>
  <c r="BR49" i="6"/>
  <c r="BS49" i="6"/>
  <c r="BT49" i="6"/>
  <c r="BU49" i="6"/>
  <c r="BQ50" i="6"/>
  <c r="BR50" i="6"/>
  <c r="BS50" i="6"/>
  <c r="BT50" i="6"/>
  <c r="BU50" i="6"/>
  <c r="BQ51" i="6"/>
  <c r="BR51" i="6"/>
  <c r="BS51" i="6"/>
  <c r="BT51" i="6"/>
  <c r="BU51" i="6"/>
  <c r="H85" i="6"/>
  <c r="H84" i="6" s="1"/>
  <c r="I85" i="6"/>
  <c r="I84" i="6" s="1"/>
  <c r="J85" i="6"/>
  <c r="J84" i="6" s="1"/>
  <c r="N85" i="6"/>
  <c r="O85" i="6"/>
  <c r="P85" i="6"/>
  <c r="Q85" i="6"/>
  <c r="R85" i="6"/>
  <c r="V85" i="6"/>
  <c r="V84" i="6" s="1"/>
  <c r="W85" i="6"/>
  <c r="W84" i="6" s="1"/>
  <c r="X85" i="6"/>
  <c r="X84" i="6" s="1"/>
  <c r="Y85" i="6"/>
  <c r="Y84" i="6" s="1"/>
  <c r="Z85" i="6"/>
  <c r="Z84" i="6" s="1"/>
  <c r="AA85" i="6"/>
  <c r="AA84" i="6" s="1"/>
  <c r="AB85" i="6"/>
  <c r="AB84" i="6" s="1"/>
  <c r="AC85" i="6"/>
  <c r="AC84" i="6" s="1"/>
  <c r="AD85" i="6"/>
  <c r="AD84" i="6" s="1"/>
  <c r="AE85" i="6"/>
  <c r="AE84" i="6" s="1"/>
  <c r="AF85" i="6"/>
  <c r="AF84" i="6" s="1"/>
  <c r="AG85" i="6"/>
  <c r="AG84" i="6" s="1"/>
  <c r="AH85" i="6"/>
  <c r="AH84" i="6" s="1"/>
  <c r="AI85" i="6"/>
  <c r="AI84" i="6" s="1"/>
  <c r="AJ85" i="6"/>
  <c r="AJ84" i="6" s="1"/>
  <c r="AK85" i="6"/>
  <c r="AK84" i="6" s="1"/>
  <c r="AL85" i="6"/>
  <c r="AL84" i="6" s="1"/>
  <c r="AM85" i="6"/>
  <c r="AM84" i="6" s="1"/>
  <c r="AN85" i="6"/>
  <c r="AN84" i="6" s="1"/>
  <c r="AO85" i="6"/>
  <c r="AO84" i="6" s="1"/>
  <c r="AP85" i="6"/>
  <c r="AP84" i="6" s="1"/>
  <c r="AQ85" i="6"/>
  <c r="AQ84" i="6" s="1"/>
  <c r="AR85" i="6"/>
  <c r="AR84" i="6" s="1"/>
  <c r="AS85" i="6"/>
  <c r="AS84" i="6" s="1"/>
  <c r="AT85" i="6"/>
  <c r="AT84" i="6" s="1"/>
  <c r="AU85" i="6"/>
  <c r="AU84" i="6" s="1"/>
  <c r="AV85" i="6"/>
  <c r="AV84" i="6" s="1"/>
  <c r="AW85" i="6"/>
  <c r="AW84" i="6" s="1"/>
  <c r="AX85" i="6"/>
  <c r="AX84" i="6" s="1"/>
  <c r="AY85" i="6"/>
  <c r="AY84" i="6" s="1"/>
  <c r="AZ85" i="6"/>
  <c r="AZ84" i="6" s="1"/>
  <c r="BA85" i="6"/>
  <c r="BA84" i="6" s="1"/>
  <c r="BB85" i="6"/>
  <c r="BB84" i="6" s="1"/>
  <c r="BC85" i="6"/>
  <c r="BC84" i="6" s="1"/>
  <c r="BD85" i="6"/>
  <c r="BD84" i="6" s="1"/>
  <c r="BE85" i="6"/>
  <c r="BE84" i="6" s="1"/>
  <c r="BF85" i="6"/>
  <c r="BF84" i="6" s="1"/>
  <c r="BG85" i="6"/>
  <c r="BG84" i="6" s="1"/>
  <c r="BH85" i="6"/>
  <c r="BH84" i="6" s="1"/>
  <c r="BI85" i="6"/>
  <c r="BI84" i="6" s="1"/>
  <c r="BJ85" i="6"/>
  <c r="BJ84" i="6" s="1"/>
  <c r="BK85" i="6"/>
  <c r="BK84" i="6" s="1"/>
  <c r="BL85" i="6"/>
  <c r="BL84" i="6" s="1"/>
  <c r="BM85" i="6"/>
  <c r="BM84" i="6" s="1"/>
  <c r="BN85" i="6"/>
  <c r="BN84" i="6" s="1"/>
  <c r="G85" i="6"/>
  <c r="G84" i="6" s="1"/>
  <c r="D45" i="6"/>
  <c r="D44" i="13" s="1"/>
  <c r="D43" i="6"/>
  <c r="D42" i="13" s="1"/>
  <c r="D46" i="6"/>
  <c r="D45" i="13" s="1"/>
  <c r="D47" i="6"/>
  <c r="D46" i="13" s="1"/>
  <c r="D36" i="6"/>
  <c r="D35" i="13" s="1"/>
  <c r="D22" i="6"/>
  <c r="D21" i="13" s="1"/>
  <c r="BS22" i="6"/>
  <c r="BT22" i="6"/>
  <c r="BU22" i="6"/>
  <c r="R40" i="19" l="1"/>
  <c r="BP99" i="6"/>
  <c r="BW99" i="6"/>
  <c r="BV48" i="6"/>
  <c r="BV50" i="6"/>
  <c r="BV49" i="6"/>
  <c r="BV51" i="6"/>
  <c r="S40" i="19" l="1"/>
  <c r="N91" i="1"/>
  <c r="T40" i="19" l="1"/>
  <c r="K157" i="1"/>
  <c r="K145" i="1"/>
  <c r="U62" i="19" l="1"/>
  <c r="G36" i="1"/>
  <c r="U61" i="19" l="1"/>
  <c r="BQ63" i="6"/>
  <c r="BT63" i="6"/>
  <c r="BU63" i="6"/>
  <c r="BQ64" i="6"/>
  <c r="BT64" i="6"/>
  <c r="BU64" i="6"/>
  <c r="BQ65" i="6"/>
  <c r="BS65" i="6"/>
  <c r="BT65" i="6"/>
  <c r="BU65" i="6"/>
  <c r="BQ66" i="6"/>
  <c r="BS66" i="6"/>
  <c r="BT66" i="6"/>
  <c r="BU66" i="6"/>
  <c r="BQ67" i="6"/>
  <c r="BR67" i="6"/>
  <c r="BS67" i="6"/>
  <c r="BT67" i="6"/>
  <c r="BU67" i="6"/>
  <c r="BQ68" i="6"/>
  <c r="BR68" i="6"/>
  <c r="BS68" i="6"/>
  <c r="BT68" i="6"/>
  <c r="BU68" i="6"/>
  <c r="BQ69" i="6"/>
  <c r="BS69" i="6"/>
  <c r="BT69" i="6"/>
  <c r="BU69" i="6"/>
  <c r="BQ70" i="6"/>
  <c r="BT70" i="6"/>
  <c r="BU70" i="6"/>
  <c r="BQ71" i="6"/>
  <c r="BS71" i="6"/>
  <c r="BT71" i="6"/>
  <c r="BU71" i="6"/>
  <c r="BQ72" i="6"/>
  <c r="BS72" i="6"/>
  <c r="BT72" i="6"/>
  <c r="BU72" i="6"/>
  <c r="BQ57" i="6"/>
  <c r="BS57" i="6"/>
  <c r="BT57" i="6"/>
  <c r="BU57" i="6"/>
  <c r="BO51" i="6"/>
  <c r="BO52" i="6"/>
  <c r="BO53" i="6"/>
  <c r="D73" i="6"/>
  <c r="D72" i="13" s="1"/>
  <c r="D63" i="6"/>
  <c r="D62" i="13" s="1"/>
  <c r="D64" i="6"/>
  <c r="D63" i="13" s="1"/>
  <c r="D65" i="6"/>
  <c r="D64" i="13" s="1"/>
  <c r="D66" i="6"/>
  <c r="D65" i="13" s="1"/>
  <c r="D67" i="6"/>
  <c r="D66" i="13" s="1"/>
  <c r="D68" i="6"/>
  <c r="D67" i="13" s="1"/>
  <c r="D69" i="6"/>
  <c r="D68" i="13" s="1"/>
  <c r="D70" i="6"/>
  <c r="D69" i="13" s="1"/>
  <c r="D71" i="6"/>
  <c r="D70" i="13" s="1"/>
  <c r="D72" i="6"/>
  <c r="D71" i="13" s="1"/>
  <c r="D62" i="6"/>
  <c r="D61" i="13" s="1"/>
  <c r="BW51" i="6" l="1"/>
  <c r="BP51" i="6"/>
  <c r="BP53" i="6"/>
  <c r="BP52" i="6"/>
  <c r="BV68" i="6"/>
  <c r="BV67" i="6"/>
  <c r="D53" i="6" l="1"/>
  <c r="D52" i="13" s="1"/>
  <c r="D54" i="6"/>
  <c r="D53" i="13" s="1"/>
  <c r="D55" i="6"/>
  <c r="D54" i="13" s="1"/>
  <c r="D56" i="6"/>
  <c r="D55" i="13" s="1"/>
  <c r="D57" i="6"/>
  <c r="D56" i="13" s="1"/>
  <c r="D48" i="6"/>
  <c r="D47" i="13" s="1"/>
  <c r="D49" i="6"/>
  <c r="D48" i="13" s="1"/>
  <c r="D50" i="6"/>
  <c r="D49" i="13" s="1"/>
  <c r="D51" i="6"/>
  <c r="D50" i="13" s="1"/>
  <c r="D52" i="6"/>
  <c r="D51" i="13" s="1"/>
  <c r="D42" i="6"/>
  <c r="D41" i="13" s="1"/>
  <c r="N57" i="1" l="1"/>
  <c r="E60" i="19" s="1"/>
  <c r="M50" i="1"/>
  <c r="M39" i="1" l="1"/>
  <c r="E42" i="6" l="1"/>
  <c r="N52" i="1"/>
  <c r="E55" i="19" s="1"/>
  <c r="T55" i="19" l="1"/>
  <c r="Q55" i="19"/>
  <c r="E41" i="13"/>
  <c r="E55" i="6"/>
  <c r="M49" i="1"/>
  <c r="M54" i="1"/>
  <c r="N54" i="1" s="1"/>
  <c r="E57" i="19" s="1"/>
  <c r="M53" i="1"/>
  <c r="N53" i="1" s="1"/>
  <c r="E56" i="19" s="1"/>
  <c r="M51" i="1"/>
  <c r="M48" i="1"/>
  <c r="M46" i="1"/>
  <c r="H32" i="14" l="1"/>
  <c r="D25" i="15" s="1"/>
  <c r="E54" i="19"/>
  <c r="Q56" i="19"/>
  <c r="T56" i="19"/>
  <c r="T57" i="19"/>
  <c r="Q57" i="19"/>
  <c r="U57" i="19" s="1"/>
  <c r="U55" i="19"/>
  <c r="T45" i="19"/>
  <c r="E54" i="13"/>
  <c r="E54" i="6"/>
  <c r="E56" i="6"/>
  <c r="E57" i="6"/>
  <c r="D86" i="6"/>
  <c r="D85" i="13" s="1"/>
  <c r="C40" i="15"/>
  <c r="C41" i="15"/>
  <c r="C42" i="15"/>
  <c r="C43" i="15"/>
  <c r="C22" i="15"/>
  <c r="C19" i="15"/>
  <c r="A19" i="15"/>
  <c r="C11" i="15"/>
  <c r="C10" i="15"/>
  <c r="B10" i="15"/>
  <c r="A4" i="15"/>
  <c r="G128" i="14"/>
  <c r="G18" i="14"/>
  <c r="E12" i="14"/>
  <c r="B19" i="15" s="1"/>
  <c r="E22" i="14"/>
  <c r="B14" i="15" s="1"/>
  <c r="E40" i="14"/>
  <c r="B33" i="15" s="1"/>
  <c r="E21" i="14"/>
  <c r="B13" i="15" s="1"/>
  <c r="E20" i="14"/>
  <c r="B12" i="15" s="1"/>
  <c r="E19" i="14"/>
  <c r="B11" i="15" s="1"/>
  <c r="C40" i="14"/>
  <c r="A33" i="15" s="1"/>
  <c r="E50" i="14"/>
  <c r="B40" i="15" s="1"/>
  <c r="E23" i="14"/>
  <c r="B15" i="15" s="1"/>
  <c r="E36" i="14"/>
  <c r="B29" i="15" s="1"/>
  <c r="E33" i="14"/>
  <c r="B26" i="15" s="1"/>
  <c r="B22" i="15"/>
  <c r="C50" i="14"/>
  <c r="A40" i="15" s="1"/>
  <c r="C23" i="14"/>
  <c r="A15" i="15" s="1"/>
  <c r="C33" i="14"/>
  <c r="A26" i="15" s="1"/>
  <c r="C34" i="14"/>
  <c r="A27" i="15" s="1"/>
  <c r="C35" i="14"/>
  <c r="A28" i="15" s="1"/>
  <c r="C29" i="14"/>
  <c r="A22" i="15" s="1"/>
  <c r="E52" i="14"/>
  <c r="B42" i="15" s="1"/>
  <c r="E53" i="14"/>
  <c r="B43" i="15" s="1"/>
  <c r="E51" i="14"/>
  <c r="B41" i="15" s="1"/>
  <c r="C52" i="14"/>
  <c r="A42" i="15" s="1"/>
  <c r="C53" i="14"/>
  <c r="A43" i="15" s="1"/>
  <c r="C51" i="14"/>
  <c r="A41" i="15" s="1"/>
  <c r="J100" i="14"/>
  <c r="J101" i="14"/>
  <c r="J102" i="14"/>
  <c r="J99" i="14"/>
  <c r="J97" i="14"/>
  <c r="J91" i="14"/>
  <c r="J92" i="14"/>
  <c r="J93" i="14"/>
  <c r="J94" i="14"/>
  <c r="J95" i="14"/>
  <c r="J96" i="14"/>
  <c r="J90" i="14"/>
  <c r="J89" i="14"/>
  <c r="J88" i="14"/>
  <c r="J87" i="14"/>
  <c r="J82" i="14"/>
  <c r="J81" i="14"/>
  <c r="J80" i="14"/>
  <c r="J79" i="14"/>
  <c r="J74" i="14"/>
  <c r="J75" i="14"/>
  <c r="J76" i="14"/>
  <c r="J73" i="14"/>
  <c r="J72" i="14"/>
  <c r="J71" i="14"/>
  <c r="J69" i="14"/>
  <c r="J64" i="14"/>
  <c r="J65" i="14"/>
  <c r="J66" i="14"/>
  <c r="J67" i="14"/>
  <c r="J63" i="14"/>
  <c r="J62" i="14"/>
  <c r="J61" i="14"/>
  <c r="J60" i="14"/>
  <c r="J59" i="14"/>
  <c r="J84" i="14"/>
  <c r="J85" i="14"/>
  <c r="J86" i="14"/>
  <c r="J70" i="14"/>
  <c r="J83" i="14"/>
  <c r="G87" i="14"/>
  <c r="D74" i="15" s="1"/>
  <c r="G86" i="14"/>
  <c r="D73" i="15" s="1"/>
  <c r="G84" i="14"/>
  <c r="D71" i="15" s="1"/>
  <c r="G85" i="14"/>
  <c r="D72" i="15" s="1"/>
  <c r="G83" i="14"/>
  <c r="D70" i="15" s="1"/>
  <c r="C100" i="14"/>
  <c r="A87" i="15" s="1"/>
  <c r="C101" i="14"/>
  <c r="A88" i="15" s="1"/>
  <c r="C102" i="14"/>
  <c r="A89" i="15" s="1"/>
  <c r="C99" i="14"/>
  <c r="A86" i="15" s="1"/>
  <c r="C97" i="14"/>
  <c r="A85" i="15" s="1"/>
  <c r="C89" i="14"/>
  <c r="A77" i="15" s="1"/>
  <c r="C90" i="14"/>
  <c r="A78" i="15" s="1"/>
  <c r="C91" i="14"/>
  <c r="A79" i="15" s="1"/>
  <c r="C92" i="14"/>
  <c r="A80" i="15" s="1"/>
  <c r="C93" i="14"/>
  <c r="A81" i="15" s="1"/>
  <c r="C94" i="14"/>
  <c r="A82" i="15" s="1"/>
  <c r="C95" i="14"/>
  <c r="A83" i="15" s="1"/>
  <c r="C96" i="14"/>
  <c r="A84" i="15" s="1"/>
  <c r="A76" i="15"/>
  <c r="C88" i="14"/>
  <c r="A75" i="15" s="1"/>
  <c r="C87" i="14"/>
  <c r="A74" i="15" s="1"/>
  <c r="C82" i="14"/>
  <c r="A69" i="15" s="1"/>
  <c r="C81" i="14"/>
  <c r="A68" i="15" s="1"/>
  <c r="C80" i="14"/>
  <c r="A67" i="15" s="1"/>
  <c r="C79" i="14"/>
  <c r="A66" i="15" s="1"/>
  <c r="C74" i="14"/>
  <c r="A61" i="15" s="1"/>
  <c r="C75" i="14"/>
  <c r="A62" i="15" s="1"/>
  <c r="C76" i="14"/>
  <c r="A63" i="15" s="1"/>
  <c r="C73" i="14"/>
  <c r="A60" i="15" s="1"/>
  <c r="C70" i="14"/>
  <c r="A57" i="15" s="1"/>
  <c r="C71" i="14"/>
  <c r="A58" i="15" s="1"/>
  <c r="C72" i="14"/>
  <c r="A59" i="15" s="1"/>
  <c r="C69" i="14"/>
  <c r="A56" i="15" s="1"/>
  <c r="C64" i="14"/>
  <c r="A51" i="15" s="1"/>
  <c r="C65" i="14"/>
  <c r="A52" i="15" s="1"/>
  <c r="C66" i="14"/>
  <c r="A53" i="15" s="1"/>
  <c r="C67" i="14"/>
  <c r="A54" i="15" s="1"/>
  <c r="C63" i="14"/>
  <c r="A50" i="15" s="1"/>
  <c r="C62" i="14"/>
  <c r="A49" i="15" s="1"/>
  <c r="C61" i="14"/>
  <c r="A48" i="15" s="1"/>
  <c r="C60" i="14"/>
  <c r="A47" i="15" s="1"/>
  <c r="C59" i="14"/>
  <c r="A46" i="15" s="1"/>
  <c r="C85" i="14"/>
  <c r="A72" i="15" s="1"/>
  <c r="C86" i="14"/>
  <c r="A73" i="15" s="1"/>
  <c r="C84" i="14"/>
  <c r="A71" i="15" s="1"/>
  <c r="C83" i="14"/>
  <c r="A70" i="15" s="1"/>
  <c r="J12" i="14"/>
  <c r="U56" i="19" l="1"/>
  <c r="Q45" i="19"/>
  <c r="J103" i="14"/>
  <c r="G19" i="14"/>
  <c r="G20" i="14" s="1"/>
  <c r="G21" i="14" s="1"/>
  <c r="E53" i="13"/>
  <c r="E56" i="13"/>
  <c r="E55" i="13"/>
  <c r="BQ42" i="6"/>
  <c r="X54" i="6"/>
  <c r="X45" i="6" s="1"/>
  <c r="O57" i="6"/>
  <c r="R57" i="6"/>
  <c r="D97" i="15"/>
  <c r="D93" i="15"/>
  <c r="G115" i="14"/>
  <c r="G109" i="14"/>
  <c r="G22" i="14" l="1"/>
  <c r="G23" i="14" s="1"/>
  <c r="G29" i="14" s="1"/>
  <c r="BR42" i="6"/>
  <c r="Y54" i="6"/>
  <c r="Z54" i="6" s="1"/>
  <c r="Z45" i="6" s="1"/>
  <c r="BO57" i="6"/>
  <c r="BR57" i="6"/>
  <c r="BV57" i="6" s="1"/>
  <c r="BQ101" i="6"/>
  <c r="BS101" i="6"/>
  <c r="BT101" i="6"/>
  <c r="BU101" i="6"/>
  <c r="BQ102" i="6"/>
  <c r="BS102" i="6"/>
  <c r="BT102" i="6"/>
  <c r="BU102" i="6"/>
  <c r="BR103" i="6"/>
  <c r="BS103" i="6"/>
  <c r="BT103" i="6"/>
  <c r="BU103" i="6"/>
  <c r="BN100" i="6"/>
  <c r="BM100" i="6"/>
  <c r="BL100" i="6"/>
  <c r="BK100" i="6"/>
  <c r="BJ100" i="6"/>
  <c r="BI100" i="6"/>
  <c r="BH100" i="6"/>
  <c r="BG100" i="6"/>
  <c r="BF100" i="6"/>
  <c r="BE100" i="6"/>
  <c r="BD100" i="6"/>
  <c r="BC100" i="6"/>
  <c r="BB100" i="6"/>
  <c r="BA100" i="6"/>
  <c r="AZ100" i="6"/>
  <c r="AY100" i="6"/>
  <c r="AX100" i="6"/>
  <c r="AW100" i="6"/>
  <c r="AV100" i="6"/>
  <c r="AU100" i="6"/>
  <c r="AT100" i="6"/>
  <c r="AS100" i="6"/>
  <c r="AR100" i="6"/>
  <c r="AQ100" i="6"/>
  <c r="AP100" i="6"/>
  <c r="AO100" i="6"/>
  <c r="AN100" i="6"/>
  <c r="AM100" i="6"/>
  <c r="AL100" i="6"/>
  <c r="AK100" i="6"/>
  <c r="AJ100" i="6"/>
  <c r="AI100" i="6"/>
  <c r="AH100" i="6"/>
  <c r="AG100" i="6"/>
  <c r="AF100" i="6"/>
  <c r="AE100" i="6"/>
  <c r="AD100" i="6"/>
  <c r="AC100" i="6"/>
  <c r="AB100" i="6"/>
  <c r="AA100" i="6"/>
  <c r="Z100" i="6"/>
  <c r="Y100" i="6"/>
  <c r="X100" i="6"/>
  <c r="W100" i="6"/>
  <c r="N100" i="6"/>
  <c r="L100" i="6"/>
  <c r="K100" i="6"/>
  <c r="J100" i="6"/>
  <c r="I100" i="6"/>
  <c r="H100" i="6"/>
  <c r="G100" i="6"/>
  <c r="M143" i="1"/>
  <c r="M144" i="1"/>
  <c r="N144" i="1" s="1"/>
  <c r="D100" i="6"/>
  <c r="D99" i="13" s="1"/>
  <c r="D101" i="6"/>
  <c r="D100" i="13" s="1"/>
  <c r="D102" i="6"/>
  <c r="D101" i="13" s="1"/>
  <c r="D103" i="6"/>
  <c r="D102" i="13" s="1"/>
  <c r="M43" i="1"/>
  <c r="G125" i="14" l="1"/>
  <c r="E102" i="19"/>
  <c r="Q102" i="19" s="1"/>
  <c r="BW57" i="6"/>
  <c r="BP57" i="6"/>
  <c r="BS42" i="6"/>
  <c r="AA54" i="6"/>
  <c r="AB54" i="6" s="1"/>
  <c r="AB45" i="6" s="1"/>
  <c r="N43" i="1"/>
  <c r="E46" i="19" s="1"/>
  <c r="BU100" i="6"/>
  <c r="BT100" i="6"/>
  <c r="BS100" i="6"/>
  <c r="E102" i="6"/>
  <c r="E101" i="13" s="1"/>
  <c r="M145" i="1"/>
  <c r="N145" i="1" s="1"/>
  <c r="N143" i="1"/>
  <c r="E101" i="19" s="1"/>
  <c r="E124" i="6"/>
  <c r="BT124" i="6"/>
  <c r="BS124" i="6"/>
  <c r="BR124" i="6"/>
  <c r="BQ124" i="6"/>
  <c r="BS115" i="6"/>
  <c r="BR115" i="6"/>
  <c r="BQ115" i="6"/>
  <c r="BS114" i="6"/>
  <c r="BR114" i="6"/>
  <c r="BQ114" i="6"/>
  <c r="BU113" i="6"/>
  <c r="BS113" i="6"/>
  <c r="BR113" i="6"/>
  <c r="BQ113" i="6"/>
  <c r="BU112" i="6"/>
  <c r="BS112" i="6"/>
  <c r="BR112" i="6"/>
  <c r="BQ112" i="6"/>
  <c r="BU111" i="6"/>
  <c r="BS111" i="6"/>
  <c r="BR111" i="6"/>
  <c r="BQ111" i="6"/>
  <c r="BU110" i="6"/>
  <c r="BS110" i="6"/>
  <c r="BR110" i="6"/>
  <c r="BQ110" i="6"/>
  <c r="BU109" i="6"/>
  <c r="BS109" i="6"/>
  <c r="BR109" i="6"/>
  <c r="BQ109" i="6"/>
  <c r="BU108" i="6"/>
  <c r="BT108" i="6"/>
  <c r="BR108" i="6"/>
  <c r="BQ108" i="6"/>
  <c r="BU107" i="6"/>
  <c r="BT107" i="6"/>
  <c r="BR107" i="6"/>
  <c r="BQ107" i="6"/>
  <c r="BU106" i="6"/>
  <c r="BT106" i="6"/>
  <c r="BR106" i="6"/>
  <c r="BQ106" i="6"/>
  <c r="BU105" i="6"/>
  <c r="BT105" i="6"/>
  <c r="BR105" i="6"/>
  <c r="BQ105" i="6"/>
  <c r="BU117" i="6"/>
  <c r="BU116" i="6" s="1"/>
  <c r="BT117" i="6"/>
  <c r="BT116" i="6" s="1"/>
  <c r="BR117" i="6"/>
  <c r="BR116" i="6" s="1"/>
  <c r="BQ117" i="6"/>
  <c r="BQ116" i="6" s="1"/>
  <c r="BU91" i="6"/>
  <c r="BU90" i="6" s="1"/>
  <c r="BT91" i="6"/>
  <c r="BT90" i="6" s="1"/>
  <c r="BS91" i="6"/>
  <c r="BS90" i="6" s="1"/>
  <c r="BQ91" i="6"/>
  <c r="BU82" i="6"/>
  <c r="BT82" i="6"/>
  <c r="BR82" i="6"/>
  <c r="BQ82" i="6"/>
  <c r="BU81" i="6"/>
  <c r="BT81" i="6"/>
  <c r="BR81" i="6"/>
  <c r="BQ81" i="6"/>
  <c r="BU80" i="6"/>
  <c r="BT80" i="6"/>
  <c r="BR80" i="6"/>
  <c r="BQ80" i="6"/>
  <c r="BU79" i="6"/>
  <c r="BT79" i="6"/>
  <c r="BR79" i="6"/>
  <c r="BQ79" i="6"/>
  <c r="BU78" i="6"/>
  <c r="BT78" i="6"/>
  <c r="BT77" i="6" s="1"/>
  <c r="BR78" i="6"/>
  <c r="BQ78" i="6"/>
  <c r="BQ77" i="6" s="1"/>
  <c r="BU76" i="6"/>
  <c r="BT76" i="6"/>
  <c r="BQ76" i="6"/>
  <c r="BU75" i="6"/>
  <c r="BT75" i="6"/>
  <c r="BR75" i="6"/>
  <c r="BQ75" i="6"/>
  <c r="BU74" i="6"/>
  <c r="BT74" i="6"/>
  <c r="BR74" i="6"/>
  <c r="BQ74" i="6"/>
  <c r="BQ73" i="6" s="1"/>
  <c r="BU62" i="6"/>
  <c r="BU61" i="6" s="1"/>
  <c r="BT62" i="6"/>
  <c r="BT61" i="6" s="1"/>
  <c r="BQ62" i="6"/>
  <c r="BQ61" i="6" s="1"/>
  <c r="BU60" i="6"/>
  <c r="BT60" i="6"/>
  <c r="BS60" i="6"/>
  <c r="BQ60" i="6"/>
  <c r="BU59" i="6"/>
  <c r="BU58" i="6" s="1"/>
  <c r="BT59" i="6"/>
  <c r="BT58" i="6" s="1"/>
  <c r="BS59" i="6"/>
  <c r="BS58" i="6" s="1"/>
  <c r="BQ59" i="6"/>
  <c r="BQ58" i="6" s="1"/>
  <c r="BU56" i="6"/>
  <c r="BT56" i="6"/>
  <c r="BS56" i="6"/>
  <c r="BQ56" i="6"/>
  <c r="BU55" i="6"/>
  <c r="BT55" i="6"/>
  <c r="BS55" i="6"/>
  <c r="BQ55" i="6"/>
  <c r="BU54" i="6"/>
  <c r="BU45" i="6" s="1"/>
  <c r="BT54" i="6"/>
  <c r="BT45" i="6" s="1"/>
  <c r="BS54" i="6"/>
  <c r="BS45" i="6" s="1"/>
  <c r="BQ54" i="6"/>
  <c r="BU53" i="6"/>
  <c r="BT53" i="6"/>
  <c r="BS53" i="6"/>
  <c r="BQ53" i="6"/>
  <c r="BU52" i="6"/>
  <c r="BT52" i="6"/>
  <c r="BS52" i="6"/>
  <c r="BQ52" i="6"/>
  <c r="BS32" i="6"/>
  <c r="BT32" i="6"/>
  <c r="BU32" i="6"/>
  <c r="BQ33" i="6"/>
  <c r="BS33" i="6"/>
  <c r="BT33" i="6"/>
  <c r="BU33" i="6"/>
  <c r="BQ34" i="6"/>
  <c r="BS34" i="6"/>
  <c r="BT34" i="6"/>
  <c r="BU34" i="6"/>
  <c r="BQ35" i="6"/>
  <c r="BS35" i="6"/>
  <c r="BT35" i="6"/>
  <c r="BU35" i="6"/>
  <c r="BS25" i="6"/>
  <c r="BT25" i="6"/>
  <c r="BU25" i="6"/>
  <c r="BS26" i="6"/>
  <c r="BT26" i="6"/>
  <c r="BU26" i="6"/>
  <c r="BS23" i="6"/>
  <c r="BT23" i="6"/>
  <c r="BU23" i="6"/>
  <c r="BS24" i="6"/>
  <c r="BT24" i="6"/>
  <c r="BU24" i="6"/>
  <c r="BU27" i="6"/>
  <c r="BU28" i="6"/>
  <c r="BS38" i="6"/>
  <c r="BT38" i="6"/>
  <c r="BU38" i="6"/>
  <c r="BU39" i="6"/>
  <c r="BR87" i="6"/>
  <c r="BS87" i="6"/>
  <c r="BT87" i="6"/>
  <c r="BU87" i="6"/>
  <c r="BQ88" i="6"/>
  <c r="BS88" i="6"/>
  <c r="BT88" i="6"/>
  <c r="BU88" i="6"/>
  <c r="BQ89" i="6"/>
  <c r="BS89" i="6"/>
  <c r="BT89" i="6"/>
  <c r="BU89" i="6"/>
  <c r="I119" i="6"/>
  <c r="I118" i="6" s="1"/>
  <c r="H119" i="6"/>
  <c r="H118" i="6" s="1"/>
  <c r="G119" i="6"/>
  <c r="G118" i="6" s="1"/>
  <c r="BN104" i="6"/>
  <c r="BN83" i="6" s="1"/>
  <c r="BM104" i="6"/>
  <c r="BM83" i="6" s="1"/>
  <c r="BH104" i="6"/>
  <c r="BH83" i="6" s="1"/>
  <c r="BG104" i="6"/>
  <c r="BG83" i="6" s="1"/>
  <c r="BF104" i="6"/>
  <c r="BF83" i="6" s="1"/>
  <c r="BE104" i="6"/>
  <c r="BE83" i="6" s="1"/>
  <c r="BD104" i="6"/>
  <c r="BD83" i="6" s="1"/>
  <c r="BC104" i="6"/>
  <c r="BC83" i="6" s="1"/>
  <c r="AX104" i="6"/>
  <c r="AX83" i="6" s="1"/>
  <c r="AS104" i="6"/>
  <c r="AS83" i="6" s="1"/>
  <c r="AR104" i="6"/>
  <c r="AR83" i="6" s="1"/>
  <c r="AQ104" i="6"/>
  <c r="AQ83" i="6" s="1"/>
  <c r="AN104" i="6"/>
  <c r="AN83" i="6" s="1"/>
  <c r="AM104" i="6"/>
  <c r="AM83" i="6" s="1"/>
  <c r="AF104" i="6"/>
  <c r="AF83" i="6" s="1"/>
  <c r="AE104" i="6"/>
  <c r="AE83" i="6" s="1"/>
  <c r="AD104" i="6"/>
  <c r="AD83" i="6" s="1"/>
  <c r="AC104" i="6"/>
  <c r="AC83" i="6" s="1"/>
  <c r="AB104" i="6"/>
  <c r="AB83" i="6" s="1"/>
  <c r="AA104" i="6"/>
  <c r="AA83" i="6" s="1"/>
  <c r="Z104" i="6"/>
  <c r="Z83" i="6" s="1"/>
  <c r="Y104" i="6"/>
  <c r="Y83" i="6" s="1"/>
  <c r="X104" i="6"/>
  <c r="X83" i="6" s="1"/>
  <c r="W104" i="6"/>
  <c r="W83" i="6" s="1"/>
  <c r="V104" i="6"/>
  <c r="U104" i="6"/>
  <c r="T104" i="6"/>
  <c r="S104" i="6"/>
  <c r="R104" i="6"/>
  <c r="Q104" i="6"/>
  <c r="P104" i="6"/>
  <c r="O104" i="6"/>
  <c r="N104" i="6"/>
  <c r="M104" i="6"/>
  <c r="L104" i="6"/>
  <c r="K104" i="6"/>
  <c r="J104" i="6"/>
  <c r="J83" i="6" s="1"/>
  <c r="I104" i="6"/>
  <c r="I83" i="6" s="1"/>
  <c r="H104" i="6"/>
  <c r="H83" i="6" s="1"/>
  <c r="G104" i="6"/>
  <c r="G83" i="6" s="1"/>
  <c r="D121" i="6"/>
  <c r="D120" i="13" s="1"/>
  <c r="M163" i="1"/>
  <c r="N163" i="1" s="1"/>
  <c r="E121" i="19" s="1"/>
  <c r="L121" i="19" s="1"/>
  <c r="G25" i="1"/>
  <c r="M25" i="1" s="1"/>
  <c r="N25" i="1" s="1"/>
  <c r="E28" i="19" s="1"/>
  <c r="N28" i="19" s="1"/>
  <c r="O28" i="19" s="1"/>
  <c r="P28" i="19" s="1"/>
  <c r="Q28" i="19" s="1"/>
  <c r="R28" i="19" s="1"/>
  <c r="S28" i="19" s="1"/>
  <c r="T28" i="19" s="1"/>
  <c r="M36" i="1"/>
  <c r="N36" i="1" s="1"/>
  <c r="E39" i="19" s="1"/>
  <c r="N39" i="19" s="1"/>
  <c r="O39" i="19" s="1"/>
  <c r="P39" i="19" s="1"/>
  <c r="Q39" i="19" s="1"/>
  <c r="R39" i="19" s="1"/>
  <c r="S39" i="19" s="1"/>
  <c r="T39" i="19" s="1"/>
  <c r="K156" i="1"/>
  <c r="M156" i="1" s="1"/>
  <c r="N156" i="1" s="1"/>
  <c r="D92" i="6"/>
  <c r="D91" i="13" s="1"/>
  <c r="M89" i="1"/>
  <c r="N89" i="1" s="1"/>
  <c r="M55" i="1"/>
  <c r="AJ75" i="6"/>
  <c r="M71" i="1"/>
  <c r="M73" i="1"/>
  <c r="N73" i="1" s="1"/>
  <c r="D79" i="6"/>
  <c r="D78" i="13" s="1"/>
  <c r="M76" i="1"/>
  <c r="N76" i="1" s="1"/>
  <c r="E79" i="19" s="1"/>
  <c r="G64" i="1"/>
  <c r="M64" i="1" s="1"/>
  <c r="D39" i="6"/>
  <c r="D38" i="13" s="1"/>
  <c r="G45" i="1"/>
  <c r="M83" i="1"/>
  <c r="M34" i="1"/>
  <c r="D17" i="13"/>
  <c r="D16" i="13"/>
  <c r="D15" i="13"/>
  <c r="D14" i="13"/>
  <c r="D13" i="13"/>
  <c r="D12" i="13"/>
  <c r="D11" i="13"/>
  <c r="D10" i="13"/>
  <c r="D9" i="13"/>
  <c r="D8" i="13"/>
  <c r="D7" i="13"/>
  <c r="D124" i="6"/>
  <c r="D123" i="13" s="1"/>
  <c r="M157" i="1"/>
  <c r="N157" i="1" s="1"/>
  <c r="D96" i="6"/>
  <c r="D95" i="13" s="1"/>
  <c r="D97" i="6"/>
  <c r="D96" i="13" s="1"/>
  <c r="D95" i="6"/>
  <c r="D94" i="13" s="1"/>
  <c r="D94" i="6"/>
  <c r="D93" i="13" s="1"/>
  <c r="D81" i="6"/>
  <c r="D80" i="13" s="1"/>
  <c r="D82" i="6"/>
  <c r="D81" i="13" s="1"/>
  <c r="M77" i="1"/>
  <c r="N77" i="1" s="1"/>
  <c r="E81" i="19" s="1"/>
  <c r="M78" i="1"/>
  <c r="N78" i="1" s="1"/>
  <c r="E82" i="19" s="1"/>
  <c r="M28" i="1"/>
  <c r="M131" i="1"/>
  <c r="M101" i="1"/>
  <c r="D35" i="6"/>
  <c r="D34" i="13" s="1"/>
  <c r="D34" i="6"/>
  <c r="D33" i="13" s="1"/>
  <c r="D33" i="6"/>
  <c r="D32" i="13" s="1"/>
  <c r="M32" i="1"/>
  <c r="N32" i="1" s="1"/>
  <c r="E35" i="19" s="1"/>
  <c r="R35" i="19" s="1"/>
  <c r="M31" i="1"/>
  <c r="N31" i="1" s="1"/>
  <c r="E34" i="19" s="1"/>
  <c r="R34" i="19" s="1"/>
  <c r="M30" i="1"/>
  <c r="N30" i="1" s="1"/>
  <c r="E33" i="19" s="1"/>
  <c r="R33" i="19" s="1"/>
  <c r="D9" i="6"/>
  <c r="D10" i="6"/>
  <c r="D11" i="6"/>
  <c r="D12" i="6"/>
  <c r="D13" i="6"/>
  <c r="D14" i="6"/>
  <c r="D15" i="6"/>
  <c r="D16" i="6"/>
  <c r="D17" i="6"/>
  <c r="D18" i="6"/>
  <c r="D19" i="6"/>
  <c r="D18" i="13" s="1"/>
  <c r="D87" i="6"/>
  <c r="D86" i="13" s="1"/>
  <c r="D88" i="6"/>
  <c r="D87" i="13" s="1"/>
  <c r="D89" i="6"/>
  <c r="D88" i="13" s="1"/>
  <c r="D37" i="6"/>
  <c r="D36" i="13" s="1"/>
  <c r="D38" i="6"/>
  <c r="D37" i="13" s="1"/>
  <c r="D40" i="6"/>
  <c r="D39" i="13" s="1"/>
  <c r="D41" i="6"/>
  <c r="D40" i="13" s="1"/>
  <c r="D21" i="6"/>
  <c r="D20" i="13" s="1"/>
  <c r="D25" i="6"/>
  <c r="D24" i="13" s="1"/>
  <c r="D26" i="6"/>
  <c r="D25" i="13" s="1"/>
  <c r="D23" i="6"/>
  <c r="D22" i="13" s="1"/>
  <c r="D24" i="6"/>
  <c r="D23" i="13" s="1"/>
  <c r="D27" i="6"/>
  <c r="D26" i="13" s="1"/>
  <c r="D28" i="6"/>
  <c r="D27" i="13" s="1"/>
  <c r="D30" i="6"/>
  <c r="D29" i="13" s="1"/>
  <c r="D31" i="6"/>
  <c r="D30" i="13" s="1"/>
  <c r="D32" i="6"/>
  <c r="D31" i="13" s="1"/>
  <c r="D44" i="6"/>
  <c r="D43" i="13" s="1"/>
  <c r="D58" i="6"/>
  <c r="D57" i="13" s="1"/>
  <c r="D59" i="6"/>
  <c r="D58" i="13" s="1"/>
  <c r="D60" i="6"/>
  <c r="D59" i="13" s="1"/>
  <c r="D61" i="6"/>
  <c r="D60" i="13" s="1"/>
  <c r="D74" i="6"/>
  <c r="D73" i="13" s="1"/>
  <c r="D75" i="6"/>
  <c r="D74" i="13" s="1"/>
  <c r="D77" i="6"/>
  <c r="D76" i="13" s="1"/>
  <c r="D78" i="6"/>
  <c r="D77" i="13" s="1"/>
  <c r="D80" i="6"/>
  <c r="D79" i="13" s="1"/>
  <c r="D76" i="6"/>
  <c r="D75" i="13" s="1"/>
  <c r="D83" i="6"/>
  <c r="D82" i="13" s="1"/>
  <c r="D90" i="6"/>
  <c r="D89" i="13" s="1"/>
  <c r="D91" i="6"/>
  <c r="D90" i="13" s="1"/>
  <c r="D104" i="6"/>
  <c r="D103" i="13" s="1"/>
  <c r="D105" i="6"/>
  <c r="D104" i="13" s="1"/>
  <c r="D106" i="6"/>
  <c r="D105" i="13" s="1"/>
  <c r="D107" i="6"/>
  <c r="D106" i="13" s="1"/>
  <c r="D108" i="6"/>
  <c r="D107" i="13" s="1"/>
  <c r="D109" i="6"/>
  <c r="D108" i="13" s="1"/>
  <c r="D110" i="6"/>
  <c r="D109" i="13" s="1"/>
  <c r="D111" i="6"/>
  <c r="D110" i="13" s="1"/>
  <c r="D112" i="6"/>
  <c r="D111" i="13" s="1"/>
  <c r="D113" i="6"/>
  <c r="D112" i="13" s="1"/>
  <c r="D114" i="6"/>
  <c r="D113" i="13" s="1"/>
  <c r="D115" i="6"/>
  <c r="D114" i="13" s="1"/>
  <c r="D118" i="6"/>
  <c r="D117" i="13" s="1"/>
  <c r="D119" i="6"/>
  <c r="D118" i="13" s="1"/>
  <c r="D120" i="6"/>
  <c r="D119" i="13" s="1"/>
  <c r="D122" i="6"/>
  <c r="D121" i="13" s="1"/>
  <c r="D123" i="6"/>
  <c r="D122" i="13" s="1"/>
  <c r="D125" i="6"/>
  <c r="D124" i="13" s="1"/>
  <c r="D126" i="6"/>
  <c r="D125" i="13" s="1"/>
  <c r="D127" i="6"/>
  <c r="D126" i="13" s="1"/>
  <c r="D129" i="6"/>
  <c r="D128" i="13" s="1"/>
  <c r="D130" i="6"/>
  <c r="D129" i="13" s="1"/>
  <c r="D131" i="6"/>
  <c r="D130" i="13" s="1"/>
  <c r="D8" i="6"/>
  <c r="K137" i="1"/>
  <c r="M137" i="1" s="1"/>
  <c r="N137" i="1" s="1"/>
  <c r="E91" i="6"/>
  <c r="E87" i="6"/>
  <c r="E88" i="6"/>
  <c r="E89" i="6"/>
  <c r="E86" i="6"/>
  <c r="BQ130" i="6"/>
  <c r="BS130" i="6"/>
  <c r="BU130" i="6"/>
  <c r="BU31" i="6"/>
  <c r="BU30" i="6" s="1"/>
  <c r="BT31" i="6"/>
  <c r="BS31" i="6"/>
  <c r="BU21" i="6"/>
  <c r="BT21" i="6"/>
  <c r="BS21" i="6"/>
  <c r="BU37" i="6"/>
  <c r="BT37" i="6"/>
  <c r="BS37" i="6"/>
  <c r="BU86" i="6"/>
  <c r="BT86" i="6"/>
  <c r="BS86" i="6"/>
  <c r="BR86" i="6"/>
  <c r="M87" i="1"/>
  <c r="M164" i="1"/>
  <c r="N164" i="1" s="1"/>
  <c r="E122" i="19" s="1"/>
  <c r="L122" i="19" s="1"/>
  <c r="M149" i="1"/>
  <c r="N149" i="1" s="1"/>
  <c r="E107" i="19" s="1"/>
  <c r="M148" i="1"/>
  <c r="N148" i="1" s="1"/>
  <c r="E106" i="19" s="1"/>
  <c r="M150" i="1"/>
  <c r="N150" i="1" s="1"/>
  <c r="E108" i="19" s="1"/>
  <c r="M151" i="1"/>
  <c r="N151" i="1" s="1"/>
  <c r="E109" i="19" s="1"/>
  <c r="M152" i="1"/>
  <c r="N152" i="1" s="1"/>
  <c r="E110" i="19" s="1"/>
  <c r="M153" i="1"/>
  <c r="N153" i="1" s="1"/>
  <c r="E111" i="19" s="1"/>
  <c r="M154" i="1"/>
  <c r="N154" i="1" s="1"/>
  <c r="E112" i="19" s="1"/>
  <c r="M155" i="1"/>
  <c r="N155" i="1" s="1"/>
  <c r="M94" i="1"/>
  <c r="N94" i="1" s="1"/>
  <c r="N72" i="1"/>
  <c r="N56" i="1"/>
  <c r="M84" i="1"/>
  <c r="M85" i="1"/>
  <c r="M86" i="1"/>
  <c r="M88" i="1"/>
  <c r="M93" i="1"/>
  <c r="N93" i="1" s="1"/>
  <c r="M92" i="1"/>
  <c r="M99" i="1"/>
  <c r="N99" i="1" s="1"/>
  <c r="M98" i="1"/>
  <c r="N98" i="1" s="1"/>
  <c r="M97" i="1"/>
  <c r="N97" i="1" s="1"/>
  <c r="M96" i="1"/>
  <c r="M41" i="1"/>
  <c r="M40" i="1" s="1"/>
  <c r="M35" i="1"/>
  <c r="N35" i="1" s="1"/>
  <c r="E38" i="19" s="1"/>
  <c r="N38" i="19" s="1"/>
  <c r="M18" i="1"/>
  <c r="N18" i="1" s="1"/>
  <c r="E21" i="19" s="1"/>
  <c r="M19" i="1"/>
  <c r="N19" i="1" s="1"/>
  <c r="I22" i="1"/>
  <c r="M22" i="1" s="1"/>
  <c r="N22" i="1" s="1"/>
  <c r="E25" i="19" s="1"/>
  <c r="O25" i="19" s="1"/>
  <c r="I23" i="1"/>
  <c r="M23" i="1" s="1"/>
  <c r="N23" i="1" s="1"/>
  <c r="E26" i="19" s="1"/>
  <c r="O26" i="19" s="1"/>
  <c r="M20" i="1"/>
  <c r="N20" i="1" s="1"/>
  <c r="E23" i="19" s="1"/>
  <c r="R23" i="19" s="1"/>
  <c r="K21" i="1"/>
  <c r="M21" i="1" s="1"/>
  <c r="N21" i="1" s="1"/>
  <c r="E24" i="19" s="1"/>
  <c r="R24" i="19" s="1"/>
  <c r="M29" i="1"/>
  <c r="N29" i="1" s="1"/>
  <c r="E32" i="19" s="1"/>
  <c r="M32" i="19" s="1"/>
  <c r="N32" i="19" s="1"/>
  <c r="O32" i="19" s="1"/>
  <c r="P32" i="19" s="1"/>
  <c r="Q32" i="19" s="1"/>
  <c r="R32" i="19" s="1"/>
  <c r="U32" i="19" s="1"/>
  <c r="L47" i="1"/>
  <c r="M24" i="1"/>
  <c r="N24" i="1" s="1"/>
  <c r="E27" i="19" s="1"/>
  <c r="N27" i="19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 s="1"/>
  <c r="M110" i="1"/>
  <c r="N110" i="1" s="1"/>
  <c r="M111" i="1"/>
  <c r="N111" i="1" s="1"/>
  <c r="M112" i="1"/>
  <c r="N112" i="1" s="1"/>
  <c r="M113" i="1"/>
  <c r="N113" i="1" s="1"/>
  <c r="M114" i="1"/>
  <c r="N114" i="1" s="1"/>
  <c r="M115" i="1"/>
  <c r="N115" i="1" s="1"/>
  <c r="M116" i="1"/>
  <c r="N116" i="1" s="1"/>
  <c r="M117" i="1"/>
  <c r="N117" i="1" s="1"/>
  <c r="M118" i="1"/>
  <c r="N118" i="1" s="1"/>
  <c r="M119" i="1"/>
  <c r="N119" i="1" s="1"/>
  <c r="M120" i="1"/>
  <c r="N120" i="1" s="1"/>
  <c r="M121" i="1"/>
  <c r="N121" i="1" s="1"/>
  <c r="M122" i="1"/>
  <c r="N122" i="1" s="1"/>
  <c r="M123" i="1"/>
  <c r="N123" i="1" s="1"/>
  <c r="M124" i="1"/>
  <c r="N124" i="1" s="1"/>
  <c r="M125" i="1"/>
  <c r="N125" i="1" s="1"/>
  <c r="M126" i="1"/>
  <c r="N126" i="1" s="1"/>
  <c r="M127" i="1"/>
  <c r="N127" i="1" s="1"/>
  <c r="M128" i="1"/>
  <c r="N128" i="1" s="1"/>
  <c r="M129" i="1"/>
  <c r="N129" i="1" s="1"/>
  <c r="H34" i="14"/>
  <c r="D27" i="15" s="1"/>
  <c r="M135" i="1"/>
  <c r="M136" i="1"/>
  <c r="N136" i="1" s="1"/>
  <c r="H40" i="14" s="1"/>
  <c r="D33" i="15" s="1"/>
  <c r="M59" i="1"/>
  <c r="M60" i="1"/>
  <c r="N60" i="1" s="1"/>
  <c r="E63" i="19" s="1"/>
  <c r="M61" i="1"/>
  <c r="N61" i="1" s="1"/>
  <c r="E64" i="19" s="1"/>
  <c r="M62" i="1"/>
  <c r="N62" i="1" s="1"/>
  <c r="E65" i="19" s="1"/>
  <c r="M66" i="1"/>
  <c r="N66" i="1" s="1"/>
  <c r="E69" i="19" s="1"/>
  <c r="M65" i="1"/>
  <c r="E68" i="19" s="1"/>
  <c r="M67" i="1"/>
  <c r="N67" i="1" s="1"/>
  <c r="E70" i="19" s="1"/>
  <c r="M68" i="1"/>
  <c r="N68" i="1" s="1"/>
  <c r="E71" i="19" s="1"/>
  <c r="M69" i="1"/>
  <c r="N69" i="1" s="1"/>
  <c r="E72" i="19" s="1"/>
  <c r="M75" i="1"/>
  <c r="M79" i="1"/>
  <c r="N79" i="1" s="1"/>
  <c r="M147" i="1"/>
  <c r="N147" i="1" s="1"/>
  <c r="M162" i="1"/>
  <c r="M165" i="1"/>
  <c r="N165" i="1" s="1"/>
  <c r="E123" i="19" s="1"/>
  <c r="L123" i="19" s="1"/>
  <c r="N170" i="1"/>
  <c r="AJ74" i="6"/>
  <c r="S24" i="19" l="1"/>
  <c r="T24" i="19" s="1"/>
  <c r="U24" i="19"/>
  <c r="N92" i="1"/>
  <c r="M90" i="1"/>
  <c r="H37" i="14"/>
  <c r="D30" i="15" s="1"/>
  <c r="E80" i="19"/>
  <c r="N135" i="1"/>
  <c r="N133" i="1" s="1"/>
  <c r="M133" i="1"/>
  <c r="P26" i="19"/>
  <c r="Q26" i="19" s="1"/>
  <c r="R26" i="19" s="1"/>
  <c r="S26" i="19" s="1"/>
  <c r="T26" i="19" s="1"/>
  <c r="U26" i="19"/>
  <c r="O38" i="19"/>
  <c r="P38" i="19" s="1"/>
  <c r="Q38" i="19" s="1"/>
  <c r="R38" i="19" s="1"/>
  <c r="S38" i="19" s="1"/>
  <c r="T38" i="19" s="1"/>
  <c r="H36" i="14"/>
  <c r="D29" i="15" s="1"/>
  <c r="E59" i="19"/>
  <c r="E58" i="19" s="1"/>
  <c r="S35" i="19"/>
  <c r="T35" i="19" s="1"/>
  <c r="U35" i="19" s="1"/>
  <c r="N101" i="1"/>
  <c r="M100" i="1"/>
  <c r="M121" i="19"/>
  <c r="N121" i="19" s="1"/>
  <c r="O121" i="19" s="1"/>
  <c r="P121" i="19" s="1"/>
  <c r="Q121" i="19" s="1"/>
  <c r="R121" i="19" s="1"/>
  <c r="S121" i="19" s="1"/>
  <c r="T121" i="19" s="1"/>
  <c r="H23" i="14"/>
  <c r="D15" i="15" s="1"/>
  <c r="E103" i="19"/>
  <c r="O103" i="19" s="1"/>
  <c r="O27" i="19"/>
  <c r="P27" i="19" s="1"/>
  <c r="Q27" i="19" s="1"/>
  <c r="R27" i="19" s="1"/>
  <c r="S27" i="19" s="1"/>
  <c r="T27" i="19" s="1"/>
  <c r="N20" i="19"/>
  <c r="N96" i="1"/>
  <c r="M95" i="1"/>
  <c r="M123" i="19"/>
  <c r="N123" i="19" s="1"/>
  <c r="O123" i="19" s="1"/>
  <c r="P123" i="19" s="1"/>
  <c r="Q123" i="19" s="1"/>
  <c r="R123" i="19" s="1"/>
  <c r="S123" i="19" s="1"/>
  <c r="T123" i="19" s="1"/>
  <c r="P25" i="19"/>
  <c r="Q25" i="19" s="1"/>
  <c r="R25" i="19" s="1"/>
  <c r="S25" i="19" s="1"/>
  <c r="T25" i="19" s="1"/>
  <c r="G48" i="14"/>
  <c r="D38" i="15" s="1"/>
  <c r="E75" i="19"/>
  <c r="N131" i="1"/>
  <c r="M130" i="1"/>
  <c r="G50" i="14"/>
  <c r="D40" i="15" s="1"/>
  <c r="E114" i="19"/>
  <c r="M46" i="19"/>
  <c r="M45" i="19" s="1"/>
  <c r="L46" i="19"/>
  <c r="N46" i="19"/>
  <c r="N45" i="19" s="1"/>
  <c r="R102" i="19"/>
  <c r="S102" i="19" s="1"/>
  <c r="T102" i="19" s="1"/>
  <c r="E22" i="6"/>
  <c r="M22" i="6" s="1"/>
  <c r="E22" i="19"/>
  <c r="O22" i="19" s="1"/>
  <c r="S33" i="19"/>
  <c r="T33" i="19" s="1"/>
  <c r="N146" i="1"/>
  <c r="E105" i="19"/>
  <c r="S23" i="19"/>
  <c r="T23" i="19" s="1"/>
  <c r="O21" i="19"/>
  <c r="G97" i="14"/>
  <c r="D85" i="15" s="1"/>
  <c r="E113" i="19"/>
  <c r="M122" i="19"/>
  <c r="N122" i="19" s="1"/>
  <c r="O122" i="19" s="1"/>
  <c r="P122" i="19" s="1"/>
  <c r="Q122" i="19" s="1"/>
  <c r="R122" i="19" s="1"/>
  <c r="S122" i="19" s="1"/>
  <c r="T122" i="19" s="1"/>
  <c r="S34" i="19"/>
  <c r="T34" i="19" s="1"/>
  <c r="H42" i="14"/>
  <c r="D35" i="15" s="1"/>
  <c r="E115" i="19"/>
  <c r="G78" i="14"/>
  <c r="D65" i="15" s="1"/>
  <c r="E76" i="19"/>
  <c r="H38" i="14"/>
  <c r="E92" i="19"/>
  <c r="Q101" i="19"/>
  <c r="E100" i="19"/>
  <c r="U40" i="19"/>
  <c r="BT73" i="6"/>
  <c r="AJ73" i="6"/>
  <c r="BT30" i="6"/>
  <c r="D31" i="15"/>
  <c r="H22" i="14"/>
  <c r="D14" i="15" s="1"/>
  <c r="E46" i="6"/>
  <c r="E45" i="13" s="1"/>
  <c r="G68" i="14"/>
  <c r="D55" i="15" s="1"/>
  <c r="N130" i="1"/>
  <c r="E123" i="13"/>
  <c r="BF124" i="6"/>
  <c r="BO124" i="6" s="1"/>
  <c r="BU73" i="6"/>
  <c r="E88" i="13"/>
  <c r="E87" i="13"/>
  <c r="E86" i="13"/>
  <c r="E85" i="13"/>
  <c r="E90" i="13"/>
  <c r="E21" i="13"/>
  <c r="M70" i="1"/>
  <c r="G88" i="14"/>
  <c r="D75" i="15" s="1"/>
  <c r="N142" i="1"/>
  <c r="M142" i="1"/>
  <c r="BT42" i="6"/>
  <c r="N162" i="1"/>
  <c r="N161" i="1" s="1"/>
  <c r="N160" i="1" s="1"/>
  <c r="C8" i="8" s="1"/>
  <c r="M161" i="1"/>
  <c r="M160" i="1" s="1"/>
  <c r="BR77" i="6"/>
  <c r="BS30" i="6"/>
  <c r="E85" i="6"/>
  <c r="G36" i="6"/>
  <c r="G29" i="6" s="1"/>
  <c r="G19" i="6" s="1"/>
  <c r="G131" i="6" s="1"/>
  <c r="BN36" i="6"/>
  <c r="BN29" i="6" s="1"/>
  <c r="BN19" i="6" s="1"/>
  <c r="BU77" i="6"/>
  <c r="BU20" i="6"/>
  <c r="M146" i="1"/>
  <c r="M82" i="1"/>
  <c r="M27" i="1"/>
  <c r="N34" i="1"/>
  <c r="H21" i="14"/>
  <c r="D13" i="15" s="1"/>
  <c r="H29" i="14"/>
  <c r="BU85" i="6"/>
  <c r="BU84" i="6" s="1"/>
  <c r="BO54" i="6"/>
  <c r="BQ104" i="6"/>
  <c r="E72" i="6"/>
  <c r="E69" i="6"/>
  <c r="E26" i="6"/>
  <c r="E71" i="6"/>
  <c r="E65" i="6"/>
  <c r="E27" i="6"/>
  <c r="G64" i="14"/>
  <c r="D51" i="15" s="1"/>
  <c r="E25" i="6"/>
  <c r="E76" i="6"/>
  <c r="E75" i="13" s="1"/>
  <c r="E70" i="6"/>
  <c r="E64" i="6"/>
  <c r="E75" i="6"/>
  <c r="E74" i="13" s="1"/>
  <c r="G51" i="14"/>
  <c r="D41" i="15" s="1"/>
  <c r="E63" i="6"/>
  <c r="G59" i="14"/>
  <c r="D46" i="15" s="1"/>
  <c r="N55" i="1"/>
  <c r="N59" i="1"/>
  <c r="M63" i="1"/>
  <c r="M58" i="1" s="1"/>
  <c r="N71" i="1"/>
  <c r="E74" i="19" s="1"/>
  <c r="N75" i="1"/>
  <c r="E78" i="19" s="1"/>
  <c r="E77" i="19" s="1"/>
  <c r="M74" i="1"/>
  <c r="N41" i="1"/>
  <c r="E44" i="19" s="1"/>
  <c r="E43" i="19" s="1"/>
  <c r="M47" i="1"/>
  <c r="K52" i="1"/>
  <c r="M45" i="1"/>
  <c r="E38" i="6"/>
  <c r="H18" i="14"/>
  <c r="H35" i="14"/>
  <c r="D28" i="15" s="1"/>
  <c r="H33" i="14"/>
  <c r="D26" i="15" s="1"/>
  <c r="E115" i="6"/>
  <c r="E59" i="6"/>
  <c r="E39" i="6"/>
  <c r="E80" i="6"/>
  <c r="E79" i="13" s="1"/>
  <c r="E60" i="6"/>
  <c r="E28" i="6"/>
  <c r="E114" i="6"/>
  <c r="E127" i="6"/>
  <c r="G52" i="14"/>
  <c r="D42" i="15" s="1"/>
  <c r="E129" i="6"/>
  <c r="G53" i="14"/>
  <c r="D43" i="15" s="1"/>
  <c r="E122" i="6"/>
  <c r="G101" i="14"/>
  <c r="D88" i="15" s="1"/>
  <c r="E123" i="6"/>
  <c r="G102" i="14"/>
  <c r="D89" i="15" s="1"/>
  <c r="E121" i="6"/>
  <c r="G100" i="14"/>
  <c r="D87" i="15" s="1"/>
  <c r="E105" i="6"/>
  <c r="E104" i="13" s="1"/>
  <c r="G89" i="14"/>
  <c r="D77" i="15" s="1"/>
  <c r="G75" i="14"/>
  <c r="D62" i="15" s="1"/>
  <c r="G72" i="14"/>
  <c r="D59" i="15" s="1"/>
  <c r="E112" i="6"/>
  <c r="G96" i="14"/>
  <c r="D84" i="15" s="1"/>
  <c r="E108" i="6"/>
  <c r="E107" i="13" s="1"/>
  <c r="G92" i="14"/>
  <c r="D80" i="15" s="1"/>
  <c r="E33" i="6"/>
  <c r="G65" i="14"/>
  <c r="D52" i="15" s="1"/>
  <c r="G71" i="14"/>
  <c r="D58" i="15" s="1"/>
  <c r="E24" i="6"/>
  <c r="G62" i="14"/>
  <c r="D49" i="15" s="1"/>
  <c r="E111" i="6"/>
  <c r="E110" i="13" s="1"/>
  <c r="G95" i="14"/>
  <c r="D83" i="15" s="1"/>
  <c r="E106" i="6"/>
  <c r="E105" i="13" s="1"/>
  <c r="G90" i="14"/>
  <c r="D78" i="15" s="1"/>
  <c r="E34" i="6"/>
  <c r="G66" i="14"/>
  <c r="D53" i="15" s="1"/>
  <c r="E82" i="6"/>
  <c r="E81" i="13" s="1"/>
  <c r="G82" i="14"/>
  <c r="D69" i="15" s="1"/>
  <c r="G74" i="14"/>
  <c r="D61" i="15" s="1"/>
  <c r="G70" i="14"/>
  <c r="D57" i="15" s="1"/>
  <c r="E23" i="6"/>
  <c r="G61" i="14"/>
  <c r="D48" i="15" s="1"/>
  <c r="E110" i="6"/>
  <c r="E109" i="13" s="1"/>
  <c r="G94" i="14"/>
  <c r="D82" i="15" s="1"/>
  <c r="E107" i="6"/>
  <c r="E106" i="13" s="1"/>
  <c r="G91" i="14"/>
  <c r="D79" i="15" s="1"/>
  <c r="E35" i="6"/>
  <c r="G67" i="14"/>
  <c r="D54" i="15" s="1"/>
  <c r="E81" i="6"/>
  <c r="E80" i="13" s="1"/>
  <c r="G81" i="14"/>
  <c r="D68" i="15" s="1"/>
  <c r="G76" i="14"/>
  <c r="D63" i="15" s="1"/>
  <c r="G73" i="14"/>
  <c r="D60" i="15" s="1"/>
  <c r="G60" i="14"/>
  <c r="D47" i="15" s="1"/>
  <c r="E113" i="6"/>
  <c r="E109" i="6"/>
  <c r="E108" i="13" s="1"/>
  <c r="G93" i="14"/>
  <c r="D81" i="15" s="1"/>
  <c r="E79" i="6"/>
  <c r="E78" i="13" s="1"/>
  <c r="G80" i="14"/>
  <c r="D67" i="15" s="1"/>
  <c r="BS85" i="6"/>
  <c r="BS84" i="6" s="1"/>
  <c r="BR104" i="6"/>
  <c r="N17" i="1"/>
  <c r="O102" i="6"/>
  <c r="BT85" i="6"/>
  <c r="BT84" i="6" s="1"/>
  <c r="E101" i="6"/>
  <c r="E100" i="13" s="1"/>
  <c r="E103" i="6"/>
  <c r="E102" i="13" s="1"/>
  <c r="E21" i="6"/>
  <c r="U88" i="6"/>
  <c r="Z130" i="6"/>
  <c r="BR130" i="6" s="1"/>
  <c r="Q91" i="6"/>
  <c r="P91" i="6"/>
  <c r="N28" i="1"/>
  <c r="AY130" i="6"/>
  <c r="BT130" i="6" s="1"/>
  <c r="S88" i="6"/>
  <c r="R91" i="6"/>
  <c r="E126" i="6"/>
  <c r="L86" i="6"/>
  <c r="E32" i="6"/>
  <c r="N64" i="1"/>
  <c r="E67" i="19" s="1"/>
  <c r="N100" i="1"/>
  <c r="N95" i="1"/>
  <c r="E94" i="19" s="1"/>
  <c r="N87" i="1"/>
  <c r="E92" i="6"/>
  <c r="M86" i="6"/>
  <c r="M87" i="6"/>
  <c r="K86" i="6"/>
  <c r="L87" i="6"/>
  <c r="K87" i="6"/>
  <c r="T88" i="6"/>
  <c r="N90" i="1"/>
  <c r="E93" i="19" s="1"/>
  <c r="M17" i="1"/>
  <c r="S89" i="6"/>
  <c r="T89" i="6"/>
  <c r="U89" i="6"/>
  <c r="E113" i="13" l="1"/>
  <c r="E112" i="13"/>
  <c r="E111" i="13"/>
  <c r="E122" i="13"/>
  <c r="E114" i="13"/>
  <c r="E120" i="13"/>
  <c r="E121" i="13"/>
  <c r="E126" i="13"/>
  <c r="BP124" i="6"/>
  <c r="U38" i="19"/>
  <c r="E20" i="19"/>
  <c r="U25" i="19"/>
  <c r="L46" i="6"/>
  <c r="L45" i="6" s="1"/>
  <c r="U123" i="19"/>
  <c r="U121" i="19"/>
  <c r="U122" i="19"/>
  <c r="U34" i="19"/>
  <c r="U23" i="19"/>
  <c r="U33" i="19"/>
  <c r="U102" i="19"/>
  <c r="E97" i="6"/>
  <c r="E96" i="13" s="1"/>
  <c r="E97" i="19"/>
  <c r="O92" i="19"/>
  <c r="E90" i="19"/>
  <c r="E104" i="19"/>
  <c r="P22" i="19"/>
  <c r="Q22" i="19" s="1"/>
  <c r="R22" i="19" s="1"/>
  <c r="S22" i="19" s="1"/>
  <c r="T22" i="19" s="1"/>
  <c r="G69" i="14"/>
  <c r="D56" i="15" s="1"/>
  <c r="E62" i="19"/>
  <c r="P21" i="19"/>
  <c r="O20" i="19"/>
  <c r="U46" i="19"/>
  <c r="U45" i="19" s="1"/>
  <c r="L45" i="19"/>
  <c r="L29" i="19" s="1"/>
  <c r="L19" i="19" s="1"/>
  <c r="Q93" i="19"/>
  <c r="T93" i="19"/>
  <c r="G126" i="14"/>
  <c r="E37" i="19"/>
  <c r="E120" i="6"/>
  <c r="E120" i="19"/>
  <c r="T94" i="19"/>
  <c r="Q94" i="19"/>
  <c r="E73" i="19"/>
  <c r="U103" i="19"/>
  <c r="O100" i="19"/>
  <c r="E96" i="6"/>
  <c r="E95" i="13" s="1"/>
  <c r="E96" i="19"/>
  <c r="H20" i="14"/>
  <c r="D12" i="15" s="1"/>
  <c r="E95" i="19"/>
  <c r="N27" i="1"/>
  <c r="E31" i="19"/>
  <c r="M81" i="1"/>
  <c r="M80" i="1" s="1"/>
  <c r="Q100" i="19"/>
  <c r="R101" i="19"/>
  <c r="E128" i="13"/>
  <c r="E128" i="6"/>
  <c r="E125" i="13"/>
  <c r="E125" i="6"/>
  <c r="D37" i="15"/>
  <c r="M37" i="1"/>
  <c r="G127" i="14"/>
  <c r="D103" i="15" s="1"/>
  <c r="K46" i="6"/>
  <c r="K45" i="6" s="1"/>
  <c r="J46" i="6"/>
  <c r="J45" i="6" s="1"/>
  <c r="N70" i="1"/>
  <c r="G77" i="14"/>
  <c r="D64" i="15" s="1"/>
  <c r="G99" i="14"/>
  <c r="D86" i="15" s="1"/>
  <c r="E93" i="6"/>
  <c r="R93" i="6" s="1"/>
  <c r="N40" i="1"/>
  <c r="H30" i="14"/>
  <c r="D23" i="15" s="1"/>
  <c r="D22" i="15"/>
  <c r="E37" i="6"/>
  <c r="E36" i="13" s="1"/>
  <c r="E90" i="6"/>
  <c r="E84" i="13"/>
  <c r="E22" i="13"/>
  <c r="E20" i="13"/>
  <c r="E34" i="13"/>
  <c r="E33" i="13"/>
  <c r="E37" i="13"/>
  <c r="E62" i="13"/>
  <c r="E63" i="13"/>
  <c r="E25" i="13"/>
  <c r="BP54" i="6"/>
  <c r="E31" i="13"/>
  <c r="E32" i="13"/>
  <c r="E38" i="13"/>
  <c r="E69" i="13"/>
  <c r="E26" i="13"/>
  <c r="E68" i="13"/>
  <c r="E23" i="13"/>
  <c r="E27" i="13"/>
  <c r="E58" i="13"/>
  <c r="E64" i="13"/>
  <c r="E71" i="13"/>
  <c r="E59" i="13"/>
  <c r="E24" i="13"/>
  <c r="E70" i="13"/>
  <c r="N81" i="1"/>
  <c r="N80" i="1" s="1"/>
  <c r="C7" i="8" s="1"/>
  <c r="D76" i="15"/>
  <c r="E91" i="13"/>
  <c r="E100" i="6"/>
  <c r="M25" i="6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L39" i="6"/>
  <c r="E104" i="6"/>
  <c r="E58" i="6"/>
  <c r="M26" i="6"/>
  <c r="N26" i="6" s="1"/>
  <c r="O26" i="6" s="1"/>
  <c r="P26" i="6" s="1"/>
  <c r="Q26" i="6" s="1"/>
  <c r="R26" i="6" s="1"/>
  <c r="S26" i="6" s="1"/>
  <c r="T26" i="6" s="1"/>
  <c r="BA115" i="6"/>
  <c r="BB115" i="6" s="1"/>
  <c r="Y69" i="6"/>
  <c r="Z69" i="6" s="1"/>
  <c r="BR69" i="6" s="1"/>
  <c r="BV69" i="6" s="1"/>
  <c r="E41" i="6"/>
  <c r="M38" i="1"/>
  <c r="M33" i="1" s="1"/>
  <c r="D10" i="15"/>
  <c r="N22" i="6"/>
  <c r="O22" i="6" s="1"/>
  <c r="P22" i="6" s="1"/>
  <c r="Q22" i="6" s="1"/>
  <c r="R22" i="6" s="1"/>
  <c r="S22" i="6" s="1"/>
  <c r="T85" i="6"/>
  <c r="T84" i="6" s="1"/>
  <c r="M85" i="6"/>
  <c r="K85" i="6"/>
  <c r="K84" i="6" s="1"/>
  <c r="K83" i="6" s="1"/>
  <c r="S85" i="6"/>
  <c r="S84" i="6" s="1"/>
  <c r="U85" i="6"/>
  <c r="U84" i="6" s="1"/>
  <c r="L85" i="6"/>
  <c r="E20" i="6"/>
  <c r="E19" i="13" s="1"/>
  <c r="AD76" i="6"/>
  <c r="AD73" i="6" s="1"/>
  <c r="E78" i="6"/>
  <c r="E77" i="13" s="1"/>
  <c r="N74" i="1"/>
  <c r="N33" i="1"/>
  <c r="L27" i="6"/>
  <c r="V64" i="6"/>
  <c r="Y72" i="6"/>
  <c r="AT109" i="6"/>
  <c r="AU109" i="6" s="1"/>
  <c r="BO109" i="6" s="1"/>
  <c r="AT113" i="6"/>
  <c r="AU113" i="6" s="1"/>
  <c r="BT113" i="6" s="1"/>
  <c r="BV113" i="6" s="1"/>
  <c r="J121" i="6"/>
  <c r="E62" i="6"/>
  <c r="AJ126" i="6"/>
  <c r="E74" i="6"/>
  <c r="AG81" i="6"/>
  <c r="AH81" i="6" s="1"/>
  <c r="AI81" i="6" s="1"/>
  <c r="AG82" i="6"/>
  <c r="AH82" i="6" s="1"/>
  <c r="AI82" i="6" s="1"/>
  <c r="BO82" i="6" s="1"/>
  <c r="N63" i="1"/>
  <c r="E66" i="19" s="1"/>
  <c r="G54" i="14"/>
  <c r="G122" i="14" s="1"/>
  <c r="M44" i="1"/>
  <c r="N45" i="1"/>
  <c r="N44" i="1" s="1"/>
  <c r="E47" i="19" s="1"/>
  <c r="E45" i="19" s="1"/>
  <c r="P23" i="6"/>
  <c r="Q23" i="6" s="1"/>
  <c r="R23" i="6" s="1"/>
  <c r="S23" i="6" s="1"/>
  <c r="T23" i="6" s="1"/>
  <c r="U23" i="6" s="1"/>
  <c r="V23" i="6" s="1"/>
  <c r="W23" i="6" s="1"/>
  <c r="X23" i="6" s="1"/>
  <c r="Y23" i="6" s="1"/>
  <c r="M21" i="6"/>
  <c r="J120" i="6"/>
  <c r="K120" i="6" s="1"/>
  <c r="L120" i="6" s="1"/>
  <c r="M120" i="6" s="1"/>
  <c r="BQ120" i="6" s="1"/>
  <c r="E119" i="6"/>
  <c r="G79" i="14"/>
  <c r="D66" i="15" s="1"/>
  <c r="E40" i="6"/>
  <c r="L28" i="6"/>
  <c r="AK80" i="6"/>
  <c r="AM80" i="6"/>
  <c r="AM77" i="6" s="1"/>
  <c r="BK127" i="6"/>
  <c r="BK125" i="6" s="1"/>
  <c r="X59" i="6"/>
  <c r="P34" i="6"/>
  <c r="Q34" i="6" s="1"/>
  <c r="R34" i="6" s="1"/>
  <c r="S34" i="6" s="1"/>
  <c r="T34" i="6" s="1"/>
  <c r="U34" i="6" s="1"/>
  <c r="V34" i="6" s="1"/>
  <c r="W34" i="6" s="1"/>
  <c r="X34" i="6" s="1"/>
  <c r="Y34" i="6" s="1"/>
  <c r="R55" i="6"/>
  <c r="O55" i="6"/>
  <c r="X60" i="6"/>
  <c r="Y60" i="6" s="1"/>
  <c r="Z60" i="6" s="1"/>
  <c r="AA60" i="6" s="1"/>
  <c r="BR60" i="6" s="1"/>
  <c r="E94" i="6"/>
  <c r="H19" i="14"/>
  <c r="D11" i="15" s="1"/>
  <c r="O56" i="6"/>
  <c r="E95" i="6"/>
  <c r="E94" i="13" s="1"/>
  <c r="R56" i="6"/>
  <c r="AY114" i="6"/>
  <c r="AY104" i="6" s="1"/>
  <c r="AY83" i="6" s="1"/>
  <c r="L38" i="6"/>
  <c r="P24" i="6"/>
  <c r="Q24" i="6" s="1"/>
  <c r="R24" i="6" s="1"/>
  <c r="BQ24" i="6" s="1"/>
  <c r="BL127" i="6"/>
  <c r="BL125" i="6" s="1"/>
  <c r="BI127" i="6"/>
  <c r="V63" i="6"/>
  <c r="E44" i="6"/>
  <c r="S129" i="6"/>
  <c r="AO107" i="6"/>
  <c r="AP107" i="6" s="1"/>
  <c r="BO107" i="6" s="1"/>
  <c r="V129" i="6"/>
  <c r="AU111" i="6"/>
  <c r="AV111" i="6" s="1"/>
  <c r="AV104" i="6" s="1"/>
  <c r="AV83" i="6" s="1"/>
  <c r="Y70" i="6"/>
  <c r="AW112" i="6"/>
  <c r="BO112" i="6" s="1"/>
  <c r="AG117" i="6"/>
  <c r="AO108" i="6"/>
  <c r="AP108" i="6" s="1"/>
  <c r="BO108" i="6" s="1"/>
  <c r="J122" i="6"/>
  <c r="AI105" i="6"/>
  <c r="AJ105" i="6" s="1"/>
  <c r="AO106" i="6"/>
  <c r="AP106" i="6" s="1"/>
  <c r="Y65" i="6"/>
  <c r="J123" i="6"/>
  <c r="AT110" i="6"/>
  <c r="AU110" i="6" s="1"/>
  <c r="BO110" i="6" s="1"/>
  <c r="P35" i="6"/>
  <c r="Q35" i="6" s="1"/>
  <c r="R35" i="6" s="1"/>
  <c r="S35" i="6" s="1"/>
  <c r="T35" i="6" s="1"/>
  <c r="U35" i="6" s="1"/>
  <c r="V35" i="6" s="1"/>
  <c r="W35" i="6" s="1"/>
  <c r="X35" i="6" s="1"/>
  <c r="Y35" i="6" s="1"/>
  <c r="Z35" i="6" s="1"/>
  <c r="Z30" i="6" s="1"/>
  <c r="Y71" i="6"/>
  <c r="P33" i="6"/>
  <c r="Q33" i="6" s="1"/>
  <c r="R33" i="6" s="1"/>
  <c r="S33" i="6" s="1"/>
  <c r="T33" i="6" s="1"/>
  <c r="U33" i="6" s="1"/>
  <c r="V33" i="6" s="1"/>
  <c r="W33" i="6" s="1"/>
  <c r="X33" i="6" s="1"/>
  <c r="Y33" i="6" s="1"/>
  <c r="AG79" i="6"/>
  <c r="AH79" i="6" s="1"/>
  <c r="AI79" i="6" s="1"/>
  <c r="E31" i="6"/>
  <c r="G63" i="14"/>
  <c r="D50" i="15" s="1"/>
  <c r="H12" i="14"/>
  <c r="H13" i="14" s="1"/>
  <c r="G119" i="14" s="1"/>
  <c r="M103" i="6"/>
  <c r="BQ103" i="6" s="1"/>
  <c r="P102" i="6"/>
  <c r="O101" i="6"/>
  <c r="M92" i="6"/>
  <c r="M90" i="6" s="1"/>
  <c r="BO130" i="6"/>
  <c r="BQ86" i="6"/>
  <c r="BV86" i="6" s="1"/>
  <c r="BO91" i="6"/>
  <c r="N97" i="6"/>
  <c r="BR97" i="6" s="1"/>
  <c r="L97" i="6"/>
  <c r="BO87" i="6"/>
  <c r="BR91" i="6"/>
  <c r="BO88" i="6"/>
  <c r="AL126" i="6"/>
  <c r="AL125" i="6" s="1"/>
  <c r="AM126" i="6"/>
  <c r="AM125" i="6" s="1"/>
  <c r="BR88" i="6"/>
  <c r="BV88" i="6" s="1"/>
  <c r="BO86" i="6"/>
  <c r="K32" i="6"/>
  <c r="L32" i="6" s="1"/>
  <c r="BQ87" i="6"/>
  <c r="BV87" i="6" s="1"/>
  <c r="BU124" i="6"/>
  <c r="BV124" i="6" s="1"/>
  <c r="BW124" i="6" s="1"/>
  <c r="AE75" i="6"/>
  <c r="BR52" i="6"/>
  <c r="BV52" i="6" s="1"/>
  <c r="BW52" i="6" s="1"/>
  <c r="K9" i="8"/>
  <c r="BV130" i="6"/>
  <c r="BR89" i="6"/>
  <c r="BV89" i="6" s="1"/>
  <c r="BO89" i="6"/>
  <c r="BW130" i="6" l="1"/>
  <c r="BP130" i="6"/>
  <c r="E118" i="6"/>
  <c r="E127" i="13"/>
  <c r="BP112" i="6"/>
  <c r="E119" i="13"/>
  <c r="O93" i="6"/>
  <c r="BO93" i="6" s="1"/>
  <c r="E124" i="13"/>
  <c r="U94" i="19"/>
  <c r="O96" i="6"/>
  <c r="BR96" i="6" s="1"/>
  <c r="L96" i="6"/>
  <c r="BQ96" i="6" s="1"/>
  <c r="BV96" i="6" s="1"/>
  <c r="U22" i="19"/>
  <c r="M31" i="19"/>
  <c r="E30" i="19"/>
  <c r="Q96" i="19"/>
  <c r="N96" i="19"/>
  <c r="L120" i="19"/>
  <c r="E119" i="19"/>
  <c r="E84" i="19"/>
  <c r="E83" i="19" s="1"/>
  <c r="S101" i="19"/>
  <c r="R100" i="19"/>
  <c r="U93" i="19"/>
  <c r="Q21" i="19"/>
  <c r="P20" i="19"/>
  <c r="O90" i="19"/>
  <c r="O84" i="19" s="1"/>
  <c r="O83" i="19" s="1"/>
  <c r="P92" i="19"/>
  <c r="T95" i="19"/>
  <c r="Q95" i="19"/>
  <c r="E36" i="19"/>
  <c r="N37" i="19"/>
  <c r="E61" i="19"/>
  <c r="P97" i="19"/>
  <c r="N97" i="19"/>
  <c r="BP86" i="6"/>
  <c r="BW86" i="6"/>
  <c r="BW88" i="6"/>
  <c r="BP88" i="6"/>
  <c r="BP110" i="6"/>
  <c r="BP107" i="6"/>
  <c r="BI125" i="6"/>
  <c r="BU127" i="6"/>
  <c r="BS126" i="6"/>
  <c r="AJ125" i="6"/>
  <c r="BP109" i="6"/>
  <c r="BP89" i="6"/>
  <c r="BW89" i="6"/>
  <c r="BP91" i="6"/>
  <c r="K123" i="6"/>
  <c r="L123" i="6" s="1"/>
  <c r="M123" i="6" s="1"/>
  <c r="N123" i="6" s="1"/>
  <c r="K122" i="6"/>
  <c r="L122" i="6" s="1"/>
  <c r="M122" i="6" s="1"/>
  <c r="N122" i="6" s="1"/>
  <c r="BR129" i="6"/>
  <c r="S128" i="6"/>
  <c r="BP82" i="6"/>
  <c r="BW87" i="6"/>
  <c r="BP87" i="6"/>
  <c r="BP108" i="6"/>
  <c r="K121" i="6"/>
  <c r="L121" i="6" s="1"/>
  <c r="AH117" i="6"/>
  <c r="AH116" i="6" s="1"/>
  <c r="AG116" i="6"/>
  <c r="AI129" i="6"/>
  <c r="AT129" i="6" s="1"/>
  <c r="V128" i="6"/>
  <c r="E89" i="13"/>
  <c r="M39" i="6"/>
  <c r="N39" i="6" s="1"/>
  <c r="O39" i="6" s="1"/>
  <c r="P39" i="6" s="1"/>
  <c r="Q39" i="6" s="1"/>
  <c r="R39" i="6" s="1"/>
  <c r="S39" i="6" s="1"/>
  <c r="T39" i="6" s="1"/>
  <c r="U39" i="6" s="1"/>
  <c r="V39" i="6" s="1"/>
  <c r="W39" i="6" s="1"/>
  <c r="X39" i="6" s="1"/>
  <c r="Y39" i="6" s="1"/>
  <c r="D9" i="15"/>
  <c r="BQ46" i="6"/>
  <c r="BV46" i="6" s="1"/>
  <c r="BO46" i="6"/>
  <c r="BP46" i="6" s="1"/>
  <c r="D45" i="15"/>
  <c r="E92" i="13"/>
  <c r="H24" i="14"/>
  <c r="G103" i="14"/>
  <c r="G123" i="14" s="1"/>
  <c r="D24" i="15"/>
  <c r="D21" i="15" s="1"/>
  <c r="L37" i="6"/>
  <c r="M37" i="6" s="1"/>
  <c r="N37" i="6" s="1"/>
  <c r="E84" i="6"/>
  <c r="M84" i="6"/>
  <c r="E118" i="13"/>
  <c r="BO97" i="6"/>
  <c r="BQ97" i="6"/>
  <c r="BV97" i="6" s="1"/>
  <c r="BQ92" i="6"/>
  <c r="BQ90" i="6" s="1"/>
  <c r="E30" i="13"/>
  <c r="E61" i="13"/>
  <c r="E73" i="13"/>
  <c r="E73" i="6"/>
  <c r="E57" i="13"/>
  <c r="E99" i="13"/>
  <c r="E43" i="13"/>
  <c r="E103" i="13"/>
  <c r="BA104" i="6"/>
  <c r="BA83" i="6" s="1"/>
  <c r="E40" i="13"/>
  <c r="E39" i="13"/>
  <c r="BU42" i="6"/>
  <c r="BV42" i="6" s="1"/>
  <c r="E93" i="13"/>
  <c r="Y30" i="6"/>
  <c r="R45" i="6"/>
  <c r="E43" i="6"/>
  <c r="O45" i="6"/>
  <c r="Y59" i="6"/>
  <c r="Y58" i="6" s="1"/>
  <c r="X58" i="6"/>
  <c r="E36" i="6"/>
  <c r="E30" i="6"/>
  <c r="L20" i="6"/>
  <c r="BV91" i="6"/>
  <c r="BW91" i="6" s="1"/>
  <c r="M26" i="1"/>
  <c r="M16" i="1" s="1"/>
  <c r="M173" i="1" s="1"/>
  <c r="M42" i="1"/>
  <c r="AE78" i="6"/>
  <c r="AE77" i="6" s="1"/>
  <c r="E77" i="6"/>
  <c r="N42" i="1"/>
  <c r="E47" i="6"/>
  <c r="BQ22" i="6"/>
  <c r="T22" i="6"/>
  <c r="U22" i="6" s="1"/>
  <c r="V22" i="6" s="1"/>
  <c r="W22" i="6" s="1"/>
  <c r="X22" i="6" s="1"/>
  <c r="V44" i="6"/>
  <c r="V43" i="6" s="1"/>
  <c r="AE76" i="6"/>
  <c r="AF76" i="6" s="1"/>
  <c r="BS76" i="6" s="1"/>
  <c r="BR76" i="6"/>
  <c r="BR73" i="6" s="1"/>
  <c r="BO85" i="6"/>
  <c r="M27" i="6"/>
  <c r="N27" i="6" s="1"/>
  <c r="O27" i="6" s="1"/>
  <c r="P27" i="6" s="1"/>
  <c r="Q27" i="6" s="1"/>
  <c r="R27" i="6" s="1"/>
  <c r="S27" i="6" s="1"/>
  <c r="T27" i="6" s="1"/>
  <c r="U27" i="6" s="1"/>
  <c r="V27" i="6" s="1"/>
  <c r="W27" i="6" s="1"/>
  <c r="X27" i="6" s="1"/>
  <c r="Y27" i="6" s="1"/>
  <c r="Z27" i="6" s="1"/>
  <c r="AA27" i="6" s="1"/>
  <c r="AB27" i="6" s="1"/>
  <c r="N21" i="6"/>
  <c r="O21" i="6" s="1"/>
  <c r="Z23" i="6"/>
  <c r="BS81" i="6"/>
  <c r="BV81" i="6" s="1"/>
  <c r="N120" i="6"/>
  <c r="O120" i="6" s="1"/>
  <c r="BO81" i="6"/>
  <c r="BT111" i="6"/>
  <c r="BV111" i="6" s="1"/>
  <c r="BQ39" i="6"/>
  <c r="O45" i="1"/>
  <c r="N58" i="1"/>
  <c r="M28" i="6"/>
  <c r="N28" i="6" s="1"/>
  <c r="O28" i="6" s="1"/>
  <c r="P28" i="6" s="1"/>
  <c r="Q28" i="6" s="1"/>
  <c r="R28" i="6" s="1"/>
  <c r="S28" i="6" s="1"/>
  <c r="T28" i="6" s="1"/>
  <c r="U28" i="6" s="1"/>
  <c r="V28" i="6" s="1"/>
  <c r="W28" i="6" s="1"/>
  <c r="X28" i="6" s="1"/>
  <c r="Y28" i="6" s="1"/>
  <c r="Z28" i="6" s="1"/>
  <c r="AA28" i="6" s="1"/>
  <c r="AB28" i="6" s="1"/>
  <c r="AC28" i="6" s="1"/>
  <c r="AD28" i="6" s="1"/>
  <c r="AE28" i="6" s="1"/>
  <c r="Z39" i="6"/>
  <c r="BS82" i="6"/>
  <c r="BV82" i="6" s="1"/>
  <c r="BW82" i="6" s="1"/>
  <c r="BO56" i="6"/>
  <c r="Z65" i="6"/>
  <c r="AA65" i="6" s="1"/>
  <c r="AB65" i="6" s="1"/>
  <c r="AC65" i="6" s="1"/>
  <c r="W63" i="6"/>
  <c r="X63" i="6" s="1"/>
  <c r="Y63" i="6" s="1"/>
  <c r="Z63" i="6" s="1"/>
  <c r="AA63" i="6" s="1"/>
  <c r="AB63" i="6" s="1"/>
  <c r="AC63" i="6" s="1"/>
  <c r="AD63" i="6" s="1"/>
  <c r="AE63" i="6" s="1"/>
  <c r="V62" i="6"/>
  <c r="V61" i="6" s="1"/>
  <c r="BO55" i="6"/>
  <c r="W64" i="6"/>
  <c r="X64" i="6" s="1"/>
  <c r="Y64" i="6" s="1"/>
  <c r="Z64" i="6" s="1"/>
  <c r="AA64" i="6" s="1"/>
  <c r="AB64" i="6" s="1"/>
  <c r="AC64" i="6" s="1"/>
  <c r="AD64" i="6" s="1"/>
  <c r="AE64" i="6" s="1"/>
  <c r="BR56" i="6"/>
  <c r="BV56" i="6" s="1"/>
  <c r="X44" i="6"/>
  <c r="X43" i="6" s="1"/>
  <c r="Z72" i="6"/>
  <c r="AA72" i="6" s="1"/>
  <c r="AB72" i="6" s="1"/>
  <c r="AC72" i="6" s="1"/>
  <c r="O94" i="6"/>
  <c r="Z70" i="6"/>
  <c r="AA70" i="6" s="1"/>
  <c r="AB70" i="6" s="1"/>
  <c r="AC70" i="6" s="1"/>
  <c r="AD70" i="6" s="1"/>
  <c r="AE70" i="6" s="1"/>
  <c r="BS70" i="6" s="1"/>
  <c r="E66" i="6"/>
  <c r="AE74" i="6"/>
  <c r="AE73" i="6" s="1"/>
  <c r="BO69" i="6"/>
  <c r="Z71" i="6"/>
  <c r="AA71" i="6" s="1"/>
  <c r="AB71" i="6" s="1"/>
  <c r="AC71" i="6" s="1"/>
  <c r="BO71" i="6" s="1"/>
  <c r="BQ23" i="6"/>
  <c r="M38" i="6"/>
  <c r="N38" i="6" s="1"/>
  <c r="O38" i="6" s="1"/>
  <c r="P38" i="6" s="1"/>
  <c r="Q38" i="6" s="1"/>
  <c r="R38" i="6" s="1"/>
  <c r="BQ38" i="6" s="1"/>
  <c r="BO50" i="6"/>
  <c r="BO111" i="6"/>
  <c r="BW111" i="6" s="1"/>
  <c r="BO80" i="6"/>
  <c r="BS80" i="6"/>
  <c r="BV80" i="6" s="1"/>
  <c r="BR54" i="6"/>
  <c r="BV54" i="6" s="1"/>
  <c r="BW54" i="6" s="1"/>
  <c r="BO34" i="6"/>
  <c r="BR34" i="6"/>
  <c r="BV34" i="6" s="1"/>
  <c r="D19" i="15"/>
  <c r="D18" i="15" s="1"/>
  <c r="BR55" i="6"/>
  <c r="BV55" i="6" s="1"/>
  <c r="AZ114" i="6"/>
  <c r="BT114" i="6" s="1"/>
  <c r="O95" i="6"/>
  <c r="R95" i="6"/>
  <c r="R94" i="6"/>
  <c r="AT104" i="6"/>
  <c r="AT83" i="6" s="1"/>
  <c r="BO106" i="6"/>
  <c r="BS106" i="6"/>
  <c r="BV106" i="6" s="1"/>
  <c r="BO127" i="6"/>
  <c r="BT112" i="6"/>
  <c r="BV112" i="6" s="1"/>
  <c r="BW112" i="6" s="1"/>
  <c r="AW104" i="6"/>
  <c r="AW83" i="6" s="1"/>
  <c r="BT110" i="6"/>
  <c r="BV110" i="6" s="1"/>
  <c r="BW110" i="6" s="1"/>
  <c r="BO103" i="6"/>
  <c r="AO104" i="6"/>
  <c r="AO83" i="6" s="1"/>
  <c r="AG104" i="6"/>
  <c r="AG83" i="6" s="1"/>
  <c r="N92" i="6"/>
  <c r="N90" i="6" s="1"/>
  <c r="N84" i="6" s="1"/>
  <c r="N83" i="6" s="1"/>
  <c r="K31" i="6"/>
  <c r="K30" i="6" s="1"/>
  <c r="J119" i="6"/>
  <c r="J118" i="6" s="1"/>
  <c r="M100" i="6"/>
  <c r="Q102" i="6"/>
  <c r="BQ100" i="6"/>
  <c r="BV103" i="6"/>
  <c r="O100" i="6"/>
  <c r="P101" i="6"/>
  <c r="BO126" i="6"/>
  <c r="BO68" i="6"/>
  <c r="BQ26" i="6"/>
  <c r="S24" i="6"/>
  <c r="T24" i="6" s="1"/>
  <c r="U24" i="6" s="1"/>
  <c r="V24" i="6" s="1"/>
  <c r="W24" i="6" s="1"/>
  <c r="X24" i="6" s="1"/>
  <c r="Y24" i="6" s="1"/>
  <c r="Z24" i="6" s="1"/>
  <c r="BQ122" i="6"/>
  <c r="BQ85" i="6"/>
  <c r="BT109" i="6"/>
  <c r="BV109" i="6" s="1"/>
  <c r="BW109" i="6" s="1"/>
  <c r="AU104" i="6"/>
  <c r="AU83" i="6" s="1"/>
  <c r="BR33" i="6"/>
  <c r="BV33" i="6" s="1"/>
  <c r="BO33" i="6"/>
  <c r="AH104" i="6"/>
  <c r="BQ25" i="6"/>
  <c r="AF75" i="6"/>
  <c r="BQ123" i="6"/>
  <c r="BS108" i="6"/>
  <c r="BV108" i="6" s="1"/>
  <c r="BW108" i="6" s="1"/>
  <c r="BO113" i="6"/>
  <c r="BS107" i="6"/>
  <c r="BV107" i="6" s="1"/>
  <c r="BW107" i="6" s="1"/>
  <c r="AP104" i="6"/>
  <c r="AP83" i="6" s="1"/>
  <c r="O123" i="6"/>
  <c r="P123" i="6" s="1"/>
  <c r="Q123" i="6" s="1"/>
  <c r="R123" i="6" s="1"/>
  <c r="S123" i="6" s="1"/>
  <c r="T123" i="6" s="1"/>
  <c r="U123" i="6" s="1"/>
  <c r="V123" i="6" s="1"/>
  <c r="W123" i="6" s="1"/>
  <c r="X123" i="6" s="1"/>
  <c r="Y123" i="6" s="1"/>
  <c r="Z123" i="6" s="1"/>
  <c r="AA123" i="6" s="1"/>
  <c r="AB123" i="6" s="1"/>
  <c r="AC123" i="6" s="1"/>
  <c r="AD123" i="6" s="1"/>
  <c r="AE123" i="6" s="1"/>
  <c r="AF123" i="6" s="1"/>
  <c r="AG123" i="6" s="1"/>
  <c r="AH123" i="6" s="1"/>
  <c r="AI123" i="6" s="1"/>
  <c r="AJ123" i="6" s="1"/>
  <c r="AK123" i="6" s="1"/>
  <c r="AL123" i="6" s="1"/>
  <c r="AM123" i="6" s="1"/>
  <c r="AN123" i="6" s="1"/>
  <c r="AO123" i="6" s="1"/>
  <c r="AP123" i="6" s="1"/>
  <c r="AQ123" i="6" s="1"/>
  <c r="AK105" i="6"/>
  <c r="K119" i="6"/>
  <c r="K118" i="6" s="1"/>
  <c r="BV60" i="6"/>
  <c r="BO67" i="6"/>
  <c r="AJ79" i="6"/>
  <c r="BV85" i="6"/>
  <c r="BR85" i="6"/>
  <c r="AA35" i="6"/>
  <c r="AA30" i="6" s="1"/>
  <c r="M32" i="6"/>
  <c r="BQ32" i="6" s="1"/>
  <c r="BB104" i="6"/>
  <c r="BB83" i="6" s="1"/>
  <c r="BK115" i="6"/>
  <c r="U26" i="6"/>
  <c r="V26" i="6" s="1"/>
  <c r="W26" i="6" s="1"/>
  <c r="X26" i="6" s="1"/>
  <c r="M121" i="6"/>
  <c r="L119" i="6"/>
  <c r="L118" i="6" s="1"/>
  <c r="BT115" i="6"/>
  <c r="BO60" i="6"/>
  <c r="X25" i="6"/>
  <c r="BR25" i="6" s="1"/>
  <c r="O122" i="6"/>
  <c r="BP126" i="6" l="1"/>
  <c r="BP127" i="6"/>
  <c r="BO96" i="6"/>
  <c r="BR93" i="6"/>
  <c r="BV93" i="6" s="1"/>
  <c r="L84" i="6"/>
  <c r="L83" i="6" s="1"/>
  <c r="BW113" i="6"/>
  <c r="BP113" i="6"/>
  <c r="AH83" i="6"/>
  <c r="AI117" i="6"/>
  <c r="AI116" i="6" s="1"/>
  <c r="U95" i="19"/>
  <c r="T101" i="19"/>
  <c r="T100" i="19" s="1"/>
  <c r="S100" i="19"/>
  <c r="U96" i="19"/>
  <c r="N84" i="19"/>
  <c r="N83" i="19" s="1"/>
  <c r="U97" i="19"/>
  <c r="O37" i="19"/>
  <c r="N36" i="19"/>
  <c r="R21" i="19"/>
  <c r="Q20" i="19"/>
  <c r="P90" i="19"/>
  <c r="P84" i="19" s="1"/>
  <c r="P83" i="19" s="1"/>
  <c r="Q92" i="19"/>
  <c r="E29" i="19"/>
  <c r="E19" i="19" s="1"/>
  <c r="E131" i="19" s="1"/>
  <c r="M120" i="19"/>
  <c r="L119" i="19"/>
  <c r="N31" i="19"/>
  <c r="M30" i="19"/>
  <c r="M29" i="19" s="1"/>
  <c r="M19" i="19" s="1"/>
  <c r="BO125" i="6"/>
  <c r="BW103" i="6"/>
  <c r="BP103" i="6"/>
  <c r="BF129" i="6"/>
  <c r="BM129" i="6" s="1"/>
  <c r="BM128" i="6" s="1"/>
  <c r="BT129" i="6"/>
  <c r="BT128" i="6" s="1"/>
  <c r="AT128" i="6"/>
  <c r="BP111" i="6"/>
  <c r="BW85" i="6"/>
  <c r="BP85" i="6"/>
  <c r="E76" i="13"/>
  <c r="BP97" i="6"/>
  <c r="BW97" i="6"/>
  <c r="M83" i="6"/>
  <c r="BV127" i="6"/>
  <c r="BW127" i="6" s="1"/>
  <c r="BU125" i="6"/>
  <c r="BW96" i="6"/>
  <c r="BP96" i="6"/>
  <c r="BP106" i="6"/>
  <c r="BW106" i="6"/>
  <c r="BP81" i="6"/>
  <c r="BW81" i="6"/>
  <c r="BP93" i="6"/>
  <c r="BW93" i="6"/>
  <c r="E83" i="6"/>
  <c r="AI128" i="6"/>
  <c r="BS129" i="6"/>
  <c r="BS128" i="6" s="1"/>
  <c r="BW80" i="6"/>
  <c r="BP80" i="6"/>
  <c r="BR128" i="6"/>
  <c r="BV126" i="6"/>
  <c r="BV125" i="6" s="1"/>
  <c r="BS125" i="6"/>
  <c r="BW46" i="6"/>
  <c r="BQ45" i="6"/>
  <c r="H43" i="14"/>
  <c r="G121" i="14" s="1"/>
  <c r="D102" i="15"/>
  <c r="D104" i="15" s="1"/>
  <c r="BQ84" i="6"/>
  <c r="BQ83" i="6" s="1"/>
  <c r="F7" i="8" s="1"/>
  <c r="BR95" i="6"/>
  <c r="BV95" i="6" s="1"/>
  <c r="BO95" i="6"/>
  <c r="BO94" i="6"/>
  <c r="BR94" i="6"/>
  <c r="BV94" i="6" s="1"/>
  <c r="BW60" i="6"/>
  <c r="BP60" i="6"/>
  <c r="BW33" i="6"/>
  <c r="BP33" i="6"/>
  <c r="BW68" i="6"/>
  <c r="BP68" i="6"/>
  <c r="E65" i="13"/>
  <c r="BW55" i="6"/>
  <c r="BP55" i="6"/>
  <c r="BW56" i="6"/>
  <c r="BP56" i="6"/>
  <c r="BW34" i="6"/>
  <c r="BP34" i="6"/>
  <c r="BP71" i="6"/>
  <c r="E46" i="13"/>
  <c r="BW67" i="6"/>
  <c r="BP67" i="6"/>
  <c r="BP50" i="6"/>
  <c r="BW50" i="6"/>
  <c r="BW69" i="6"/>
  <c r="BP69" i="6"/>
  <c r="E29" i="13"/>
  <c r="E35" i="13"/>
  <c r="E42" i="13"/>
  <c r="BW42" i="6"/>
  <c r="BP42" i="6"/>
  <c r="E83" i="13"/>
  <c r="AF74" i="6"/>
  <c r="AF73" i="6" s="1"/>
  <c r="E117" i="13"/>
  <c r="Z59" i="6"/>
  <c r="Z58" i="6" s="1"/>
  <c r="H36" i="6"/>
  <c r="H29" i="6" s="1"/>
  <c r="H19" i="6" s="1"/>
  <c r="H131" i="6" s="1"/>
  <c r="BO76" i="6"/>
  <c r="BP76" i="6" s="1"/>
  <c r="E45" i="6"/>
  <c r="E61" i="6"/>
  <c r="AF78" i="6"/>
  <c r="AF77" i="6" s="1"/>
  <c r="O20" i="6"/>
  <c r="Y20" i="6"/>
  <c r="N20" i="6"/>
  <c r="AA23" i="6"/>
  <c r="BR23" i="6" s="1"/>
  <c r="BV23" i="6" s="1"/>
  <c r="Z20" i="6"/>
  <c r="AC27" i="6"/>
  <c r="AC20" i="6" s="1"/>
  <c r="AB20" i="6"/>
  <c r="M20" i="6"/>
  <c r="O92" i="6"/>
  <c r="O90" i="6" s="1"/>
  <c r="O84" i="6" s="1"/>
  <c r="O83" i="6" s="1"/>
  <c r="N26" i="1"/>
  <c r="BO22" i="6"/>
  <c r="BP22" i="6" s="1"/>
  <c r="BR22" i="6"/>
  <c r="BV22" i="6" s="1"/>
  <c r="W47" i="6"/>
  <c r="W45" i="6" s="1"/>
  <c r="AC47" i="6"/>
  <c r="AC45" i="6" s="1"/>
  <c r="T47" i="6"/>
  <c r="T45" i="6" s="1"/>
  <c r="AA47" i="6"/>
  <c r="AA45" i="6" s="1"/>
  <c r="Y47" i="6"/>
  <c r="Y45" i="6" s="1"/>
  <c r="BR44" i="6"/>
  <c r="BV76" i="6"/>
  <c r="BQ27" i="6"/>
  <c r="L31" i="6"/>
  <c r="L30" i="6" s="1"/>
  <c r="BQ28" i="6"/>
  <c r="AA39" i="6"/>
  <c r="Y66" i="6"/>
  <c r="W66" i="6"/>
  <c r="AC66" i="6"/>
  <c r="BI114" i="6"/>
  <c r="BI104" i="6" s="1"/>
  <c r="BI83" i="6" s="1"/>
  <c r="BR63" i="6"/>
  <c r="T66" i="6"/>
  <c r="T61" i="6" s="1"/>
  <c r="BR72" i="6"/>
  <c r="BV72" i="6" s="1"/>
  <c r="BR64" i="6"/>
  <c r="BO44" i="6"/>
  <c r="AF64" i="6"/>
  <c r="AF63" i="6"/>
  <c r="AG63" i="6" s="1"/>
  <c r="BR70" i="6"/>
  <c r="BV70" i="6" s="1"/>
  <c r="BR71" i="6"/>
  <c r="BV71" i="6" s="1"/>
  <c r="BW71" i="6" s="1"/>
  <c r="BO72" i="6"/>
  <c r="W62" i="6"/>
  <c r="BO70" i="6"/>
  <c r="E72" i="13"/>
  <c r="S38" i="6"/>
  <c r="T38" i="6" s="1"/>
  <c r="U38" i="6" s="1"/>
  <c r="AA66" i="6"/>
  <c r="AZ104" i="6"/>
  <c r="AZ83" i="6" s="1"/>
  <c r="P21" i="6"/>
  <c r="P20" i="6" s="1"/>
  <c r="R102" i="6"/>
  <c r="P100" i="6"/>
  <c r="Q101" i="6"/>
  <c r="BV25" i="6"/>
  <c r="BR123" i="6"/>
  <c r="BO25" i="6"/>
  <c r="BP25" i="6" s="1"/>
  <c r="BR28" i="6"/>
  <c r="BO26" i="6"/>
  <c r="BP26" i="6" s="1"/>
  <c r="AF28" i="6"/>
  <c r="AG28" i="6" s="1"/>
  <c r="AH28" i="6" s="1"/>
  <c r="AI28" i="6" s="1"/>
  <c r="AJ28" i="6" s="1"/>
  <c r="AK28" i="6" s="1"/>
  <c r="AL28" i="6" s="1"/>
  <c r="AM28" i="6" s="1"/>
  <c r="AN28" i="6" s="1"/>
  <c r="AO28" i="6" s="1"/>
  <c r="AP28" i="6" s="1"/>
  <c r="AQ28" i="6" s="1"/>
  <c r="AI104" i="6"/>
  <c r="BR26" i="6"/>
  <c r="BV26" i="6" s="1"/>
  <c r="BO35" i="6"/>
  <c r="BR35" i="6"/>
  <c r="BV35" i="6" s="1"/>
  <c r="AG75" i="6"/>
  <c r="BS123" i="6"/>
  <c r="AK104" i="6"/>
  <c r="AK83" i="6" s="1"/>
  <c r="AL105" i="6"/>
  <c r="AL104" i="6" s="1"/>
  <c r="AL83" i="6" s="1"/>
  <c r="N121" i="6"/>
  <c r="M119" i="6"/>
  <c r="M118" i="6" s="1"/>
  <c r="O37" i="6"/>
  <c r="BL115" i="6"/>
  <c r="BL104" i="6" s="1"/>
  <c r="BL83" i="6" s="1"/>
  <c r="BK104" i="6"/>
  <c r="BK83" i="6" s="1"/>
  <c r="AR123" i="6"/>
  <c r="AA24" i="6"/>
  <c r="BQ121" i="6"/>
  <c r="AD65" i="6"/>
  <c r="BR65" i="6" s="1"/>
  <c r="BV65" i="6" s="1"/>
  <c r="AK79" i="6"/>
  <c r="AK77" i="6" s="1"/>
  <c r="P120" i="6"/>
  <c r="P122" i="6"/>
  <c r="BT104" i="6"/>
  <c r="BT83" i="6" s="1"/>
  <c r="I7" i="8" s="1"/>
  <c r="N32" i="6"/>
  <c r="BO49" i="6"/>
  <c r="AI83" i="6" l="1"/>
  <c r="AJ117" i="6"/>
  <c r="AJ116" i="6" s="1"/>
  <c r="BW125" i="6"/>
  <c r="BP125" i="6"/>
  <c r="BW126" i="6"/>
  <c r="N120" i="19"/>
  <c r="M119" i="19"/>
  <c r="P37" i="19"/>
  <c r="O36" i="19"/>
  <c r="U101" i="19"/>
  <c r="U100" i="19" s="1"/>
  <c r="S21" i="19"/>
  <c r="R20" i="19"/>
  <c r="O31" i="19"/>
  <c r="N30" i="19"/>
  <c r="N29" i="19" s="1"/>
  <c r="N19" i="19" s="1"/>
  <c r="Q90" i="19"/>
  <c r="Q84" i="19" s="1"/>
  <c r="Q83" i="19" s="1"/>
  <c r="R92" i="19"/>
  <c r="BP94" i="6"/>
  <c r="BW94" i="6"/>
  <c r="BW95" i="6"/>
  <c r="BP95" i="6"/>
  <c r="BU129" i="6"/>
  <c r="BF128" i="6"/>
  <c r="AA59" i="6"/>
  <c r="AA58" i="6" s="1"/>
  <c r="AG74" i="6"/>
  <c r="AG73" i="6" s="1"/>
  <c r="BP49" i="6"/>
  <c r="BW49" i="6"/>
  <c r="BW35" i="6"/>
  <c r="BP35" i="6"/>
  <c r="BW72" i="6"/>
  <c r="BP72" i="6"/>
  <c r="E60" i="13"/>
  <c r="E44" i="13"/>
  <c r="BW70" i="6"/>
  <c r="BP70" i="6"/>
  <c r="BP44" i="6"/>
  <c r="BW26" i="6"/>
  <c r="BW22" i="6"/>
  <c r="BW25" i="6"/>
  <c r="E82" i="13"/>
  <c r="BJ114" i="6"/>
  <c r="BO114" i="6" s="1"/>
  <c r="BQ41" i="6"/>
  <c r="I36" i="6"/>
  <c r="I29" i="6" s="1"/>
  <c r="I19" i="6" s="1"/>
  <c r="I131" i="6" s="1"/>
  <c r="BO23" i="6"/>
  <c r="BP23" i="6" s="1"/>
  <c r="BW76" i="6"/>
  <c r="E29" i="6"/>
  <c r="W61" i="6"/>
  <c r="AD27" i="6"/>
  <c r="AD20" i="6" s="1"/>
  <c r="AG78" i="6"/>
  <c r="AG77" i="6" s="1"/>
  <c r="BV44" i="6"/>
  <c r="BV43" i="6" s="1"/>
  <c r="BR43" i="6"/>
  <c r="BO43" i="6"/>
  <c r="P92" i="6"/>
  <c r="P90" i="6" s="1"/>
  <c r="P84" i="6" s="1"/>
  <c r="P83" i="6" s="1"/>
  <c r="AA20" i="6"/>
  <c r="N16" i="1"/>
  <c r="BR47" i="6"/>
  <c r="BO47" i="6"/>
  <c r="M31" i="6"/>
  <c r="M30" i="6" s="1"/>
  <c r="AB39" i="6"/>
  <c r="BR66" i="6"/>
  <c r="BV66" i="6" s="1"/>
  <c r="BO63" i="6"/>
  <c r="BO66" i="6"/>
  <c r="AG64" i="6"/>
  <c r="BO64" i="6" s="1"/>
  <c r="X62" i="6"/>
  <c r="X61" i="6" s="1"/>
  <c r="BS63" i="6"/>
  <c r="BV63" i="6" s="1"/>
  <c r="Q21" i="6"/>
  <c r="Q20" i="6" s="1"/>
  <c r="S102" i="6"/>
  <c r="R101" i="6"/>
  <c r="Q100" i="6"/>
  <c r="BS28" i="6"/>
  <c r="AR28" i="6"/>
  <c r="BO24" i="6"/>
  <c r="BP24" i="6" s="1"/>
  <c r="BS75" i="6"/>
  <c r="BV75" i="6" s="1"/>
  <c r="BO59" i="6"/>
  <c r="BO75" i="6"/>
  <c r="BO117" i="6"/>
  <c r="AJ104" i="6"/>
  <c r="AJ83" i="6" s="1"/>
  <c r="BS117" i="6"/>
  <c r="BO115" i="6"/>
  <c r="BO65" i="6"/>
  <c r="BS105" i="6"/>
  <c r="BO105" i="6"/>
  <c r="AL79" i="6"/>
  <c r="V38" i="6"/>
  <c r="W38" i="6" s="1"/>
  <c r="X38" i="6" s="1"/>
  <c r="AS123" i="6"/>
  <c r="AT123" i="6" s="1"/>
  <c r="AU123" i="6" s="1"/>
  <c r="AV123" i="6" s="1"/>
  <c r="AW123" i="6" s="1"/>
  <c r="AX123" i="6" s="1"/>
  <c r="AY123" i="6" s="1"/>
  <c r="AZ123" i="6" s="1"/>
  <c r="BA123" i="6" s="1"/>
  <c r="BB123" i="6" s="1"/>
  <c r="BC123" i="6" s="1"/>
  <c r="BQ119" i="6"/>
  <c r="BU115" i="6"/>
  <c r="P37" i="6"/>
  <c r="BR24" i="6"/>
  <c r="BV24" i="6" s="1"/>
  <c r="Q122" i="6"/>
  <c r="R122" i="6" s="1"/>
  <c r="S122" i="6" s="1"/>
  <c r="T122" i="6" s="1"/>
  <c r="U122" i="6" s="1"/>
  <c r="V122" i="6" s="1"/>
  <c r="W122" i="6" s="1"/>
  <c r="X122" i="6" s="1"/>
  <c r="Y122" i="6" s="1"/>
  <c r="Z122" i="6" s="1"/>
  <c r="AA122" i="6" s="1"/>
  <c r="AB122" i="6" s="1"/>
  <c r="AC122" i="6" s="1"/>
  <c r="AD122" i="6" s="1"/>
  <c r="AE122" i="6" s="1"/>
  <c r="O121" i="6"/>
  <c r="N119" i="6"/>
  <c r="N118" i="6" s="1"/>
  <c r="O32" i="6"/>
  <c r="Q120" i="6"/>
  <c r="BO129" i="6"/>
  <c r="BQ118" i="6" l="1"/>
  <c r="BP114" i="6"/>
  <c r="BP117" i="6"/>
  <c r="BP129" i="6"/>
  <c r="BP115" i="6"/>
  <c r="N173" i="1"/>
  <c r="C6" i="8"/>
  <c r="BR59" i="6"/>
  <c r="BR58" i="6" s="1"/>
  <c r="T21" i="19"/>
  <c r="S20" i="19"/>
  <c r="Q37" i="19"/>
  <c r="P36" i="19"/>
  <c r="O30" i="19"/>
  <c r="O29" i="19" s="1"/>
  <c r="O19" i="19" s="1"/>
  <c r="P31" i="19"/>
  <c r="O120" i="19"/>
  <c r="N119" i="19"/>
  <c r="S92" i="19"/>
  <c r="R90" i="19"/>
  <c r="R84" i="19" s="1"/>
  <c r="R83" i="19" s="1"/>
  <c r="U27" i="19"/>
  <c r="BJ104" i="6"/>
  <c r="BJ83" i="6" s="1"/>
  <c r="BS74" i="6"/>
  <c r="BV74" i="6" s="1"/>
  <c r="BV73" i="6" s="1"/>
  <c r="BP105" i="6"/>
  <c r="BO128" i="6"/>
  <c r="BO116" i="6"/>
  <c r="BV117" i="6"/>
  <c r="BV116" i="6" s="1"/>
  <c r="BS116" i="6"/>
  <c r="BU128" i="6"/>
  <c r="BV129" i="6"/>
  <c r="BV128" i="6" s="1"/>
  <c r="BO74" i="6"/>
  <c r="BO73" i="6" s="1"/>
  <c r="BP73" i="6" s="1"/>
  <c r="BU114" i="6"/>
  <c r="BV114" i="6" s="1"/>
  <c r="BW114" i="6" s="1"/>
  <c r="BW65" i="6"/>
  <c r="BP65" i="6"/>
  <c r="BS73" i="6"/>
  <c r="BW66" i="6"/>
  <c r="BP66" i="6"/>
  <c r="BW63" i="6"/>
  <c r="BP63" i="6"/>
  <c r="BP47" i="6"/>
  <c r="BW43" i="6"/>
  <c r="BP43" i="6"/>
  <c r="BW44" i="6"/>
  <c r="BP59" i="6"/>
  <c r="BP64" i="6"/>
  <c r="BW75" i="6"/>
  <c r="BW23" i="6"/>
  <c r="BW24" i="6"/>
  <c r="AE27" i="6"/>
  <c r="AE20" i="6" s="1"/>
  <c r="AH78" i="6"/>
  <c r="AH77" i="6" s="1"/>
  <c r="J36" i="6"/>
  <c r="J29" i="6" s="1"/>
  <c r="J19" i="6" s="1"/>
  <c r="J131" i="6" s="1"/>
  <c r="E19" i="6"/>
  <c r="E131" i="6" s="1"/>
  <c r="E28" i="13"/>
  <c r="BR27" i="6"/>
  <c r="Q92" i="6"/>
  <c r="Q90" i="6" s="1"/>
  <c r="Q84" i="6" s="1"/>
  <c r="Q83" i="6" s="1"/>
  <c r="BP75" i="6"/>
  <c r="BO45" i="6"/>
  <c r="BO58" i="6"/>
  <c r="BV47" i="6"/>
  <c r="BV45" i="6" s="1"/>
  <c r="BR45" i="6"/>
  <c r="BS79" i="6"/>
  <c r="BV79" i="6" s="1"/>
  <c r="AL77" i="6"/>
  <c r="AC39" i="6"/>
  <c r="N31" i="6"/>
  <c r="N30" i="6" s="1"/>
  <c r="BQ31" i="6"/>
  <c r="BQ30" i="6" s="1"/>
  <c r="BS64" i="6"/>
  <c r="BV64" i="6" s="1"/>
  <c r="BW64" i="6" s="1"/>
  <c r="Y62" i="6"/>
  <c r="Y61" i="6" s="1"/>
  <c r="BO38" i="6"/>
  <c r="R21" i="6"/>
  <c r="R20" i="6" s="1"/>
  <c r="T102" i="6"/>
  <c r="S101" i="6"/>
  <c r="R100" i="6"/>
  <c r="AS28" i="6"/>
  <c r="BT123" i="6"/>
  <c r="BO104" i="6"/>
  <c r="BR53" i="6"/>
  <c r="BR122" i="6"/>
  <c r="BV105" i="6"/>
  <c r="BW105" i="6" s="1"/>
  <c r="BS104" i="6"/>
  <c r="BS83" i="6" s="1"/>
  <c r="H7" i="8" s="1"/>
  <c r="P121" i="6"/>
  <c r="O119" i="6"/>
  <c r="O118" i="6" s="1"/>
  <c r="P32" i="6"/>
  <c r="BO32" i="6" s="1"/>
  <c r="AF122" i="6"/>
  <c r="AG122" i="6" s="1"/>
  <c r="AH122" i="6" s="1"/>
  <c r="AI122" i="6" s="1"/>
  <c r="AJ122" i="6" s="1"/>
  <c r="AK122" i="6" s="1"/>
  <c r="AL122" i="6" s="1"/>
  <c r="AM122" i="6" s="1"/>
  <c r="AN122" i="6" s="1"/>
  <c r="AO122" i="6" s="1"/>
  <c r="AP122" i="6" s="1"/>
  <c r="AQ122" i="6" s="1"/>
  <c r="BV115" i="6"/>
  <c r="BW115" i="6" s="1"/>
  <c r="BD123" i="6"/>
  <c r="BR38" i="6"/>
  <c r="BV38" i="6" s="1"/>
  <c r="R120" i="6"/>
  <c r="Q37" i="6"/>
  <c r="BO79" i="6"/>
  <c r="BW128" i="6" l="1"/>
  <c r="BP128" i="6"/>
  <c r="BW129" i="6"/>
  <c r="BW116" i="6"/>
  <c r="BP116" i="6"/>
  <c r="BW117" i="6"/>
  <c r="BV59" i="6"/>
  <c r="BV58" i="6" s="1"/>
  <c r="BW58" i="6" s="1"/>
  <c r="C10" i="8"/>
  <c r="P30" i="19"/>
  <c r="P29" i="19" s="1"/>
  <c r="P19" i="19" s="1"/>
  <c r="Q31" i="19"/>
  <c r="S90" i="19"/>
  <c r="S84" i="19" s="1"/>
  <c r="S83" i="19" s="1"/>
  <c r="T92" i="19"/>
  <c r="T90" i="19" s="1"/>
  <c r="T84" i="19" s="1"/>
  <c r="T83" i="19" s="1"/>
  <c r="R37" i="19"/>
  <c r="Q36" i="19"/>
  <c r="O119" i="19"/>
  <c r="P120" i="19"/>
  <c r="U21" i="19"/>
  <c r="T20" i="19"/>
  <c r="BP79" i="6"/>
  <c r="BW79" i="6"/>
  <c r="BP104" i="6"/>
  <c r="BP74" i="6"/>
  <c r="AF27" i="6"/>
  <c r="AF20" i="6" s="1"/>
  <c r="AI78" i="6"/>
  <c r="AI77" i="6" s="1"/>
  <c r="BU104" i="6"/>
  <c r="BU83" i="6" s="1"/>
  <c r="J7" i="8" s="1"/>
  <c r="BP32" i="6"/>
  <c r="BP58" i="6"/>
  <c r="BW38" i="6"/>
  <c r="BP38" i="6"/>
  <c r="BW47" i="6"/>
  <c r="BW45" i="6"/>
  <c r="BP45" i="6"/>
  <c r="BW74" i="6"/>
  <c r="BW73" i="6"/>
  <c r="E18" i="13"/>
  <c r="E130" i="13"/>
  <c r="F130" i="13" s="1"/>
  <c r="K36" i="6"/>
  <c r="K29" i="6" s="1"/>
  <c r="K19" i="6" s="1"/>
  <c r="K131" i="6" s="1"/>
  <c r="BR41" i="6"/>
  <c r="R92" i="6"/>
  <c r="R90" i="6" s="1"/>
  <c r="R84" i="6" s="1"/>
  <c r="R83" i="6" s="1"/>
  <c r="AD39" i="6"/>
  <c r="O31" i="6"/>
  <c r="O30" i="6" s="1"/>
  <c r="Z62" i="6"/>
  <c r="Z61" i="6" s="1"/>
  <c r="BO48" i="6"/>
  <c r="S21" i="6"/>
  <c r="S20" i="6" s="1"/>
  <c r="BQ21" i="6"/>
  <c r="BQ20" i="6" s="1"/>
  <c r="U102" i="6"/>
  <c r="V102" i="6" s="1"/>
  <c r="BR102" i="6" s="1"/>
  <c r="BV102" i="6" s="1"/>
  <c r="S100" i="6"/>
  <c r="S83" i="6" s="1"/>
  <c r="T101" i="6"/>
  <c r="AT28" i="6"/>
  <c r="BV53" i="6"/>
  <c r="BW53" i="6" s="1"/>
  <c r="S120" i="6"/>
  <c r="BS122" i="6"/>
  <c r="Q121" i="6"/>
  <c r="P119" i="6"/>
  <c r="P118" i="6" s="1"/>
  <c r="BV104" i="6"/>
  <c r="BW104" i="6" s="1"/>
  <c r="AR122" i="6"/>
  <c r="AS122" i="6" s="1"/>
  <c r="AT122" i="6" s="1"/>
  <c r="AU122" i="6" s="1"/>
  <c r="AV122" i="6" s="1"/>
  <c r="AW122" i="6" s="1"/>
  <c r="AX122" i="6" s="1"/>
  <c r="AY122" i="6" s="1"/>
  <c r="AZ122" i="6" s="1"/>
  <c r="BA122" i="6" s="1"/>
  <c r="BB122" i="6" s="1"/>
  <c r="BC122" i="6" s="1"/>
  <c r="R37" i="6"/>
  <c r="BE123" i="6"/>
  <c r="BR32" i="6"/>
  <c r="BV32" i="6" s="1"/>
  <c r="BW32" i="6" s="1"/>
  <c r="BW59" i="6" l="1"/>
  <c r="D10" i="8"/>
  <c r="D9" i="8"/>
  <c r="D8" i="8"/>
  <c r="D7" i="8"/>
  <c r="D6" i="8"/>
  <c r="Q120" i="19"/>
  <c r="P119" i="19"/>
  <c r="S37" i="19"/>
  <c r="R36" i="19"/>
  <c r="U92" i="19"/>
  <c r="U90" i="19" s="1"/>
  <c r="U84" i="19" s="1"/>
  <c r="U83" i="19" s="1"/>
  <c r="Q30" i="19"/>
  <c r="Q29" i="19" s="1"/>
  <c r="Q19" i="19" s="1"/>
  <c r="R31" i="19"/>
  <c r="BU123" i="6"/>
  <c r="BV123" i="6" s="1"/>
  <c r="BO123" i="6"/>
  <c r="AG27" i="6"/>
  <c r="AG20" i="6" s="1"/>
  <c r="AJ78" i="6"/>
  <c r="AJ77" i="6" s="1"/>
  <c r="BO92" i="6"/>
  <c r="BR92" i="6"/>
  <c r="BR90" i="6" s="1"/>
  <c r="BR84" i="6" s="1"/>
  <c r="BW48" i="6"/>
  <c r="BP48" i="6"/>
  <c r="F19" i="6"/>
  <c r="F118" i="6"/>
  <c r="F130" i="6"/>
  <c r="F131" i="6"/>
  <c r="F83" i="6"/>
  <c r="F18" i="13"/>
  <c r="F82" i="13"/>
  <c r="F117" i="13"/>
  <c r="F129" i="13"/>
  <c r="BS41" i="6"/>
  <c r="L36" i="6"/>
  <c r="L29" i="6" s="1"/>
  <c r="L19" i="6" s="1"/>
  <c r="L131" i="6" s="1"/>
  <c r="BR39" i="6"/>
  <c r="AE39" i="6"/>
  <c r="P31" i="6"/>
  <c r="P30" i="6" s="1"/>
  <c r="AA62" i="6"/>
  <c r="AA61" i="6" s="1"/>
  <c r="BO102" i="6"/>
  <c r="T21" i="6"/>
  <c r="T20" i="6" s="1"/>
  <c r="T100" i="6"/>
  <c r="T83" i="6" s="1"/>
  <c r="U101" i="6"/>
  <c r="AU28" i="6"/>
  <c r="BT122" i="6"/>
  <c r="BS78" i="6"/>
  <c r="BS77" i="6" s="1"/>
  <c r="S37" i="6"/>
  <c r="BQ37" i="6"/>
  <c r="BD122" i="6"/>
  <c r="BE122" i="6" s="1"/>
  <c r="BF122" i="6" s="1"/>
  <c r="BG122" i="6" s="1"/>
  <c r="BH122" i="6" s="1"/>
  <c r="BI122" i="6" s="1"/>
  <c r="BJ122" i="6" s="1"/>
  <c r="BK122" i="6" s="1"/>
  <c r="BL122" i="6" s="1"/>
  <c r="BM122" i="6" s="1"/>
  <c r="BN122" i="6" s="1"/>
  <c r="BO122" i="6" s="1"/>
  <c r="R121" i="6"/>
  <c r="Q119" i="6"/>
  <c r="Q118" i="6" s="1"/>
  <c r="T120" i="6"/>
  <c r="BW123" i="6" l="1"/>
  <c r="BP123" i="6"/>
  <c r="BP122" i="6"/>
  <c r="BO78" i="6"/>
  <c r="R120" i="19"/>
  <c r="Q119" i="19"/>
  <c r="S31" i="19"/>
  <c r="R30" i="19"/>
  <c r="R29" i="19" s="1"/>
  <c r="R19" i="19" s="1"/>
  <c r="AH27" i="6"/>
  <c r="AH20" i="6" s="1"/>
  <c r="T37" i="19"/>
  <c r="S36" i="19"/>
  <c r="BP102" i="6"/>
  <c r="BW102" i="6"/>
  <c r="BP92" i="6"/>
  <c r="BP78" i="6"/>
  <c r="BO90" i="6"/>
  <c r="BV92" i="6"/>
  <c r="BV90" i="6" s="1"/>
  <c r="BV84" i="6" s="1"/>
  <c r="M36" i="6"/>
  <c r="M29" i="6" s="1"/>
  <c r="M19" i="6" s="1"/>
  <c r="M131" i="6" s="1"/>
  <c r="BT41" i="6"/>
  <c r="AF39" i="6"/>
  <c r="BO77" i="6"/>
  <c r="BP77" i="6" s="1"/>
  <c r="Q31" i="6"/>
  <c r="Q30" i="6" s="1"/>
  <c r="AB62" i="6"/>
  <c r="AB61" i="6" s="1"/>
  <c r="U21" i="6"/>
  <c r="U20" i="6" s="1"/>
  <c r="V101" i="6"/>
  <c r="BO101" i="6" s="1"/>
  <c r="U100" i="6"/>
  <c r="U83" i="6" s="1"/>
  <c r="AV28" i="6"/>
  <c r="AW28" i="6" s="1"/>
  <c r="AX28" i="6" s="1"/>
  <c r="AY28" i="6" s="1"/>
  <c r="AZ28" i="6" s="1"/>
  <c r="BA28" i="6" s="1"/>
  <c r="BB28" i="6" s="1"/>
  <c r="BO28" i="6" s="1"/>
  <c r="BP28" i="6" s="1"/>
  <c r="BV78" i="6"/>
  <c r="BV77" i="6" s="1"/>
  <c r="S121" i="6"/>
  <c r="R119" i="6"/>
  <c r="R118" i="6" s="1"/>
  <c r="T37" i="6"/>
  <c r="BU122" i="6"/>
  <c r="BV122" i="6" s="1"/>
  <c r="BW122" i="6" s="1"/>
  <c r="U120" i="6"/>
  <c r="AI27" i="6" l="1"/>
  <c r="AI20" i="6" s="1"/>
  <c r="S30" i="19"/>
  <c r="T31" i="19"/>
  <c r="T36" i="19"/>
  <c r="U37" i="19"/>
  <c r="S29" i="19"/>
  <c r="S19" i="19" s="1"/>
  <c r="S120" i="19"/>
  <c r="R119" i="19"/>
  <c r="U39" i="19"/>
  <c r="BW90" i="6"/>
  <c r="BP90" i="6"/>
  <c r="BW92" i="6"/>
  <c r="BW78" i="6"/>
  <c r="BP101" i="6"/>
  <c r="BO84" i="6"/>
  <c r="N36" i="6"/>
  <c r="N29" i="6" s="1"/>
  <c r="N19" i="6" s="1"/>
  <c r="N131" i="6" s="1"/>
  <c r="AG39" i="6"/>
  <c r="BW77" i="6"/>
  <c r="R31" i="6"/>
  <c r="R30" i="6" s="1"/>
  <c r="AC62" i="6"/>
  <c r="AC61" i="6" s="1"/>
  <c r="V21" i="6"/>
  <c r="V20" i="6" s="1"/>
  <c r="V100" i="6"/>
  <c r="V83" i="6" s="1"/>
  <c r="BR101" i="6"/>
  <c r="BO100" i="6"/>
  <c r="BT28" i="6"/>
  <c r="BV28" i="6" s="1"/>
  <c r="BW28" i="6" s="1"/>
  <c r="AJ27" i="6"/>
  <c r="AJ20" i="6" s="1"/>
  <c r="V120" i="6"/>
  <c r="T121" i="6"/>
  <c r="S119" i="6"/>
  <c r="S118" i="6" s="1"/>
  <c r="U37" i="6"/>
  <c r="S119" i="19" l="1"/>
  <c r="T120" i="19"/>
  <c r="T119" i="19" s="1"/>
  <c r="T30" i="19"/>
  <c r="T29" i="19" s="1"/>
  <c r="T19" i="19" s="1"/>
  <c r="U31" i="19"/>
  <c r="U30" i="19" s="1"/>
  <c r="U36" i="19"/>
  <c r="BW84" i="6"/>
  <c r="BO83" i="6"/>
  <c r="BP84" i="6"/>
  <c r="BP100" i="6"/>
  <c r="O36" i="6"/>
  <c r="O29" i="6" s="1"/>
  <c r="O19" i="6" s="1"/>
  <c r="O131" i="6" s="1"/>
  <c r="AH39" i="6"/>
  <c r="S31" i="6"/>
  <c r="S30" i="6" s="1"/>
  <c r="AD62" i="6"/>
  <c r="AD61" i="6" s="1"/>
  <c r="W21" i="6"/>
  <c r="W20" i="6" s="1"/>
  <c r="BR100" i="6"/>
  <c r="BR83" i="6" s="1"/>
  <c r="G7" i="8" s="1"/>
  <c r="BV101" i="6"/>
  <c r="BW101" i="6" s="1"/>
  <c r="W120" i="6"/>
  <c r="V37" i="6"/>
  <c r="U121" i="6"/>
  <c r="T119" i="6"/>
  <c r="T118" i="6" s="1"/>
  <c r="AK27" i="6"/>
  <c r="AK20" i="6" s="1"/>
  <c r="U29" i="19" l="1"/>
  <c r="BP83" i="6"/>
  <c r="BP41" i="6"/>
  <c r="BU41" i="6"/>
  <c r="BV41" i="6" s="1"/>
  <c r="BW41" i="6" s="1"/>
  <c r="P36" i="6"/>
  <c r="P29" i="6" s="1"/>
  <c r="P19" i="6" s="1"/>
  <c r="P131" i="6" s="1"/>
  <c r="AI39" i="6"/>
  <c r="T31" i="6"/>
  <c r="T30" i="6" s="1"/>
  <c r="AE62" i="6"/>
  <c r="AE61" i="6" s="1"/>
  <c r="BR62" i="6"/>
  <c r="BR61" i="6" s="1"/>
  <c r="X21" i="6"/>
  <c r="X20" i="6" s="1"/>
  <c r="BV100" i="6"/>
  <c r="X120" i="6"/>
  <c r="AL27" i="6"/>
  <c r="AL20" i="6" s="1"/>
  <c r="W37" i="6"/>
  <c r="V121" i="6"/>
  <c r="U119" i="6"/>
  <c r="U118" i="6" s="1"/>
  <c r="BV83" i="6" l="1"/>
  <c r="BW83" i="6" s="1"/>
  <c r="BW100" i="6"/>
  <c r="Q36" i="6"/>
  <c r="Q29" i="6" s="1"/>
  <c r="Q19" i="6" s="1"/>
  <c r="Q131" i="6" s="1"/>
  <c r="AJ39" i="6"/>
  <c r="BO21" i="6"/>
  <c r="BP21" i="6" s="1"/>
  <c r="U31" i="6"/>
  <c r="U30" i="6" s="1"/>
  <c r="AF62" i="6"/>
  <c r="AF61" i="6" s="1"/>
  <c r="BR21" i="6"/>
  <c r="BR20" i="6" s="1"/>
  <c r="W121" i="6"/>
  <c r="V119" i="6"/>
  <c r="V118" i="6" s="1"/>
  <c r="Y120" i="6"/>
  <c r="AM27" i="6"/>
  <c r="AM20" i="6" s="1"/>
  <c r="X37" i="6"/>
  <c r="K7" i="8" l="1"/>
  <c r="R36" i="6"/>
  <c r="R29" i="6" s="1"/>
  <c r="R19" i="6" s="1"/>
  <c r="R131" i="6" s="1"/>
  <c r="BQ40" i="6"/>
  <c r="AK39" i="6"/>
  <c r="AL39" i="6" s="1"/>
  <c r="V31" i="6"/>
  <c r="V30" i="6" s="1"/>
  <c r="AG62" i="6"/>
  <c r="AG61" i="6" s="1"/>
  <c r="BV21" i="6"/>
  <c r="BW21" i="6" s="1"/>
  <c r="BO37" i="6"/>
  <c r="BR37" i="6"/>
  <c r="AN27" i="6"/>
  <c r="AN20" i="6" s="1"/>
  <c r="Z120" i="6"/>
  <c r="X121" i="6"/>
  <c r="W119" i="6"/>
  <c r="W118" i="6" s="1"/>
  <c r="BP37" i="6" l="1"/>
  <c r="BQ36" i="6"/>
  <c r="BQ29" i="6" s="1"/>
  <c r="BQ19" i="6" s="1"/>
  <c r="S36" i="6"/>
  <c r="S29" i="6" s="1"/>
  <c r="S19" i="6" s="1"/>
  <c r="S131" i="6" s="1"/>
  <c r="W31" i="6"/>
  <c r="W30" i="6" s="1"/>
  <c r="BS62" i="6"/>
  <c r="BS61" i="6" s="1"/>
  <c r="BO62" i="6"/>
  <c r="AA120" i="6"/>
  <c r="BV37" i="6"/>
  <c r="BW37" i="6" s="1"/>
  <c r="AO27" i="6"/>
  <c r="AO20" i="6" s="1"/>
  <c r="AM39" i="6"/>
  <c r="Y121" i="6"/>
  <c r="X119" i="6"/>
  <c r="X118" i="6" s="1"/>
  <c r="F6" i="8" l="1"/>
  <c r="BQ131" i="6"/>
  <c r="BP62" i="6"/>
  <c r="T36" i="6"/>
  <c r="T29" i="6" s="1"/>
  <c r="T19" i="6" s="1"/>
  <c r="T131" i="6" s="1"/>
  <c r="BO61" i="6"/>
  <c r="X31" i="6"/>
  <c r="X30" i="6" s="1"/>
  <c r="BV62" i="6"/>
  <c r="BV61" i="6" s="1"/>
  <c r="AB120" i="6"/>
  <c r="AN39" i="6"/>
  <c r="Z121" i="6"/>
  <c r="Y119" i="6"/>
  <c r="Y118" i="6" s="1"/>
  <c r="AP27" i="6"/>
  <c r="AP20" i="6" s="1"/>
  <c r="BW61" i="6" l="1"/>
  <c r="BP61" i="6"/>
  <c r="BW62" i="6"/>
  <c r="U36" i="6"/>
  <c r="U29" i="6" s="1"/>
  <c r="U19" i="6" s="1"/>
  <c r="U131" i="6" s="1"/>
  <c r="BO31" i="6"/>
  <c r="BR31" i="6"/>
  <c r="BR30" i="6" s="1"/>
  <c r="AO39" i="6"/>
  <c r="AQ27" i="6"/>
  <c r="AQ20" i="6" s="1"/>
  <c r="BS27" i="6"/>
  <c r="BS20" i="6" s="1"/>
  <c r="AA121" i="6"/>
  <c r="Z119" i="6"/>
  <c r="Z118" i="6" s="1"/>
  <c r="AC120" i="6"/>
  <c r="BP31" i="6" l="1"/>
  <c r="V36" i="6"/>
  <c r="V29" i="6" s="1"/>
  <c r="V19" i="6" s="1"/>
  <c r="V131" i="6" s="1"/>
  <c r="BO30" i="6"/>
  <c r="BV31" i="6"/>
  <c r="BV30" i="6" s="1"/>
  <c r="AD120" i="6"/>
  <c r="AP39" i="6"/>
  <c r="AB121" i="6"/>
  <c r="AA119" i="6"/>
  <c r="AA118" i="6" s="1"/>
  <c r="AR27" i="6"/>
  <c r="AR20" i="6" s="1"/>
  <c r="BW30" i="6" l="1"/>
  <c r="BP30" i="6"/>
  <c r="BW31" i="6"/>
  <c r="W36" i="6"/>
  <c r="W29" i="6" s="1"/>
  <c r="W19" i="6" s="1"/>
  <c r="W131" i="6" s="1"/>
  <c r="AS27" i="6"/>
  <c r="AS20" i="6" s="1"/>
  <c r="AC121" i="6"/>
  <c r="AB119" i="6"/>
  <c r="AB118" i="6" s="1"/>
  <c r="AE120" i="6"/>
  <c r="BR120" i="6"/>
  <c r="AQ39" i="6"/>
  <c r="BS39" i="6"/>
  <c r="X36" i="6" l="1"/>
  <c r="X29" i="6" s="1"/>
  <c r="X19" i="6" s="1"/>
  <c r="X131" i="6" s="1"/>
  <c r="AT27" i="6"/>
  <c r="AT20" i="6" s="1"/>
  <c r="AD121" i="6"/>
  <c r="AC119" i="6"/>
  <c r="AC118" i="6" s="1"/>
  <c r="AR39" i="6"/>
  <c r="AF120" i="6"/>
  <c r="U28" i="19" l="1"/>
  <c r="Y36" i="6"/>
  <c r="Y29" i="6" s="1"/>
  <c r="Y19" i="6" s="1"/>
  <c r="Y131" i="6" s="1"/>
  <c r="AG120" i="6"/>
  <c r="AS39" i="6"/>
  <c r="AE121" i="6"/>
  <c r="BR121" i="6"/>
  <c r="AD119" i="6"/>
  <c r="AD118" i="6" s="1"/>
  <c r="AU27" i="6"/>
  <c r="AU20" i="6" s="1"/>
  <c r="U20" i="19" l="1"/>
  <c r="Z36" i="6"/>
  <c r="Z29" i="6" s="1"/>
  <c r="Z19" i="6" s="1"/>
  <c r="Z131" i="6" s="1"/>
  <c r="AV27" i="6"/>
  <c r="AV20" i="6" s="1"/>
  <c r="AF121" i="6"/>
  <c r="AE119" i="6"/>
  <c r="AE118" i="6" s="1"/>
  <c r="AH120" i="6"/>
  <c r="AT39" i="6"/>
  <c r="BR119" i="6"/>
  <c r="G8" i="8" l="1"/>
  <c r="BR118" i="6"/>
  <c r="U19" i="19"/>
  <c r="AA36" i="6"/>
  <c r="AA29" i="6" s="1"/>
  <c r="AA19" i="6" s="1"/>
  <c r="AA131" i="6" s="1"/>
  <c r="AG121" i="6"/>
  <c r="AF119" i="6"/>
  <c r="AF118" i="6" s="1"/>
  <c r="AU39" i="6"/>
  <c r="AI120" i="6"/>
  <c r="AW27" i="6"/>
  <c r="AW20" i="6" s="1"/>
  <c r="AB36" i="6" l="1"/>
  <c r="AB29" i="6" s="1"/>
  <c r="AB19" i="6" s="1"/>
  <c r="AB131" i="6" s="1"/>
  <c r="AJ120" i="6"/>
  <c r="AX27" i="6"/>
  <c r="AX20" i="6" s="1"/>
  <c r="AH121" i="6"/>
  <c r="AG119" i="6"/>
  <c r="AG118" i="6" s="1"/>
  <c r="AV39" i="6"/>
  <c r="AC36" i="6" l="1"/>
  <c r="AC29" i="6" s="1"/>
  <c r="AC19" i="6" s="1"/>
  <c r="AC131" i="6" s="1"/>
  <c r="AW39" i="6"/>
  <c r="AK120" i="6"/>
  <c r="AY27" i="6"/>
  <c r="AY20" i="6" s="1"/>
  <c r="AI121" i="6"/>
  <c r="AH119" i="6"/>
  <c r="AH118" i="6" s="1"/>
  <c r="AD36" i="6" l="1"/>
  <c r="AD29" i="6" s="1"/>
  <c r="AD19" i="6" s="1"/>
  <c r="AD131" i="6" s="1"/>
  <c r="BR40" i="6"/>
  <c r="AJ121" i="6"/>
  <c r="AI119" i="6"/>
  <c r="AI118" i="6" s="1"/>
  <c r="AZ27" i="6"/>
  <c r="AZ20" i="6" s="1"/>
  <c r="AL120" i="6"/>
  <c r="AX39" i="6"/>
  <c r="BR36" i="6" l="1"/>
  <c r="BR29" i="6" s="1"/>
  <c r="BR19" i="6" s="1"/>
  <c r="AE36" i="6"/>
  <c r="AE29" i="6" s="1"/>
  <c r="AE19" i="6" s="1"/>
  <c r="AE131" i="6" s="1"/>
  <c r="AY39" i="6"/>
  <c r="AK121" i="6"/>
  <c r="AJ119" i="6"/>
  <c r="AJ118" i="6" s="1"/>
  <c r="AM120" i="6"/>
  <c r="BA27" i="6"/>
  <c r="BA20" i="6" s="1"/>
  <c r="G6" i="8" l="1"/>
  <c r="G10" i="8" s="1"/>
  <c r="BR131" i="6"/>
  <c r="AF36" i="6"/>
  <c r="AF29" i="6" s="1"/>
  <c r="AF19" i="6" s="1"/>
  <c r="AF131" i="6" s="1"/>
  <c r="AN120" i="6"/>
  <c r="AL121" i="6"/>
  <c r="AK119" i="6"/>
  <c r="AK118" i="6" s="1"/>
  <c r="BB27" i="6"/>
  <c r="BB20" i="6" s="1"/>
  <c r="AZ39" i="6"/>
  <c r="AG36" i="6" l="1"/>
  <c r="AG29" i="6" s="1"/>
  <c r="AG19" i="6" s="1"/>
  <c r="AG131" i="6" s="1"/>
  <c r="BO27" i="6"/>
  <c r="BP27" i="6" s="1"/>
  <c r="BT27" i="6"/>
  <c r="BT20" i="6" s="1"/>
  <c r="AM121" i="6"/>
  <c r="AL119" i="6"/>
  <c r="AL118" i="6" s="1"/>
  <c r="AO120" i="6"/>
  <c r="BA39" i="6"/>
  <c r="AH36" i="6" l="1"/>
  <c r="AH29" i="6" s="1"/>
  <c r="AH19" i="6" s="1"/>
  <c r="AH131" i="6" s="1"/>
  <c r="BO20" i="6"/>
  <c r="AN121" i="6"/>
  <c r="AM119" i="6"/>
  <c r="AM118" i="6" s="1"/>
  <c r="BV27" i="6"/>
  <c r="BV20" i="6" s="1"/>
  <c r="AP120" i="6"/>
  <c r="BB39" i="6"/>
  <c r="BO39" i="6" s="1"/>
  <c r="BW27" i="6" l="1"/>
  <c r="AI36" i="6"/>
  <c r="AI29" i="6" s="1"/>
  <c r="AI19" i="6" s="1"/>
  <c r="AI131" i="6" s="1"/>
  <c r="BW20" i="6"/>
  <c r="BP20" i="6"/>
  <c r="AO121" i="6"/>
  <c r="AN119" i="6"/>
  <c r="AN118" i="6" s="1"/>
  <c r="BT39" i="6"/>
  <c r="AQ120" i="6"/>
  <c r="BS120" i="6"/>
  <c r="BP39" i="6" l="1"/>
  <c r="AJ36" i="6"/>
  <c r="AJ29" i="6" s="1"/>
  <c r="AJ19" i="6" s="1"/>
  <c r="AJ131" i="6" s="1"/>
  <c r="AR120" i="6"/>
  <c r="BV39" i="6"/>
  <c r="BW39" i="6" s="1"/>
  <c r="AP121" i="6"/>
  <c r="AO119" i="6"/>
  <c r="AO118" i="6" s="1"/>
  <c r="AK36" i="6" l="1"/>
  <c r="AK29" i="6" s="1"/>
  <c r="AK19" i="6" s="1"/>
  <c r="AK131" i="6" s="1"/>
  <c r="AQ121" i="6"/>
  <c r="BS121" i="6"/>
  <c r="AP119" i="6"/>
  <c r="AP118" i="6" s="1"/>
  <c r="AS120" i="6"/>
  <c r="U120" i="19" l="1"/>
  <c r="AL36" i="6"/>
  <c r="AL29" i="6" s="1"/>
  <c r="AL19" i="6" s="1"/>
  <c r="AL131" i="6" s="1"/>
  <c r="BS119" i="6"/>
  <c r="AT120" i="6"/>
  <c r="AR121" i="6"/>
  <c r="AQ119" i="6"/>
  <c r="AQ118" i="6" s="1"/>
  <c r="H8" i="8" l="1"/>
  <c r="BS118" i="6"/>
  <c r="U119" i="19"/>
  <c r="AM36" i="6"/>
  <c r="AM29" i="6" s="1"/>
  <c r="AM19" i="6" s="1"/>
  <c r="AM131" i="6" s="1"/>
  <c r="AS121" i="6"/>
  <c r="AR119" i="6"/>
  <c r="AR118" i="6" s="1"/>
  <c r="AU120" i="6"/>
  <c r="AN36" i="6" l="1"/>
  <c r="AN29" i="6" s="1"/>
  <c r="AN19" i="6" s="1"/>
  <c r="AN131" i="6" s="1"/>
  <c r="AV120" i="6"/>
  <c r="AT121" i="6"/>
  <c r="AS119" i="6"/>
  <c r="AS118" i="6" s="1"/>
  <c r="AO36" i="6" l="1"/>
  <c r="AO29" i="6" s="1"/>
  <c r="AO19" i="6" s="1"/>
  <c r="AO131" i="6" s="1"/>
  <c r="AW120" i="6"/>
  <c r="AU121" i="6"/>
  <c r="AT119" i="6"/>
  <c r="AT118" i="6" s="1"/>
  <c r="AP36" i="6" l="1"/>
  <c r="AP29" i="6" s="1"/>
  <c r="AP19" i="6" s="1"/>
  <c r="AP131" i="6" s="1"/>
  <c r="BS40" i="6"/>
  <c r="AV121" i="6"/>
  <c r="AU119" i="6"/>
  <c r="AU118" i="6" s="1"/>
  <c r="AX120" i="6"/>
  <c r="BS36" i="6" l="1"/>
  <c r="BS29" i="6" s="1"/>
  <c r="BS19" i="6" s="1"/>
  <c r="AQ36" i="6"/>
  <c r="AQ29" i="6" s="1"/>
  <c r="AQ19" i="6" s="1"/>
  <c r="AQ131" i="6" s="1"/>
  <c r="AY120" i="6"/>
  <c r="AW121" i="6"/>
  <c r="AV119" i="6"/>
  <c r="AV118" i="6" s="1"/>
  <c r="H6" i="8" l="1"/>
  <c r="BS131" i="6"/>
  <c r="AR36" i="6"/>
  <c r="AR29" i="6" s="1"/>
  <c r="AR19" i="6" s="1"/>
  <c r="AR131" i="6" s="1"/>
  <c r="AX121" i="6"/>
  <c r="AW119" i="6"/>
  <c r="AW118" i="6" s="1"/>
  <c r="AZ120" i="6"/>
  <c r="AS36" i="6" l="1"/>
  <c r="AS29" i="6" s="1"/>
  <c r="AS19" i="6" s="1"/>
  <c r="AS131" i="6" s="1"/>
  <c r="BA120" i="6"/>
  <c r="AY121" i="6"/>
  <c r="AX119" i="6"/>
  <c r="AX118" i="6" s="1"/>
  <c r="AT36" i="6" l="1"/>
  <c r="AT29" i="6" s="1"/>
  <c r="AT19" i="6" s="1"/>
  <c r="AT131" i="6" s="1"/>
  <c r="AZ121" i="6"/>
  <c r="AY119" i="6"/>
  <c r="AY118" i="6" s="1"/>
  <c r="BB120" i="6"/>
  <c r="AU36" i="6" l="1"/>
  <c r="AU29" i="6" s="1"/>
  <c r="AU19" i="6" s="1"/>
  <c r="AU131" i="6" s="1"/>
  <c r="BC120" i="6"/>
  <c r="BT120" i="6"/>
  <c r="BA121" i="6"/>
  <c r="AZ119" i="6"/>
  <c r="AZ118" i="6" s="1"/>
  <c r="AV36" i="6" l="1"/>
  <c r="AV29" i="6" s="1"/>
  <c r="AV19" i="6" s="1"/>
  <c r="AV131" i="6" s="1"/>
  <c r="BB121" i="6"/>
  <c r="BA119" i="6"/>
  <c r="BA118" i="6" s="1"/>
  <c r="BD120" i="6"/>
  <c r="AW36" i="6" l="1"/>
  <c r="AW29" i="6" s="1"/>
  <c r="AW19" i="6" s="1"/>
  <c r="AW131" i="6" s="1"/>
  <c r="BE120" i="6"/>
  <c r="BC121" i="6"/>
  <c r="BT121" i="6"/>
  <c r="BB119" i="6"/>
  <c r="BB118" i="6" s="1"/>
  <c r="AX36" i="6" l="1"/>
  <c r="AX29" i="6" s="1"/>
  <c r="AX19" i="6" s="1"/>
  <c r="AX131" i="6" s="1"/>
  <c r="BT119" i="6"/>
  <c r="BD121" i="6"/>
  <c r="BC119" i="6"/>
  <c r="BC118" i="6" s="1"/>
  <c r="BF120" i="6"/>
  <c r="I8" i="8" l="1"/>
  <c r="BT118" i="6"/>
  <c r="AY36" i="6"/>
  <c r="AY29" i="6" s="1"/>
  <c r="AY19" i="6" s="1"/>
  <c r="AY131" i="6" s="1"/>
  <c r="BF119" i="6"/>
  <c r="BF118" i="6" s="1"/>
  <c r="BG120" i="6"/>
  <c r="BE121" i="6"/>
  <c r="BO121" i="6" s="1"/>
  <c r="BD119" i="6"/>
  <c r="BD118" i="6" s="1"/>
  <c r="BP121" i="6" l="1"/>
  <c r="AZ36" i="6"/>
  <c r="AZ29" i="6" s="1"/>
  <c r="AZ19" i="6" s="1"/>
  <c r="AZ131" i="6" s="1"/>
  <c r="BE119" i="6"/>
  <c r="BE118" i="6" s="1"/>
  <c r="BU121" i="6"/>
  <c r="BV121" i="6" s="1"/>
  <c r="BW121" i="6" s="1"/>
  <c r="BG119" i="6"/>
  <c r="BG118" i="6" s="1"/>
  <c r="BH120" i="6"/>
  <c r="BA36" i="6" l="1"/>
  <c r="BA29" i="6" s="1"/>
  <c r="BA19" i="6" s="1"/>
  <c r="BA131" i="6" s="1"/>
  <c r="BI120" i="6"/>
  <c r="BH119" i="6"/>
  <c r="BH118" i="6" s="1"/>
  <c r="BB36" i="6" l="1"/>
  <c r="BB29" i="6" s="1"/>
  <c r="BB19" i="6" s="1"/>
  <c r="BB131" i="6" s="1"/>
  <c r="BT40" i="6"/>
  <c r="BI119" i="6"/>
  <c r="BI118" i="6" s="1"/>
  <c r="BJ120" i="6"/>
  <c r="BT36" i="6" l="1"/>
  <c r="BT29" i="6" s="1"/>
  <c r="BT19" i="6" s="1"/>
  <c r="BC36" i="6"/>
  <c r="BC29" i="6" s="1"/>
  <c r="BC19" i="6" s="1"/>
  <c r="BC131" i="6" s="1"/>
  <c r="BJ119" i="6"/>
  <c r="BJ118" i="6" s="1"/>
  <c r="BK120" i="6"/>
  <c r="I6" i="8" l="1"/>
  <c r="BT131" i="6"/>
  <c r="BD36" i="6"/>
  <c r="BD29" i="6" s="1"/>
  <c r="BD19" i="6" s="1"/>
  <c r="BD131" i="6" s="1"/>
  <c r="BL120" i="6"/>
  <c r="BK119" i="6"/>
  <c r="BK118" i="6" s="1"/>
  <c r="BE36" i="6" l="1"/>
  <c r="BE29" i="6" s="1"/>
  <c r="BE19" i="6" s="1"/>
  <c r="BE131" i="6" s="1"/>
  <c r="BM120" i="6"/>
  <c r="BL119" i="6"/>
  <c r="BL118" i="6" s="1"/>
  <c r="BF36" i="6" l="1"/>
  <c r="BF29" i="6" s="1"/>
  <c r="BF19" i="6" s="1"/>
  <c r="BF131" i="6" s="1"/>
  <c r="BM119" i="6"/>
  <c r="BM118" i="6" s="1"/>
  <c r="BN120" i="6"/>
  <c r="BG36" i="6" l="1"/>
  <c r="BG29" i="6" s="1"/>
  <c r="BG19" i="6" s="1"/>
  <c r="BG131" i="6" s="1"/>
  <c r="BN119" i="6"/>
  <c r="BN118" i="6" s="1"/>
  <c r="BN131" i="6" s="1"/>
  <c r="BO120" i="6"/>
  <c r="BU120" i="6"/>
  <c r="BP120" i="6" l="1"/>
  <c r="BH36" i="6"/>
  <c r="BH29" i="6" s="1"/>
  <c r="BH19" i="6" s="1"/>
  <c r="BH131" i="6" s="1"/>
  <c r="BO119" i="6"/>
  <c r="BU119" i="6"/>
  <c r="BV120" i="6"/>
  <c r="BV119" i="6" s="1"/>
  <c r="BV118" i="6" s="1"/>
  <c r="BW119" i="6" l="1"/>
  <c r="BO118" i="6"/>
  <c r="BP119" i="6"/>
  <c r="J8" i="8"/>
  <c r="BU118" i="6"/>
  <c r="BW120" i="6"/>
  <c r="BI36" i="6"/>
  <c r="BI29" i="6" s="1"/>
  <c r="BI19" i="6" s="1"/>
  <c r="BI131" i="6" s="1"/>
  <c r="BW118" i="6" l="1"/>
  <c r="BP118" i="6"/>
  <c r="BJ36" i="6"/>
  <c r="BJ29" i="6" s="1"/>
  <c r="BJ19" i="6" s="1"/>
  <c r="BJ131" i="6" s="1"/>
  <c r="K8" i="8"/>
  <c r="BK36" i="6" l="1"/>
  <c r="BK29" i="6" s="1"/>
  <c r="BK19" i="6" s="1"/>
  <c r="BK131" i="6" s="1"/>
  <c r="BL36" i="6" l="1"/>
  <c r="BL29" i="6" s="1"/>
  <c r="BL19" i="6" s="1"/>
  <c r="BL131" i="6" s="1"/>
  <c r="BM36" i="6" l="1"/>
  <c r="BM29" i="6" s="1"/>
  <c r="BM19" i="6" s="1"/>
  <c r="BM131" i="6" s="1"/>
  <c r="BU40" i="6"/>
  <c r="BP40" i="6" l="1"/>
  <c r="BO36" i="6"/>
  <c r="BU36" i="6"/>
  <c r="BU29" i="6" s="1"/>
  <c r="BU19" i="6" s="1"/>
  <c r="BV40" i="6"/>
  <c r="BW40" i="6" s="1"/>
  <c r="J6" i="8" l="1"/>
  <c r="BU131" i="6"/>
  <c r="BP36" i="6"/>
  <c r="BV36" i="6"/>
  <c r="BV29" i="6" s="1"/>
  <c r="BV19" i="6" s="1"/>
  <c r="BV131" i="6" s="1"/>
  <c r="BO29" i="6"/>
  <c r="BW29" i="6" l="1"/>
  <c r="BP29" i="6"/>
  <c r="BW36" i="6"/>
  <c r="BO19" i="6"/>
  <c r="BO131" i="6" s="1"/>
  <c r="K6" i="8"/>
  <c r="K10" i="8" s="1"/>
  <c r="BW131" i="6" l="1"/>
  <c r="BP131" i="6"/>
  <c r="BW19" i="6"/>
  <c r="BP19" i="6"/>
  <c r="J11" i="8"/>
  <c r="F12" i="8" l="1"/>
  <c r="H12" i="8"/>
  <c r="G12" i="8"/>
  <c r="I12" i="8"/>
  <c r="K11" i="8"/>
  <c r="K12" i="8" s="1"/>
  <c r="G11" i="8"/>
  <c r="I11" i="8"/>
  <c r="F11" i="8"/>
  <c r="H11" i="8"/>
  <c r="J12" i="8"/>
  <c r="E21" i="8"/>
  <c r="G120" i="14"/>
  <c r="G124" i="14" s="1"/>
  <c r="G129" i="14" s="1"/>
  <c r="H121" i="14" l="1"/>
  <c r="H122" i="14"/>
  <c r="H123" i="14"/>
  <c r="H119" i="14"/>
  <c r="H120" i="14"/>
  <c r="H128" i="14" l="1"/>
  <c r="H125" i="14"/>
  <c r="H127" i="14"/>
  <c r="G130" i="14"/>
  <c r="H126" i="14"/>
  <c r="G30" i="14"/>
  <c r="G31" i="14" s="1"/>
  <c r="G32" i="14" s="1"/>
  <c r="G33" i="14" s="1"/>
  <c r="G34" i="14" s="1"/>
  <c r="G35" i="14" s="1"/>
  <c r="G36" i="14" s="1"/>
  <c r="G37" i="14" s="1"/>
  <c r="G38" i="14" s="1"/>
  <c r="G39" i="14" s="1"/>
  <c r="G40" i="14" s="1"/>
  <c r="F48" i="14" l="1"/>
  <c r="F49" i="14" s="1"/>
  <c r="F50" i="14" s="1"/>
  <c r="F51" i="14" s="1"/>
  <c r="F52" i="14" s="1"/>
  <c r="F53" i="14" s="1"/>
  <c r="F59" i="14" s="1"/>
  <c r="G41" i="14"/>
  <c r="F60" i="14" l="1"/>
  <c r="F61" i="14" s="1"/>
  <c r="F62" i="14" s="1"/>
  <c r="F63" i="14" s="1"/>
  <c r="F64" i="14" s="1"/>
  <c r="F65" i="14" s="1"/>
  <c r="F66" i="14" s="1"/>
  <c r="F67" i="14" s="1"/>
  <c r="F68" i="14" s="1"/>
  <c r="F69" i="14" s="1"/>
  <c r="F70" i="14" s="1"/>
  <c r="F71" i="14" s="1"/>
  <c r="F72" i="14" s="1"/>
  <c r="F73" i="14" s="1"/>
  <c r="F74" i="14" s="1"/>
  <c r="F75" i="14" s="1"/>
  <c r="F76" i="14" s="1"/>
  <c r="F77" i="14" s="1"/>
  <c r="F78" i="14" s="1"/>
  <c r="F79" i="14" s="1"/>
  <c r="F80" i="14" s="1"/>
  <c r="F81" i="14" s="1"/>
  <c r="F82" i="14" s="1"/>
  <c r="F83" i="14" s="1"/>
  <c r="F84" i="14" s="1"/>
  <c r="F85" i="14" s="1"/>
  <c r="F86" i="14" s="1"/>
  <c r="F87" i="14" s="1"/>
  <c r="F88" i="14" s="1"/>
  <c r="F89" i="14" s="1"/>
  <c r="F90" i="14" s="1"/>
  <c r="F91" i="14" s="1"/>
  <c r="F92" i="14" s="1"/>
  <c r="F93" i="14" s="1"/>
  <c r="F94" i="14" s="1"/>
  <c r="F95" i="14" s="1"/>
  <c r="F96" i="14" s="1"/>
  <c r="F97" i="14" s="1"/>
  <c r="F98" i="14" s="1"/>
  <c r="F99" i="14" s="1"/>
  <c r="F100" i="14" s="1"/>
  <c r="F101" i="14" s="1"/>
  <c r="F102" i="14" s="1"/>
  <c r="N175" i="1" l="1"/>
  <c r="O173" i="1"/>
  <c r="O80" i="1"/>
  <c r="O160" i="1"/>
  <c r="O16" i="1"/>
  <c r="O17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Rocio Gonzalez</author>
    <author>gc.rocio</author>
    <author>HP</author>
  </authors>
  <commentList>
    <comment ref="F3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4,5km/litros va al prod 5</t>
        </r>
      </text>
    </comment>
    <comment ref="F4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gc.rocio:</t>
        </r>
        <r>
          <rPr>
            <sz val="9"/>
            <color indexed="81"/>
            <rFont val="Tahoma"/>
            <family val="2"/>
          </rPr>
          <t xml:space="preserve">
Incluye: capacitación, levantamiento
</t>
        </r>
      </text>
    </comment>
    <comment ref="G87" authorId="2" shapeId="0" xr:uid="{00000000-0006-0000-0400-000003000000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14 personas</t>
        </r>
      </text>
    </comment>
    <comment ref="I88" authorId="2" shapeId="0" xr:uid="{00000000-0006-0000-0400-000004000000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DIAS</t>
        </r>
      </text>
    </comment>
    <comment ref="F131" authorId="1" shapeId="0" xr:uid="{00000000-0006-0000-0400-000005000000}">
      <text>
        <r>
          <rPr>
            <b/>
            <sz val="9"/>
            <color indexed="81"/>
            <rFont val="Tahoma"/>
            <family val="2"/>
          </rPr>
          <t>gc.rocio:</t>
        </r>
        <r>
          <rPr>
            <sz val="9"/>
            <color indexed="81"/>
            <rFont val="Tahoma"/>
            <family val="2"/>
          </rPr>
          <t xml:space="preserve">
Incluir seguro</t>
        </r>
      </text>
    </comment>
    <comment ref="F139" authorId="1" shapeId="0" xr:uid="{00000000-0006-0000-0400-000006000000}">
      <text>
        <r>
          <rPr>
            <b/>
            <sz val="9"/>
            <color indexed="81"/>
            <rFont val="Tahoma"/>
            <family val="2"/>
          </rPr>
          <t>gc.rocio:</t>
        </r>
        <r>
          <rPr>
            <sz val="9"/>
            <color indexed="81"/>
            <rFont val="Tahoma"/>
            <family val="2"/>
          </rPr>
          <t xml:space="preserve">
Incluir seguro</t>
        </r>
      </text>
    </comment>
    <comment ref="F141" authorId="1" shapeId="0" xr:uid="{00000000-0006-0000-0400-000007000000}">
      <text>
        <r>
          <rPr>
            <b/>
            <sz val="9"/>
            <color indexed="81"/>
            <rFont val="Tahoma"/>
            <family val="2"/>
          </rPr>
          <t>gc.rocio:</t>
        </r>
        <r>
          <rPr>
            <sz val="9"/>
            <color indexed="81"/>
            <rFont val="Tahoma"/>
            <family val="2"/>
          </rPr>
          <t xml:space="preserve">
Incluir seguro</t>
        </r>
      </text>
    </comment>
    <comment ref="G144" authorId="1" shapeId="0" xr:uid="{00000000-0006-0000-0400-000008000000}">
      <text>
        <r>
          <rPr>
            <b/>
            <sz val="9"/>
            <color indexed="81"/>
            <rFont val="Tahoma"/>
            <family val="2"/>
          </rPr>
          <t xml:space="preserve">Convenio de apoyo, no considera transferencia de recursos
</t>
        </r>
      </text>
    </comment>
    <comment ref="G156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Rocío González:</t>
        </r>
        <r>
          <rPr>
            <sz val="9"/>
            <color indexed="81"/>
            <rFont val="Tahoma"/>
            <family val="2"/>
          </rPr>
          <t xml:space="preserve">
Año 4 y 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gc.rocio</author>
  </authors>
  <commentList>
    <comment ref="E18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gc.rocio:</t>
        </r>
        <r>
          <rPr>
            <sz val="9"/>
            <color indexed="81"/>
            <rFont val="Tahoma"/>
            <family val="2"/>
          </rPr>
          <t xml:space="preserve">
PETROPAR</t>
        </r>
      </text>
    </comment>
  </commentList>
</comments>
</file>

<file path=xl/sharedStrings.xml><?xml version="1.0" encoding="utf-8"?>
<sst xmlns="http://schemas.openxmlformats.org/spreadsheetml/2006/main" count="2986" uniqueCount="875">
  <si>
    <t>Concepto</t>
  </si>
  <si>
    <t>Cantidad</t>
  </si>
  <si>
    <t>Costo Unitario(Gs.)</t>
  </si>
  <si>
    <t>Total Gs.</t>
  </si>
  <si>
    <t>-</t>
  </si>
  <si>
    <t>movilidad y viático</t>
  </si>
  <si>
    <t>Año 1</t>
  </si>
  <si>
    <t>Internacional</t>
  </si>
  <si>
    <t>Int/local</t>
  </si>
  <si>
    <t>Nacional</t>
  </si>
  <si>
    <t>Tecnico en SIG - Coordinador Gral</t>
  </si>
  <si>
    <t>Tecnico en SIG - Supervisor en Gabinete</t>
  </si>
  <si>
    <t>Tecnico en SIG - Supervisor de Campo</t>
  </si>
  <si>
    <t>Tecnico en SIG - Coordinador de Campo</t>
  </si>
  <si>
    <t>Tecnicos en SIG - Gabinete</t>
  </si>
  <si>
    <t>Supervisores de Campo</t>
  </si>
  <si>
    <t>Viaticos - Tecnicos actualizadores de Campo</t>
  </si>
  <si>
    <t>Viaticos - Conductores de Vehiculos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</si>
  <si>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</si>
  <si>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</si>
  <si>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</si>
  <si>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</si>
  <si>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</si>
  <si>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</si>
  <si>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</si>
  <si>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</si>
  <si>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</si>
  <si>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</si>
  <si>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</si>
  <si>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</si>
  <si>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</si>
  <si>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</si>
  <si>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Programador asistente</t>
  </si>
  <si>
    <t>Mes 15</t>
  </si>
  <si>
    <t>Mes 16</t>
  </si>
  <si>
    <t>Mes 17</t>
  </si>
  <si>
    <t>Mes 18</t>
  </si>
  <si>
    <t>T1</t>
  </si>
  <si>
    <t>T2</t>
  </si>
  <si>
    <t>T3</t>
  </si>
  <si>
    <t>T4</t>
  </si>
  <si>
    <t>mes</t>
  </si>
  <si>
    <t>t1</t>
  </si>
  <si>
    <t>t2</t>
  </si>
  <si>
    <t>t3</t>
  </si>
  <si>
    <t>t4</t>
  </si>
  <si>
    <t>Especialista Financiero</t>
  </si>
  <si>
    <t>Especialista Adquisiciones</t>
  </si>
  <si>
    <t>Coordinador General</t>
  </si>
  <si>
    <t>Auditoria Externa</t>
  </si>
  <si>
    <t>Imprevistos</t>
  </si>
  <si>
    <t>Diseño del Marco Muestral Maestro</t>
  </si>
  <si>
    <t>Proceso de Selección de las Muestras</t>
  </si>
  <si>
    <t>Validación del Marco Muestral Maestro</t>
  </si>
  <si>
    <t>Talleres con usuarios</t>
  </si>
  <si>
    <t>Selección y Capacitación del Personal de la Encuesta</t>
  </si>
  <si>
    <t>Prueba Piloto</t>
  </si>
  <si>
    <t>Sillas</t>
  </si>
  <si>
    <t>Sillas giratorias</t>
  </si>
  <si>
    <t>Adecuación edilicia</t>
  </si>
  <si>
    <t>Pintura</t>
  </si>
  <si>
    <t>Iluminación</t>
  </si>
  <si>
    <t>m2</t>
  </si>
  <si>
    <t>oficinas</t>
  </si>
  <si>
    <t>Tipo de cambio</t>
  </si>
  <si>
    <t>Encuestas</t>
  </si>
  <si>
    <t>Local</t>
  </si>
  <si>
    <t>Catering</t>
  </si>
  <si>
    <t>Publicación y difusión de resultados</t>
  </si>
  <si>
    <t>Total</t>
  </si>
  <si>
    <t>Cableado eléctricos</t>
  </si>
  <si>
    <t xml:space="preserve">D.C.E.A. / ASIGNACIONES COMPLEMENTARIAS </t>
  </si>
  <si>
    <t>REMUNERACION EXTRAORDINARIA</t>
  </si>
  <si>
    <t>PLAN FINANCIERO PRIMER 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</si>
  <si>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</si>
  <si>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</si>
  <si>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</si>
  <si>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</si>
  <si>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</si>
  <si>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</si>
  <si>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</si>
  <si>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</si>
  <si>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</t>
  </si>
  <si>
    <t>OCTUBRE</t>
  </si>
  <si>
    <t>NOV</t>
  </si>
  <si>
    <t>DIC</t>
  </si>
  <si>
    <t>Presupuesto</t>
  </si>
  <si>
    <t>PLAN FINANCIERO SEGUNDO AÑO</t>
  </si>
  <si>
    <t>PLAN FINANCIERO TERCERO, CUARTO Y QUINTO AÑO</t>
  </si>
  <si>
    <t>REMUNERACION ADICIONAL</t>
  </si>
  <si>
    <t>EDT</t>
  </si>
  <si>
    <t>3CV</t>
  </si>
  <si>
    <t>N/A</t>
  </si>
  <si>
    <t>SNC</t>
  </si>
  <si>
    <t>CP</t>
  </si>
  <si>
    <t>SCC</t>
  </si>
  <si>
    <t>SBCC</t>
  </si>
  <si>
    <t xml:space="preserve">Revisión bibliográfica (Propuesta de la nueva metodología). </t>
  </si>
  <si>
    <t xml:space="preserve">Definición de actividades para el operativo. </t>
  </si>
  <si>
    <t>Elaboración de presupuesto.</t>
  </si>
  <si>
    <t>Elaboración de cronogramas de actividades.</t>
  </si>
  <si>
    <t>Elaboración del plan operativo (Proyecto CAN 2018)</t>
  </si>
  <si>
    <t>Gestión de recursos (Cooperantes)</t>
  </si>
  <si>
    <t>Gestión de las documentaciones legales para el censo.</t>
  </si>
  <si>
    <t>Conformación de la Comisión Nacional CAN 2018.</t>
  </si>
  <si>
    <t>Socialización y validación de la nueva metodología y presupuesto.</t>
  </si>
  <si>
    <t xml:space="preserve">Validación del plan Operativo  y  boleta censal. </t>
  </si>
  <si>
    <t>Técnico de Capacitación</t>
  </si>
  <si>
    <t>Jefe departamental</t>
  </si>
  <si>
    <t>Jefe Distrital</t>
  </si>
  <si>
    <t>Supervisor</t>
  </si>
  <si>
    <t>Spot Publicitario en Radio</t>
  </si>
  <si>
    <t>Spot Publicitario en T.V</t>
  </si>
  <si>
    <t>Analistas de datos</t>
  </si>
  <si>
    <t>Responsable de puesto de captura</t>
  </si>
  <si>
    <t>Programadores</t>
  </si>
  <si>
    <t>Administrador de Sistema</t>
  </si>
  <si>
    <t>Administrador de red</t>
  </si>
  <si>
    <t>Experto en web</t>
  </si>
  <si>
    <t>Dio Rackeable</t>
  </si>
  <si>
    <t>Organizador de Cables vertical (en unidad)</t>
  </si>
  <si>
    <t>Organizador de Cables horizontal (en unidad)</t>
  </si>
  <si>
    <t>Pach Panel</t>
  </si>
  <si>
    <t>Kvm</t>
  </si>
  <si>
    <t>Rack para switches</t>
  </si>
  <si>
    <t>Rack para servidores</t>
  </si>
  <si>
    <t>Radio modem (por unidad)</t>
  </si>
  <si>
    <t>Antena para enlace punto a punto (por unidad)</t>
  </si>
  <si>
    <t>Router inalámbrico (por unidad)</t>
  </si>
  <si>
    <t>Router (por unidad)</t>
  </si>
  <si>
    <t>Conectores RJ45 (por unidad)</t>
  </si>
  <si>
    <t>Caja externa para Jack (por unidad)</t>
  </si>
  <si>
    <t>Conectores Hembra Jack (por unidad)</t>
  </si>
  <si>
    <t>Computadoras(puesto de captura y gabinete)</t>
  </si>
  <si>
    <t>Notebook</t>
  </si>
  <si>
    <t>Servidores</t>
  </si>
  <si>
    <t>Instalación de redes</t>
  </si>
  <si>
    <t xml:space="preserve">Swich 3 layer (por unidad) </t>
  </si>
  <si>
    <t>Impresora A3</t>
  </si>
  <si>
    <t>Impresoras láser</t>
  </si>
  <si>
    <t>Lector de código de barra</t>
  </si>
  <si>
    <t>Cable UTP (en caja de rollos de 305 metros)</t>
  </si>
  <si>
    <t>AGO</t>
  </si>
  <si>
    <t xml:space="preserve">Evaluación Intermedia </t>
  </si>
  <si>
    <t>Evaluación Final</t>
  </si>
  <si>
    <t>días</t>
  </si>
  <si>
    <t xml:space="preserve">Provisión de Viatico </t>
  </si>
  <si>
    <t>Remuneración Extraordinaria</t>
  </si>
  <si>
    <t>Remuneración Adicional</t>
  </si>
  <si>
    <t>Técnico en SIG - Coordinador de Campo</t>
  </si>
  <si>
    <t>Técnico en SIG - Supervisor de Campo</t>
  </si>
  <si>
    <t>Viáticos - Técnicos actualizadores de Campo</t>
  </si>
  <si>
    <t>Técnico en SIG - Supervisor en Gabinete</t>
  </si>
  <si>
    <t>Técnicos en SIG - Gabinete</t>
  </si>
  <si>
    <t>Programador principal</t>
  </si>
  <si>
    <t>Críticos y supervisores</t>
  </si>
  <si>
    <t>Sistematización y Análisis</t>
  </si>
  <si>
    <t>Componente 2 - Fortalecimiento Institucional de las entidades del sistema de estadísticas agropecuarias</t>
  </si>
  <si>
    <t>Software</t>
  </si>
  <si>
    <t>Transmisión de datos (Internet corporativo-soporte)</t>
  </si>
  <si>
    <t>Manual de metodología de preparación de la encuesta.</t>
  </si>
  <si>
    <t>Administración del Programa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</si>
  <si>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</si>
  <si>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</si>
  <si>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</si>
  <si>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</si>
  <si>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</si>
  <si>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</si>
  <si>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</si>
  <si>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</si>
  <si>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</si>
  <si>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</si>
  <si>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</si>
  <si>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</si>
  <si>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</si>
  <si>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</si>
  <si>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</si>
  <si>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</si>
  <si>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</si>
  <si>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</si>
  <si>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</si>
  <si>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</si>
  <si>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</si>
  <si>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</si>
  <si>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</si>
  <si>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</si>
  <si>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</si>
  <si>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</si>
  <si>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</si>
  <si>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</si>
  <si>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</si>
  <si>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</si>
  <si>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</si>
  <si>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</si>
  <si>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</si>
  <si>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</si>
  <si>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</si>
  <si>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</si>
  <si>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</si>
  <si>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</si>
  <si>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</si>
  <si>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</si>
  <si>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</si>
  <si>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</si>
  <si>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AÑO 1</t>
  </si>
  <si>
    <t>AÑO 2</t>
  </si>
  <si>
    <t>AÑO 3</t>
  </si>
  <si>
    <t>AÑO 4</t>
  </si>
  <si>
    <t>AÑO 5</t>
  </si>
  <si>
    <t>Año 2</t>
  </si>
  <si>
    <t>Año 3</t>
  </si>
  <si>
    <t>Año 4</t>
  </si>
  <si>
    <t>Año 5</t>
  </si>
  <si>
    <t>T.C.</t>
  </si>
  <si>
    <t>TOTAL</t>
  </si>
  <si>
    <t>Acumulado</t>
  </si>
  <si>
    <t>Por año</t>
  </si>
  <si>
    <t xml:space="preserve">Licencia, antivirus </t>
  </si>
  <si>
    <t>Tiempo</t>
  </si>
  <si>
    <t>meses</t>
  </si>
  <si>
    <t>n/a</t>
  </si>
  <si>
    <t xml:space="preserve">mes </t>
  </si>
  <si>
    <t>Unidad de Medida</t>
  </si>
  <si>
    <t>personas</t>
  </si>
  <si>
    <t>litros</t>
  </si>
  <si>
    <t>persona</t>
  </si>
  <si>
    <t xml:space="preserve">Unidad </t>
  </si>
  <si>
    <t>locales</t>
  </si>
  <si>
    <t>ejemplares</t>
  </si>
  <si>
    <t>unidad</t>
  </si>
  <si>
    <t>Sala de reunión para 12 personas</t>
  </si>
  <si>
    <t>Escritorios</t>
  </si>
  <si>
    <t>global</t>
  </si>
  <si>
    <t>Central Telefónica - 3 l x 24 int</t>
  </si>
  <si>
    <t>años</t>
  </si>
  <si>
    <t>Global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</si>
  <si>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</si>
  <si>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</si>
  <si>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</si>
  <si>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</si>
  <si>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</si>
  <si>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</si>
  <si>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</si>
  <si>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</si>
  <si>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</si>
  <si>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</si>
  <si>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</si>
  <si>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</si>
  <si>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persona/Distrito</t>
  </si>
  <si>
    <t>Dispositivo de Captura adquirido</t>
  </si>
  <si>
    <t>Transporte y Movilidad</t>
  </si>
  <si>
    <t>Diseño de contenido conceptual de las encuestas</t>
  </si>
  <si>
    <t>Adecuación de las instalaciones edilicias</t>
  </si>
  <si>
    <t>Servicio de Logística para la Prueba Piloto del Censo</t>
  </si>
  <si>
    <t>Asistente para Diseño e implementación de la base de datos</t>
  </si>
  <si>
    <t>Mobiliarios</t>
  </si>
  <si>
    <t>Equipos Informáticos</t>
  </si>
  <si>
    <t>Observación:  calculo establecido sobre la base del mayor salario de Jefes de Departamentos (Gs. 6.900.000) x una carga mensual de 32 horas, para un total de 30 personas</t>
  </si>
  <si>
    <t>Experto en diseño e implementación de la base de datos</t>
  </si>
  <si>
    <t>Experto en transmisión de datos vía web y monitoreo informático de cobertura censal</t>
  </si>
  <si>
    <t>Experto en gestión de base de datos</t>
  </si>
  <si>
    <t>Mantenimiento de vehículos</t>
  </si>
  <si>
    <t>Combustible (450.000 km a recorrer)</t>
  </si>
  <si>
    <t>Combustible (675.000 km a recorrer)</t>
  </si>
  <si>
    <t>Experto en aplicaciones web</t>
  </si>
  <si>
    <t>Censista</t>
  </si>
  <si>
    <t>Firma para contratación y gestión del personal para el trabajo de campo</t>
  </si>
  <si>
    <t>Materiales para las capacitaciones y catering</t>
  </si>
  <si>
    <t>Identificador Personal(chalecos, quepis, porta nombre)</t>
  </si>
  <si>
    <t>Diseño e Impresión de cuestionarios censales</t>
  </si>
  <si>
    <t>Digitadores y supervisores (de contingencia)</t>
  </si>
  <si>
    <t>Soporte técnico (puesto de captura y gabinete)</t>
  </si>
  <si>
    <t>Viáticos - Conductores de vehículos</t>
  </si>
  <si>
    <t>Experto en comunicación de resultados censales</t>
  </si>
  <si>
    <t>Análisis y evaluación de la cobertura censal</t>
  </si>
  <si>
    <t>Evaluación por muestreo de la calidad de los datos</t>
  </si>
  <si>
    <t>Publicaciones de resultados censales</t>
  </si>
  <si>
    <t>Evaluación y documentación del Operativo Censal</t>
  </si>
  <si>
    <t>Total USD.</t>
  </si>
  <si>
    <t>viaje</t>
  </si>
  <si>
    <t>Estabilizadores (UPS puesto de captura)</t>
  </si>
  <si>
    <t>Estabilizadores (UPS central)</t>
  </si>
  <si>
    <t>Dispositivos externos (pakcd-pendrive)</t>
  </si>
  <si>
    <t>Operativo de Campo (7500 encuestas en 2 ondas)</t>
  </si>
  <si>
    <t>Especialista Planificación y Monitoreo del Programa</t>
  </si>
  <si>
    <t>Expertos en procesamiento de imágenes satelitales</t>
  </si>
  <si>
    <t>SD</t>
  </si>
  <si>
    <t>Imágenes Satelitales de alta resolución</t>
  </si>
  <si>
    <t>Convenio</t>
  </si>
  <si>
    <t>LPI</t>
  </si>
  <si>
    <t>PLAN DE ADQUISICIONES GLOBAL</t>
  </si>
  <si>
    <t>(Expresado en USD.)</t>
  </si>
  <si>
    <t>Período comprendido:  Año 1 a Año 5</t>
  </si>
  <si>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</si>
  <si>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</si>
  <si>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</si>
  <si>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</si>
  <si>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</si>
  <si>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t>Método de Selección/Adquisición
(Seleccionar una de las opciones):</t>
  </si>
  <si>
    <t>Cantidad de Lotes :</t>
  </si>
  <si>
    <t>Número de Proceso:</t>
  </si>
  <si>
    <t xml:space="preserve">Monto Estimado </t>
  </si>
  <si>
    <t>Componente Asociado :</t>
  </si>
  <si>
    <t>Método de Revisión (Seleccionar una de las opciones):</t>
  </si>
  <si>
    <t>Fechas</t>
  </si>
  <si>
    <t>Comentarios</t>
  </si>
  <si>
    <t>Ex-Post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</si>
  <si>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</si>
  <si>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</si>
  <si>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</si>
  <si>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</si>
  <si>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</si>
  <si>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Ex-Ante</t>
  </si>
  <si>
    <t>Previsto</t>
  </si>
  <si>
    <t>TOTAL OBRAS</t>
  </si>
  <si>
    <t>Declaración de Licitación Desierta</t>
  </si>
  <si>
    <t>Rechazo de Ofertas</t>
  </si>
  <si>
    <t>BIENES</t>
  </si>
  <si>
    <t>Contrato En Ejecución</t>
  </si>
  <si>
    <t>Método de Adquisición
(Seleccionar una de las opciones):</t>
  </si>
  <si>
    <t>Contrato Terminado</t>
  </si>
  <si>
    <t>Comp. 2</t>
  </si>
  <si>
    <t>Ex-ante</t>
  </si>
  <si>
    <t>TOTAL BIENES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</si>
  <si>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</si>
  <si>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</si>
  <si>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</si>
  <si>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</si>
  <si>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</si>
  <si>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TOTAL DE SERVICIOS DE NO CONSULTORIA</t>
  </si>
  <si>
    <t>CONSULTORÍAS FIRMAS</t>
  </si>
  <si>
    <t>Selección Basada en la Calidad </t>
  </si>
  <si>
    <t>Descripción adicional (producto relacionado)</t>
  </si>
  <si>
    <t>Selección Basada en la Calidad y Costo </t>
  </si>
  <si>
    <t>Aviso de Expresiones de Interés</t>
  </si>
  <si>
    <t>Selección basada en las calificaciones de los consultores</t>
  </si>
  <si>
    <t>Comp. 1</t>
  </si>
  <si>
    <t>TOTAL CONSULTORIAS FIRMAS</t>
  </si>
  <si>
    <t>CONSULTORÍAS INDIVIDUOS</t>
  </si>
  <si>
    <t>Suma Alzada</t>
  </si>
  <si>
    <t>Bienes </t>
  </si>
  <si>
    <t>Cantidad Estimada de Consultores :</t>
  </si>
  <si>
    <t>Llave en mano</t>
  </si>
  <si>
    <t>Obras </t>
  </si>
  <si>
    <t>No Objeción a los TDRs de la Actividad</t>
  </si>
  <si>
    <t>Firma Contrato</t>
  </si>
  <si>
    <t>Precios Unitarios</t>
  </si>
  <si>
    <t>TOTAL CONSULTORIAS INDIVIDUALES</t>
  </si>
  <si>
    <t>Suma global</t>
  </si>
  <si>
    <t>Servicios de No Consultoría </t>
  </si>
  <si>
    <t>Suma global + Gastos Reembolsables</t>
  </si>
  <si>
    <t>Consultoría - Firmas </t>
  </si>
  <si>
    <t>CAPACITACIÓN</t>
  </si>
  <si>
    <t>Tiempo Trabajado</t>
  </si>
  <si>
    <t>Consultoría - Individuos </t>
  </si>
  <si>
    <t>Plan de Capacitación Anual (PCA)</t>
  </si>
  <si>
    <t>Fin de la Actividad</t>
  </si>
  <si>
    <t>TOTAL CAPACITACIÓN</t>
  </si>
  <si>
    <t>Comparación de Precios para Bienes</t>
  </si>
  <si>
    <t>Especificaciones Técnicas</t>
  </si>
  <si>
    <t>SUBPROYECTOS</t>
  </si>
  <si>
    <t>Suministro e instalación de plantas y equipos</t>
  </si>
  <si>
    <t>Objeto de la Transferencia:</t>
  </si>
  <si>
    <t>Cantidad Estimada de Subproyectos:</t>
  </si>
  <si>
    <t>Suministro e instalación de sist. de información</t>
  </si>
  <si>
    <t>Firma del Contrato / Convenio por Adjudicación de los Subproyectos</t>
  </si>
  <si>
    <t>Fecha de 
Transferencia</t>
  </si>
  <si>
    <t>TOTAL SUBPROYECTOS</t>
  </si>
  <si>
    <t>Comparación de Calificaciones</t>
  </si>
  <si>
    <t>Contratación Directa </t>
  </si>
  <si>
    <t>PLAN DE ADQUISICIONES INICIAL</t>
  </si>
  <si>
    <t>Actividad</t>
  </si>
  <si>
    <t>Tipo Licitación</t>
  </si>
  <si>
    <t>Fecha Estimada</t>
  </si>
  <si>
    <t>Monto Estimado</t>
  </si>
  <si>
    <t>Bienes</t>
  </si>
  <si>
    <t>Obras</t>
  </si>
  <si>
    <t>Servicios de no consultoría</t>
  </si>
  <si>
    <t>Firmas</t>
  </si>
  <si>
    <t>Individuos</t>
  </si>
  <si>
    <t>Capacitaciones</t>
  </si>
  <si>
    <t>Subproyectos</t>
  </si>
  <si>
    <t>Adecuaciones edilicias</t>
  </si>
  <si>
    <t>Operación: Proyecto de Implementación del Sistema del Censo y Encuestas Agropecuarias PR-L1147</t>
  </si>
  <si>
    <t>MAG</t>
  </si>
  <si>
    <t>Tipo</t>
  </si>
  <si>
    <t>CCII</t>
  </si>
  <si>
    <t>CCIN</t>
  </si>
  <si>
    <t>Modalidad</t>
  </si>
  <si>
    <t>FC</t>
  </si>
  <si>
    <t>Adminis/Supervisión</t>
  </si>
  <si>
    <t>Exante</t>
  </si>
  <si>
    <t>Comp 1</t>
  </si>
  <si>
    <t>Comp 2</t>
  </si>
  <si>
    <t>Adm/Sup</t>
  </si>
  <si>
    <t>Eval/Aud</t>
  </si>
  <si>
    <t>ExAnte</t>
  </si>
  <si>
    <t>Costo del Servicio</t>
  </si>
  <si>
    <t>Transf.</t>
  </si>
  <si>
    <t>Adquisición de Combustible</t>
  </si>
  <si>
    <t>TOTAL TRANSFERENCIAS</t>
  </si>
  <si>
    <t>Diferencia</t>
  </si>
  <si>
    <t>Viaticos y Gratificaciones</t>
  </si>
  <si>
    <t>TOTAL DEL PLAN DE ADQUISICIONES</t>
  </si>
  <si>
    <t>TOTAL VIATICOS</t>
  </si>
  <si>
    <t>TOTAL GRATIFICACIONES</t>
  </si>
  <si>
    <t>TOTAL IMPREVISTOS</t>
  </si>
  <si>
    <t>Total PA</t>
  </si>
  <si>
    <t>Total Otros</t>
  </si>
  <si>
    <t xml:space="preserve">Total </t>
  </si>
  <si>
    <t>Experto en programación en plataforma CSpro con aplicación a Tablet</t>
  </si>
  <si>
    <t>Consultoría</t>
  </si>
  <si>
    <t>Consultoría para desarrollo de las especificaciones técnicas para la contratación de RRHH para el Censo</t>
  </si>
  <si>
    <t>Experto en áreas temáticas de censos agropecuarios con aplicación de dispositivos móviles de captura (Tablet)</t>
  </si>
  <si>
    <t>Intercambio de experiencias con otros países de la región</t>
  </si>
  <si>
    <t>Scanner</t>
  </si>
  <si>
    <t>Tablet</t>
  </si>
  <si>
    <t>Preparación de la cartográfica</t>
  </si>
  <si>
    <t>PLAN FINANCIERO PRIMER Y SEGUNDO AÑO</t>
  </si>
  <si>
    <t>Imprevisto</t>
  </si>
  <si>
    <t>Pre Censo</t>
  </si>
  <si>
    <t>Censo</t>
  </si>
  <si>
    <t>Prueba piloto realizada</t>
  </si>
  <si>
    <t>mantenim.</t>
  </si>
  <si>
    <t>B</t>
  </si>
  <si>
    <t xml:space="preserve">Gratificaciones </t>
  </si>
  <si>
    <t>Convenio con institución experta en interpretación de imágenes</t>
  </si>
  <si>
    <t xml:space="preserve"> </t>
  </si>
  <si>
    <t>Firma</t>
  </si>
  <si>
    <t>O</t>
  </si>
  <si>
    <t>Imp.</t>
  </si>
  <si>
    <t>Equipos Informaticos y Tablets</t>
  </si>
  <si>
    <t>Software y licencias</t>
  </si>
  <si>
    <t>SBE</t>
  </si>
  <si>
    <t>Contratación de agencia publicitaria (Radio y TV)</t>
  </si>
  <si>
    <t>Pasajes aereos</t>
  </si>
  <si>
    <t>Adquisicion de vehiculos</t>
  </si>
  <si>
    <t>Producto 2: Censo realizado</t>
  </si>
  <si>
    <t>Sistema de captura de datos desarrollado</t>
  </si>
  <si>
    <t xml:space="preserve">Diseño y difusión del Operativo Censal realizada  </t>
  </si>
  <si>
    <t>Sistema de procesamiento, análisis y difusión de datos del Censo desarrollado</t>
  </si>
  <si>
    <t>Producto 4: Difusión de resultados realizada</t>
  </si>
  <si>
    <t>Buenas practicas para el Censo Agrario formuladas</t>
  </si>
  <si>
    <t>Conocimiento de experiencias censales en otros países de la región adquiridas</t>
  </si>
  <si>
    <t>DCEA capacitada y equipada para producción de estadísticas</t>
  </si>
  <si>
    <t>Producto 7: Encuestas realizadas</t>
  </si>
  <si>
    <t>Componente 1 - Diseño e implementación del Sistema del Censo Agropecuario</t>
  </si>
  <si>
    <t>Producto 6: Modelo de uso de imágenes satelitales desarrollado</t>
  </si>
  <si>
    <t>Adecuaciones Edilicias</t>
  </si>
  <si>
    <t>Observación:  calculo establecido sobre la base del mayor salario de Jefes de Departamentos (Gs. 6.900.000) x una carga mensual de 32 horas, para un total de 10 personas por año.</t>
  </si>
  <si>
    <t>Observación:  calculo establecido sobre la base del mayor salario de Jefes de Departamentos (Gs. 6.900.000) x una carga mensual de 32 horas, para un total de 15 personas</t>
  </si>
  <si>
    <t>Salario Base</t>
  </si>
  <si>
    <t>DCEA</t>
  </si>
  <si>
    <t>Análisis Temáticos (a definir) y Evaluación de los resultados del Censo</t>
  </si>
  <si>
    <t>OG</t>
  </si>
  <si>
    <t>Apoyo Logístico para Censo (Alquiler y mantenimiento de subcentros operativos)</t>
  </si>
  <si>
    <t>Mantenimiento de equipos informáticos</t>
  </si>
  <si>
    <t>Apoyo Informático</t>
  </si>
  <si>
    <t>Imprev.</t>
  </si>
  <si>
    <t>A. Planificación</t>
  </si>
  <si>
    <t>Camioneta      (47.500 USD c/u)</t>
  </si>
  <si>
    <t>funcionarios</t>
  </si>
  <si>
    <t>firma</t>
  </si>
  <si>
    <t>Asistencia Tecnica en TIC</t>
  </si>
  <si>
    <t>Adquisición de mobiliarios de oficinas</t>
  </si>
  <si>
    <t>Seguros de vehiculos</t>
  </si>
  <si>
    <t>GRATIFICACION POR SERVICIOS ESPECIALES (PRIMERO Y SEGUNDO AÑO)</t>
  </si>
  <si>
    <t>GRATIFICACION POR SERVICIOS ESPECIALES  (TERCERO, CUARTO Y QUINTO)</t>
  </si>
  <si>
    <t>PERSONAL QUE REALIZARA TAREAS ADICIONALES Y COBRARAN RE. (PRIMERO Y SEGUNDO AÑO).</t>
  </si>
  <si>
    <t xml:space="preserve">Dirección </t>
  </si>
  <si>
    <t>Cantidad a ser vinculada</t>
  </si>
  <si>
    <t>Cargo</t>
  </si>
  <si>
    <t>Dedicación al proyecto</t>
  </si>
  <si>
    <t>Función</t>
  </si>
  <si>
    <t>Plazo a comisionar</t>
  </si>
  <si>
    <t>Objeto de gasto</t>
  </si>
  <si>
    <t>Valor diario</t>
  </si>
  <si>
    <t>Monto</t>
  </si>
  <si>
    <t>Coordinador Cartografia</t>
  </si>
  <si>
    <t>Experiencia en operativos censales en el área de cartografía</t>
  </si>
  <si>
    <t>DGEEC Y OTRAS INSTITUCIONES</t>
  </si>
  <si>
    <t>Supervisor Cartografía</t>
  </si>
  <si>
    <t>Auxiliar de cartografia</t>
  </si>
  <si>
    <t>Experiencia en manejo de cartografia digital</t>
  </si>
  <si>
    <t>123 / 145</t>
  </si>
  <si>
    <t>Coordinador Censos</t>
  </si>
  <si>
    <t>Experiencias en operativo de censos y gestión de personal</t>
  </si>
  <si>
    <t>Sub coordinador de bloques</t>
  </si>
  <si>
    <t>DCEA y MAG</t>
  </si>
  <si>
    <t>Auxiliar para  Censo</t>
  </si>
  <si>
    <t>Experiencia en actividades inherentes al censo</t>
  </si>
  <si>
    <t>Coordinador Administrativo</t>
  </si>
  <si>
    <t>Experiencia en área de administración</t>
  </si>
  <si>
    <t>DCEA Administración</t>
  </si>
  <si>
    <t>Auxiliar administrativo</t>
  </si>
  <si>
    <t xml:space="preserve">DCEA </t>
  </si>
  <si>
    <t>Coordinador Informatico</t>
  </si>
  <si>
    <t>Experiencia área de informática</t>
  </si>
  <si>
    <t>DCEA Informática.</t>
  </si>
  <si>
    <t>Auxiliar informático</t>
  </si>
  <si>
    <t>Auxiliar Estadística</t>
  </si>
  <si>
    <t>Experiencia análisis de datos</t>
  </si>
  <si>
    <t>PERSONAL QUE REALIZARA TAREAS ADICIONALES Y COBRARAN RE (TERCERO, CUARTO Y QUINTO AÑO).</t>
  </si>
  <si>
    <t>Auxiliar de cartografía</t>
  </si>
  <si>
    <t>Experiencias en actividades censales y encuestas</t>
  </si>
  <si>
    <t>Auxiliar de censos.</t>
  </si>
  <si>
    <t>Auxiliar informática</t>
  </si>
  <si>
    <t>PERSONAL QUE REALIZARA TAREAS ADICIONALES Y COBRARAN RA. (PRIMERO Y SEGUNDO AÑO).</t>
  </si>
  <si>
    <t>PERSONAL MIEMBRO QUE PRESTARÁ SERVICIO EN LA UTEP, GRATIFICACION ESPECIAL (PRIMERO Y SEGUNDO AÑO).</t>
  </si>
  <si>
    <t>DCEA Y OTRAS INSTITUC IONES</t>
  </si>
  <si>
    <t>COORDINADOR GENERAL</t>
  </si>
  <si>
    <t>Encargado gestion del proyecto</t>
  </si>
  <si>
    <t>AUXILIAR DE ADQUISICIONES</t>
  </si>
  <si>
    <t>Apoyo al proceso de adquisicion</t>
  </si>
  <si>
    <t>AUXILIAR DE FINANCIERO</t>
  </si>
  <si>
    <t>Apoyo gestión área financiera</t>
  </si>
  <si>
    <t>AUXILIAR DE PLANIFICACION</t>
  </si>
  <si>
    <t>Apoyo en planificación</t>
  </si>
  <si>
    <t>AUXILIAR DE ADMINISTRACION</t>
  </si>
  <si>
    <t>PERSONAL MIEMBRO QUE PRESTARÁ SERVICIO EN LA UTEP, GRATIFICACION ESPECIAL (TERCERO, CUARTO Y QUINTO AÑO).</t>
  </si>
  <si>
    <t>Adiconal</t>
  </si>
  <si>
    <t>Extrat</t>
  </si>
  <si>
    <t>2T - AÑO 1</t>
  </si>
  <si>
    <t>3T - AÑO 1</t>
  </si>
  <si>
    <t>3T -AÑO 1</t>
  </si>
  <si>
    <t>1T - AÑO 2</t>
  </si>
  <si>
    <t>2T - AÑO 2</t>
  </si>
  <si>
    <t>4T - AÑO 2</t>
  </si>
  <si>
    <t>1T - AÑO 3</t>
  </si>
  <si>
    <t>3T - AÑO 3</t>
  </si>
  <si>
    <t>3T - AÑO 4</t>
  </si>
  <si>
    <t>4T - AÑO 5</t>
  </si>
  <si>
    <t>Adm. Y Sup.</t>
  </si>
  <si>
    <t>3T - AÑO 2</t>
  </si>
  <si>
    <t>1T - AÑO 1</t>
  </si>
  <si>
    <t>2T - AÑO 4</t>
  </si>
  <si>
    <t>3T - AÑO 5</t>
  </si>
  <si>
    <t>1T - AÑO 5</t>
  </si>
  <si>
    <t xml:space="preserve"> Artículos 315 y 316 del Decreto Reglamentario de la Ley de Presupuesto, referente a la compra de combustibles en instituciones públicas a través del Convenio con PETROPAR</t>
  </si>
  <si>
    <t>1T- AÑO 1</t>
  </si>
  <si>
    <t>2T- AÑO 1</t>
  </si>
  <si>
    <t>4T - AÑO 1</t>
  </si>
  <si>
    <t>2T - AÑO 3</t>
  </si>
  <si>
    <t>4T - AÑO 3</t>
  </si>
  <si>
    <t>1T - AÑO 4</t>
  </si>
  <si>
    <t>INDICE</t>
  </si>
  <si>
    <t>Cuadro de Costo General</t>
  </si>
  <si>
    <t>CC Detallado</t>
  </si>
  <si>
    <t>Cuadro de Costo Detallado</t>
  </si>
  <si>
    <t>PEP</t>
  </si>
  <si>
    <t>Plan de Ejecución del Proyecto</t>
  </si>
  <si>
    <t>PA</t>
  </si>
  <si>
    <t>PAI</t>
  </si>
  <si>
    <t>Estructura Desglosada de Trabajo</t>
  </si>
  <si>
    <t>CC Gral.</t>
  </si>
  <si>
    <t>Plan de Adquisiciones</t>
  </si>
  <si>
    <t>Plan de Adquisición Inicial</t>
  </si>
  <si>
    <t>Mensual y Anual</t>
  </si>
  <si>
    <t>Proyección de ejecución anual y acumulado</t>
  </si>
  <si>
    <t>DETALLE</t>
  </si>
  <si>
    <t>OBSERVACION</t>
  </si>
  <si>
    <t>Cronograma</t>
  </si>
  <si>
    <t>Cronograma del Programa</t>
  </si>
  <si>
    <t>Producto 1: Cartografía actualizada</t>
  </si>
  <si>
    <t>Producto 3: Encuesta post-censal de evaluación realizada</t>
  </si>
  <si>
    <t xml:space="preserve">Producto 5: Técnicos capacitados en generación información estadística </t>
  </si>
  <si>
    <t>Producto 8: Estudios temáticos con información censal realizados</t>
  </si>
  <si>
    <t>MDR</t>
  </si>
  <si>
    <t>Matriz de Resultados</t>
  </si>
  <si>
    <t>Resultados Esperados</t>
  </si>
  <si>
    <t>Unidad de medida</t>
  </si>
  <si>
    <t>Línea de base</t>
  </si>
  <si>
    <t>Intermedios</t>
  </si>
  <si>
    <t>Metas</t>
  </si>
  <si>
    <t>Medio de verificación</t>
  </si>
  <si>
    <t>Observaciones</t>
  </si>
  <si>
    <t>Valor</t>
  </si>
  <si>
    <t>Año</t>
  </si>
  <si>
    <t>Resultado 1: Mejorar la calidad de la información estadística agropecuaria del país</t>
  </si>
  <si>
    <t>Diferencia entre resultados de la encuesta post-censal y el censo</t>
  </si>
  <si>
    <t>%</t>
  </si>
  <si>
    <t>&lt;5%</t>
  </si>
  <si>
    <t>Publicación del censo y resultados de encuesta post-censal</t>
  </si>
  <si>
    <t>Para variables principales: superficie, uso del suelo y otras a definir al momento del diseño del formulario del censo</t>
  </si>
  <si>
    <t>Ficha técnica del Censo Agropecuario</t>
  </si>
  <si>
    <t>Comparación entre censo agropecuario y encuesta post-censal</t>
  </si>
  <si>
    <t>Tasa de no respuesta</t>
  </si>
  <si>
    <t>Ficha técnica y base de datos del Censo Agropecuario</t>
  </si>
  <si>
    <t>Resultado 2: Mejorar la oportunidad y disponibilidad de la información agropecuaria</t>
  </si>
  <si>
    <t>Lapso entre fin de trabajo de campo y publicación de resultados</t>
  </si>
  <si>
    <t>Meses</t>
  </si>
  <si>
    <t>Presentación de resultados finales</t>
  </si>
  <si>
    <t>Construir línea de base en función de censo 2008.</t>
  </si>
  <si>
    <t>Duración del trabajo de campo</t>
  </si>
  <si>
    <t>Reporte DCEA sobre censo 2008 para valor de línea de base</t>
  </si>
  <si>
    <t>Resultado 3: Mejorar la capacidad institucional para recolectar y procesar estadística agropecuaria</t>
  </si>
  <si>
    <t>Calificación de la capacidad estadística agropecuaria</t>
  </si>
  <si>
    <t>Puntaje</t>
  </si>
  <si>
    <t>Por definirse</t>
  </si>
  <si>
    <t>¿?</t>
  </si>
  <si>
    <t>Informe con puntajes para línea de base y final</t>
  </si>
  <si>
    <t>Productos</t>
  </si>
  <si>
    <t>Meta final</t>
  </si>
  <si>
    <t>Componente 1: Diseño e implementación del Censo Agropecuario</t>
  </si>
  <si>
    <t>Cartografía actualizada</t>
  </si>
  <si>
    <t>Mapas cartográficos departamentales</t>
  </si>
  <si>
    <t>Mapas departamentales, Informe técnico DCEA y contenidos SIG. Con apoyo técnico DGEEC.</t>
  </si>
  <si>
    <t>Censo realizado</t>
  </si>
  <si>
    <t>Resultados preliminares publicados</t>
  </si>
  <si>
    <t>El índice de Género FAO se calcula en base a la lista de ítems 1001-1005 de la publicación “Programa Mundial del Censo Agropecuario 2020 de FAO”, dividiendo la cantidad de respuestas que pueden obtenerse en base a la información censal sobre el total de ítems (5)</t>
  </si>
  <si>
    <t>El índice de población indígena toma valor 1 si pueden estratificarse las principales variables censales en función del origen étnico del productor y 0 si no es posible discriminar los datos censales por este criterio</t>
  </si>
  <si>
    <t>Índice de Género FAO</t>
  </si>
  <si>
    <t>Índice población indígena</t>
  </si>
  <si>
    <t>Encuesta post-censal de evaluación realizada</t>
  </si>
  <si>
    <t>Encuesta</t>
  </si>
  <si>
    <t>Informe de resultados de encuesta post-censal</t>
  </si>
  <si>
    <t>Dentro de los 6 meses posteriores al trabajo de campo del censo</t>
  </si>
  <si>
    <t>Difusión de resultados realizada</t>
  </si>
  <si>
    <t>Publicación</t>
  </si>
  <si>
    <t>Difusión incluye publicación de resultados con ficha metodológica y tabulados principales y sistema de consulta de microdatos vía web</t>
  </si>
  <si>
    <t>Componente 2: Fortalecimiento institucional de las entidades del sistema de estadísticas agropecuarias</t>
  </si>
  <si>
    <t xml:space="preserve">Técnicos capacitados en generación información estadística </t>
  </si>
  <si>
    <t>Nro de técnicos</t>
  </si>
  <si>
    <t>Informe de DCEA identificando técnicos y áreas en los que recibieron capacitación</t>
  </si>
  <si>
    <t>Modelo de uso de imágenes satelitales desarrollado</t>
  </si>
  <si>
    <t>Modelo</t>
  </si>
  <si>
    <t xml:space="preserve">Informe DCEA sobre resultados obtenidos en la aplicación de imágenes satelitales para generación de estadísticas agropecuarias </t>
  </si>
  <si>
    <t xml:space="preserve">Encuestas agropecuarias </t>
  </si>
  <si>
    <t>Publicación de resultados de encuestas realizadas dentro de los 3 años posteriores al censo</t>
  </si>
  <si>
    <t>Estudios temáticos con información censal realizados</t>
  </si>
  <si>
    <t>Cantidad de estudios</t>
  </si>
  <si>
    <t>Documentos con resultados de estudios realizados dentro de los 24 meses posteriores a la publicación de los resultados censales</t>
  </si>
  <si>
    <t>Objetivo del proyecto:</t>
  </si>
  <si>
    <t>Contribuir a mejorar la disponibilidad y calidad de la información agraria en el país, con el fin de apoyar la toma de decisiones de los sectores público y privado</t>
  </si>
  <si>
    <t>Indicadores</t>
  </si>
  <si>
    <t xml:space="preserve">Unidad de medida </t>
  </si>
  <si>
    <t>Impacto: Mejorar la utilización y valoración de la información estadística agropecuaria</t>
  </si>
  <si>
    <t>Solicitudes de información generada sobre el censo agropecuario</t>
  </si>
  <si>
    <t>Solicitudes y descargas de información</t>
  </si>
  <si>
    <t>Informes de DCEA</t>
  </si>
  <si>
    <t xml:space="preserve"> No se dispone de registros sistematizado de consulta con relación al Censo Agropecuario 2.008. Existen antecedentes de solicitud de información sirven de base para estimar la cantidad.</t>
  </si>
  <si>
    <t>Calificación de la calidad de los datos censales por percepción de los usuarios</t>
  </si>
  <si>
    <t>Puntaje (1-5)</t>
  </si>
  <si>
    <t>LB * 1,25</t>
  </si>
  <si>
    <t>Encuesta a usuarios públicos de información agropecuaria</t>
  </si>
  <si>
    <t>Costo estimado USD</t>
  </si>
  <si>
    <t>Impacto Esperado</t>
  </si>
  <si>
    <t>Construir lista de usuarios de información agropecuaria. Definir metodología de consulta y contenidos del formulario de calificación
Construir línea de base con opinión sobre censo 2008
Para nuevo censo considerar un año después de publicado el censo para permitir proceso de difusión</t>
  </si>
  <si>
    <t>Puntaje aplicado por metodología FAO (Assessing Country Capacity to Produce Agricultural and Rural Statistics, June 2014) pero no basado en autocalificación sino relevados por consultor externo.
Usar directamente puntaje y no “Clase”</t>
  </si>
  <si>
    <t>1.1</t>
  </si>
  <si>
    <t>1.2</t>
  </si>
  <si>
    <t>2.2</t>
  </si>
  <si>
    <t xml:space="preserve">1.4 </t>
  </si>
  <si>
    <t>1.3</t>
  </si>
  <si>
    <t>2.1</t>
  </si>
  <si>
    <t>2.3</t>
  </si>
  <si>
    <t>2.4</t>
  </si>
  <si>
    <t>3.1</t>
  </si>
  <si>
    <t>Auditoria Externa del Programa realizadas</t>
  </si>
  <si>
    <t>Evaluaciones Intermedia y Final realizadas</t>
  </si>
  <si>
    <t xml:space="preserve">CUADRO DE COSTO GLOBAL </t>
  </si>
  <si>
    <t>Proyecto de Implementación del Sistema del Censo y Encuestas Agropecuarias PR-L1147</t>
  </si>
  <si>
    <t>1.1.1</t>
  </si>
  <si>
    <t>2.2.2</t>
  </si>
  <si>
    <t>1.1.2</t>
  </si>
  <si>
    <t>1.1.3</t>
  </si>
  <si>
    <t>1.1.4</t>
  </si>
  <si>
    <t>1.1.5</t>
  </si>
  <si>
    <t>1.1.6</t>
  </si>
  <si>
    <t>1.1.7</t>
  </si>
  <si>
    <t>1.1.8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</si>
  <si>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</si>
  <si>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</si>
  <si>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</si>
  <si>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</si>
  <si>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</si>
  <si>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</si>
  <si>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</si>
  <si>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</si>
  <si>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1.2.6</t>
  </si>
  <si>
    <t>1.2.1.1</t>
  </si>
  <si>
    <t>1.2.1.2</t>
  </si>
  <si>
    <t>1.2.1.3</t>
  </si>
  <si>
    <t>1.2.1.4</t>
  </si>
  <si>
    <t>1.2.1.5</t>
  </si>
  <si>
    <t>1.2.2.1</t>
  </si>
  <si>
    <t>1.2.2.2</t>
  </si>
  <si>
    <t>1.2.2.3</t>
  </si>
  <si>
    <t>1.2.2.4</t>
  </si>
  <si>
    <t>1.2.2.5</t>
  </si>
  <si>
    <t>1.2.2.6</t>
  </si>
  <si>
    <t>1.2.3.1</t>
  </si>
  <si>
    <t>1.2.4.1</t>
  </si>
  <si>
    <t>1.2.4.2</t>
  </si>
  <si>
    <t>1.2.4.3</t>
  </si>
  <si>
    <t>1.2.4.4</t>
  </si>
  <si>
    <t>1.2.4.5</t>
  </si>
  <si>
    <t>1.2.4.6</t>
  </si>
  <si>
    <t>1.2.4.7</t>
  </si>
  <si>
    <t>1.2.4.8</t>
  </si>
  <si>
    <t>1.2.4.9</t>
  </si>
  <si>
    <t>1.2.4.10</t>
  </si>
  <si>
    <t>1.2.4.11</t>
  </si>
  <si>
    <t>1.2.4.12</t>
  </si>
  <si>
    <t>2.3.5</t>
  </si>
  <si>
    <t>1.2.5.1</t>
  </si>
  <si>
    <t>2.1.5.2</t>
  </si>
  <si>
    <t>1.2.5.2</t>
  </si>
  <si>
    <t>1.2.6.1</t>
  </si>
  <si>
    <t>1.2.6.2</t>
  </si>
  <si>
    <t>1.2.6.3</t>
  </si>
  <si>
    <t>1.2.6.4</t>
  </si>
  <si>
    <t>1.2.6.5</t>
  </si>
  <si>
    <t>1.2.6.6</t>
  </si>
  <si>
    <t>1.2.6.7</t>
  </si>
  <si>
    <t>1.2.6.8</t>
  </si>
  <si>
    <t>1.2.6.9</t>
  </si>
  <si>
    <t>1.2.6.10</t>
  </si>
  <si>
    <t>1.2.6.11</t>
  </si>
  <si>
    <t>2.3.1</t>
  </si>
  <si>
    <t>1.4.1</t>
  </si>
  <si>
    <t>1.4.3</t>
  </si>
  <si>
    <t>1.4.2</t>
  </si>
  <si>
    <t>1.4.4</t>
  </si>
  <si>
    <t>1.4.5</t>
  </si>
  <si>
    <t>2.1.1</t>
  </si>
  <si>
    <t>2.1.1.1</t>
  </si>
  <si>
    <t>2.1.1.2</t>
  </si>
  <si>
    <t>2.1.1.3</t>
  </si>
  <si>
    <t>2.1.1.4</t>
  </si>
  <si>
    <t>2.1.2</t>
  </si>
  <si>
    <t>3.1.3</t>
  </si>
  <si>
    <t>2.1.2.1</t>
  </si>
  <si>
    <t>2.1.2.2</t>
  </si>
  <si>
    <t>2.1.3</t>
  </si>
  <si>
    <t>2.1.7</t>
  </si>
  <si>
    <t>2.1.5</t>
  </si>
  <si>
    <t>2.1.8</t>
  </si>
  <si>
    <t>2.1.4</t>
  </si>
  <si>
    <t>2.1.3.1</t>
  </si>
  <si>
    <t>2.1.4.1</t>
  </si>
  <si>
    <t>2.1.4.2</t>
  </si>
  <si>
    <t>2.1.4.3</t>
  </si>
  <si>
    <t>2.1.4.4</t>
  </si>
  <si>
    <t>2.1.5.1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</si>
  <si>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</si>
  <si>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</si>
  <si>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</si>
  <si>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</si>
  <si>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</si>
  <si>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</si>
  <si>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</si>
  <si>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</si>
  <si>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</si>
  <si>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</si>
  <si>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</si>
  <si>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</si>
  <si>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</si>
  <si>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</si>
  <si>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</si>
  <si>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</si>
  <si>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</si>
  <si>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</si>
  <si>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</si>
  <si>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</si>
  <si>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</si>
  <si>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</si>
  <si>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</si>
  <si>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</si>
  <si>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</si>
  <si>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</si>
  <si>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</si>
  <si>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2.1.6</t>
  </si>
  <si>
    <t>2.1.6.1</t>
  </si>
  <si>
    <t>2.1.6.2</t>
  </si>
  <si>
    <t>2.3.7</t>
  </si>
  <si>
    <t>2.1.7.1</t>
  </si>
  <si>
    <t>2.1.7.2</t>
  </si>
  <si>
    <t>2.1.7.3</t>
  </si>
  <si>
    <t>2.1.7.4</t>
  </si>
  <si>
    <t>2.1.9</t>
  </si>
  <si>
    <t>2.3.9</t>
  </si>
  <si>
    <t>2.1.8.1</t>
  </si>
  <si>
    <t>2.1.9.1</t>
  </si>
  <si>
    <t>2.2.1</t>
  </si>
  <si>
    <t>2.2.3</t>
  </si>
  <si>
    <t>2.3.2</t>
  </si>
  <si>
    <t>2.3.3</t>
  </si>
  <si>
    <t>2.3.4</t>
  </si>
  <si>
    <t>2.3.6</t>
  </si>
  <si>
    <t>2.3.8</t>
  </si>
  <si>
    <t>2.3.10</t>
  </si>
  <si>
    <t>2.3.11</t>
  </si>
  <si>
    <t>2.4.1</t>
  </si>
  <si>
    <t>3.1.1</t>
  </si>
  <si>
    <t>3.1.2</t>
  </si>
  <si>
    <t>3.1.4</t>
  </si>
  <si>
    <t>3.1.5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</si>
  <si>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</si>
  <si>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</si>
  <si>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</si>
  <si>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</si>
  <si>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</si>
  <si>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</si>
  <si>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</si>
  <si>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</si>
  <si>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</si>
  <si>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</si>
  <si>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</si>
  <si>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</si>
  <si>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</si>
  <si>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</si>
  <si>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</si>
  <si>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</si>
  <si>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2.1.3.1.1</t>
  </si>
  <si>
    <t>2.1.3.1.2</t>
  </si>
  <si>
    <t>2.1.3.1.3</t>
  </si>
  <si>
    <t>PLAN DE EJECUCIÓN DEL PROYECTO - PEP</t>
  </si>
  <si>
    <t xml:space="preserve">CRONOGRAMA </t>
  </si>
  <si>
    <t>PLAN OPERATIVO DEL AÑO 1 (POA - 1)</t>
  </si>
  <si>
    <t>Total Proyetco</t>
  </si>
  <si>
    <t>Meta año 1</t>
  </si>
  <si>
    <t xml:space="preserve">Proceso de contratación e inicio de trabajo </t>
  </si>
  <si>
    <t>Inicio de proceso de contratación de la Firma auditora</t>
  </si>
  <si>
    <t xml:space="preserve">Contratación e inicio del trabajo </t>
  </si>
  <si>
    <t>actividad programada para Año 4</t>
  </si>
  <si>
    <t>actividad programada para Año 5</t>
  </si>
  <si>
    <t>actividad programada para Año 3</t>
  </si>
  <si>
    <t>actividad programada para Año 2</t>
  </si>
  <si>
    <t xml:space="preserve">Inicio de proceso de contratación </t>
  </si>
  <si>
    <t>Proceso de contratación para mantenimiento de equipos</t>
  </si>
  <si>
    <t>Inicio de proceso de contratación</t>
  </si>
  <si>
    <t>Adquisición de materiales</t>
  </si>
  <si>
    <t>Adquisiciones de cuestionarios</t>
  </si>
  <si>
    <t>Adquisición de identificadores personales</t>
  </si>
  <si>
    <t>Adquisición de mobiliarios</t>
  </si>
  <si>
    <t>Adquisición de equipos informáticos</t>
  </si>
  <si>
    <t>Adquisición de vehículos</t>
  </si>
  <si>
    <t>Adquisición de tablets</t>
  </si>
  <si>
    <t>Inicio de usufructo de convenio</t>
  </si>
  <si>
    <t>Adquisición de imágenes satelitales</t>
  </si>
  <si>
    <t>Medio de Verificación</t>
  </si>
  <si>
    <t>Contrato firmado</t>
  </si>
  <si>
    <t>Provisión de viaticos para viajes programados</t>
  </si>
  <si>
    <t>Provisión de combutibles para viajes programados</t>
  </si>
  <si>
    <t>Firma de retiro de vale de combustibles</t>
  </si>
  <si>
    <t>Inicio de trabajo de funcionarios asignados al proyecto</t>
  </si>
  <si>
    <t>Documento de designación de funcionarios al proyecto y planilla de cobro de salarios</t>
  </si>
  <si>
    <t>Contrato firmado e Informes</t>
  </si>
  <si>
    <t>No Objeción a los DL</t>
  </si>
  <si>
    <t>Contrato firmado con contratista</t>
  </si>
  <si>
    <t>Factura de compra y acta de recepción</t>
  </si>
  <si>
    <t>Rendición de viáticos</t>
  </si>
  <si>
    <t>Contrato firmado / Planilla de mantenimiento de vehículos</t>
  </si>
  <si>
    <t>Responsable</t>
  </si>
  <si>
    <t>Especialistas de Adquisiciones</t>
  </si>
  <si>
    <t>Director de DCEA / DINCAP</t>
  </si>
  <si>
    <t xml:space="preserve">Especialistas Financiero </t>
  </si>
  <si>
    <t>Coodinador General /Director DCEA</t>
  </si>
  <si>
    <t>POA año 1</t>
  </si>
  <si>
    <t>Plan Operativo Ano 1</t>
  </si>
  <si>
    <t>COMP.</t>
  </si>
  <si>
    <t>Administración, Auditoría y Evaluación</t>
  </si>
  <si>
    <t>3.2</t>
  </si>
  <si>
    <t xml:space="preserve">3.3 </t>
  </si>
  <si>
    <t>En millones de USD</t>
  </si>
  <si>
    <t>Total por año en millones de USD</t>
  </si>
  <si>
    <t>Publicación del llamado</t>
  </si>
  <si>
    <t>Viajes al exterior</t>
  </si>
  <si>
    <t>3.2.1</t>
  </si>
  <si>
    <t>3.2.2</t>
  </si>
  <si>
    <t>3.3.1</t>
  </si>
  <si>
    <t>Tasa de omisión general</t>
  </si>
  <si>
    <t>indice</t>
  </si>
  <si>
    <t>indice elaborado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</si>
</sst>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* #,##0.00\ _$_-;\-* #,##0.00\ _$_-;_-* &quot;-&quot;??\ _$_-;_-@_-"/>
    <numFmt numFmtId="165" formatCode="_-* #,##0\ _$_-;\-* #,##0\ _$_-;_-* &quot;-&quot;??\ _$_-;_-@_-"/>
    <numFmt numFmtId="166" formatCode="[$USD]\ #,##0.00"/>
    <numFmt numFmtId="167" formatCode="_(* #,##0_);_(* \(#,##0\);_(* &quot;-&quot;??_);_(@_)"/>
    <numFmt numFmtId="168" formatCode="dd/mm/yy;@"/>
    <numFmt numFmtId="169" formatCode="0.0%"/>
    <numFmt numFmtId="170" formatCode="#,##0.0"/>
    <numFmt numFmtId="171" formatCode="_-* #,##0.000\ _$_-;\-* #,##0.000\ _$_-;_-* &quot;-&quot;??\ _$_-;_-@_-"/>
  </numFmts>
  <fonts count="7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CC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00CC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rgb="FF0000CC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b/>
      <sz val="10"/>
      <color theme="1"/>
      <name val="Gadugi"/>
      <family val="2"/>
    </font>
    <font>
      <sz val="10"/>
      <color theme="1"/>
      <name val="Gadugi"/>
      <family val="2"/>
    </font>
    <font>
      <b/>
      <sz val="10"/>
      <color theme="0"/>
      <name val="Gadugi"/>
      <family val="2"/>
    </font>
    <font>
      <sz val="10"/>
      <color theme="0"/>
      <name val="Gadugi"/>
      <family val="2"/>
    </font>
    <font>
      <b/>
      <sz val="10"/>
      <name val="Gadugi"/>
      <family val="2"/>
    </font>
    <font>
      <sz val="10"/>
      <name val="Gadugi"/>
      <family val="2"/>
    </font>
    <font>
      <b/>
      <u/>
      <sz val="10"/>
      <name val="Gadugi"/>
      <family val="2"/>
    </font>
    <font>
      <b/>
      <u/>
      <sz val="9"/>
      <name val="Calibri"/>
      <family val="2"/>
      <scheme val="minor"/>
    </font>
    <font>
      <sz val="9"/>
      <name val="Calibri"/>
      <family val="2"/>
    </font>
    <font>
      <sz val="9"/>
      <name val="Gadugi"/>
      <family val="2"/>
    </font>
    <font>
      <sz val="9"/>
      <color theme="1"/>
      <name val="Gadugi"/>
      <family val="2"/>
    </font>
    <font>
      <b/>
      <sz val="9"/>
      <color rgb="FFFFFFFF"/>
      <name val="Gadugi"/>
      <family val="2"/>
    </font>
    <font>
      <b/>
      <sz val="9"/>
      <color theme="1"/>
      <name val="Gadugi"/>
      <family val="2"/>
    </font>
    <font>
      <sz val="9"/>
      <color rgb="FFFFFFFF"/>
      <name val="Gadugi"/>
      <family val="2"/>
    </font>
    <font>
      <sz val="9"/>
      <color rgb="FF000000"/>
      <name val="Gadugi"/>
      <family val="2"/>
    </font>
    <font>
      <b/>
      <sz val="9"/>
      <color theme="0"/>
      <name val="Gadugi"/>
      <family val="2"/>
    </font>
    <font>
      <vertAlign val="superscript"/>
      <sz val="9"/>
      <color theme="1"/>
      <name val="Gadugi"/>
      <family val="2"/>
    </font>
    <font>
      <sz val="10"/>
      <color theme="0" tint="-0.249977111117893"/>
      <name val="Gadugi"/>
      <family val="2"/>
    </font>
    <font>
      <sz val="10"/>
      <color theme="0" tint="-0.14999847407452621"/>
      <name val="Gadug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Gadugi"/>
      <family val="2"/>
    </font>
    <font>
      <i/>
      <sz val="10"/>
      <color theme="1"/>
      <name val="Gadugi"/>
      <family val="2"/>
    </font>
    <font>
      <u/>
      <sz val="10"/>
      <color theme="10"/>
      <name val="Gadugi"/>
      <family val="2"/>
    </font>
    <font>
      <b/>
      <sz val="11"/>
      <color theme="0"/>
      <name val="Gadugi"/>
      <family val="2"/>
    </font>
    <font>
      <b/>
      <sz val="12"/>
      <color theme="0"/>
      <name val="Gadugi"/>
      <family val="2"/>
    </font>
    <font>
      <b/>
      <sz val="14"/>
      <color theme="0"/>
      <name val="Gadugi"/>
      <family val="2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rgb="FF003399"/>
      <name val="Calibri"/>
      <family val="2"/>
      <scheme val="minor"/>
    </font>
    <font>
      <sz val="9"/>
      <color theme="1"/>
      <name val="Garamond"/>
      <family val="1"/>
    </font>
    <font>
      <b/>
      <sz val="14"/>
      <color theme="0"/>
      <name val="Garamond"/>
      <family val="1"/>
    </font>
    <font>
      <sz val="9"/>
      <color rgb="FFFF0000"/>
      <name val="Garamond"/>
      <family val="1"/>
    </font>
    <font>
      <b/>
      <sz val="9"/>
      <color theme="3"/>
      <name val="Garamond"/>
      <family val="1"/>
    </font>
    <font>
      <b/>
      <sz val="9"/>
      <color theme="1"/>
      <name val="Garamond"/>
      <family val="1"/>
    </font>
    <font>
      <b/>
      <sz val="9"/>
      <color theme="0"/>
      <name val="Garamond"/>
      <family val="1"/>
    </font>
    <font>
      <b/>
      <sz val="9"/>
      <color rgb="FFFF0000"/>
      <name val="Garamond"/>
      <family val="1"/>
    </font>
    <font>
      <sz val="9"/>
      <color theme="0"/>
      <name val="Garamond"/>
      <family val="1"/>
    </font>
    <font>
      <sz val="9"/>
      <color rgb="FF000000"/>
      <name val="Garamond"/>
      <family val="1"/>
    </font>
    <font>
      <sz val="9"/>
      <color indexed="8"/>
      <name val="Garamond"/>
      <family val="1"/>
    </font>
    <font>
      <b/>
      <sz val="9"/>
      <name val="Garamond"/>
      <family val="1"/>
    </font>
    <font>
      <sz val="9"/>
      <name val="Garamond"/>
      <family val="1"/>
    </font>
    <font>
      <b/>
      <u/>
      <sz val="9"/>
      <name val="Garamond"/>
      <family val="1"/>
    </font>
    <font>
      <sz val="9"/>
      <color rgb="FF0000CC"/>
      <name val="Garamond"/>
      <family val="1"/>
    </font>
    <font>
      <b/>
      <sz val="9"/>
      <color rgb="FF000000"/>
      <name val="Garamond"/>
      <family val="1"/>
    </font>
    <font>
      <b/>
      <sz val="9"/>
      <color rgb="FF0000CC"/>
      <name val="Garamond"/>
      <family val="1"/>
    </font>
  </fonts>
  <fills count="2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ck">
        <color theme="0"/>
      </top>
      <bottom style="thick">
        <color theme="0"/>
      </bottom>
      <diagonal/>
    </border>
    <border>
      <left/>
      <right style="thin">
        <color theme="0" tint="-0.24994659260841701"/>
      </right>
      <top style="thick">
        <color theme="0"/>
      </top>
      <bottom style="thick">
        <color theme="0"/>
      </bottom>
      <diagonal/>
    </border>
    <border>
      <left style="thin">
        <color theme="0" tint="-0.24994659260841701"/>
      </left>
      <right/>
      <top/>
      <bottom style="thick">
        <color theme="0"/>
      </bottom>
      <diagonal/>
    </border>
    <border>
      <left/>
      <right style="thin">
        <color theme="0" tint="-0.24994659260841701"/>
      </right>
      <top/>
      <bottom style="thick">
        <color theme="0"/>
      </bottom>
      <diagonal/>
    </border>
  </borders>
  <cellStyleXfs count="16">
    <xf numFmtId="0" fontId="0" fillId="0" borderId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/>
    <xf numFmtId="166" fontId="19" fillId="0" borderId="0"/>
    <xf numFmtId="43" fontId="19" fillId="0" borderId="0" applyFont="0" applyFill="0" applyBorder="0" applyAlignment="0" applyProtection="0"/>
    <xf numFmtId="166" fontId="19" fillId="0" borderId="0"/>
    <xf numFmtId="166" fontId="19" fillId="0" borderId="0"/>
    <xf numFmtId="166" fontId="4" fillId="0" borderId="0"/>
    <xf numFmtId="166" fontId="20" fillId="0" borderId="0"/>
    <xf numFmtId="41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6" fontId="4" fillId="0" borderId="0"/>
    <xf numFmtId="166" fontId="20" fillId="0" borderId="0"/>
    <xf numFmtId="166" fontId="4" fillId="0" borderId="0"/>
    <xf numFmtId="0" fontId="45" fillId="0" borderId="0" applyNumberFormat="0" applyFill="0" applyBorder="0" applyAlignment="0" applyProtection="0"/>
  </cellStyleXfs>
  <cellXfs count="759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5" fillId="0" borderId="0" xfId="0" applyFont="1" applyBorder="1"/>
    <xf numFmtId="0" fontId="5" fillId="0" borderId="1" xfId="0" applyFont="1" applyBorder="1"/>
    <xf numFmtId="0" fontId="5" fillId="2" borderId="1" xfId="0" applyFont="1" applyFill="1" applyBorder="1"/>
    <xf numFmtId="0" fontId="8" fillId="0" borderId="0" xfId="0" applyFont="1" applyAlignment="1">
      <alignment vertical="center"/>
    </xf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41" fontId="10" fillId="3" borderId="0" xfId="2" applyFont="1" applyFill="1" applyBorder="1" applyAlignment="1">
      <alignment vertical="center"/>
    </xf>
    <xf numFmtId="3" fontId="10" fillId="3" borderId="0" xfId="0" applyNumberFormat="1" applyFont="1" applyFill="1" applyBorder="1" applyAlignment="1">
      <alignment vertical="center"/>
    </xf>
    <xf numFmtId="41" fontId="8" fillId="3" borderId="0" xfId="2" applyFont="1" applyFill="1" applyBorder="1" applyAlignment="1">
      <alignment vertical="center"/>
    </xf>
    <xf numFmtId="41" fontId="11" fillId="3" borderId="0" xfId="2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41" fontId="8" fillId="3" borderId="0" xfId="2" applyFont="1" applyFill="1" applyBorder="1" applyAlignment="1">
      <alignment vertical="center" wrapText="1"/>
    </xf>
    <xf numFmtId="0" fontId="8" fillId="3" borderId="0" xfId="0" applyFont="1" applyFill="1" applyAlignment="1">
      <alignment vertical="center" wrapText="1"/>
    </xf>
    <xf numFmtId="9" fontId="12" fillId="0" borderId="0" xfId="11" applyFont="1" applyAlignment="1">
      <alignment vertical="center"/>
    </xf>
    <xf numFmtId="0" fontId="13" fillId="7" borderId="11" xfId="0" applyFont="1" applyFill="1" applyBorder="1" applyAlignment="1">
      <alignment vertical="top" wrapText="1"/>
    </xf>
    <xf numFmtId="0" fontId="13" fillId="7" borderId="11" xfId="0" applyFont="1" applyFill="1" applyBorder="1" applyAlignment="1">
      <alignment horizontal="center" vertical="top" wrapText="1"/>
    </xf>
    <xf numFmtId="0" fontId="9" fillId="8" borderId="11" xfId="0" applyFont="1" applyFill="1" applyBorder="1" applyAlignment="1">
      <alignment vertical="top" wrapText="1"/>
    </xf>
    <xf numFmtId="0" fontId="9" fillId="8" borderId="11" xfId="0" applyFont="1" applyFill="1" applyBorder="1" applyAlignment="1">
      <alignment horizontal="center" vertical="top" wrapText="1"/>
    </xf>
    <xf numFmtId="0" fontId="13" fillId="9" borderId="12" xfId="0" applyFont="1" applyFill="1" applyBorder="1" applyAlignment="1">
      <alignment vertical="center" wrapText="1"/>
    </xf>
    <xf numFmtId="0" fontId="13" fillId="9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3" fontId="8" fillId="0" borderId="0" xfId="0" applyNumberFormat="1" applyFont="1" applyBorder="1" applyAlignment="1">
      <alignment vertical="center"/>
    </xf>
    <xf numFmtId="165" fontId="8" fillId="0" borderId="0" xfId="1" applyNumberFormat="1" applyFont="1" applyAlignment="1">
      <alignment vertical="center"/>
    </xf>
    <xf numFmtId="165" fontId="13" fillId="7" borderId="11" xfId="1" applyNumberFormat="1" applyFont="1" applyFill="1" applyBorder="1" applyAlignment="1">
      <alignment horizontal="right" vertical="center"/>
    </xf>
    <xf numFmtId="165" fontId="8" fillId="8" borderId="11" xfId="1" applyNumberFormat="1" applyFont="1" applyFill="1" applyBorder="1" applyAlignment="1">
      <alignment horizontal="right" vertical="center"/>
    </xf>
    <xf numFmtId="0" fontId="16" fillId="7" borderId="11" xfId="0" applyFont="1" applyFill="1" applyBorder="1" applyAlignment="1">
      <alignment vertical="top" wrapText="1"/>
    </xf>
    <xf numFmtId="165" fontId="8" fillId="0" borderId="11" xfId="1" applyNumberFormat="1" applyFont="1" applyBorder="1" applyAlignment="1">
      <alignment horizontal="center" vertical="center" textRotation="90" wrapText="1"/>
    </xf>
    <xf numFmtId="165" fontId="13" fillId="14" borderId="14" xfId="1" applyNumberFormat="1" applyFont="1" applyFill="1" applyBorder="1" applyAlignment="1">
      <alignment horizontal="center" vertical="center" textRotation="90"/>
    </xf>
    <xf numFmtId="165" fontId="13" fillId="14" borderId="15" xfId="1" applyNumberFormat="1" applyFont="1" applyFill="1" applyBorder="1" applyAlignment="1">
      <alignment horizontal="center" vertical="center" textRotation="90"/>
    </xf>
    <xf numFmtId="165" fontId="13" fillId="14" borderId="13" xfId="1" applyNumberFormat="1" applyFont="1" applyFill="1" applyBorder="1" applyAlignment="1">
      <alignment horizontal="center" vertical="center" textRotation="90"/>
    </xf>
    <xf numFmtId="9" fontId="12" fillId="0" borderId="0" xfId="11" applyNumberFormat="1" applyFont="1" applyAlignment="1">
      <alignment vertical="center"/>
    </xf>
    <xf numFmtId="9" fontId="12" fillId="0" borderId="0" xfId="11" applyNumberFormat="1" applyFont="1" applyAlignment="1">
      <alignment vertical="center" wrapText="1"/>
    </xf>
    <xf numFmtId="9" fontId="12" fillId="0" borderId="0" xfId="11" applyNumberFormat="1" applyFont="1" applyAlignment="1">
      <alignment horizontal="center" vertical="center"/>
    </xf>
    <xf numFmtId="165" fontId="16" fillId="7" borderId="11" xfId="1" applyNumberFormat="1" applyFont="1" applyFill="1" applyBorder="1" applyAlignment="1">
      <alignment horizontal="right" vertical="center"/>
    </xf>
    <xf numFmtId="0" fontId="16" fillId="7" borderId="11" xfId="0" applyFont="1" applyFill="1" applyBorder="1" applyAlignment="1">
      <alignment wrapText="1"/>
    </xf>
    <xf numFmtId="0" fontId="17" fillId="8" borderId="11" xfId="0" applyFont="1" applyFill="1" applyBorder="1" applyAlignment="1">
      <alignment wrapText="1"/>
    </xf>
    <xf numFmtId="0" fontId="22" fillId="8" borderId="11" xfId="0" applyFont="1" applyFill="1" applyBorder="1" applyAlignment="1">
      <alignment wrapText="1"/>
    </xf>
    <xf numFmtId="0" fontId="23" fillId="8" borderId="11" xfId="0" applyFont="1" applyFill="1" applyBorder="1" applyAlignment="1">
      <alignment wrapText="1"/>
    </xf>
    <xf numFmtId="41" fontId="13" fillId="7" borderId="11" xfId="2" applyFont="1" applyFill="1" applyBorder="1" applyAlignment="1">
      <alignment horizontal="right" vertical="center"/>
    </xf>
    <xf numFmtId="41" fontId="9" fillId="0" borderId="11" xfId="2" applyFont="1" applyBorder="1" applyAlignment="1">
      <alignment horizontal="right" vertical="center"/>
    </xf>
    <xf numFmtId="41" fontId="16" fillId="7" borderId="11" xfId="2" applyFont="1" applyFill="1" applyBorder="1" applyAlignment="1">
      <alignment horizontal="right" vertical="center"/>
    </xf>
    <xf numFmtId="41" fontId="8" fillId="8" borderId="11" xfId="2" applyFont="1" applyFill="1" applyBorder="1" applyAlignment="1">
      <alignment horizontal="right" vertical="center"/>
    </xf>
    <xf numFmtId="41" fontId="12" fillId="8" borderId="11" xfId="2" applyFont="1" applyFill="1" applyBorder="1" applyAlignment="1">
      <alignment horizontal="right" vertical="center"/>
    </xf>
    <xf numFmtId="0" fontId="14" fillId="3" borderId="0" xfId="0" applyFont="1" applyFill="1" applyBorder="1" applyAlignment="1">
      <alignment vertical="center"/>
    </xf>
    <xf numFmtId="41" fontId="14" fillId="3" borderId="0" xfId="2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41" fontId="8" fillId="0" borderId="0" xfId="2" applyFont="1" applyBorder="1" applyAlignment="1">
      <alignment horizontal="right" vertical="center"/>
    </xf>
    <xf numFmtId="41" fontId="13" fillId="9" borderId="12" xfId="2" applyFont="1" applyFill="1" applyBorder="1" applyAlignment="1">
      <alignment horizontal="right" vertical="center" wrapText="1"/>
    </xf>
    <xf numFmtId="41" fontId="8" fillId="0" borderId="0" xfId="2" applyFont="1" applyAlignment="1">
      <alignment horizontal="right" vertical="center"/>
    </xf>
    <xf numFmtId="0" fontId="22" fillId="8" borderId="11" xfId="0" applyFont="1" applyFill="1" applyBorder="1" applyAlignment="1">
      <alignment vertical="center" wrapText="1"/>
    </xf>
    <xf numFmtId="41" fontId="21" fillId="0" borderId="0" xfId="2" applyFont="1" applyAlignment="1">
      <alignment vertical="center"/>
    </xf>
    <xf numFmtId="41" fontId="8" fillId="0" borderId="0" xfId="2" applyFont="1" applyAlignment="1">
      <alignment vertical="center"/>
    </xf>
    <xf numFmtId="41" fontId="8" fillId="0" borderId="0" xfId="2" applyNumberFormat="1" applyFont="1" applyAlignment="1">
      <alignment vertical="center"/>
    </xf>
    <xf numFmtId="41" fontId="8" fillId="3" borderId="0" xfId="2" applyNumberFormat="1" applyFont="1" applyFill="1" applyBorder="1" applyAlignment="1">
      <alignment vertical="center"/>
    </xf>
    <xf numFmtId="41" fontId="13" fillId="14" borderId="14" xfId="2" applyNumberFormat="1" applyFont="1" applyFill="1" applyBorder="1" applyAlignment="1">
      <alignment horizontal="center" vertical="center"/>
    </xf>
    <xf numFmtId="41" fontId="13" fillId="14" borderId="15" xfId="2" applyNumberFormat="1" applyFont="1" applyFill="1" applyBorder="1" applyAlignment="1">
      <alignment horizontal="center" vertical="center"/>
    </xf>
    <xf numFmtId="41" fontId="13" fillId="14" borderId="13" xfId="2" applyNumberFormat="1" applyFont="1" applyFill="1" applyBorder="1" applyAlignment="1">
      <alignment horizontal="center" vertical="center"/>
    </xf>
    <xf numFmtId="41" fontId="8" fillId="0" borderId="11" xfId="2" applyNumberFormat="1" applyFont="1" applyBorder="1" applyAlignment="1">
      <alignment horizontal="center" vertical="center" wrapText="1"/>
    </xf>
    <xf numFmtId="41" fontId="8" fillId="3" borderId="11" xfId="2" applyNumberFormat="1" applyFont="1" applyFill="1" applyBorder="1" applyAlignment="1">
      <alignment horizontal="center" vertical="center" wrapText="1"/>
    </xf>
    <xf numFmtId="41" fontId="13" fillId="9" borderId="11" xfId="2" applyNumberFormat="1" applyFont="1" applyFill="1" applyBorder="1" applyAlignment="1">
      <alignment horizontal="center" vertical="center" wrapText="1"/>
    </xf>
    <xf numFmtId="41" fontId="16" fillId="7" borderId="11" xfId="2" applyNumberFormat="1" applyFont="1" applyFill="1" applyBorder="1" applyAlignment="1">
      <alignment horizontal="right" vertical="center"/>
    </xf>
    <xf numFmtId="41" fontId="12" fillId="8" borderId="11" xfId="2" applyNumberFormat="1" applyFont="1" applyFill="1" applyBorder="1" applyAlignment="1">
      <alignment horizontal="right" vertical="center"/>
    </xf>
    <xf numFmtId="41" fontId="8" fillId="8" borderId="11" xfId="2" applyNumberFormat="1" applyFont="1" applyFill="1" applyBorder="1" applyAlignment="1">
      <alignment horizontal="right" vertical="center"/>
    </xf>
    <xf numFmtId="41" fontId="13" fillId="7" borderId="11" xfId="2" applyNumberFormat="1" applyFont="1" applyFill="1" applyBorder="1" applyAlignment="1">
      <alignment horizontal="right" vertical="center"/>
    </xf>
    <xf numFmtId="0" fontId="26" fillId="7" borderId="11" xfId="0" applyFont="1" applyFill="1" applyBorder="1" applyAlignment="1">
      <alignment vertical="top" wrapText="1"/>
    </xf>
    <xf numFmtId="0" fontId="26" fillId="7" borderId="11" xfId="0" applyFont="1" applyFill="1" applyBorder="1" applyAlignment="1">
      <alignment vertical="center" wrapText="1"/>
    </xf>
    <xf numFmtId="0" fontId="26" fillId="7" borderId="11" xfId="0" applyFont="1" applyFill="1" applyBorder="1" applyAlignment="1">
      <alignment horizontal="center" vertical="center" wrapText="1"/>
    </xf>
    <xf numFmtId="3" fontId="27" fillId="7" borderId="11" xfId="0" applyNumberFormat="1" applyFont="1" applyFill="1" applyBorder="1" applyAlignment="1">
      <alignment horizontal="center" vertical="center"/>
    </xf>
    <xf numFmtId="165" fontId="27" fillId="7" borderId="11" xfId="1" applyNumberFormat="1" applyFont="1" applyFill="1" applyBorder="1" applyAlignment="1">
      <alignment horizontal="right" vertical="center"/>
    </xf>
    <xf numFmtId="165" fontId="26" fillId="7" borderId="11" xfId="1" applyNumberFormat="1" applyFont="1" applyFill="1" applyBorder="1" applyAlignment="1">
      <alignment horizontal="right" vertical="center"/>
    </xf>
    <xf numFmtId="165" fontId="29" fillId="0" borderId="11" xfId="1" applyNumberFormat="1" applyFont="1" applyBorder="1" applyAlignment="1">
      <alignment horizontal="right" vertical="center"/>
    </xf>
    <xf numFmtId="9" fontId="28" fillId="3" borderId="0" xfId="11" applyFont="1" applyFill="1" applyAlignment="1">
      <alignment horizontal="center" vertical="center"/>
    </xf>
    <xf numFmtId="0" fontId="29" fillId="3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29" fillId="0" borderId="11" xfId="0" applyFont="1" applyBorder="1" applyAlignment="1">
      <alignment vertical="top" wrapText="1"/>
    </xf>
    <xf numFmtId="0" fontId="29" fillId="0" borderId="11" xfId="0" applyFont="1" applyBorder="1" applyAlignment="1">
      <alignment vertical="center" wrapText="1"/>
    </xf>
    <xf numFmtId="0" fontId="29" fillId="0" borderId="11" xfId="0" applyFont="1" applyBorder="1" applyAlignment="1">
      <alignment horizontal="center" vertical="center" wrapText="1"/>
    </xf>
    <xf numFmtId="3" fontId="29" fillId="0" borderId="11" xfId="0" applyNumberFormat="1" applyFont="1" applyBorder="1" applyAlignment="1">
      <alignment horizontal="center" vertical="center"/>
    </xf>
    <xf numFmtId="165" fontId="29" fillId="3" borderId="0" xfId="0" applyNumberFormat="1" applyFont="1" applyFill="1" applyAlignment="1">
      <alignment vertical="center"/>
    </xf>
    <xf numFmtId="0" fontId="28" fillId="8" borderId="11" xfId="0" applyFont="1" applyFill="1" applyBorder="1" applyAlignment="1">
      <alignment vertical="top" wrapText="1"/>
    </xf>
    <xf numFmtId="0" fontId="28" fillId="8" borderId="11" xfId="0" applyFont="1" applyFill="1" applyBorder="1" applyAlignment="1">
      <alignment horizontal="center" vertical="center" wrapText="1"/>
    </xf>
    <xf numFmtId="3" fontId="28" fillId="8" borderId="11" xfId="0" applyNumberFormat="1" applyFont="1" applyFill="1" applyBorder="1" applyAlignment="1">
      <alignment horizontal="center" vertical="center"/>
    </xf>
    <xf numFmtId="165" fontId="28" fillId="8" borderId="11" xfId="1" applyNumberFormat="1" applyFont="1" applyFill="1" applyBorder="1" applyAlignment="1">
      <alignment horizontal="right" vertical="center"/>
    </xf>
    <xf numFmtId="0" fontId="28" fillId="3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9" fillId="0" borderId="11" xfId="0" applyFont="1" applyBorder="1" applyAlignment="1">
      <alignment horizontal="left" vertical="top" wrapText="1"/>
    </xf>
    <xf numFmtId="0" fontId="29" fillId="3" borderId="11" xfId="0" applyFont="1" applyFill="1" applyBorder="1" applyAlignment="1">
      <alignment horizontal="left" vertical="top" wrapText="1"/>
    </xf>
    <xf numFmtId="0" fontId="29" fillId="3" borderId="11" xfId="0" applyFont="1" applyFill="1" applyBorder="1" applyAlignment="1">
      <alignment horizontal="center" vertical="center" wrapText="1"/>
    </xf>
    <xf numFmtId="3" fontId="29" fillId="3" borderId="11" xfId="0" applyNumberFormat="1" applyFont="1" applyFill="1" applyBorder="1" applyAlignment="1">
      <alignment horizontal="center" vertical="center"/>
    </xf>
    <xf numFmtId="165" fontId="29" fillId="3" borderId="11" xfId="1" applyNumberFormat="1" applyFont="1" applyFill="1" applyBorder="1" applyAlignment="1">
      <alignment horizontal="right" vertical="center"/>
    </xf>
    <xf numFmtId="0" fontId="28" fillId="15" borderId="11" xfId="0" applyFont="1" applyFill="1" applyBorder="1" applyAlignment="1">
      <alignment horizontal="center" vertical="center" wrapText="1"/>
    </xf>
    <xf numFmtId="3" fontId="28" fillId="15" borderId="11" xfId="0" applyNumberFormat="1" applyFont="1" applyFill="1" applyBorder="1" applyAlignment="1">
      <alignment horizontal="center" vertical="center"/>
    </xf>
    <xf numFmtId="165" fontId="28" fillId="15" borderId="11" xfId="1" applyNumberFormat="1" applyFont="1" applyFill="1" applyBorder="1" applyAlignment="1">
      <alignment horizontal="right" vertical="center"/>
    </xf>
    <xf numFmtId="9" fontId="29" fillId="3" borderId="0" xfId="11" applyFont="1" applyFill="1" applyAlignment="1">
      <alignment vertical="center"/>
    </xf>
    <xf numFmtId="0" fontId="29" fillId="3" borderId="17" xfId="0" applyFont="1" applyFill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9" fontId="28" fillId="3" borderId="0" xfId="11" applyFont="1" applyFill="1" applyAlignment="1">
      <alignment horizontal="left" vertical="center"/>
    </xf>
    <xf numFmtId="0" fontId="28" fillId="3" borderId="0" xfId="11" applyNumberFormat="1" applyFont="1" applyFill="1" applyAlignment="1">
      <alignment horizontal="center" vertical="center"/>
    </xf>
    <xf numFmtId="170" fontId="29" fillId="0" borderId="11" xfId="0" applyNumberFormat="1" applyFont="1" applyBorder="1" applyAlignment="1">
      <alignment horizontal="center" vertical="center"/>
    </xf>
    <xf numFmtId="0" fontId="29" fillId="4" borderId="0" xfId="0" applyFont="1" applyFill="1" applyAlignment="1">
      <alignment vertical="center"/>
    </xf>
    <xf numFmtId="0" fontId="29" fillId="0" borderId="11" xfId="0" applyFont="1" applyBorder="1" applyAlignment="1">
      <alignment horizontal="left" vertical="top" wrapText="1" indent="2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65" fontId="29" fillId="0" borderId="0" xfId="1" applyNumberFormat="1" applyFont="1" applyAlignment="1">
      <alignment horizontal="right" vertical="center"/>
    </xf>
    <xf numFmtId="9" fontId="26" fillId="3" borderId="0" xfId="11" applyFont="1" applyFill="1" applyAlignment="1">
      <alignment horizontal="center" vertical="center"/>
    </xf>
    <xf numFmtId="0" fontId="27" fillId="3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165" fontId="27" fillId="3" borderId="0" xfId="0" applyNumberFormat="1" applyFont="1" applyFill="1" applyAlignment="1">
      <alignment vertical="center"/>
    </xf>
    <xf numFmtId="0" fontId="26" fillId="19" borderId="11" xfId="0" applyFont="1" applyFill="1" applyBorder="1" applyAlignment="1">
      <alignment horizontal="center" vertical="center" wrapText="1"/>
    </xf>
    <xf numFmtId="0" fontId="26" fillId="19" borderId="11" xfId="0" applyFont="1" applyFill="1" applyBorder="1" applyAlignment="1">
      <alignment horizontal="center" vertical="center"/>
    </xf>
    <xf numFmtId="165" fontId="26" fillId="19" borderId="11" xfId="1" applyNumberFormat="1" applyFont="1" applyFill="1" applyBorder="1" applyAlignment="1">
      <alignment horizontal="left" vertical="center" wrapText="1"/>
    </xf>
    <xf numFmtId="165" fontId="26" fillId="19" borderId="11" xfId="1" applyNumberFormat="1" applyFont="1" applyFill="1" applyBorder="1" applyAlignment="1">
      <alignment horizontal="center" vertical="center" wrapText="1"/>
    </xf>
    <xf numFmtId="165" fontId="26" fillId="19" borderId="11" xfId="1" applyNumberFormat="1" applyFont="1" applyFill="1" applyBorder="1" applyAlignment="1">
      <alignment horizontal="center" vertical="center"/>
    </xf>
    <xf numFmtId="41" fontId="22" fillId="8" borderId="11" xfId="2" applyFont="1" applyFill="1" applyBorder="1" applyAlignment="1">
      <alignment horizontal="right" vertical="center"/>
    </xf>
    <xf numFmtId="0" fontId="21" fillId="0" borderId="11" xfId="0" applyFont="1" applyBorder="1" applyAlignment="1">
      <alignment horizontal="left" wrapText="1" indent="2"/>
    </xf>
    <xf numFmtId="41" fontId="21" fillId="0" borderId="11" xfId="2" applyFont="1" applyBorder="1" applyAlignment="1">
      <alignment horizontal="right" vertical="center"/>
    </xf>
    <xf numFmtId="0" fontId="31" fillId="15" borderId="11" xfId="0" applyFont="1" applyFill="1" applyBorder="1" applyAlignment="1">
      <alignment horizontal="left" vertical="center" wrapText="1" indent="1"/>
    </xf>
    <xf numFmtId="41" fontId="22" fillId="15" borderId="11" xfId="2" applyFont="1" applyFill="1" applyBorder="1" applyAlignment="1">
      <alignment horizontal="right" vertical="center"/>
    </xf>
    <xf numFmtId="0" fontId="31" fillId="15" borderId="11" xfId="0" applyFont="1" applyFill="1" applyBorder="1" applyAlignment="1">
      <alignment horizontal="left" wrapText="1" indent="1"/>
    </xf>
    <xf numFmtId="0" fontId="21" fillId="0" borderId="11" xfId="0" applyFont="1" applyBorder="1" applyAlignment="1">
      <alignment horizontal="left" wrapText="1" indent="1"/>
    </xf>
    <xf numFmtId="0" fontId="21" fillId="3" borderId="11" xfId="0" applyFont="1" applyFill="1" applyBorder="1" applyAlignment="1">
      <alignment horizontal="left" vertical="top" wrapText="1" indent="1"/>
    </xf>
    <xf numFmtId="0" fontId="21" fillId="3" borderId="11" xfId="0" applyFont="1" applyFill="1" applyBorder="1" applyAlignment="1">
      <alignment horizontal="left" wrapText="1" indent="1"/>
    </xf>
    <xf numFmtId="41" fontId="21" fillId="8" borderId="11" xfId="2" applyFont="1" applyFill="1" applyBorder="1" applyAlignment="1">
      <alignment horizontal="right" vertical="center"/>
    </xf>
    <xf numFmtId="41" fontId="21" fillId="3" borderId="11" xfId="2" applyFont="1" applyFill="1" applyBorder="1" applyAlignment="1">
      <alignment horizontal="right" vertical="center"/>
    </xf>
    <xf numFmtId="0" fontId="21" fillId="0" borderId="11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center" vertical="top" wrapText="1"/>
    </xf>
    <xf numFmtId="41" fontId="21" fillId="3" borderId="11" xfId="2" applyNumberFormat="1" applyFont="1" applyFill="1" applyBorder="1" applyAlignment="1">
      <alignment horizontal="right" vertical="center"/>
    </xf>
    <xf numFmtId="41" fontId="21" fillId="0" borderId="11" xfId="2" applyNumberFormat="1" applyFont="1" applyFill="1" applyBorder="1" applyAlignment="1">
      <alignment horizontal="right" vertical="center"/>
    </xf>
    <xf numFmtId="41" fontId="21" fillId="5" borderId="11" xfId="2" applyNumberFormat="1" applyFont="1" applyFill="1" applyBorder="1" applyAlignment="1">
      <alignment horizontal="right" vertical="center"/>
    </xf>
    <xf numFmtId="41" fontId="21" fillId="6" borderId="11" xfId="2" applyNumberFormat="1" applyFont="1" applyFill="1" applyBorder="1" applyAlignment="1">
      <alignment horizontal="right" vertical="center"/>
    </xf>
    <xf numFmtId="0" fontId="21" fillId="3" borderId="0" xfId="0" applyFont="1" applyFill="1" applyBorder="1" applyAlignment="1">
      <alignment vertical="center"/>
    </xf>
    <xf numFmtId="41" fontId="21" fillId="3" borderId="0" xfId="2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3" fontId="21" fillId="3" borderId="0" xfId="0" applyNumberFormat="1" applyFont="1" applyFill="1" applyBorder="1" applyAlignment="1">
      <alignment horizontal="center" vertical="center"/>
    </xf>
    <xf numFmtId="3" fontId="21" fillId="3" borderId="0" xfId="0" applyNumberFormat="1" applyFont="1" applyFill="1" applyBorder="1" applyAlignment="1">
      <alignment vertical="center"/>
    </xf>
    <xf numFmtId="0" fontId="21" fillId="8" borderId="11" xfId="0" applyFont="1" applyFill="1" applyBorder="1" applyAlignment="1">
      <alignment vertical="top" wrapText="1"/>
    </xf>
    <xf numFmtId="0" fontId="21" fillId="8" borderId="11" xfId="0" applyFont="1" applyFill="1" applyBorder="1" applyAlignment="1">
      <alignment horizontal="center" vertical="top" wrapText="1"/>
    </xf>
    <xf numFmtId="165" fontId="21" fillId="8" borderId="11" xfId="1" applyNumberFormat="1" applyFont="1" applyFill="1" applyBorder="1" applyAlignment="1">
      <alignment horizontal="right" vertical="center"/>
    </xf>
    <xf numFmtId="41" fontId="21" fillId="8" borderId="11" xfId="2" applyNumberFormat="1" applyFont="1" applyFill="1" applyBorder="1" applyAlignment="1">
      <alignment horizontal="right" vertical="center"/>
    </xf>
    <xf numFmtId="41" fontId="22" fillId="15" borderId="11" xfId="2" applyNumberFormat="1" applyFont="1" applyFill="1" applyBorder="1" applyAlignment="1">
      <alignment horizontal="right" vertical="center"/>
    </xf>
    <xf numFmtId="41" fontId="21" fillId="0" borderId="11" xfId="2" applyNumberFormat="1" applyFont="1" applyBorder="1" applyAlignment="1">
      <alignment horizontal="right" vertical="center"/>
    </xf>
    <xf numFmtId="165" fontId="22" fillId="15" borderId="11" xfId="1" applyNumberFormat="1" applyFont="1" applyFill="1" applyBorder="1" applyAlignment="1">
      <alignment horizontal="right" vertical="center"/>
    </xf>
    <xf numFmtId="0" fontId="21" fillId="0" borderId="11" xfId="0" applyFont="1" applyBorder="1" applyAlignment="1">
      <alignment horizontal="left" vertical="top" wrapText="1" indent="2"/>
    </xf>
    <xf numFmtId="0" fontId="21" fillId="0" borderId="11" xfId="0" applyFont="1" applyBorder="1" applyAlignment="1">
      <alignment horizontal="left" vertical="top" wrapText="1" indent="1"/>
    </xf>
    <xf numFmtId="0" fontId="22" fillId="0" borderId="11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center" vertical="top" wrapText="1"/>
    </xf>
    <xf numFmtId="41" fontId="22" fillId="8" borderId="11" xfId="2" applyNumberFormat="1" applyFont="1" applyFill="1" applyBorder="1" applyAlignment="1">
      <alignment horizontal="right" vertical="center"/>
    </xf>
    <xf numFmtId="0" fontId="22" fillId="3" borderId="0" xfId="0" applyFont="1" applyFill="1" applyBorder="1" applyAlignment="1">
      <alignment vertical="center"/>
    </xf>
    <xf numFmtId="41" fontId="22" fillId="3" borderId="0" xfId="2" applyFont="1" applyFill="1" applyBorder="1" applyAlignment="1">
      <alignment vertical="center"/>
    </xf>
    <xf numFmtId="0" fontId="22" fillId="3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1" fillId="3" borderId="11" xfId="0" applyFont="1" applyFill="1" applyBorder="1" applyAlignment="1">
      <alignment horizontal="left" vertical="top" wrapText="1"/>
    </xf>
    <xf numFmtId="0" fontId="21" fillId="3" borderId="11" xfId="0" applyFont="1" applyFill="1" applyBorder="1" applyAlignment="1">
      <alignment horizontal="center" vertical="top" wrapText="1"/>
    </xf>
    <xf numFmtId="0" fontId="22" fillId="8" borderId="11" xfId="0" applyFont="1" applyFill="1" applyBorder="1" applyAlignment="1">
      <alignment vertical="top" wrapText="1"/>
    </xf>
    <xf numFmtId="0" fontId="22" fillId="8" borderId="11" xfId="0" applyFont="1" applyFill="1" applyBorder="1" applyAlignment="1">
      <alignment horizontal="center" vertical="top" wrapText="1"/>
    </xf>
    <xf numFmtId="3" fontId="22" fillId="3" borderId="0" xfId="0" applyNumberFormat="1" applyFont="1" applyFill="1" applyBorder="1" applyAlignment="1">
      <alignment vertical="center"/>
    </xf>
    <xf numFmtId="0" fontId="22" fillId="8" borderId="11" xfId="0" applyFont="1" applyFill="1" applyBorder="1" applyAlignment="1">
      <alignment horizontal="center" vertical="center" wrapText="1"/>
    </xf>
    <xf numFmtId="0" fontId="32" fillId="8" borderId="11" xfId="0" applyFont="1" applyFill="1" applyBorder="1" applyAlignment="1">
      <alignment vertical="top" wrapText="1"/>
    </xf>
    <xf numFmtId="0" fontId="32" fillId="8" borderId="11" xfId="0" applyFont="1" applyFill="1" applyBorder="1" applyAlignment="1">
      <alignment horizontal="center" vertical="top" wrapText="1"/>
    </xf>
    <xf numFmtId="166" fontId="24" fillId="0" borderId="0" xfId="4" applyFont="1" applyAlignment="1"/>
    <xf numFmtId="166" fontId="33" fillId="0" borderId="0" xfId="4" applyNumberFormat="1" applyFont="1" applyAlignment="1">
      <alignment horizontal="center" vertical="center"/>
    </xf>
    <xf numFmtId="166" fontId="33" fillId="0" borderId="0" xfId="4" applyNumberFormat="1" applyFont="1" applyAlignment="1">
      <alignment vertical="center"/>
    </xf>
    <xf numFmtId="167" fontId="33" fillId="0" borderId="0" xfId="5" applyNumberFormat="1" applyFont="1" applyAlignment="1">
      <alignment vertical="center"/>
    </xf>
    <xf numFmtId="166" fontId="34" fillId="0" borderId="0" xfId="14" applyFont="1" applyAlignment="1">
      <alignment vertical="center"/>
    </xf>
    <xf numFmtId="166" fontId="24" fillId="0" borderId="0" xfId="4" applyFont="1" applyAlignment="1">
      <alignment horizontal="center"/>
    </xf>
    <xf numFmtId="166" fontId="36" fillId="0" borderId="0" xfId="14" applyFont="1" applyAlignment="1">
      <alignment vertical="center"/>
    </xf>
    <xf numFmtId="167" fontId="34" fillId="0" borderId="0" xfId="5" applyNumberFormat="1" applyFont="1" applyAlignment="1">
      <alignment vertical="center"/>
    </xf>
    <xf numFmtId="167" fontId="34" fillId="3" borderId="0" xfId="5" applyNumberFormat="1" applyFont="1" applyFill="1" applyAlignment="1">
      <alignment vertical="center"/>
    </xf>
    <xf numFmtId="166" fontId="34" fillId="3" borderId="0" xfId="14" applyFont="1" applyFill="1" applyAlignment="1">
      <alignment vertical="center"/>
    </xf>
    <xf numFmtId="3" fontId="38" fillId="3" borderId="0" xfId="4" applyNumberFormat="1" applyFont="1" applyFill="1" applyBorder="1" applyAlignment="1">
      <alignment vertical="center" wrapText="1"/>
    </xf>
    <xf numFmtId="166" fontId="34" fillId="0" borderId="0" xfId="4" applyNumberFormat="1" applyFont="1" applyBorder="1" applyAlignment="1">
      <alignment horizontal="center" vertical="center" wrapText="1"/>
    </xf>
    <xf numFmtId="167" fontId="38" fillId="3" borderId="0" xfId="5" applyNumberFormat="1" applyFont="1" applyFill="1" applyBorder="1" applyAlignment="1">
      <alignment vertical="center" wrapText="1"/>
    </xf>
    <xf numFmtId="166" fontId="40" fillId="0" borderId="0" xfId="4" applyNumberFormat="1" applyFont="1" applyAlignment="1">
      <alignment horizontal="justify" vertical="center"/>
    </xf>
    <xf numFmtId="166" fontId="25" fillId="0" borderId="0" xfId="3" applyFont="1" applyAlignment="1">
      <alignment horizontal="center" vertical="center"/>
    </xf>
    <xf numFmtId="166" fontId="25" fillId="0" borderId="0" xfId="3" applyFont="1" applyAlignment="1">
      <alignment horizontal="left" vertical="center" wrapText="1"/>
    </xf>
    <xf numFmtId="166" fontId="25" fillId="0" borderId="0" xfId="3" applyFont="1" applyAlignment="1">
      <alignment horizontal="left" vertical="center"/>
    </xf>
    <xf numFmtId="167" fontId="25" fillId="0" borderId="0" xfId="5" applyNumberFormat="1" applyFont="1" applyAlignment="1">
      <alignment horizontal="center" vertical="center"/>
    </xf>
    <xf numFmtId="168" fontId="25" fillId="0" borderId="0" xfId="3" applyNumberFormat="1" applyFont="1" applyAlignment="1">
      <alignment horizontal="center" vertical="center"/>
    </xf>
    <xf numFmtId="166" fontId="25" fillId="3" borderId="0" xfId="3" applyFont="1" applyFill="1" applyBorder="1" applyAlignment="1">
      <alignment horizontal="center" vertical="center"/>
    </xf>
    <xf numFmtId="166" fontId="29" fillId="0" borderId="0" xfId="6" applyFont="1" applyAlignment="1">
      <alignment horizontal="center" vertical="center"/>
    </xf>
    <xf numFmtId="166" fontId="29" fillId="3" borderId="0" xfId="6" applyFont="1" applyFill="1" applyBorder="1" applyAlignment="1">
      <alignment horizontal="center" vertical="center"/>
    </xf>
    <xf numFmtId="166" fontId="29" fillId="3" borderId="0" xfId="7" applyFont="1" applyFill="1" applyBorder="1" applyAlignment="1">
      <alignment horizontal="center" vertical="center"/>
    </xf>
    <xf numFmtId="166" fontId="29" fillId="3" borderId="0" xfId="7" applyFont="1" applyFill="1" applyBorder="1" applyAlignment="1">
      <alignment horizontal="center" vertical="center" wrapText="1"/>
    </xf>
    <xf numFmtId="166" fontId="29" fillId="0" borderId="2" xfId="6" applyFont="1" applyBorder="1" applyAlignment="1">
      <alignment vertical="center"/>
    </xf>
    <xf numFmtId="166" fontId="25" fillId="0" borderId="1" xfId="3" applyFont="1" applyFill="1" applyBorder="1" applyAlignment="1">
      <alignment horizontal="center" vertical="center"/>
    </xf>
    <xf numFmtId="166" fontId="29" fillId="3" borderId="0" xfId="6" applyFont="1" applyFill="1" applyAlignment="1">
      <alignment horizontal="center" vertical="center"/>
    </xf>
    <xf numFmtId="166" fontId="25" fillId="3" borderId="0" xfId="3" applyFont="1" applyFill="1" applyAlignment="1">
      <alignment horizontal="center" vertical="center"/>
    </xf>
    <xf numFmtId="166" fontId="25" fillId="3" borderId="1" xfId="3" applyFont="1" applyFill="1" applyBorder="1" applyAlignment="1">
      <alignment horizontal="center" vertical="center"/>
    </xf>
    <xf numFmtId="166" fontId="29" fillId="0" borderId="7" xfId="6" applyFont="1" applyFill="1" applyBorder="1" applyAlignment="1">
      <alignment horizontal="center" vertical="center" wrapText="1"/>
    </xf>
    <xf numFmtId="166" fontId="29" fillId="0" borderId="0" xfId="6" applyFont="1" applyBorder="1" applyAlignment="1">
      <alignment horizontal="center" vertical="center"/>
    </xf>
    <xf numFmtId="166" fontId="29" fillId="0" borderId="18" xfId="6" applyFont="1" applyFill="1" applyBorder="1" applyAlignment="1">
      <alignment horizontal="center" vertical="center" wrapText="1"/>
    </xf>
    <xf numFmtId="166" fontId="29" fillId="0" borderId="0" xfId="6" applyFont="1" applyFill="1" applyBorder="1" applyAlignment="1">
      <alignment horizontal="left" vertical="center" wrapText="1"/>
    </xf>
    <xf numFmtId="166" fontId="29" fillId="0" borderId="0" xfId="6" applyFont="1" applyFill="1" applyBorder="1" applyAlignment="1">
      <alignment horizontal="center" vertical="center" wrapText="1"/>
    </xf>
    <xf numFmtId="3" fontId="29" fillId="0" borderId="0" xfId="13" applyNumberFormat="1" applyFont="1" applyFill="1" applyBorder="1" applyAlignment="1">
      <alignment horizontal="left" vertical="center" wrapText="1"/>
    </xf>
    <xf numFmtId="3" fontId="29" fillId="0" borderId="0" xfId="6" applyNumberFormat="1" applyFont="1" applyFill="1" applyBorder="1" applyAlignment="1">
      <alignment horizontal="left" vertical="center" wrapText="1"/>
    </xf>
    <xf numFmtId="166" fontId="29" fillId="0" borderId="0" xfId="3" applyFont="1" applyAlignment="1">
      <alignment horizontal="center" vertical="center"/>
    </xf>
    <xf numFmtId="166" fontId="25" fillId="0" borderId="0" xfId="3" applyFont="1" applyFill="1" applyBorder="1" applyAlignment="1">
      <alignment horizontal="center" vertical="center"/>
    </xf>
    <xf numFmtId="166" fontId="29" fillId="0" borderId="0" xfId="3" applyFont="1" applyAlignment="1">
      <alignment horizontal="left" vertical="center" wrapText="1"/>
    </xf>
    <xf numFmtId="166" fontId="29" fillId="0" borderId="0" xfId="3" applyFont="1" applyAlignment="1">
      <alignment horizontal="left" vertical="center"/>
    </xf>
    <xf numFmtId="167" fontId="29" fillId="0" borderId="0" xfId="5" applyNumberFormat="1" applyFont="1" applyAlignment="1">
      <alignment horizontal="center" vertical="center"/>
    </xf>
    <xf numFmtId="166" fontId="29" fillId="3" borderId="7" xfId="6" applyFont="1" applyFill="1" applyBorder="1" applyAlignment="1">
      <alignment horizontal="center" vertical="center" wrapText="1"/>
    </xf>
    <xf numFmtId="166" fontId="29" fillId="15" borderId="3" xfId="6" applyFont="1" applyFill="1" applyBorder="1" applyAlignment="1">
      <alignment horizontal="center" vertical="center" wrapText="1"/>
    </xf>
    <xf numFmtId="166" fontId="25" fillId="0" borderId="0" xfId="3" applyFont="1" applyFill="1" applyAlignment="1">
      <alignment horizontal="center" vertical="center"/>
    </xf>
    <xf numFmtId="169" fontId="25" fillId="0" borderId="0" xfId="11" applyNumberFormat="1" applyFont="1" applyAlignment="1">
      <alignment horizontal="center" vertical="center"/>
    </xf>
    <xf numFmtId="10" fontId="25" fillId="0" borderId="0" xfId="11" applyNumberFormat="1" applyFont="1" applyAlignment="1">
      <alignment horizontal="center" vertical="center"/>
    </xf>
    <xf numFmtId="167" fontId="41" fillId="0" borderId="0" xfId="5" applyNumberFormat="1" applyFont="1" applyAlignment="1">
      <alignment horizontal="center" vertical="center"/>
    </xf>
    <xf numFmtId="0" fontId="26" fillId="19" borderId="11" xfId="0" applyFont="1" applyFill="1" applyBorder="1" applyAlignment="1">
      <alignment vertical="top" wrapText="1"/>
    </xf>
    <xf numFmtId="0" fontId="30" fillId="15" borderId="11" xfId="0" applyFont="1" applyFill="1" applyBorder="1" applyAlignment="1">
      <alignment horizontal="left" vertical="top" wrapText="1"/>
    </xf>
    <xf numFmtId="0" fontId="28" fillId="0" borderId="0" xfId="0" applyFont="1" applyAlignment="1">
      <alignment vertical="top" wrapText="1"/>
    </xf>
    <xf numFmtId="0" fontId="29" fillId="3" borderId="11" xfId="0" applyFont="1" applyFill="1" applyBorder="1" applyAlignment="1">
      <alignment horizontal="left" vertical="top" wrapText="1" indent="2"/>
    </xf>
    <xf numFmtId="41" fontId="8" fillId="13" borderId="13" xfId="2" applyNumberFormat="1" applyFont="1" applyFill="1" applyBorder="1" applyAlignment="1">
      <alignment horizontal="center" vertical="center"/>
    </xf>
    <xf numFmtId="41" fontId="8" fillId="13" borderId="14" xfId="2" applyNumberFormat="1" applyFont="1" applyFill="1" applyBorder="1" applyAlignment="1">
      <alignment horizontal="center" vertical="center"/>
    </xf>
    <xf numFmtId="41" fontId="8" fillId="13" borderId="15" xfId="2" applyNumberFormat="1" applyFont="1" applyFill="1" applyBorder="1" applyAlignment="1">
      <alignment horizontal="center" vertical="center"/>
    </xf>
    <xf numFmtId="3" fontId="38" fillId="3" borderId="19" xfId="4" applyNumberFormat="1" applyFont="1" applyFill="1" applyBorder="1" applyAlignment="1">
      <alignment vertical="center" wrapText="1"/>
    </xf>
    <xf numFmtId="166" fontId="38" fillId="0" borderId="19" xfId="4" applyNumberFormat="1" applyFont="1" applyBorder="1" applyAlignment="1">
      <alignment horizontal="center" vertical="center" wrapText="1"/>
    </xf>
    <xf numFmtId="167" fontId="38" fillId="0" borderId="19" xfId="5" applyNumberFormat="1" applyFont="1" applyBorder="1" applyAlignment="1">
      <alignment horizontal="center" vertical="center" wrapText="1"/>
    </xf>
    <xf numFmtId="166" fontId="38" fillId="0" borderId="19" xfId="4" applyNumberFormat="1" applyFont="1" applyBorder="1" applyAlignment="1">
      <alignment vertical="center" wrapText="1"/>
    </xf>
    <xf numFmtId="166" fontId="34" fillId="0" borderId="19" xfId="4" applyNumberFormat="1" applyFont="1" applyBorder="1" applyAlignment="1">
      <alignment horizontal="center" vertical="center" wrapText="1"/>
    </xf>
    <xf numFmtId="3" fontId="38" fillId="0" borderId="19" xfId="4" applyNumberFormat="1" applyFont="1" applyBorder="1" applyAlignment="1">
      <alignment vertical="center" wrapText="1"/>
    </xf>
    <xf numFmtId="167" fontId="38" fillId="0" borderId="19" xfId="5" applyNumberFormat="1" applyFont="1" applyBorder="1" applyAlignment="1">
      <alignment vertical="center" wrapText="1"/>
    </xf>
    <xf numFmtId="3" fontId="34" fillId="3" borderId="19" xfId="4" applyNumberFormat="1" applyFont="1" applyFill="1" applyBorder="1" applyAlignment="1">
      <alignment vertical="center" wrapText="1"/>
    </xf>
    <xf numFmtId="3" fontId="38" fillId="3" borderId="19" xfId="4" applyNumberFormat="1" applyFont="1" applyFill="1" applyBorder="1" applyAlignment="1">
      <alignment horizontal="justify" vertical="center" wrapText="1"/>
    </xf>
    <xf numFmtId="167" fontId="38" fillId="0" borderId="19" xfId="5" applyNumberFormat="1" applyFont="1" applyBorder="1" applyAlignment="1">
      <alignment horizontal="right" vertical="center" wrapText="1"/>
    </xf>
    <xf numFmtId="166" fontId="34" fillId="3" borderId="19" xfId="4" applyNumberFormat="1" applyFont="1" applyFill="1" applyBorder="1" applyAlignment="1">
      <alignment horizontal="center" vertical="center" wrapText="1"/>
    </xf>
    <xf numFmtId="167" fontId="38" fillId="3" borderId="19" xfId="5" applyNumberFormat="1" applyFont="1" applyFill="1" applyBorder="1" applyAlignment="1">
      <alignment vertical="center" wrapText="1"/>
    </xf>
    <xf numFmtId="166" fontId="25" fillId="18" borderId="0" xfId="3" applyFont="1" applyFill="1" applyAlignment="1">
      <alignment horizontal="center" vertical="center"/>
    </xf>
    <xf numFmtId="165" fontId="42" fillId="0" borderId="0" xfId="1" applyNumberFormat="1" applyFont="1" applyAlignment="1">
      <alignment horizontal="right" vertical="center"/>
    </xf>
    <xf numFmtId="165" fontId="4" fillId="0" borderId="0" xfId="1" applyNumberFormat="1" applyFont="1"/>
    <xf numFmtId="0" fontId="7" fillId="0" borderId="3" xfId="0" applyFont="1" applyBorder="1" applyAlignment="1"/>
    <xf numFmtId="165" fontId="7" fillId="0" borderId="5" xfId="1" applyNumberFormat="1" applyFont="1" applyBorder="1" applyAlignment="1"/>
    <xf numFmtId="165" fontId="7" fillId="0" borderId="6" xfId="1" applyNumberFormat="1" applyFont="1" applyBorder="1" applyAlignment="1"/>
    <xf numFmtId="3" fontId="7" fillId="0" borderId="3" xfId="0" applyNumberFormat="1" applyFont="1" applyBorder="1" applyAlignment="1"/>
    <xf numFmtId="3" fontId="43" fillId="0" borderId="3" xfId="0" applyNumberFormat="1" applyFont="1" applyBorder="1" applyAlignment="1"/>
    <xf numFmtId="165" fontId="43" fillId="0" borderId="5" xfId="1" applyNumberFormat="1" applyFont="1" applyBorder="1" applyAlignment="1"/>
    <xf numFmtId="165" fontId="43" fillId="0" borderId="6" xfId="1" applyNumberFormat="1" applyFont="1" applyBorder="1" applyAlignment="1"/>
    <xf numFmtId="3" fontId="43" fillId="0" borderId="1" xfId="0" applyNumberFormat="1" applyFont="1" applyBorder="1" applyAlignment="1">
      <alignment horizontal="center"/>
    </xf>
    <xf numFmtId="165" fontId="43" fillId="0" borderId="1" xfId="1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165" fontId="4" fillId="4" borderId="1" xfId="1" applyNumberFormat="1" applyFont="1" applyFill="1" applyBorder="1" applyAlignment="1">
      <alignment horizontal="center"/>
    </xf>
    <xf numFmtId="165" fontId="0" fillId="0" borderId="0" xfId="0" applyNumberFormat="1"/>
    <xf numFmtId="3" fontId="0" fillId="0" borderId="4" xfId="0" applyNumberFormat="1" applyBorder="1" applyAlignment="1"/>
    <xf numFmtId="165" fontId="4" fillId="0" borderId="7" xfId="1" applyNumberFormat="1" applyFont="1" applyBorder="1" applyAlignment="1"/>
    <xf numFmtId="165" fontId="4" fillId="0" borderId="8" xfId="1" applyNumberFormat="1" applyFont="1" applyBorder="1" applyAlignment="1"/>
    <xf numFmtId="3" fontId="0" fillId="0" borderId="2" xfId="0" applyNumberForma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4" fillId="0" borderId="9" xfId="1" applyNumberFormat="1" applyFont="1" applyBorder="1" applyAlignment="1">
      <alignment horizontal="center"/>
    </xf>
    <xf numFmtId="165" fontId="0" fillId="0" borderId="0" xfId="0" applyNumberFormat="1" applyFill="1"/>
    <xf numFmtId="0" fontId="0" fillId="0" borderId="2" xfId="0" applyBorder="1"/>
    <xf numFmtId="165" fontId="4" fillId="0" borderId="0" xfId="1" applyNumberFormat="1" applyFont="1" applyBorder="1"/>
    <xf numFmtId="165" fontId="4" fillId="0" borderId="9" xfId="1" applyNumberFormat="1" applyFont="1" applyBorder="1"/>
    <xf numFmtId="0" fontId="0" fillId="0" borderId="0" xfId="0" applyBorder="1"/>
    <xf numFmtId="0" fontId="0" fillId="0" borderId="9" xfId="0" applyBorder="1"/>
    <xf numFmtId="165" fontId="4" fillId="4" borderId="0" xfId="1" applyNumberFormat="1" applyFont="1" applyFill="1"/>
    <xf numFmtId="0" fontId="43" fillId="0" borderId="0" xfId="0" applyFont="1"/>
    <xf numFmtId="165" fontId="44" fillId="0" borderId="0" xfId="1" applyNumberFormat="1" applyFont="1"/>
    <xf numFmtId="165" fontId="4" fillId="0" borderId="0" xfId="1" applyNumberFormat="1" applyFont="1" applyAlignment="1">
      <alignment horizontal="center"/>
    </xf>
    <xf numFmtId="165" fontId="43" fillId="0" borderId="0" xfId="1" applyNumberFormat="1" applyFont="1"/>
    <xf numFmtId="0" fontId="46" fillId="2" borderId="0" xfId="0" applyFont="1" applyFill="1"/>
    <xf numFmtId="0" fontId="0" fillId="20" borderId="20" xfId="0" applyFill="1" applyBorder="1"/>
    <xf numFmtId="0" fontId="21" fillId="0" borderId="0" xfId="0" applyFont="1" applyAlignment="1">
      <alignment vertical="top" wrapText="1"/>
    </xf>
    <xf numFmtId="0" fontId="21" fillId="0" borderId="0" xfId="0" applyFont="1" applyAlignment="1">
      <alignment horizontal="center" vertical="top" wrapText="1"/>
    </xf>
    <xf numFmtId="9" fontId="22" fillId="0" borderId="0" xfId="11" applyNumberFormat="1" applyFont="1" applyAlignment="1">
      <alignment vertical="center"/>
    </xf>
    <xf numFmtId="0" fontId="21" fillId="0" borderId="11" xfId="0" applyFont="1" applyBorder="1" applyAlignment="1">
      <alignment horizontal="left" wrapText="1"/>
    </xf>
    <xf numFmtId="165" fontId="21" fillId="0" borderId="11" xfId="1" applyNumberFormat="1" applyFont="1" applyBorder="1" applyAlignment="1">
      <alignment horizontal="right" vertical="center"/>
    </xf>
    <xf numFmtId="165" fontId="21" fillId="3" borderId="11" xfId="1" applyNumberFormat="1" applyFont="1" applyFill="1" applyBorder="1" applyAlignment="1">
      <alignment horizontal="right" vertical="center"/>
    </xf>
    <xf numFmtId="165" fontId="21" fillId="0" borderId="11" xfId="1" applyNumberFormat="1" applyFont="1" applyFill="1" applyBorder="1" applyAlignment="1">
      <alignment horizontal="right" vertical="center"/>
    </xf>
    <xf numFmtId="165" fontId="21" fillId="5" borderId="11" xfId="1" applyNumberFormat="1" applyFont="1" applyFill="1" applyBorder="1" applyAlignment="1">
      <alignment horizontal="right" vertical="center"/>
    </xf>
    <xf numFmtId="165" fontId="21" fillId="6" borderId="11" xfId="1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center" vertical="top" wrapText="1"/>
    </xf>
    <xf numFmtId="0" fontId="21" fillId="7" borderId="11" xfId="0" applyFont="1" applyFill="1" applyBorder="1" applyAlignment="1">
      <alignment vertical="top" wrapText="1"/>
    </xf>
    <xf numFmtId="0" fontId="21" fillId="7" borderId="11" xfId="0" applyFont="1" applyFill="1" applyBorder="1" applyAlignment="1">
      <alignment horizontal="center" vertical="top" wrapText="1"/>
    </xf>
    <xf numFmtId="9" fontId="22" fillId="3" borderId="0" xfId="11" applyNumberFormat="1" applyFont="1" applyFill="1" applyAlignment="1">
      <alignment vertical="center"/>
    </xf>
    <xf numFmtId="9" fontId="22" fillId="0" borderId="0" xfId="11" applyNumberFormat="1" applyFont="1" applyBorder="1" applyAlignment="1">
      <alignment horizontal="center" vertical="center"/>
    </xf>
    <xf numFmtId="3" fontId="22" fillId="0" borderId="0" xfId="0" applyNumberFormat="1" applyFont="1" applyBorder="1" applyAlignment="1">
      <alignment vertical="center"/>
    </xf>
    <xf numFmtId="3" fontId="22" fillId="3" borderId="0" xfId="0" applyNumberFormat="1" applyFont="1" applyFill="1" applyBorder="1" applyAlignment="1">
      <alignment horizontal="center" vertical="center"/>
    </xf>
    <xf numFmtId="9" fontId="22" fillId="0" borderId="0" xfId="11" applyNumberFormat="1" applyFont="1" applyAlignment="1">
      <alignment horizontal="center" vertical="center"/>
    </xf>
    <xf numFmtId="43" fontId="22" fillId="14" borderId="11" xfId="1" applyNumberFormat="1" applyFont="1" applyFill="1" applyBorder="1" applyAlignment="1">
      <alignment horizontal="right" vertical="center"/>
    </xf>
    <xf numFmtId="165" fontId="22" fillId="14" borderId="11" xfId="1" applyNumberFormat="1" applyFont="1" applyFill="1" applyBorder="1" applyAlignment="1">
      <alignment horizontal="right" vertical="center"/>
    </xf>
    <xf numFmtId="165" fontId="22" fillId="8" borderId="11" xfId="1" applyNumberFormat="1" applyFont="1" applyFill="1" applyBorder="1" applyAlignment="1">
      <alignment horizontal="right" vertical="center"/>
    </xf>
    <xf numFmtId="165" fontId="21" fillId="3" borderId="0" xfId="1" applyNumberFormat="1" applyFont="1" applyFill="1" applyBorder="1" applyAlignment="1">
      <alignment horizontal="right" vertical="center"/>
    </xf>
    <xf numFmtId="164" fontId="21" fillId="3" borderId="0" xfId="1" applyFont="1" applyFill="1" applyBorder="1" applyAlignment="1">
      <alignment vertical="center"/>
    </xf>
    <xf numFmtId="43" fontId="21" fillId="6" borderId="11" xfId="1" applyNumberFormat="1" applyFont="1" applyFill="1" applyBorder="1" applyAlignment="1">
      <alignment horizontal="right" vertical="center"/>
    </xf>
    <xf numFmtId="165" fontId="22" fillId="3" borderId="0" xfId="1" applyNumberFormat="1" applyFont="1" applyFill="1" applyBorder="1" applyAlignment="1">
      <alignment horizontal="right" vertical="center"/>
    </xf>
    <xf numFmtId="164" fontId="22" fillId="3" borderId="0" xfId="1" applyFont="1" applyFill="1" applyBorder="1" applyAlignment="1">
      <alignment vertical="center"/>
    </xf>
    <xf numFmtId="0" fontId="21" fillId="5" borderId="0" xfId="0" applyFont="1" applyFill="1" applyAlignment="1">
      <alignment vertical="center"/>
    </xf>
    <xf numFmtId="167" fontId="29" fillId="15" borderId="21" xfId="6" applyNumberFormat="1" applyFont="1" applyFill="1" applyBorder="1" applyAlignment="1">
      <alignment vertical="center" wrapText="1"/>
    </xf>
    <xf numFmtId="167" fontId="28" fillId="15" borderId="21" xfId="6" applyNumberFormat="1" applyFont="1" applyFill="1" applyBorder="1" applyAlignment="1">
      <alignment vertical="center" wrapText="1"/>
    </xf>
    <xf numFmtId="166" fontId="28" fillId="18" borderId="19" xfId="6" applyFont="1" applyFill="1" applyBorder="1" applyAlignment="1">
      <alignment horizontal="center" vertical="center" wrapText="1"/>
    </xf>
    <xf numFmtId="167" fontId="28" fillId="18" borderId="19" xfId="5" applyNumberFormat="1" applyFont="1" applyFill="1" applyBorder="1" applyAlignment="1">
      <alignment horizontal="center" vertical="center" wrapText="1"/>
    </xf>
    <xf numFmtId="168" fontId="28" fillId="18" borderId="19" xfId="6" applyNumberFormat="1" applyFont="1" applyFill="1" applyBorder="1" applyAlignment="1">
      <alignment horizontal="center" vertical="center" wrapText="1"/>
    </xf>
    <xf numFmtId="166" fontId="29" fillId="3" borderId="19" xfId="6" applyFont="1" applyFill="1" applyBorder="1" applyAlignment="1">
      <alignment horizontal="center" vertical="center"/>
    </xf>
    <xf numFmtId="3" fontId="29" fillId="3" borderId="19" xfId="9" applyNumberFormat="1" applyFont="1" applyFill="1" applyBorder="1" applyAlignment="1">
      <alignment horizontal="left" vertical="center" wrapText="1"/>
    </xf>
    <xf numFmtId="166" fontId="29" fillId="3" borderId="19" xfId="6" applyFont="1" applyFill="1" applyBorder="1" applyAlignment="1">
      <alignment horizontal="left" vertical="center" wrapText="1"/>
    </xf>
    <xf numFmtId="166" fontId="29" fillId="3" borderId="19" xfId="6" applyFont="1" applyFill="1" applyBorder="1" applyAlignment="1">
      <alignment vertical="center" wrapText="1"/>
    </xf>
    <xf numFmtId="167" fontId="29" fillId="3" borderId="19" xfId="5" applyNumberFormat="1" applyFont="1" applyFill="1" applyBorder="1" applyAlignment="1">
      <alignment horizontal="center" vertical="center" wrapText="1"/>
    </xf>
    <xf numFmtId="9" fontId="29" fillId="3" borderId="19" xfId="6" applyNumberFormat="1" applyFont="1" applyFill="1" applyBorder="1" applyAlignment="1">
      <alignment horizontal="center" vertical="center" wrapText="1"/>
    </xf>
    <xf numFmtId="37" fontId="29" fillId="3" borderId="19" xfId="6" applyNumberFormat="1" applyFont="1" applyFill="1" applyBorder="1" applyAlignment="1">
      <alignment horizontal="right" vertical="center" wrapText="1"/>
    </xf>
    <xf numFmtId="166" fontId="29" fillId="3" borderId="19" xfId="6" applyFont="1" applyFill="1" applyBorder="1" applyAlignment="1">
      <alignment horizontal="center" vertical="center" wrapText="1"/>
    </xf>
    <xf numFmtId="17" fontId="25" fillId="0" borderId="19" xfId="12" applyNumberFormat="1" applyFont="1" applyBorder="1" applyAlignment="1">
      <alignment horizontal="center" vertical="center"/>
    </xf>
    <xf numFmtId="17" fontId="25" fillId="3" borderId="19" xfId="8" applyNumberFormat="1" applyFont="1" applyFill="1" applyBorder="1" applyAlignment="1">
      <alignment horizontal="center" vertical="center"/>
    </xf>
    <xf numFmtId="167" fontId="24" fillId="15" borderId="19" xfId="3" applyNumberFormat="1" applyFont="1" applyFill="1" applyBorder="1" applyAlignment="1">
      <alignment horizontal="left" vertical="center"/>
    </xf>
    <xf numFmtId="166" fontId="25" fillId="15" borderId="19" xfId="3" applyFont="1" applyFill="1" applyBorder="1" applyAlignment="1">
      <alignment horizontal="center" vertical="center"/>
    </xf>
    <xf numFmtId="168" fontId="25" fillId="15" borderId="19" xfId="3" applyNumberFormat="1" applyFont="1" applyFill="1" applyBorder="1" applyAlignment="1">
      <alignment horizontal="center" vertical="center"/>
    </xf>
    <xf numFmtId="3" fontId="29" fillId="3" borderId="19" xfId="6" applyNumberFormat="1" applyFont="1" applyFill="1" applyBorder="1" applyAlignment="1">
      <alignment horizontal="left" vertical="center" wrapText="1"/>
    </xf>
    <xf numFmtId="167" fontId="29" fillId="3" borderId="19" xfId="5" applyNumberFormat="1" applyFont="1" applyFill="1" applyBorder="1" applyAlignment="1">
      <alignment vertical="center" wrapText="1"/>
    </xf>
    <xf numFmtId="9" fontId="29" fillId="3" borderId="19" xfId="6" applyNumberFormat="1" applyFont="1" applyFill="1" applyBorder="1" applyAlignment="1">
      <alignment vertical="center" wrapText="1"/>
    </xf>
    <xf numFmtId="9" fontId="29" fillId="3" borderId="19" xfId="11" applyFont="1" applyFill="1" applyBorder="1" applyAlignment="1">
      <alignment horizontal="center" vertical="center"/>
    </xf>
    <xf numFmtId="167" fontId="29" fillId="3" borderId="19" xfId="5" applyNumberFormat="1" applyFont="1" applyFill="1" applyBorder="1" applyAlignment="1">
      <alignment horizontal="center" vertical="center"/>
    </xf>
    <xf numFmtId="167" fontId="24" fillId="15" borderId="19" xfId="3" applyNumberFormat="1" applyFont="1" applyFill="1" applyBorder="1" applyAlignment="1">
      <alignment horizontal="center" vertical="center"/>
    </xf>
    <xf numFmtId="166" fontId="28" fillId="18" borderId="19" xfId="6" applyFont="1" applyFill="1" applyBorder="1" applyAlignment="1">
      <alignment horizontal="left" vertical="center" wrapText="1"/>
    </xf>
    <xf numFmtId="3" fontId="29" fillId="0" borderId="19" xfId="6" applyNumberFormat="1" applyFont="1" applyFill="1" applyBorder="1" applyAlignment="1">
      <alignment horizontal="center" vertical="center" wrapText="1"/>
    </xf>
    <xf numFmtId="166" fontId="29" fillId="0" borderId="19" xfId="6" applyFont="1" applyFill="1" applyBorder="1" applyAlignment="1">
      <alignment horizontal="center" vertical="center" wrapText="1"/>
    </xf>
    <xf numFmtId="37" fontId="29" fillId="0" borderId="19" xfId="10" applyNumberFormat="1" applyFont="1" applyBorder="1" applyAlignment="1">
      <alignment horizontal="center" vertical="center"/>
    </xf>
    <xf numFmtId="167" fontId="29" fillId="3" borderId="19" xfId="5" applyNumberFormat="1" applyFont="1" applyFill="1" applyBorder="1" applyAlignment="1">
      <alignment vertical="center"/>
    </xf>
    <xf numFmtId="166" fontId="29" fillId="0" borderId="19" xfId="6" applyFont="1" applyBorder="1" applyAlignment="1">
      <alignment horizontal="center" vertical="center"/>
    </xf>
    <xf numFmtId="17" fontId="25" fillId="3" borderId="19" xfId="12" applyNumberFormat="1" applyFont="1" applyFill="1" applyBorder="1" applyAlignment="1">
      <alignment horizontal="center" vertical="center"/>
    </xf>
    <xf numFmtId="167" fontId="29" fillId="0" borderId="19" xfId="5" applyNumberFormat="1" applyFont="1" applyFill="1" applyBorder="1" applyAlignment="1">
      <alignment horizontal="center" vertical="center" wrapText="1"/>
    </xf>
    <xf numFmtId="3" fontId="29" fillId="3" borderId="19" xfId="6" applyNumberFormat="1" applyFont="1" applyFill="1" applyBorder="1" applyAlignment="1">
      <alignment horizontal="center" vertical="center" wrapText="1"/>
    </xf>
    <xf numFmtId="37" fontId="29" fillId="3" borderId="19" xfId="10" applyNumberFormat="1" applyFont="1" applyFill="1" applyBorder="1" applyAlignment="1">
      <alignment horizontal="center" vertical="center"/>
    </xf>
    <xf numFmtId="166" fontId="29" fillId="3" borderId="19" xfId="6" applyFont="1" applyFill="1" applyBorder="1" applyAlignment="1">
      <alignment vertical="center"/>
    </xf>
    <xf numFmtId="167" fontId="28" fillId="15" borderId="19" xfId="6" applyNumberFormat="1" applyFont="1" applyFill="1" applyBorder="1" applyAlignment="1">
      <alignment horizontal="center" vertical="center" wrapText="1"/>
    </xf>
    <xf numFmtId="166" fontId="29" fillId="15" borderId="19" xfId="6" applyFont="1" applyFill="1" applyBorder="1" applyAlignment="1">
      <alignment horizontal="center" vertical="center" wrapText="1"/>
    </xf>
    <xf numFmtId="166" fontId="29" fillId="0" borderId="19" xfId="6" applyFont="1" applyBorder="1" applyAlignment="1">
      <alignment vertical="center"/>
    </xf>
    <xf numFmtId="167" fontId="29" fillId="0" borderId="19" xfId="5" applyNumberFormat="1" applyFont="1" applyFill="1" applyBorder="1" applyAlignment="1">
      <alignment vertical="center" wrapText="1"/>
    </xf>
    <xf numFmtId="166" fontId="29" fillId="0" borderId="19" xfId="6" applyFont="1" applyBorder="1" applyAlignment="1">
      <alignment vertical="center" wrapText="1"/>
    </xf>
    <xf numFmtId="166" fontId="29" fillId="0" borderId="19" xfId="6" applyFont="1" applyFill="1" applyBorder="1" applyAlignment="1">
      <alignment horizontal="left" vertical="center" wrapText="1"/>
    </xf>
    <xf numFmtId="3" fontId="29" fillId="0" borderId="19" xfId="6" applyNumberFormat="1" applyFont="1" applyFill="1" applyBorder="1" applyAlignment="1">
      <alignment horizontal="left" vertical="center" wrapText="1"/>
    </xf>
    <xf numFmtId="3" fontId="29" fillId="0" borderId="19" xfId="5" applyNumberFormat="1" applyFont="1" applyFill="1" applyBorder="1" applyAlignment="1">
      <alignment horizontal="center" vertical="center" wrapText="1"/>
    </xf>
    <xf numFmtId="9" fontId="29" fillId="0" borderId="19" xfId="6" applyNumberFormat="1" applyFont="1" applyFill="1" applyBorder="1" applyAlignment="1">
      <alignment horizontal="center" vertical="center" wrapText="1"/>
    </xf>
    <xf numFmtId="166" fontId="29" fillId="0" borderId="19" xfId="6" applyFont="1" applyFill="1" applyBorder="1" applyAlignment="1">
      <alignment vertical="center" wrapText="1"/>
    </xf>
    <xf numFmtId="166" fontId="35" fillId="16" borderId="19" xfId="4" applyNumberFormat="1" applyFont="1" applyFill="1" applyBorder="1" applyAlignment="1">
      <alignment horizontal="center" vertical="center" wrapText="1"/>
    </xf>
    <xf numFmtId="167" fontId="35" fillId="16" borderId="19" xfId="5" applyNumberFormat="1" applyFont="1" applyFill="1" applyBorder="1" applyAlignment="1">
      <alignment horizontal="center" vertical="center" wrapText="1"/>
    </xf>
    <xf numFmtId="166" fontId="35" fillId="2" borderId="19" xfId="4" applyNumberFormat="1" applyFont="1" applyFill="1" applyBorder="1" applyAlignment="1">
      <alignment horizontal="center" vertical="center" wrapText="1"/>
    </xf>
    <xf numFmtId="166" fontId="37" fillId="2" borderId="19" xfId="4" applyNumberFormat="1" applyFont="1" applyFill="1" applyBorder="1" applyAlignment="1">
      <alignment horizontal="center" vertical="center" wrapText="1"/>
    </xf>
    <xf numFmtId="166" fontId="37" fillId="2" borderId="19" xfId="4" applyNumberFormat="1" applyFont="1" applyFill="1" applyBorder="1" applyAlignment="1">
      <alignment horizontal="justify" vertical="center" wrapText="1"/>
    </xf>
    <xf numFmtId="167" fontId="35" fillId="2" borderId="19" xfId="5" applyNumberFormat="1" applyFont="1" applyFill="1" applyBorder="1" applyAlignment="1">
      <alignment horizontal="justify" vertical="center" wrapText="1"/>
    </xf>
    <xf numFmtId="167" fontId="35" fillId="2" borderId="19" xfId="5" applyNumberFormat="1" applyFont="1" applyFill="1" applyBorder="1" applyAlignment="1">
      <alignment horizontal="center" vertical="center" wrapText="1"/>
    </xf>
    <xf numFmtId="167" fontId="35" fillId="2" borderId="19" xfId="5" applyNumberFormat="1" applyFont="1" applyFill="1" applyBorder="1" applyAlignment="1">
      <alignment horizontal="right" vertical="center" wrapText="1"/>
    </xf>
    <xf numFmtId="166" fontId="39" fillId="2" borderId="19" xfId="4" applyNumberFormat="1" applyFont="1" applyFill="1" applyBorder="1" applyAlignment="1">
      <alignment horizontal="justify" vertical="center" wrapText="1"/>
    </xf>
    <xf numFmtId="166" fontId="39" fillId="2" borderId="19" xfId="4" applyNumberFormat="1" applyFont="1" applyFill="1" applyBorder="1" applyAlignment="1">
      <alignment horizontal="center" vertical="center" wrapText="1"/>
    </xf>
    <xf numFmtId="167" fontId="39" fillId="2" borderId="19" xfId="5" applyNumberFormat="1" applyFont="1" applyFill="1" applyBorder="1" applyAlignment="1">
      <alignment horizontal="right" vertical="center" wrapText="1"/>
    </xf>
    <xf numFmtId="0" fontId="45" fillId="8" borderId="20" xfId="15" applyFill="1" applyBorder="1"/>
    <xf numFmtId="0" fontId="44" fillId="8" borderId="20" xfId="15" applyFont="1" applyFill="1" applyBorder="1"/>
    <xf numFmtId="41" fontId="12" fillId="3" borderId="0" xfId="2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2" fillId="3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49" fillId="0" borderId="0" xfId="15" applyFont="1" applyAlignment="1">
      <alignment vertical="center"/>
    </xf>
    <xf numFmtId="0" fontId="25" fillId="0" borderId="0" xfId="0" applyFont="1" applyAlignment="1">
      <alignment vertical="center"/>
    </xf>
    <xf numFmtId="0" fontId="25" fillId="15" borderId="21" xfId="0" applyFont="1" applyFill="1" applyBorder="1" applyAlignment="1">
      <alignment horizontal="center" vertical="center" wrapText="1"/>
    </xf>
    <xf numFmtId="0" fontId="48" fillId="15" borderId="21" xfId="0" applyFont="1" applyFill="1" applyBorder="1" applyAlignment="1">
      <alignment vertical="center" wrapText="1"/>
    </xf>
    <xf numFmtId="0" fontId="25" fillId="15" borderId="28" xfId="0" applyFont="1" applyFill="1" applyBorder="1" applyAlignment="1">
      <alignment horizontal="center" vertical="center" wrapText="1"/>
    </xf>
    <xf numFmtId="3" fontId="25" fillId="18" borderId="21" xfId="0" applyNumberFormat="1" applyFont="1" applyFill="1" applyBorder="1" applyAlignment="1">
      <alignment horizontal="center" vertical="center" wrapText="1"/>
    </xf>
    <xf numFmtId="0" fontId="25" fillId="18" borderId="21" xfId="0" applyFont="1" applyFill="1" applyBorder="1" applyAlignment="1">
      <alignment horizontal="center" vertical="center" wrapText="1"/>
    </xf>
    <xf numFmtId="0" fontId="25" fillId="18" borderId="28" xfId="0" applyFont="1" applyFill="1" applyBorder="1" applyAlignment="1">
      <alignment horizontal="center" vertical="center" wrapText="1"/>
    </xf>
    <xf numFmtId="3" fontId="25" fillId="18" borderId="28" xfId="0" applyNumberFormat="1" applyFont="1" applyFill="1" applyBorder="1" applyAlignment="1">
      <alignment horizontal="center" vertical="center" wrapText="1"/>
    </xf>
    <xf numFmtId="0" fontId="26" fillId="2" borderId="21" xfId="0" applyFont="1" applyFill="1" applyBorder="1" applyAlignment="1">
      <alignment horizontal="center" vertical="center" wrapText="1"/>
    </xf>
    <xf numFmtId="0" fontId="26" fillId="2" borderId="21" xfId="0" applyFont="1" applyFill="1" applyBorder="1" applyAlignment="1">
      <alignment horizontal="left" vertical="center" wrapText="1"/>
    </xf>
    <xf numFmtId="165" fontId="25" fillId="0" borderId="0" xfId="0" applyNumberFormat="1" applyFont="1" applyAlignment="1">
      <alignment vertical="center"/>
    </xf>
    <xf numFmtId="0" fontId="24" fillId="3" borderId="11" xfId="0" applyFont="1" applyFill="1" applyBorder="1" applyAlignment="1">
      <alignment vertical="top" wrapText="1"/>
    </xf>
    <xf numFmtId="9" fontId="24" fillId="0" borderId="0" xfId="11" applyNumberFormat="1" applyFont="1" applyAlignment="1">
      <alignment horizontal="center"/>
    </xf>
    <xf numFmtId="0" fontId="26" fillId="9" borderId="11" xfId="0" applyFont="1" applyFill="1" applyBorder="1" applyAlignment="1">
      <alignment vertical="top" wrapText="1"/>
    </xf>
    <xf numFmtId="165" fontId="26" fillId="9" borderId="11" xfId="1" applyNumberFormat="1" applyFont="1" applyFill="1" applyBorder="1" applyAlignment="1">
      <alignment horizontal="right" vertical="center"/>
    </xf>
    <xf numFmtId="9" fontId="24" fillId="0" borderId="0" xfId="11" applyNumberFormat="1" applyFont="1" applyAlignment="1">
      <alignment horizontal="center" vertical="center"/>
    </xf>
    <xf numFmtId="0" fontId="25" fillId="3" borderId="0" xfId="0" applyFont="1" applyFill="1" applyAlignment="1">
      <alignment vertical="top" wrapText="1"/>
    </xf>
    <xf numFmtId="0" fontId="25" fillId="0" borderId="0" xfId="0" applyFont="1" applyAlignment="1">
      <alignment vertical="top" wrapText="1"/>
    </xf>
    <xf numFmtId="165" fontId="25" fillId="0" borderId="0" xfId="1" applyNumberFormat="1" applyFont="1" applyAlignment="1">
      <alignment horizontal="right" vertical="center"/>
    </xf>
    <xf numFmtId="0" fontId="26" fillId="10" borderId="0" xfId="0" applyFont="1" applyFill="1" applyAlignment="1">
      <alignment vertical="center"/>
    </xf>
    <xf numFmtId="0" fontId="26" fillId="12" borderId="0" xfId="0" applyFont="1" applyFill="1" applyAlignment="1">
      <alignment vertical="center"/>
    </xf>
    <xf numFmtId="0" fontId="25" fillId="3" borderId="0" xfId="0" applyFont="1" applyFill="1" applyBorder="1" applyAlignment="1">
      <alignment vertical="top" wrapText="1"/>
    </xf>
    <xf numFmtId="165" fontId="26" fillId="3" borderId="0" xfId="1" applyNumberFormat="1" applyFont="1" applyFill="1" applyBorder="1" applyAlignment="1">
      <alignment horizontal="right" vertical="center"/>
    </xf>
    <xf numFmtId="9" fontId="24" fillId="3" borderId="0" xfId="11" applyNumberFormat="1" applyFont="1" applyFill="1" applyBorder="1" applyAlignment="1">
      <alignment horizontal="center"/>
    </xf>
    <xf numFmtId="0" fontId="26" fillId="3" borderId="0" xfId="0" applyFont="1" applyFill="1" applyBorder="1" applyAlignment="1">
      <alignment vertical="center" wrapText="1"/>
    </xf>
    <xf numFmtId="9" fontId="26" fillId="3" borderId="0" xfId="11" applyNumberFormat="1" applyFont="1" applyFill="1" applyBorder="1" applyAlignment="1">
      <alignment horizontal="center" vertical="center"/>
    </xf>
    <xf numFmtId="165" fontId="25" fillId="3" borderId="0" xfId="1" applyNumberFormat="1" applyFont="1" applyFill="1" applyBorder="1" applyAlignment="1">
      <alignment horizontal="right" vertical="center"/>
    </xf>
    <xf numFmtId="0" fontId="25" fillId="3" borderId="0" xfId="0" applyFont="1" applyFill="1" applyAlignment="1">
      <alignment vertical="center" wrapText="1"/>
    </xf>
    <xf numFmtId="0" fontId="25" fillId="0" borderId="0" xfId="0" applyFont="1" applyAlignment="1">
      <alignment vertical="center" wrapText="1"/>
    </xf>
    <xf numFmtId="0" fontId="47" fillId="0" borderId="0" xfId="0" applyFont="1" applyAlignment="1">
      <alignment vertical="center"/>
    </xf>
    <xf numFmtId="0" fontId="26" fillId="7" borderId="11" xfId="0" applyFont="1" applyFill="1" applyBorder="1" applyAlignment="1">
      <alignment horizontal="right" vertical="top" wrapText="1"/>
    </xf>
    <xf numFmtId="0" fontId="29" fillId="0" borderId="11" xfId="0" applyFont="1" applyBorder="1" applyAlignment="1">
      <alignment horizontal="right" vertical="top" wrapText="1"/>
    </xf>
    <xf numFmtId="0" fontId="28" fillId="8" borderId="11" xfId="0" applyFont="1" applyFill="1" applyBorder="1" applyAlignment="1">
      <alignment horizontal="right" vertical="top" wrapText="1"/>
    </xf>
    <xf numFmtId="0" fontId="29" fillId="3" borderId="11" xfId="0" applyFont="1" applyFill="1" applyBorder="1" applyAlignment="1">
      <alignment horizontal="right" vertical="top" wrapText="1"/>
    </xf>
    <xf numFmtId="0" fontId="28" fillId="15" borderId="11" xfId="0" applyFont="1" applyFill="1" applyBorder="1" applyAlignment="1">
      <alignment horizontal="right" vertical="top" wrapText="1"/>
    </xf>
    <xf numFmtId="0" fontId="29" fillId="0" borderId="11" xfId="0" applyFont="1" applyBorder="1" applyAlignment="1">
      <alignment horizontal="right" vertical="center" wrapText="1"/>
    </xf>
    <xf numFmtId="0" fontId="29" fillId="0" borderId="0" xfId="0" applyFont="1" applyAlignment="1">
      <alignment horizontal="right" vertical="top" wrapText="1"/>
    </xf>
    <xf numFmtId="0" fontId="24" fillId="18" borderId="21" xfId="0" applyFont="1" applyFill="1" applyBorder="1" applyAlignment="1">
      <alignment vertical="center" wrapText="1"/>
    </xf>
    <xf numFmtId="0" fontId="24" fillId="18" borderId="28" xfId="0" applyFont="1" applyFill="1" applyBorder="1" applyAlignment="1">
      <alignment horizontal="left" vertical="center" wrapText="1"/>
    </xf>
    <xf numFmtId="0" fontId="52" fillId="3" borderId="0" xfId="0" applyFont="1" applyFill="1" applyAlignment="1">
      <alignment horizontal="center" vertical="center"/>
    </xf>
    <xf numFmtId="0" fontId="25" fillId="3" borderId="0" xfId="0" applyFont="1" applyFill="1" applyAlignment="1">
      <alignment vertical="center"/>
    </xf>
    <xf numFmtId="0" fontId="24" fillId="3" borderId="13" xfId="0" applyFont="1" applyFill="1" applyBorder="1" applyAlignment="1">
      <alignment vertical="top" wrapText="1"/>
    </xf>
    <xf numFmtId="9" fontId="24" fillId="3" borderId="0" xfId="11" applyNumberFormat="1" applyFont="1" applyFill="1" applyAlignment="1">
      <alignment horizontal="center"/>
    </xf>
    <xf numFmtId="0" fontId="26" fillId="3" borderId="0" xfId="0" applyFont="1" applyFill="1" applyAlignment="1">
      <alignment vertical="top" wrapText="1"/>
    </xf>
    <xf numFmtId="0" fontId="28" fillId="3" borderId="13" xfId="0" applyFont="1" applyFill="1" applyBorder="1" applyAlignment="1">
      <alignment vertical="center" wrapText="1"/>
    </xf>
    <xf numFmtId="0" fontId="26" fillId="9" borderId="21" xfId="0" applyFont="1" applyFill="1" applyBorder="1" applyAlignment="1">
      <alignment vertical="center" wrapText="1"/>
    </xf>
    <xf numFmtId="165" fontId="26" fillId="9" borderId="21" xfId="1" applyNumberFormat="1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vertical="center" wrapText="1"/>
    </xf>
    <xf numFmtId="0" fontId="26" fillId="7" borderId="21" xfId="0" applyFont="1" applyFill="1" applyBorder="1" applyAlignment="1">
      <alignment vertical="center" wrapText="1"/>
    </xf>
    <xf numFmtId="9" fontId="26" fillId="10" borderId="21" xfId="11" applyFont="1" applyFill="1" applyBorder="1" applyAlignment="1">
      <alignment horizontal="right" vertical="center"/>
    </xf>
    <xf numFmtId="9" fontId="26" fillId="12" borderId="21" xfId="11" applyFont="1" applyFill="1" applyBorder="1" applyAlignment="1">
      <alignment horizontal="right" vertical="center"/>
    </xf>
    <xf numFmtId="0" fontId="52" fillId="3" borderId="0" xfId="0" applyFont="1" applyFill="1" applyBorder="1" applyAlignment="1">
      <alignment horizontal="center" vertical="center" wrapText="1"/>
    </xf>
    <xf numFmtId="0" fontId="52" fillId="3" borderId="0" xfId="0" applyFont="1" applyFill="1" applyAlignment="1">
      <alignment horizontal="center" vertical="center" wrapText="1"/>
    </xf>
    <xf numFmtId="165" fontId="13" fillId="2" borderId="13" xfId="1" applyNumberFormat="1" applyFont="1" applyFill="1" applyBorder="1" applyAlignment="1">
      <alignment horizontal="center" vertical="center" textRotation="90"/>
    </xf>
    <xf numFmtId="165" fontId="13" fillId="2" borderId="14" xfId="1" applyNumberFormat="1" applyFont="1" applyFill="1" applyBorder="1" applyAlignment="1">
      <alignment horizontal="center" vertical="center" textRotation="90"/>
    </xf>
    <xf numFmtId="165" fontId="13" fillId="2" borderId="15" xfId="1" applyNumberFormat="1" applyFont="1" applyFill="1" applyBorder="1" applyAlignment="1">
      <alignment horizontal="center" vertical="center" textRotation="90"/>
    </xf>
    <xf numFmtId="0" fontId="51" fillId="3" borderId="23" xfId="0" applyFont="1" applyFill="1" applyBorder="1" applyAlignment="1">
      <alignment horizontal="center" vertical="center" wrapText="1"/>
    </xf>
    <xf numFmtId="0" fontId="51" fillId="3" borderId="16" xfId="0" applyFont="1" applyFill="1" applyBorder="1" applyAlignment="1">
      <alignment horizontal="center" vertical="center" wrapText="1"/>
    </xf>
    <xf numFmtId="0" fontId="26" fillId="9" borderId="11" xfId="0" applyFont="1" applyFill="1" applyBorder="1" applyAlignment="1">
      <alignment horizontal="right" vertical="top" wrapText="1"/>
    </xf>
    <xf numFmtId="0" fontId="26" fillId="9" borderId="11" xfId="0" applyFont="1" applyFill="1" applyBorder="1" applyAlignment="1">
      <alignment horizontal="center" vertical="center" wrapText="1"/>
    </xf>
    <xf numFmtId="3" fontId="27" fillId="9" borderId="11" xfId="0" applyNumberFormat="1" applyFont="1" applyFill="1" applyBorder="1" applyAlignment="1">
      <alignment horizontal="center" vertical="center"/>
    </xf>
    <xf numFmtId="165" fontId="27" fillId="9" borderId="11" xfId="1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0" fontId="22" fillId="8" borderId="11" xfId="0" applyFont="1" applyFill="1" applyBorder="1" applyAlignment="1">
      <alignment horizontal="right" vertical="center" wrapText="1"/>
    </xf>
    <xf numFmtId="0" fontId="22" fillId="15" borderId="11" xfId="0" applyFont="1" applyFill="1" applyBorder="1" applyAlignment="1">
      <alignment horizontal="right" vertical="center" wrapText="1"/>
    </xf>
    <xf numFmtId="0" fontId="16" fillId="9" borderId="12" xfId="0" applyFont="1" applyFill="1" applyBorder="1" applyAlignment="1">
      <alignment vertical="center" wrapText="1"/>
    </xf>
    <xf numFmtId="0" fontId="18" fillId="0" borderId="0" xfId="0" applyFont="1" applyBorder="1" applyAlignment="1">
      <alignment horizontal="right" vertical="top" wrapText="1"/>
    </xf>
    <xf numFmtId="41" fontId="16" fillId="9" borderId="11" xfId="2" applyFont="1" applyFill="1" applyBorder="1" applyAlignment="1">
      <alignment horizontal="right" vertical="center"/>
    </xf>
    <xf numFmtId="0" fontId="55" fillId="8" borderId="20" xfId="15" applyFont="1" applyFill="1" applyBorder="1"/>
    <xf numFmtId="0" fontId="50" fillId="3" borderId="0" xfId="0" applyFont="1" applyFill="1" applyAlignment="1">
      <alignment horizontal="center" vertical="center"/>
    </xf>
    <xf numFmtId="0" fontId="43" fillId="3" borderId="0" xfId="0" applyFont="1" applyFill="1"/>
    <xf numFmtId="0" fontId="0" fillId="3" borderId="0" xfId="0" applyFill="1"/>
    <xf numFmtId="0" fontId="13" fillId="9" borderId="23" xfId="0" applyFont="1" applyFill="1" applyBorder="1" applyAlignment="1">
      <alignment horizontal="center" vertical="center" wrapText="1"/>
    </xf>
    <xf numFmtId="41" fontId="13" fillId="7" borderId="12" xfId="2" applyFont="1" applyFill="1" applyBorder="1" applyAlignment="1">
      <alignment horizontal="right" vertical="center"/>
    </xf>
    <xf numFmtId="0" fontId="16" fillId="9" borderId="21" xfId="0" applyFont="1" applyFill="1" applyBorder="1" applyAlignment="1">
      <alignment horizontal="right" vertical="center" wrapText="1"/>
    </xf>
    <xf numFmtId="0" fontId="16" fillId="9" borderId="21" xfId="0" applyFont="1" applyFill="1" applyBorder="1" applyAlignment="1">
      <alignment horizontal="center" vertical="center" wrapText="1"/>
    </xf>
    <xf numFmtId="41" fontId="16" fillId="9" borderId="21" xfId="2" applyFont="1" applyFill="1" applyBorder="1" applyAlignment="1">
      <alignment horizontal="center" vertical="center" wrapText="1"/>
    </xf>
    <xf numFmtId="0" fontId="56" fillId="0" borderId="0" xfId="0" applyFont="1" applyAlignment="1">
      <alignment vertical="top" wrapText="1"/>
    </xf>
    <xf numFmtId="0" fontId="56" fillId="0" borderId="0" xfId="0" applyFont="1" applyAlignment="1">
      <alignment horizontal="center" vertical="top" wrapText="1"/>
    </xf>
    <xf numFmtId="41" fontId="56" fillId="0" borderId="0" xfId="2" applyNumberFormat="1" applyFont="1" applyAlignment="1">
      <alignment vertical="center"/>
    </xf>
    <xf numFmtId="165" fontId="58" fillId="3" borderId="0" xfId="1" applyNumberFormat="1" applyFont="1" applyFill="1" applyBorder="1" applyAlignment="1">
      <alignment vertical="center"/>
    </xf>
    <xf numFmtId="41" fontId="56" fillId="0" borderId="0" xfId="2" applyFont="1" applyAlignment="1">
      <alignment vertical="center"/>
    </xf>
    <xf numFmtId="0" fontId="58" fillId="3" borderId="0" xfId="0" applyFont="1" applyFill="1" applyBorder="1" applyAlignment="1">
      <alignment vertical="center"/>
    </xf>
    <xf numFmtId="0" fontId="56" fillId="3" borderId="0" xfId="0" applyFont="1" applyFill="1" applyBorder="1" applyAlignment="1">
      <alignment vertical="center"/>
    </xf>
    <xf numFmtId="41" fontId="56" fillId="3" borderId="0" xfId="2" applyFont="1" applyFill="1" applyBorder="1" applyAlignment="1">
      <alignment vertical="center"/>
    </xf>
    <xf numFmtId="0" fontId="56" fillId="3" borderId="0" xfId="0" applyFont="1" applyFill="1" applyAlignment="1">
      <alignment vertical="center"/>
    </xf>
    <xf numFmtId="0" fontId="56" fillId="0" borderId="0" xfId="0" applyFont="1" applyAlignment="1">
      <alignment vertical="center"/>
    </xf>
    <xf numFmtId="9" fontId="60" fillId="0" borderId="0" xfId="11" applyFont="1" applyAlignment="1">
      <alignment vertical="center"/>
    </xf>
    <xf numFmtId="0" fontId="56" fillId="0" borderId="0" xfId="0" applyFont="1" applyBorder="1" applyAlignment="1">
      <alignment vertical="top" wrapText="1"/>
    </xf>
    <xf numFmtId="0" fontId="56" fillId="0" borderId="0" xfId="0" applyFont="1" applyBorder="1" applyAlignment="1">
      <alignment horizontal="center" vertical="top" wrapText="1"/>
    </xf>
    <xf numFmtId="165" fontId="58" fillId="3" borderId="0" xfId="1" applyNumberFormat="1" applyFont="1" applyFill="1" applyBorder="1" applyAlignment="1">
      <alignment horizontal="center" vertical="center"/>
    </xf>
    <xf numFmtId="0" fontId="56" fillId="0" borderId="0" xfId="0" applyFont="1" applyBorder="1" applyAlignment="1">
      <alignment horizontal="right" vertical="top" wrapText="1"/>
    </xf>
    <xf numFmtId="0" fontId="56" fillId="0" borderId="0" xfId="0" applyFont="1" applyBorder="1" applyAlignment="1">
      <alignment wrapText="1"/>
    </xf>
    <xf numFmtId="41" fontId="56" fillId="0" borderId="0" xfId="2" applyFont="1" applyBorder="1" applyAlignment="1">
      <alignment vertical="center"/>
    </xf>
    <xf numFmtId="0" fontId="60" fillId="0" borderId="0" xfId="0" applyFont="1" applyBorder="1" applyAlignment="1">
      <alignment vertical="top" wrapText="1"/>
    </xf>
    <xf numFmtId="0" fontId="60" fillId="0" borderId="0" xfId="0" applyFont="1" applyBorder="1" applyAlignment="1">
      <alignment horizontal="center" vertical="top" wrapText="1"/>
    </xf>
    <xf numFmtId="0" fontId="60" fillId="0" borderId="0" xfId="0" applyFont="1" applyBorder="1" applyAlignment="1">
      <alignment horizontal="right" vertical="top" wrapText="1"/>
    </xf>
    <xf numFmtId="0" fontId="60" fillId="0" borderId="0" xfId="0" applyFont="1" applyBorder="1" applyAlignment="1">
      <alignment wrapText="1"/>
    </xf>
    <xf numFmtId="41" fontId="60" fillId="0" borderId="0" xfId="2" applyFont="1" applyBorder="1" applyAlignment="1">
      <alignment vertical="center"/>
    </xf>
    <xf numFmtId="41" fontId="61" fillId="2" borderId="13" xfId="2" applyNumberFormat="1" applyFont="1" applyFill="1" applyBorder="1" applyAlignment="1">
      <alignment horizontal="center" vertical="center"/>
    </xf>
    <xf numFmtId="41" fontId="61" fillId="2" borderId="14" xfId="2" applyNumberFormat="1" applyFont="1" applyFill="1" applyBorder="1" applyAlignment="1">
      <alignment horizontal="center" vertical="center"/>
    </xf>
    <xf numFmtId="41" fontId="61" fillId="2" borderId="15" xfId="2" applyNumberFormat="1" applyFont="1" applyFill="1" applyBorder="1" applyAlignment="1">
      <alignment horizontal="center" vertical="center"/>
    </xf>
    <xf numFmtId="41" fontId="61" fillId="14" borderId="14" xfId="2" applyNumberFormat="1" applyFont="1" applyFill="1" applyBorder="1" applyAlignment="1">
      <alignment horizontal="center" vertical="center"/>
    </xf>
    <xf numFmtId="41" fontId="61" fillId="14" borderId="15" xfId="2" applyNumberFormat="1" applyFont="1" applyFill="1" applyBorder="1" applyAlignment="1">
      <alignment horizontal="center" vertical="center"/>
    </xf>
    <xf numFmtId="41" fontId="61" fillId="14" borderId="13" xfId="2" applyNumberFormat="1" applyFont="1" applyFill="1" applyBorder="1" applyAlignment="1">
      <alignment horizontal="center" vertical="center"/>
    </xf>
    <xf numFmtId="165" fontId="62" fillId="3" borderId="0" xfId="1" applyNumberFormat="1" applyFont="1" applyFill="1" applyBorder="1" applyAlignment="1">
      <alignment horizontal="center" vertical="center"/>
    </xf>
    <xf numFmtId="41" fontId="60" fillId="3" borderId="0" xfId="2" applyFont="1" applyFill="1" applyBorder="1" applyAlignment="1">
      <alignment vertical="center"/>
    </xf>
    <xf numFmtId="0" fontId="62" fillId="3" borderId="0" xfId="0" applyFont="1" applyFill="1" applyBorder="1" applyAlignment="1">
      <alignment vertical="center"/>
    </xf>
    <xf numFmtId="0" fontId="60" fillId="3" borderId="0" xfId="0" applyFont="1" applyFill="1" applyBorder="1" applyAlignment="1">
      <alignment vertical="center"/>
    </xf>
    <xf numFmtId="0" fontId="60" fillId="3" borderId="0" xfId="0" applyFont="1" applyFill="1" applyAlignment="1">
      <alignment vertical="center"/>
    </xf>
    <xf numFmtId="0" fontId="60" fillId="0" borderId="0" xfId="0" applyFont="1" applyAlignment="1">
      <alignment vertical="center"/>
    </xf>
    <xf numFmtId="0" fontId="63" fillId="9" borderId="12" xfId="0" applyFont="1" applyFill="1" applyBorder="1" applyAlignment="1">
      <alignment vertical="center" wrapText="1"/>
    </xf>
    <xf numFmtId="0" fontId="63" fillId="9" borderId="12" xfId="0" applyFont="1" applyFill="1" applyBorder="1" applyAlignment="1">
      <alignment horizontal="center" vertical="center" wrapText="1"/>
    </xf>
    <xf numFmtId="0" fontId="61" fillId="9" borderId="12" xfId="0" applyFont="1" applyFill="1" applyBorder="1" applyAlignment="1">
      <alignment horizontal="right" vertical="center" wrapText="1"/>
    </xf>
    <xf numFmtId="0" fontId="61" fillId="9" borderId="12" xfId="0" applyFont="1" applyFill="1" applyBorder="1" applyAlignment="1">
      <alignment vertical="center" wrapText="1"/>
    </xf>
    <xf numFmtId="41" fontId="61" fillId="9" borderId="12" xfId="2" applyFont="1" applyFill="1" applyBorder="1" applyAlignment="1">
      <alignment horizontal="center" vertical="center" wrapText="1"/>
    </xf>
    <xf numFmtId="9" fontId="60" fillId="0" borderId="0" xfId="11" applyFont="1" applyAlignment="1">
      <alignment vertical="center" wrapText="1"/>
    </xf>
    <xf numFmtId="41" fontId="60" fillId="8" borderId="11" xfId="2" applyNumberFormat="1" applyFont="1" applyFill="1" applyBorder="1" applyAlignment="1">
      <alignment horizontal="center" vertical="center" wrapText="1"/>
    </xf>
    <xf numFmtId="41" fontId="61" fillId="21" borderId="11" xfId="2" applyFont="1" applyFill="1" applyBorder="1" applyAlignment="1">
      <alignment horizontal="center" vertical="center" wrapText="1"/>
    </xf>
    <xf numFmtId="0" fontId="58" fillId="3" borderId="0" xfId="0" applyFont="1" applyFill="1" applyBorder="1" applyAlignment="1">
      <alignment vertical="center" wrapText="1"/>
    </xf>
    <xf numFmtId="0" fontId="56" fillId="3" borderId="0" xfId="0" applyFont="1" applyFill="1" applyBorder="1" applyAlignment="1">
      <alignment vertical="center" wrapText="1"/>
    </xf>
    <xf numFmtId="41" fontId="56" fillId="3" borderId="0" xfId="2" applyFont="1" applyFill="1" applyBorder="1" applyAlignment="1">
      <alignment vertical="center" wrapText="1"/>
    </xf>
    <xf numFmtId="0" fontId="56" fillId="3" borderId="0" xfId="0" applyFont="1" applyFill="1" applyAlignment="1">
      <alignment vertical="center" wrapText="1"/>
    </xf>
    <xf numFmtId="0" fontId="56" fillId="0" borderId="0" xfId="0" applyFont="1" applyAlignment="1">
      <alignment vertical="center" wrapText="1"/>
    </xf>
    <xf numFmtId="0" fontId="63" fillId="7" borderId="11" xfId="0" applyFont="1" applyFill="1" applyBorder="1" applyAlignment="1">
      <alignment vertical="top" wrapText="1"/>
    </xf>
    <xf numFmtId="0" fontId="63" fillId="7" borderId="11" xfId="0" applyFont="1" applyFill="1" applyBorder="1" applyAlignment="1">
      <alignment horizontal="center" vertical="top" wrapText="1"/>
    </xf>
    <xf numFmtId="0" fontId="63" fillId="7" borderId="11" xfId="0" applyFont="1" applyFill="1" applyBorder="1" applyAlignment="1">
      <alignment horizontal="right" vertical="top" wrapText="1"/>
    </xf>
    <xf numFmtId="0" fontId="61" fillId="7" borderId="11" xfId="0" applyFont="1" applyFill="1" applyBorder="1" applyAlignment="1">
      <alignment wrapText="1"/>
    </xf>
    <xf numFmtId="41" fontId="63" fillId="7" borderId="11" xfId="2" applyFont="1" applyFill="1" applyBorder="1" applyAlignment="1">
      <alignment horizontal="right" vertical="center"/>
    </xf>
    <xf numFmtId="41" fontId="56" fillId="3" borderId="0" xfId="2" applyFont="1" applyFill="1" applyBorder="1" applyAlignment="1">
      <alignment horizontal="center" vertical="center"/>
    </xf>
    <xf numFmtId="0" fontId="64" fillId="0" borderId="11" xfId="0" applyFont="1" applyBorder="1" applyAlignment="1">
      <alignment vertical="top" wrapText="1"/>
    </xf>
    <xf numFmtId="0" fontId="64" fillId="0" borderId="11" xfId="0" applyFont="1" applyBorder="1" applyAlignment="1">
      <alignment horizontal="center" vertical="top" wrapText="1"/>
    </xf>
    <xf numFmtId="0" fontId="64" fillId="0" borderId="11" xfId="0" applyFont="1" applyBorder="1" applyAlignment="1">
      <alignment horizontal="right" vertical="top" wrapText="1"/>
    </xf>
    <xf numFmtId="0" fontId="65" fillId="0" borderId="11" xfId="0" applyFont="1" applyBorder="1" applyAlignment="1">
      <alignment wrapText="1"/>
    </xf>
    <xf numFmtId="41" fontId="64" fillId="0" borderId="11" xfId="2" applyFont="1" applyBorder="1" applyAlignment="1">
      <alignment horizontal="right" vertical="center"/>
    </xf>
    <xf numFmtId="0" fontId="58" fillId="3" borderId="0" xfId="0" applyFont="1" applyFill="1" applyBorder="1" applyAlignment="1">
      <alignment horizontal="center" vertical="center"/>
    </xf>
    <xf numFmtId="0" fontId="61" fillId="7" borderId="11" xfId="0" applyFont="1" applyFill="1" applyBorder="1" applyAlignment="1">
      <alignment horizontal="right" wrapText="1"/>
    </xf>
    <xf numFmtId="41" fontId="61" fillId="7" borderId="11" xfId="2" applyFont="1" applyFill="1" applyBorder="1" applyAlignment="1">
      <alignment horizontal="right" vertical="center"/>
    </xf>
    <xf numFmtId="9" fontId="60" fillId="0" borderId="0" xfId="11" applyFont="1" applyAlignment="1">
      <alignment horizontal="center" vertical="center"/>
    </xf>
    <xf numFmtId="41" fontId="61" fillId="7" borderId="11" xfId="2" applyNumberFormat="1" applyFont="1" applyFill="1" applyBorder="1" applyAlignment="1">
      <alignment horizontal="right" vertical="center"/>
    </xf>
    <xf numFmtId="165" fontId="58" fillId="3" borderId="0" xfId="0" applyNumberFormat="1" applyFont="1" applyFill="1" applyBorder="1" applyAlignment="1">
      <alignment vertical="center"/>
    </xf>
    <xf numFmtId="0" fontId="66" fillId="8" borderId="11" xfId="0" applyFont="1" applyFill="1" applyBorder="1" applyAlignment="1">
      <alignment vertical="top" wrapText="1"/>
    </xf>
    <xf numFmtId="0" fontId="66" fillId="8" borderId="11" xfId="0" applyFont="1" applyFill="1" applyBorder="1" applyAlignment="1">
      <alignment horizontal="center" vertical="top" wrapText="1"/>
    </xf>
    <xf numFmtId="0" fontId="66" fillId="8" borderId="11" xfId="0" applyFont="1" applyFill="1" applyBorder="1" applyAlignment="1">
      <alignment horizontal="right" wrapText="1"/>
    </xf>
    <xf numFmtId="0" fontId="66" fillId="8" borderId="11" xfId="0" applyFont="1" applyFill="1" applyBorder="1" applyAlignment="1">
      <alignment wrapText="1"/>
    </xf>
    <xf numFmtId="41" fontId="66" fillId="8" borderId="11" xfId="2" applyFont="1" applyFill="1" applyBorder="1" applyAlignment="1">
      <alignment horizontal="right" vertical="center"/>
    </xf>
    <xf numFmtId="9" fontId="66" fillId="0" borderId="0" xfId="11" applyFont="1" applyAlignment="1">
      <alignment vertical="center"/>
    </xf>
    <xf numFmtId="41" fontId="66" fillId="8" borderId="11" xfId="2" applyNumberFormat="1" applyFont="1" applyFill="1" applyBorder="1" applyAlignment="1">
      <alignment horizontal="right" vertical="center"/>
    </xf>
    <xf numFmtId="165" fontId="67" fillId="3" borderId="0" xfId="1" applyNumberFormat="1" applyFont="1" applyFill="1" applyBorder="1" applyAlignment="1">
      <alignment horizontal="center" vertical="center"/>
    </xf>
    <xf numFmtId="165" fontId="67" fillId="3" borderId="0" xfId="0" applyNumberFormat="1" applyFont="1" applyFill="1" applyBorder="1" applyAlignment="1">
      <alignment vertical="center"/>
    </xf>
    <xf numFmtId="0" fontId="66" fillId="3" borderId="0" xfId="0" applyFont="1" applyFill="1" applyBorder="1" applyAlignment="1">
      <alignment vertical="center"/>
    </xf>
    <xf numFmtId="41" fontId="66" fillId="3" borderId="0" xfId="2" applyFont="1" applyFill="1" applyBorder="1" applyAlignment="1">
      <alignment vertical="center"/>
    </xf>
    <xf numFmtId="0" fontId="66" fillId="3" borderId="0" xfId="0" applyFont="1" applyFill="1" applyAlignment="1">
      <alignment vertical="center"/>
    </xf>
    <xf numFmtId="0" fontId="66" fillId="0" borderId="0" xfId="0" applyFont="1" applyAlignment="1">
      <alignment vertical="center"/>
    </xf>
    <xf numFmtId="0" fontId="67" fillId="0" borderId="11" xfId="0" applyFont="1" applyBorder="1" applyAlignment="1">
      <alignment horizontal="left" vertical="top" wrapText="1"/>
    </xf>
    <xf numFmtId="0" fontId="67" fillId="0" borderId="11" xfId="0" applyFont="1" applyBorder="1" applyAlignment="1">
      <alignment horizontal="center" vertical="top" wrapText="1"/>
    </xf>
    <xf numFmtId="0" fontId="67" fillId="0" borderId="11" xfId="0" applyFont="1" applyBorder="1" applyAlignment="1">
      <alignment horizontal="right" wrapText="1"/>
    </xf>
    <xf numFmtId="0" fontId="67" fillId="0" borderId="11" xfId="0" applyFont="1" applyBorder="1" applyAlignment="1">
      <alignment horizontal="left" wrapText="1" indent="2"/>
    </xf>
    <xf numFmtId="41" fontId="67" fillId="0" borderId="11" xfId="2" applyFont="1" applyBorder="1" applyAlignment="1">
      <alignment horizontal="right" vertical="center"/>
    </xf>
    <xf numFmtId="41" fontId="67" fillId="3" borderId="11" xfId="2" applyNumberFormat="1" applyFont="1" applyFill="1" applyBorder="1" applyAlignment="1">
      <alignment horizontal="right" vertical="center"/>
    </xf>
    <xf numFmtId="41" fontId="67" fillId="5" borderId="11" xfId="2" applyNumberFormat="1" applyFont="1" applyFill="1" applyBorder="1" applyAlignment="1">
      <alignment horizontal="right" vertical="center"/>
    </xf>
    <xf numFmtId="41" fontId="67" fillId="6" borderId="11" xfId="2" applyNumberFormat="1" applyFont="1" applyFill="1" applyBorder="1" applyAlignment="1">
      <alignment horizontal="right" vertical="center"/>
    </xf>
    <xf numFmtId="41" fontId="67" fillId="0" borderId="11" xfId="2" applyNumberFormat="1" applyFont="1" applyFill="1" applyBorder="1" applyAlignment="1">
      <alignment horizontal="right" vertical="center"/>
    </xf>
    <xf numFmtId="41" fontId="67" fillId="3" borderId="11" xfId="2" applyFont="1" applyFill="1" applyBorder="1" applyAlignment="1">
      <alignment horizontal="right" vertical="center"/>
    </xf>
    <xf numFmtId="3" fontId="67" fillId="3" borderId="0" xfId="0" applyNumberFormat="1" applyFont="1" applyFill="1" applyBorder="1" applyAlignment="1">
      <alignment horizontal="center" vertical="center"/>
    </xf>
    <xf numFmtId="41" fontId="67" fillId="3" borderId="0" xfId="2" applyFont="1" applyFill="1" applyBorder="1" applyAlignment="1">
      <alignment vertical="center"/>
    </xf>
    <xf numFmtId="0" fontId="67" fillId="3" borderId="0" xfId="0" applyFont="1" applyFill="1" applyBorder="1" applyAlignment="1">
      <alignment vertical="center"/>
    </xf>
    <xf numFmtId="0" fontId="67" fillId="3" borderId="0" xfId="0" applyFont="1" applyFill="1" applyAlignment="1">
      <alignment vertical="center"/>
    </xf>
    <xf numFmtId="0" fontId="67" fillId="0" borderId="0" xfId="0" applyFont="1" applyAlignment="1">
      <alignment vertical="center"/>
    </xf>
    <xf numFmtId="3" fontId="67" fillId="3" borderId="0" xfId="0" applyNumberFormat="1" applyFont="1" applyFill="1" applyBorder="1" applyAlignment="1">
      <alignment vertical="center"/>
    </xf>
    <xf numFmtId="0" fontId="67" fillId="3" borderId="11" xfId="0" applyFont="1" applyFill="1" applyBorder="1" applyAlignment="1">
      <alignment horizontal="right" wrapText="1"/>
    </xf>
    <xf numFmtId="0" fontId="67" fillId="3" borderId="11" xfId="0" applyFont="1" applyFill="1" applyBorder="1" applyAlignment="1">
      <alignment horizontal="left" wrapText="1" indent="2"/>
    </xf>
    <xf numFmtId="0" fontId="66" fillId="8" borderId="11" xfId="0" applyFont="1" applyFill="1" applyBorder="1" applyAlignment="1">
      <alignment vertical="center" wrapText="1"/>
    </xf>
    <xf numFmtId="0" fontId="66" fillId="8" borderId="11" xfId="0" applyFont="1" applyFill="1" applyBorder="1" applyAlignment="1">
      <alignment horizontal="center" vertical="center" wrapText="1"/>
    </xf>
    <xf numFmtId="0" fontId="66" fillId="8" borderId="11" xfId="0" applyFont="1" applyFill="1" applyBorder="1" applyAlignment="1">
      <alignment horizontal="right" vertical="center" wrapText="1"/>
    </xf>
    <xf numFmtId="0" fontId="67" fillId="8" borderId="11" xfId="0" applyFont="1" applyFill="1" applyBorder="1" applyAlignment="1">
      <alignment vertical="top" wrapText="1"/>
    </xf>
    <xf numFmtId="0" fontId="67" fillId="8" borderId="11" xfId="0" applyFont="1" applyFill="1" applyBorder="1" applyAlignment="1">
      <alignment horizontal="center" vertical="top" wrapText="1"/>
    </xf>
    <xf numFmtId="0" fontId="66" fillId="15" borderId="11" xfId="0" applyFont="1" applyFill="1" applyBorder="1" applyAlignment="1">
      <alignment horizontal="right" vertical="center" wrapText="1"/>
    </xf>
    <xf numFmtId="0" fontId="68" fillId="15" borderId="11" xfId="0" applyFont="1" applyFill="1" applyBorder="1" applyAlignment="1">
      <alignment horizontal="left" vertical="center" wrapText="1" indent="1"/>
    </xf>
    <xf numFmtId="41" fontId="66" fillId="15" borderId="11" xfId="2" applyFont="1" applyFill="1" applyBorder="1" applyAlignment="1">
      <alignment horizontal="right" vertical="center"/>
    </xf>
    <xf numFmtId="41" fontId="66" fillId="15" borderId="11" xfId="2" applyNumberFormat="1" applyFont="1" applyFill="1" applyBorder="1" applyAlignment="1">
      <alignment horizontal="right" vertical="center"/>
    </xf>
    <xf numFmtId="41" fontId="67" fillId="0" borderId="11" xfId="2" applyNumberFormat="1" applyFont="1" applyBorder="1" applyAlignment="1">
      <alignment horizontal="right" vertical="center"/>
    </xf>
    <xf numFmtId="41" fontId="67" fillId="0" borderId="0" xfId="2" applyNumberFormat="1" applyFont="1" applyAlignment="1">
      <alignment vertical="center"/>
    </xf>
    <xf numFmtId="0" fontId="66" fillId="15" borderId="11" xfId="0" applyFont="1" applyFill="1" applyBorder="1" applyAlignment="1">
      <alignment horizontal="right" wrapText="1"/>
    </xf>
    <xf numFmtId="0" fontId="68" fillId="15" borderId="11" xfId="0" applyFont="1" applyFill="1" applyBorder="1" applyAlignment="1">
      <alignment horizontal="left" wrapText="1" indent="1"/>
    </xf>
    <xf numFmtId="0" fontId="67" fillId="3" borderId="11" xfId="0" applyFont="1" applyFill="1" applyBorder="1" applyAlignment="1">
      <alignment vertical="top" wrapText="1"/>
    </xf>
    <xf numFmtId="0" fontId="67" fillId="3" borderId="11" xfId="0" applyFont="1" applyFill="1" applyBorder="1" applyAlignment="1">
      <alignment horizontal="center" vertical="top" wrapText="1"/>
    </xf>
    <xf numFmtId="0" fontId="67" fillId="3" borderId="11" xfId="0" applyFont="1" applyFill="1" applyBorder="1" applyAlignment="1">
      <alignment horizontal="left" wrapText="1" indent="4"/>
    </xf>
    <xf numFmtId="0" fontId="67" fillId="0" borderId="11" xfId="0" applyFont="1" applyBorder="1" applyAlignment="1">
      <alignment horizontal="left" wrapText="1" indent="4"/>
    </xf>
    <xf numFmtId="41" fontId="67" fillId="5" borderId="0" xfId="2" applyNumberFormat="1" applyFont="1" applyFill="1" applyAlignment="1">
      <alignment vertical="center"/>
    </xf>
    <xf numFmtId="41" fontId="66" fillId="14" borderId="11" xfId="2" applyNumberFormat="1" applyFont="1" applyFill="1" applyBorder="1" applyAlignment="1">
      <alignment horizontal="right" vertical="center"/>
    </xf>
    <xf numFmtId="0" fontId="67" fillId="0" borderId="11" xfId="0" applyFont="1" applyBorder="1" applyAlignment="1">
      <alignment horizontal="left" wrapText="1" indent="1"/>
    </xf>
    <xf numFmtId="0" fontId="67" fillId="3" borderId="11" xfId="0" applyFont="1" applyFill="1" applyBorder="1" applyAlignment="1">
      <alignment horizontal="right" vertical="top" wrapText="1"/>
    </xf>
    <xf numFmtId="0" fontId="67" fillId="3" borderId="11" xfId="0" applyFont="1" applyFill="1" applyBorder="1" applyAlignment="1">
      <alignment horizontal="left" vertical="top" wrapText="1" indent="1"/>
    </xf>
    <xf numFmtId="0" fontId="67" fillId="3" borderId="11" xfId="0" applyFont="1" applyFill="1" applyBorder="1" applyAlignment="1">
      <alignment horizontal="left" wrapText="1" indent="1"/>
    </xf>
    <xf numFmtId="0" fontId="67" fillId="3" borderId="11" xfId="0" applyFont="1" applyFill="1" applyBorder="1" applyAlignment="1">
      <alignment horizontal="left" vertical="top" wrapText="1"/>
    </xf>
    <xf numFmtId="41" fontId="67" fillId="8" borderId="11" xfId="2" applyFont="1" applyFill="1" applyBorder="1" applyAlignment="1">
      <alignment horizontal="right" vertical="center"/>
    </xf>
    <xf numFmtId="41" fontId="67" fillId="8" borderId="11" xfId="2" applyNumberFormat="1" applyFont="1" applyFill="1" applyBorder="1" applyAlignment="1">
      <alignment horizontal="right" vertical="center"/>
    </xf>
    <xf numFmtId="41" fontId="69" fillId="3" borderId="0" xfId="2" applyFont="1" applyFill="1" applyBorder="1" applyAlignment="1">
      <alignment vertical="center"/>
    </xf>
    <xf numFmtId="0" fontId="69" fillId="3" borderId="0" xfId="0" applyFont="1" applyFill="1" applyBorder="1" applyAlignment="1">
      <alignment vertical="center"/>
    </xf>
    <xf numFmtId="3" fontId="69" fillId="3" borderId="0" xfId="0" applyNumberFormat="1" applyFont="1" applyFill="1" applyBorder="1" applyAlignment="1">
      <alignment vertical="center"/>
    </xf>
    <xf numFmtId="0" fontId="69" fillId="3" borderId="0" xfId="0" applyFont="1" applyFill="1" applyAlignment="1">
      <alignment vertical="center"/>
    </xf>
    <xf numFmtId="0" fontId="69" fillId="0" borderId="0" xfId="0" applyFont="1" applyAlignment="1">
      <alignment vertical="center"/>
    </xf>
    <xf numFmtId="0" fontId="67" fillId="0" borderId="11" xfId="0" applyFont="1" applyBorder="1" applyAlignment="1">
      <alignment horizontal="left" vertical="top" wrapText="1" indent="2"/>
    </xf>
    <xf numFmtId="0" fontId="67" fillId="0" borderId="11" xfId="0" applyFont="1" applyBorder="1" applyAlignment="1">
      <alignment horizontal="left" vertical="top" wrapText="1" indent="1"/>
    </xf>
    <xf numFmtId="0" fontId="66" fillId="0" borderId="11" xfId="0" applyFont="1" applyBorder="1" applyAlignment="1">
      <alignment horizontal="left" vertical="top" wrapText="1"/>
    </xf>
    <xf numFmtId="0" fontId="66" fillId="0" borderId="11" xfId="0" applyFont="1" applyBorder="1" applyAlignment="1">
      <alignment horizontal="center" vertical="top" wrapText="1"/>
    </xf>
    <xf numFmtId="3" fontId="66" fillId="3" borderId="0" xfId="0" applyNumberFormat="1" applyFont="1" applyFill="1" applyBorder="1" applyAlignment="1">
      <alignment vertical="center"/>
    </xf>
    <xf numFmtId="41" fontId="63" fillId="14" borderId="11" xfId="2" applyNumberFormat="1" applyFont="1" applyFill="1" applyBorder="1" applyAlignment="1">
      <alignment vertical="center"/>
    </xf>
    <xf numFmtId="41" fontId="63" fillId="14" borderId="11" xfId="2" applyNumberFormat="1" applyFont="1" applyFill="1" applyBorder="1" applyAlignment="1">
      <alignment horizontal="right" vertical="center"/>
    </xf>
    <xf numFmtId="41" fontId="63" fillId="7" borderId="11" xfId="2" applyNumberFormat="1" applyFont="1" applyFill="1" applyBorder="1" applyAlignment="1">
      <alignment horizontal="right" vertical="center"/>
    </xf>
    <xf numFmtId="0" fontId="70" fillId="8" borderId="11" xfId="0" applyFont="1" applyFill="1" applyBorder="1" applyAlignment="1">
      <alignment vertical="top" wrapText="1"/>
    </xf>
    <xf numFmtId="0" fontId="70" fillId="8" borderId="11" xfId="0" applyFont="1" applyFill="1" applyBorder="1" applyAlignment="1">
      <alignment horizontal="center" vertical="top" wrapText="1"/>
    </xf>
    <xf numFmtId="0" fontId="70" fillId="8" borderId="11" xfId="0" applyFont="1" applyFill="1" applyBorder="1" applyAlignment="1">
      <alignment horizontal="right" wrapText="1"/>
    </xf>
    <xf numFmtId="0" fontId="70" fillId="8" borderId="11" xfId="0" applyFont="1" applyFill="1" applyBorder="1" applyAlignment="1">
      <alignment wrapText="1"/>
    </xf>
    <xf numFmtId="41" fontId="60" fillId="8" borderId="11" xfId="2" applyFont="1" applyFill="1" applyBorder="1" applyAlignment="1">
      <alignment horizontal="right" vertical="center"/>
    </xf>
    <xf numFmtId="9" fontId="71" fillId="3" borderId="0" xfId="11" applyFont="1" applyFill="1" applyAlignment="1">
      <alignment vertical="center"/>
    </xf>
    <xf numFmtId="41" fontId="60" fillId="8" borderId="11" xfId="2" applyNumberFormat="1" applyFont="1" applyFill="1" applyBorder="1" applyAlignment="1">
      <alignment horizontal="right" vertical="center"/>
    </xf>
    <xf numFmtId="0" fontId="71" fillId="3" borderId="0" xfId="0" applyFont="1" applyFill="1" applyBorder="1" applyAlignment="1">
      <alignment vertical="center"/>
    </xf>
    <xf numFmtId="3" fontId="71" fillId="3" borderId="0" xfId="0" applyNumberFormat="1" applyFont="1" applyFill="1" applyBorder="1" applyAlignment="1">
      <alignment vertical="center"/>
    </xf>
    <xf numFmtId="41" fontId="71" fillId="3" borderId="0" xfId="2" applyFont="1" applyFill="1" applyBorder="1" applyAlignment="1">
      <alignment vertical="center"/>
    </xf>
    <xf numFmtId="0" fontId="71" fillId="3" borderId="0" xfId="0" applyFont="1" applyFill="1" applyAlignment="1">
      <alignment vertical="center"/>
    </xf>
    <xf numFmtId="0" fontId="71" fillId="0" borderId="0" xfId="0" applyFont="1" applyAlignment="1">
      <alignment vertical="center"/>
    </xf>
    <xf numFmtId="9" fontId="66" fillId="0" borderId="0" xfId="11" applyFont="1" applyBorder="1" applyAlignment="1">
      <alignment horizontal="center" vertical="center"/>
    </xf>
    <xf numFmtId="9" fontId="66" fillId="3" borderId="0" xfId="11" applyFont="1" applyFill="1" applyAlignment="1">
      <alignment vertical="center"/>
    </xf>
    <xf numFmtId="0" fontId="64" fillId="8" borderId="11" xfId="0" applyFont="1" applyFill="1" applyBorder="1" applyAlignment="1">
      <alignment vertical="top" wrapText="1"/>
    </xf>
    <xf numFmtId="0" fontId="64" fillId="8" borderId="11" xfId="0" applyFont="1" applyFill="1" applyBorder="1" applyAlignment="1">
      <alignment horizontal="center" vertical="top" wrapText="1"/>
    </xf>
    <xf numFmtId="41" fontId="56" fillId="8" borderId="11" xfId="2" applyFont="1" applyFill="1" applyBorder="1" applyAlignment="1">
      <alignment horizontal="right" vertical="center"/>
    </xf>
    <xf numFmtId="41" fontId="56" fillId="8" borderId="11" xfId="2" applyNumberFormat="1" applyFont="1" applyFill="1" applyBorder="1" applyAlignment="1">
      <alignment horizontal="right" vertical="center"/>
    </xf>
    <xf numFmtId="41" fontId="58" fillId="3" borderId="0" xfId="2" applyFont="1" applyFill="1" applyBorder="1" applyAlignment="1">
      <alignment vertical="center"/>
    </xf>
    <xf numFmtId="0" fontId="56" fillId="0" borderId="0" xfId="0" applyFont="1" applyAlignment="1">
      <alignment horizontal="right" vertical="top" wrapText="1"/>
    </xf>
    <xf numFmtId="0" fontId="56" fillId="0" borderId="0" xfId="0" applyFont="1" applyAlignment="1">
      <alignment wrapText="1"/>
    </xf>
    <xf numFmtId="41" fontId="67" fillId="0" borderId="0" xfId="2" applyFont="1" applyAlignment="1">
      <alignment vertical="center"/>
    </xf>
    <xf numFmtId="165" fontId="56" fillId="0" borderId="0" xfId="1" applyNumberFormat="1" applyFont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right" vertical="top" wrapText="1"/>
    </xf>
    <xf numFmtId="171" fontId="26" fillId="7" borderId="21" xfId="1" applyNumberFormat="1" applyFont="1" applyFill="1" applyBorder="1" applyAlignment="1">
      <alignment horizontal="right" vertical="center"/>
    </xf>
    <xf numFmtId="171" fontId="26" fillId="9" borderId="21" xfId="1" applyNumberFormat="1" applyFont="1" applyFill="1" applyBorder="1" applyAlignment="1">
      <alignment horizontal="right" vertical="center"/>
    </xf>
    <xf numFmtId="171" fontId="28" fillId="18" borderId="21" xfId="1" applyNumberFormat="1" applyFont="1" applyFill="1" applyBorder="1" applyAlignment="1">
      <alignment horizontal="right" vertical="center"/>
    </xf>
    <xf numFmtId="9" fontId="26" fillId="10" borderId="21" xfId="11" applyNumberFormat="1" applyFont="1" applyFill="1" applyBorder="1" applyAlignment="1">
      <alignment horizontal="center" vertical="center"/>
    </xf>
    <xf numFmtId="9" fontId="26" fillId="11" borderId="21" xfId="11" applyNumberFormat="1" applyFont="1" applyFill="1" applyBorder="1" applyAlignment="1">
      <alignment horizontal="center" vertical="center"/>
    </xf>
    <xf numFmtId="9" fontId="26" fillId="6" borderId="21" xfId="11" applyNumberFormat="1" applyFont="1" applyFill="1" applyBorder="1" applyAlignment="1">
      <alignment horizontal="center" vertical="center"/>
    </xf>
    <xf numFmtId="9" fontId="26" fillId="5" borderId="21" xfId="11" applyNumberFormat="1" applyFont="1" applyFill="1" applyBorder="1" applyAlignment="1">
      <alignment horizontal="center" vertical="center"/>
    </xf>
    <xf numFmtId="9" fontId="26" fillId="9" borderId="21" xfId="1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7" borderId="11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right" vertical="center" wrapText="1"/>
    </xf>
    <xf numFmtId="0" fontId="16" fillId="7" borderId="12" xfId="0" applyFont="1" applyFill="1" applyBorder="1" applyAlignment="1">
      <alignment vertical="center" wrapText="1"/>
    </xf>
    <xf numFmtId="0" fontId="16" fillId="7" borderId="11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 wrapText="1"/>
    </xf>
    <xf numFmtId="0" fontId="3" fillId="0" borderId="11" xfId="0" applyFont="1" applyBorder="1" applyAlignment="1">
      <alignment vertical="center" wrapText="1"/>
    </xf>
    <xf numFmtId="0" fontId="16" fillId="7" borderId="11" xfId="0" applyFont="1" applyFill="1" applyBorder="1" applyAlignment="1">
      <alignment horizontal="righ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3" borderId="11" xfId="0" applyFont="1" applyFill="1" applyBorder="1" applyAlignment="1">
      <alignment horizontal="righ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8" borderId="11" xfId="0" applyFont="1" applyFill="1" applyBorder="1" applyAlignment="1">
      <alignment vertical="center" wrapText="1"/>
    </xf>
    <xf numFmtId="0" fontId="21" fillId="8" borderId="11" xfId="0" applyFont="1" applyFill="1" applyBorder="1" applyAlignment="1">
      <alignment horizontal="center" vertical="center" wrapText="1"/>
    </xf>
    <xf numFmtId="0" fontId="31" fillId="15" borderId="11" xfId="0" applyFont="1" applyFill="1" applyBorder="1" applyAlignment="1">
      <alignment horizontal="left" vertical="center" wrapText="1"/>
    </xf>
    <xf numFmtId="0" fontId="21" fillId="3" borderId="11" xfId="0" applyFont="1" applyFill="1" applyBorder="1" applyAlignment="1">
      <alignment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32" fillId="8" borderId="11" xfId="0" applyFont="1" applyFill="1" applyBorder="1" applyAlignment="1">
      <alignment vertical="center" wrapText="1"/>
    </xf>
    <xf numFmtId="0" fontId="32" fillId="8" borderId="11" xfId="0" applyFont="1" applyFill="1" applyBorder="1" applyAlignment="1">
      <alignment horizontal="center" vertical="center" wrapText="1"/>
    </xf>
    <xf numFmtId="0" fontId="23" fillId="8" borderId="11" xfId="0" applyFont="1" applyFill="1" applyBorder="1" applyAlignment="1">
      <alignment horizontal="right" vertical="center" wrapText="1"/>
    </xf>
    <xf numFmtId="0" fontId="23" fillId="8" borderId="11" xfId="0" applyFont="1" applyFill="1" applyBorder="1" applyAlignment="1">
      <alignment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0" fontId="17" fillId="8" borderId="11" xfId="0" applyFont="1" applyFill="1" applyBorder="1" applyAlignment="1">
      <alignment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horizontal="right" vertical="center" wrapText="1"/>
    </xf>
    <xf numFmtId="0" fontId="9" fillId="8" borderId="11" xfId="0" applyFont="1" applyFill="1" applyBorder="1" applyAlignment="1">
      <alignment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3" fillId="7" borderId="11" xfId="0" applyFont="1" applyFill="1" applyBorder="1" applyAlignment="1">
      <alignment horizontal="right" vertical="center" wrapText="1"/>
    </xf>
    <xf numFmtId="0" fontId="13" fillId="9" borderId="11" xfId="0" applyFont="1" applyFill="1" applyBorder="1" applyAlignment="1">
      <alignment horizontal="right" vertical="center" wrapText="1"/>
    </xf>
    <xf numFmtId="0" fontId="16" fillId="9" borderId="11" xfId="0" applyFont="1" applyFill="1" applyBorder="1" applyAlignment="1">
      <alignment vertical="center" wrapText="1"/>
    </xf>
    <xf numFmtId="41" fontId="16" fillId="2" borderId="21" xfId="2" applyNumberFormat="1" applyFont="1" applyFill="1" applyBorder="1" applyAlignment="1">
      <alignment horizontal="center" vertical="center"/>
    </xf>
    <xf numFmtId="41" fontId="12" fillId="8" borderId="21" xfId="2" applyNumberFormat="1" applyFont="1" applyFill="1" applyBorder="1" applyAlignment="1">
      <alignment horizontal="center" vertical="center" wrapText="1"/>
    </xf>
    <xf numFmtId="0" fontId="52" fillId="9" borderId="0" xfId="0" applyFont="1" applyFill="1" applyAlignment="1">
      <alignment horizontal="center" vertical="center" wrapText="1"/>
    </xf>
    <xf numFmtId="0" fontId="25" fillId="15" borderId="21" xfId="0" applyFont="1" applyFill="1" applyBorder="1" applyAlignment="1">
      <alignment horizontal="center" vertical="center" wrapText="1"/>
    </xf>
    <xf numFmtId="0" fontId="24" fillId="18" borderId="21" xfId="0" applyFont="1" applyFill="1" applyBorder="1" applyAlignment="1">
      <alignment vertical="center" wrapText="1"/>
    </xf>
    <xf numFmtId="3" fontId="25" fillId="18" borderId="21" xfId="0" applyNumberFormat="1" applyFont="1" applyFill="1" applyBorder="1" applyAlignment="1">
      <alignment horizontal="center" vertical="center" wrapText="1"/>
    </xf>
    <xf numFmtId="0" fontId="25" fillId="18" borderId="21" xfId="0" applyFont="1" applyFill="1" applyBorder="1" applyAlignment="1">
      <alignment horizontal="center" vertical="center" wrapText="1"/>
    </xf>
    <xf numFmtId="0" fontId="39" fillId="9" borderId="0" xfId="0" applyFont="1" applyFill="1" applyAlignment="1">
      <alignment horizontal="center" vertical="center"/>
    </xf>
    <xf numFmtId="0" fontId="50" fillId="9" borderId="0" xfId="0" applyFont="1" applyFill="1" applyAlignment="1">
      <alignment horizontal="center" vertical="center"/>
    </xf>
    <xf numFmtId="0" fontId="25" fillId="15" borderId="24" xfId="0" applyFont="1" applyFill="1" applyBorder="1" applyAlignment="1">
      <alignment horizontal="center" vertical="center" wrapText="1"/>
    </xf>
    <xf numFmtId="0" fontId="25" fillId="15" borderId="25" xfId="0" applyFont="1" applyFill="1" applyBorder="1" applyAlignment="1">
      <alignment horizontal="center" vertical="center" wrapText="1"/>
    </xf>
    <xf numFmtId="0" fontId="26" fillId="2" borderId="21" xfId="0" applyFont="1" applyFill="1" applyBorder="1" applyAlignment="1">
      <alignment horizontal="center" vertical="center" wrapText="1"/>
    </xf>
    <xf numFmtId="0" fontId="26" fillId="2" borderId="21" xfId="0" applyFont="1" applyFill="1" applyBorder="1" applyAlignment="1">
      <alignment horizontal="left" vertical="center"/>
    </xf>
    <xf numFmtId="0" fontId="26" fillId="9" borderId="34" xfId="0" applyFont="1" applyFill="1" applyBorder="1" applyAlignment="1">
      <alignment horizontal="center" vertical="center" wrapText="1"/>
    </xf>
    <xf numFmtId="0" fontId="26" fillId="9" borderId="30" xfId="0" applyFont="1" applyFill="1" applyBorder="1" applyAlignment="1">
      <alignment horizontal="center" vertical="center" wrapText="1"/>
    </xf>
    <xf numFmtId="0" fontId="26" fillId="9" borderId="35" xfId="0" applyFont="1" applyFill="1" applyBorder="1" applyAlignment="1">
      <alignment horizontal="center" vertical="center" wrapText="1"/>
    </xf>
    <xf numFmtId="0" fontId="26" fillId="9" borderId="0" xfId="0" applyFont="1" applyFill="1" applyBorder="1" applyAlignment="1">
      <alignment horizontal="center" vertical="center"/>
    </xf>
    <xf numFmtId="0" fontId="26" fillId="7" borderId="32" xfId="0" applyFont="1" applyFill="1" applyBorder="1" applyAlignment="1">
      <alignment horizontal="left" vertical="top" wrapText="1"/>
    </xf>
    <xf numFmtId="0" fontId="26" fillId="7" borderId="29" xfId="0" applyFont="1" applyFill="1" applyBorder="1" applyAlignment="1">
      <alignment horizontal="left" vertical="top" wrapText="1"/>
    </xf>
    <xf numFmtId="0" fontId="26" fillId="7" borderId="33" xfId="0" applyFont="1" applyFill="1" applyBorder="1" applyAlignment="1">
      <alignment horizontal="left" vertical="top" wrapText="1"/>
    </xf>
    <xf numFmtId="0" fontId="25" fillId="15" borderId="24" xfId="0" applyFont="1" applyFill="1" applyBorder="1" applyAlignment="1">
      <alignment horizontal="left" vertical="center" wrapText="1"/>
    </xf>
    <xf numFmtId="0" fontId="25" fillId="15" borderId="29" xfId="0" applyFont="1" applyFill="1" applyBorder="1" applyAlignment="1">
      <alignment horizontal="left" vertical="center" wrapText="1"/>
    </xf>
    <xf numFmtId="0" fontId="25" fillId="15" borderId="25" xfId="0" applyFont="1" applyFill="1" applyBorder="1" applyAlignment="1">
      <alignment horizontal="left" vertical="center" wrapText="1"/>
    </xf>
    <xf numFmtId="0" fontId="26" fillId="7" borderId="23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31" xfId="0" applyFont="1" applyFill="1" applyBorder="1" applyAlignment="1">
      <alignment horizontal="left" vertical="center" wrapText="1"/>
    </xf>
    <xf numFmtId="0" fontId="25" fillId="15" borderId="21" xfId="0" applyFont="1" applyFill="1" applyBorder="1" applyAlignment="1">
      <alignment horizontal="center" vertical="center" wrapText="1"/>
    </xf>
    <xf numFmtId="0" fontId="24" fillId="18" borderId="21" xfId="0" applyFont="1" applyFill="1" applyBorder="1" applyAlignment="1">
      <alignment vertical="center" wrapText="1"/>
    </xf>
    <xf numFmtId="3" fontId="25" fillId="18" borderId="21" xfId="0" applyNumberFormat="1" applyFont="1" applyFill="1" applyBorder="1" applyAlignment="1">
      <alignment horizontal="center" vertical="center" wrapText="1"/>
    </xf>
    <xf numFmtId="0" fontId="25" fillId="18" borderId="21" xfId="0" applyFont="1" applyFill="1" applyBorder="1" applyAlignment="1">
      <alignment horizontal="center" vertical="center" wrapText="1"/>
    </xf>
    <xf numFmtId="0" fontId="25" fillId="15" borderId="26" xfId="0" applyFont="1" applyFill="1" applyBorder="1" applyAlignment="1">
      <alignment horizontal="center" vertical="center" wrapText="1"/>
    </xf>
    <xf numFmtId="0" fontId="25" fillId="15" borderId="27" xfId="0" applyFont="1" applyFill="1" applyBorder="1" applyAlignment="1">
      <alignment horizontal="center" vertical="center" wrapText="1"/>
    </xf>
    <xf numFmtId="0" fontId="52" fillId="9" borderId="0" xfId="0" applyFont="1" applyFill="1" applyBorder="1" applyAlignment="1">
      <alignment horizontal="center" vertical="center"/>
    </xf>
    <xf numFmtId="0" fontId="52" fillId="9" borderId="22" xfId="0" applyFont="1" applyFill="1" applyBorder="1" applyAlignment="1">
      <alignment horizontal="center" vertical="center" wrapText="1"/>
    </xf>
    <xf numFmtId="0" fontId="52" fillId="9" borderId="0" xfId="0" applyFont="1" applyFill="1" applyAlignment="1">
      <alignment horizontal="center" vertical="center" wrapText="1"/>
    </xf>
    <xf numFmtId="0" fontId="26" fillId="9" borderId="22" xfId="0" applyFont="1" applyFill="1" applyBorder="1" applyAlignment="1">
      <alignment horizontal="center" vertical="center" wrapText="1"/>
    </xf>
    <xf numFmtId="0" fontId="26" fillId="9" borderId="0" xfId="0" applyFont="1" applyFill="1" applyBorder="1" applyAlignment="1">
      <alignment horizontal="center" vertical="center" wrapText="1"/>
    </xf>
    <xf numFmtId="0" fontId="51" fillId="9" borderId="0" xfId="0" applyFont="1" applyFill="1" applyAlignment="1">
      <alignment horizontal="center" vertical="center" wrapText="1"/>
    </xf>
    <xf numFmtId="0" fontId="51" fillId="9" borderId="23" xfId="0" applyFont="1" applyFill="1" applyBorder="1" applyAlignment="1">
      <alignment horizontal="center" vertical="center" wrapText="1"/>
    </xf>
    <xf numFmtId="0" fontId="51" fillId="9" borderId="16" xfId="0" applyFont="1" applyFill="1" applyBorder="1" applyAlignment="1">
      <alignment horizontal="center" vertical="center" wrapText="1"/>
    </xf>
    <xf numFmtId="0" fontId="26" fillId="9" borderId="13" xfId="0" applyFont="1" applyFill="1" applyBorder="1" applyAlignment="1">
      <alignment horizontal="center" vertical="top" wrapText="1"/>
    </xf>
    <xf numFmtId="0" fontId="26" fillId="9" borderId="14" xfId="0" applyFont="1" applyFill="1" applyBorder="1" applyAlignment="1">
      <alignment horizontal="center" vertical="top" wrapText="1"/>
    </xf>
    <xf numFmtId="0" fontId="26" fillId="9" borderId="15" xfId="0" applyFont="1" applyFill="1" applyBorder="1" applyAlignment="1">
      <alignment horizontal="center" vertical="top" wrapText="1"/>
    </xf>
    <xf numFmtId="41" fontId="61" fillId="2" borderId="13" xfId="2" applyNumberFormat="1" applyFont="1" applyFill="1" applyBorder="1" applyAlignment="1">
      <alignment horizontal="center" vertical="center"/>
    </xf>
    <xf numFmtId="41" fontId="61" fillId="2" borderId="14" xfId="2" applyNumberFormat="1" applyFont="1" applyFill="1" applyBorder="1" applyAlignment="1">
      <alignment horizontal="center" vertical="center"/>
    </xf>
    <xf numFmtId="41" fontId="61" fillId="2" borderId="15" xfId="2" applyNumberFormat="1" applyFont="1" applyFill="1" applyBorder="1" applyAlignment="1">
      <alignment horizontal="center" vertical="center"/>
    </xf>
    <xf numFmtId="41" fontId="61" fillId="2" borderId="22" xfId="2" applyNumberFormat="1" applyFont="1" applyFill="1" applyBorder="1" applyAlignment="1">
      <alignment horizontal="center" vertical="center" wrapText="1"/>
    </xf>
    <xf numFmtId="41" fontId="61" fillId="2" borderId="23" xfId="2" applyNumberFormat="1" applyFont="1" applyFill="1" applyBorder="1" applyAlignment="1">
      <alignment horizontal="center" vertical="center" wrapText="1"/>
    </xf>
    <xf numFmtId="41" fontId="61" fillId="7" borderId="13" xfId="2" applyNumberFormat="1" applyFont="1" applyFill="1" applyBorder="1" applyAlignment="1">
      <alignment horizontal="center" vertical="center"/>
    </xf>
    <xf numFmtId="41" fontId="61" fillId="7" borderId="14" xfId="2" applyNumberFormat="1" applyFont="1" applyFill="1" applyBorder="1" applyAlignment="1">
      <alignment horizontal="center" vertical="center"/>
    </xf>
    <xf numFmtId="41" fontId="61" fillId="7" borderId="15" xfId="2" applyNumberFormat="1" applyFont="1" applyFill="1" applyBorder="1" applyAlignment="1">
      <alignment horizontal="center" vertical="center"/>
    </xf>
    <xf numFmtId="0" fontId="57" fillId="9" borderId="0" xfId="0" applyFont="1" applyFill="1" applyAlignment="1">
      <alignment horizontal="center" vertical="top" wrapText="1"/>
    </xf>
    <xf numFmtId="0" fontId="61" fillId="9" borderId="0" xfId="0" applyFont="1" applyFill="1" applyBorder="1" applyAlignment="1">
      <alignment horizontal="center" wrapText="1"/>
    </xf>
    <xf numFmtId="0" fontId="59" fillId="0" borderId="0" xfId="0" applyFont="1" applyBorder="1" applyAlignment="1">
      <alignment horizontal="right" vertical="top" wrapText="1"/>
    </xf>
    <xf numFmtId="0" fontId="67" fillId="3" borderId="0" xfId="0" applyFont="1" applyFill="1" applyBorder="1" applyAlignment="1">
      <alignment horizontal="center" vertical="center"/>
    </xf>
    <xf numFmtId="0" fontId="56" fillId="3" borderId="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4" fillId="9" borderId="0" xfId="0" applyFont="1" applyFill="1" applyAlignment="1">
      <alignment horizontal="center" vertical="center" wrapText="1"/>
    </xf>
    <xf numFmtId="0" fontId="46" fillId="9" borderId="2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41" fontId="16" fillId="2" borderId="21" xfId="2" applyNumberFormat="1" applyFont="1" applyFill="1" applyBorder="1" applyAlignment="1">
      <alignment horizontal="center" vertical="center" wrapText="1"/>
    </xf>
    <xf numFmtId="41" fontId="16" fillId="2" borderId="21" xfId="2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right" vertical="center" wrapText="1"/>
    </xf>
    <xf numFmtId="41" fontId="16" fillId="7" borderId="21" xfId="2" applyNumberFormat="1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top" wrapText="1"/>
    </xf>
    <xf numFmtId="41" fontId="16" fillId="2" borderId="13" xfId="2" applyNumberFormat="1" applyFont="1" applyFill="1" applyBorder="1" applyAlignment="1">
      <alignment horizontal="center" vertical="center"/>
    </xf>
    <xf numFmtId="41" fontId="16" fillId="2" borderId="14" xfId="2" applyNumberFormat="1" applyFont="1" applyFill="1" applyBorder="1" applyAlignment="1">
      <alignment horizontal="center" vertical="center"/>
    </xf>
    <xf numFmtId="41" fontId="16" fillId="2" borderId="15" xfId="2" applyNumberFormat="1" applyFont="1" applyFill="1" applyBorder="1" applyAlignment="1">
      <alignment horizontal="center" vertical="center"/>
    </xf>
    <xf numFmtId="0" fontId="53" fillId="9" borderId="0" xfId="0" applyFont="1" applyFill="1" applyBorder="1" applyAlignment="1">
      <alignment horizontal="center" vertical="center" wrapText="1"/>
    </xf>
    <xf numFmtId="41" fontId="16" fillId="7" borderId="13" xfId="2" applyNumberFormat="1" applyFont="1" applyFill="1" applyBorder="1" applyAlignment="1">
      <alignment horizontal="center" vertical="center"/>
    </xf>
    <xf numFmtId="41" fontId="16" fillId="7" borderId="14" xfId="2" applyNumberFormat="1" applyFont="1" applyFill="1" applyBorder="1" applyAlignment="1">
      <alignment horizontal="center" vertical="center"/>
    </xf>
    <xf numFmtId="41" fontId="16" fillId="7" borderId="15" xfId="2" applyNumberFormat="1" applyFont="1" applyFill="1" applyBorder="1" applyAlignment="1">
      <alignment horizontal="center" vertical="center"/>
    </xf>
    <xf numFmtId="166" fontId="25" fillId="15" borderId="21" xfId="3" applyFont="1" applyFill="1" applyBorder="1" applyAlignment="1">
      <alignment horizontal="right" vertical="center"/>
    </xf>
    <xf numFmtId="166" fontId="24" fillId="15" borderId="21" xfId="3" applyFont="1" applyFill="1" applyBorder="1" applyAlignment="1">
      <alignment horizontal="right" vertical="center"/>
    </xf>
    <xf numFmtId="166" fontId="26" fillId="16" borderId="19" xfId="6" applyFont="1" applyFill="1" applyBorder="1" applyAlignment="1">
      <alignment horizontal="center" vertical="center" wrapText="1"/>
    </xf>
    <xf numFmtId="166" fontId="27" fillId="16" borderId="19" xfId="6" applyFont="1" applyFill="1" applyBorder="1" applyAlignment="1">
      <alignment vertical="center"/>
    </xf>
    <xf numFmtId="166" fontId="28" fillId="18" borderId="19" xfId="6" applyFont="1" applyFill="1" applyBorder="1" applyAlignment="1">
      <alignment horizontal="center" vertical="center" wrapText="1"/>
    </xf>
    <xf numFmtId="166" fontId="28" fillId="18" borderId="19" xfId="6" applyFont="1" applyFill="1" applyBorder="1" applyAlignment="1">
      <alignment horizontal="left" vertical="center" wrapText="1"/>
    </xf>
    <xf numFmtId="167" fontId="28" fillId="18" borderId="19" xfId="5" applyNumberFormat="1" applyFont="1" applyFill="1" applyBorder="1" applyAlignment="1">
      <alignment horizontal="center" vertical="center" wrapText="1"/>
    </xf>
    <xf numFmtId="166" fontId="28" fillId="18" borderId="19" xfId="6" applyFont="1" applyFill="1" applyBorder="1" applyAlignment="1">
      <alignment horizontal="center" vertical="center"/>
    </xf>
    <xf numFmtId="168" fontId="28" fillId="18" borderId="19" xfId="6" applyNumberFormat="1" applyFont="1" applyFill="1" applyBorder="1" applyAlignment="1">
      <alignment horizontal="center" vertical="center" wrapText="1"/>
    </xf>
    <xf numFmtId="166" fontId="28" fillId="15" borderId="19" xfId="6" applyFont="1" applyFill="1" applyBorder="1" applyAlignment="1">
      <alignment horizontal="right" vertical="center" wrapText="1"/>
    </xf>
    <xf numFmtId="166" fontId="29" fillId="3" borderId="19" xfId="6" applyFont="1" applyFill="1" applyBorder="1" applyAlignment="1">
      <alignment horizontal="center" vertical="center" wrapText="1"/>
    </xf>
    <xf numFmtId="166" fontId="24" fillId="15" borderId="19" xfId="3" applyFont="1" applyFill="1" applyBorder="1" applyAlignment="1">
      <alignment horizontal="right" vertical="center"/>
    </xf>
    <xf numFmtId="166" fontId="28" fillId="18" borderId="19" xfId="6" applyFont="1" applyFill="1" applyBorder="1" applyAlignment="1">
      <alignment vertical="center"/>
    </xf>
    <xf numFmtId="166" fontId="29" fillId="15" borderId="19" xfId="3" applyFont="1" applyFill="1" applyBorder="1" applyAlignment="1">
      <alignment horizontal="center" vertical="center"/>
    </xf>
    <xf numFmtId="166" fontId="29" fillId="15" borderId="21" xfId="6" applyFont="1" applyFill="1" applyBorder="1" applyAlignment="1">
      <alignment horizontal="right" vertical="center" wrapText="1"/>
    </xf>
    <xf numFmtId="168" fontId="25" fillId="15" borderId="19" xfId="3" applyNumberFormat="1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left"/>
    </xf>
    <xf numFmtId="3" fontId="7" fillId="0" borderId="5" xfId="0" applyNumberFormat="1" applyFont="1" applyBorder="1" applyAlignment="1">
      <alignment horizontal="left"/>
    </xf>
    <xf numFmtId="3" fontId="7" fillId="0" borderId="6" xfId="0" applyNumberFormat="1" applyFont="1" applyBorder="1" applyAlignment="1">
      <alignment horizontal="left"/>
    </xf>
    <xf numFmtId="3" fontId="43" fillId="0" borderId="3" xfId="0" applyNumberFormat="1" applyFont="1" applyBorder="1" applyAlignment="1">
      <alignment horizontal="center"/>
    </xf>
    <xf numFmtId="3" fontId="43" fillId="0" borderId="5" xfId="0" applyNumberFormat="1" applyFont="1" applyBorder="1" applyAlignment="1">
      <alignment horizontal="center"/>
    </xf>
    <xf numFmtId="3" fontId="43" fillId="0" borderId="6" xfId="0" applyNumberFormat="1" applyFont="1" applyBorder="1" applyAlignment="1">
      <alignment horizontal="center"/>
    </xf>
    <xf numFmtId="41" fontId="12" fillId="17" borderId="13" xfId="2" applyNumberFormat="1" applyFont="1" applyFill="1" applyBorder="1" applyAlignment="1">
      <alignment horizontal="center" vertical="center"/>
    </xf>
    <xf numFmtId="41" fontId="12" fillId="17" borderId="14" xfId="2" applyNumberFormat="1" applyFont="1" applyFill="1" applyBorder="1" applyAlignment="1">
      <alignment horizontal="center" vertical="center"/>
    </xf>
    <xf numFmtId="41" fontId="12" fillId="17" borderId="15" xfId="2" applyNumberFormat="1" applyFont="1" applyFill="1" applyBorder="1" applyAlignment="1">
      <alignment horizontal="center" vertical="center"/>
    </xf>
    <xf numFmtId="41" fontId="8" fillId="5" borderId="13" xfId="2" applyNumberFormat="1" applyFont="1" applyFill="1" applyBorder="1" applyAlignment="1">
      <alignment horizontal="center" vertical="center"/>
    </xf>
    <xf numFmtId="41" fontId="8" fillId="5" borderId="14" xfId="2" applyNumberFormat="1" applyFont="1" applyFill="1" applyBorder="1" applyAlignment="1">
      <alignment horizontal="center" vertical="center"/>
    </xf>
    <xf numFmtId="41" fontId="8" fillId="5" borderId="15" xfId="2" applyNumberFormat="1" applyFont="1" applyFill="1" applyBorder="1" applyAlignment="1">
      <alignment horizontal="center" vertical="center"/>
    </xf>
    <xf numFmtId="41" fontId="8" fillId="13" borderId="13" xfId="2" applyNumberFormat="1" applyFont="1" applyFill="1" applyBorder="1" applyAlignment="1">
      <alignment horizontal="center" vertical="center"/>
    </xf>
    <xf numFmtId="41" fontId="8" fillId="13" borderId="14" xfId="2" applyNumberFormat="1" applyFont="1" applyFill="1" applyBorder="1" applyAlignment="1">
      <alignment horizontal="center" vertical="center"/>
    </xf>
    <xf numFmtId="41" fontId="8" fillId="13" borderId="15" xfId="2" applyNumberFormat="1" applyFont="1" applyFill="1" applyBorder="1" applyAlignment="1">
      <alignment horizontal="center" vertical="center"/>
    </xf>
    <xf numFmtId="3" fontId="25" fillId="0" borderId="0" xfId="0" applyNumberFormat="1" applyFont="1" applyAlignment="1">
      <alignment vertical="center"/>
    </xf>
  </cellXfs>
  <cellStyles count="16">
    <cellStyle name="Comma" xfId="1" builtinId="3"/>
    <cellStyle name="Comma [0]" xfId="2" builtinId="6"/>
    <cellStyle name="Comma [0] 2" xfId="10" xr:uid="{00000000-0005-0000-0000-000002000000}"/>
    <cellStyle name="Comma 2" xfId="5" xr:uid="{00000000-0005-0000-0000-000003000000}"/>
    <cellStyle name="Hyperlink" xfId="15" builtinId="8"/>
    <cellStyle name="Normal" xfId="0" builtinId="0"/>
    <cellStyle name="Normal 10 2" xfId="14" xr:uid="{00000000-0005-0000-0000-000006000000}"/>
    <cellStyle name="Normal 2" xfId="4" xr:uid="{00000000-0005-0000-0000-000007000000}"/>
    <cellStyle name="Normal 2 2 2" xfId="6" xr:uid="{00000000-0005-0000-0000-000008000000}"/>
    <cellStyle name="Normal 3 2 2" xfId="7" xr:uid="{00000000-0005-0000-0000-000009000000}"/>
    <cellStyle name="Normal 7" xfId="9" xr:uid="{00000000-0005-0000-0000-00000A000000}"/>
    <cellStyle name="Normal 7 2" xfId="13" xr:uid="{00000000-0005-0000-0000-00000B000000}"/>
    <cellStyle name="Normal 9 2" xfId="3" xr:uid="{00000000-0005-0000-0000-00000C000000}"/>
    <cellStyle name="Normal_9. PA" xfId="12" xr:uid="{00000000-0005-0000-0000-00000D000000}"/>
    <cellStyle name="Normal_PA_1" xfId="8" xr:uid="{00000000-0005-0000-0000-00000E000000}"/>
    <cellStyle name="Percent" xfId="11" builtinId="5"/>
  </cellStyles>
  <dxfs count="0"/>
  <tableStyles count="0" defaultTableStyle="TableStyleMedium9" defaultPivotStyle="PivotStyleLight16"/>
  <colors>
    <mruColors>
      <color rgb="FF003399"/>
      <color rgb="FFCC00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23" Type="http://schemas.openxmlformats.org/officeDocument/2006/relationships/customXml" Target="../customXml/item7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Relationship Id="rId22" Type="http://schemas.openxmlformats.org/officeDocument/2006/relationships/customXml" Target="../customXml/item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ysClr val="windowText" lastClr="000000"/>
                </a:solidFill>
              </a:rPr>
              <a:t>Distribución de costo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0000CC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081-4E66-B944-4070AF0D920C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081-4E66-B944-4070AF0D920C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081-4E66-B944-4070AF0D920C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081-4E66-B944-4070AF0D920C}"/>
              </c:ext>
            </c:extLst>
          </c:dPt>
          <c:dPt>
            <c:idx val="4"/>
            <c:bubble3D val="0"/>
            <c:spPr>
              <a:solidFill>
                <a:srgbClr val="FFC000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081-4E66-B944-4070AF0D920C}"/>
              </c:ext>
            </c:extLst>
          </c:dPt>
          <c:dLbls>
            <c:dLbl>
              <c:idx val="0"/>
              <c:layout>
                <c:manualLayout>
                  <c:x val="-0.18859927452888622"/>
                  <c:y val="-0.21030988481811685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81-4E66-B944-4070AF0D920C}"/>
                </c:ext>
              </c:extLst>
            </c:dLbl>
            <c:dLbl>
              <c:idx val="1"/>
              <c:layout>
                <c:manualLayout>
                  <c:x val="0.14956085994868618"/>
                  <c:y val="4.3750894774516824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81-4E66-B944-4070AF0D920C}"/>
                </c:ext>
              </c:extLst>
            </c:dLbl>
            <c:dLbl>
              <c:idx val="4"/>
              <c:layout>
                <c:manualLayout>
                  <c:x val="2.0171069627532512E-2"/>
                  <c:y val="-7.68191579358365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081-4E66-B944-4070AF0D920C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'CC Gral'!$B$6:$B$9</c:f>
              <c:strCache>
                <c:ptCount val="4"/>
                <c:pt idx="0">
                  <c:v>Componente 1 - Diseño e implementación del Sistema del Censo Agropecuario</c:v>
                </c:pt>
                <c:pt idx="1">
                  <c:v>Componente 2 - Fortalecimiento Institucional de las entidades del sistema de estadísticas agropecuarias</c:v>
                </c:pt>
                <c:pt idx="2">
                  <c:v>Administración, Auditoría y Evaluación</c:v>
                </c:pt>
                <c:pt idx="3">
                  <c:v>Imprevisto</c:v>
                </c:pt>
              </c:strCache>
            </c:strRef>
          </c:cat>
          <c:val>
            <c:numRef>
              <c:f>'CC Gral'!$D$6:$D$9</c:f>
              <c:numCache>
                <c:formatCode>0%</c:formatCode>
                <c:ptCount val="4"/>
                <c:pt idx="0">
                  <c:v>0.68797062388685271</c:v>
                </c:pt>
                <c:pt idx="1">
                  <c:v>0.2446280141562559</c:v>
                </c:pt>
                <c:pt idx="2">
                  <c:v>4.7401361537708853E-2</c:v>
                </c:pt>
                <c:pt idx="3">
                  <c:v>2.000000041918255E-2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081-4E66-B944-4070AF0D9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</a:rPr>
              <a:t>Proyección de Ejecución acumulativo en %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'CC Gral'!$F$5:$J$5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xVal>
          <c:yVal>
            <c:numRef>
              <c:f>'CC Gral'!$F$11:$J$11</c:f>
              <c:numCache>
                <c:formatCode>0%</c:formatCode>
                <c:ptCount val="5"/>
                <c:pt idx="0">
                  <c:v>0.10394676285980067</c:v>
                </c:pt>
                <c:pt idx="1">
                  <c:v>0.8451026931164729</c:v>
                </c:pt>
                <c:pt idx="2">
                  <c:v>0.90514969683831248</c:v>
                </c:pt>
                <c:pt idx="3">
                  <c:v>0.9587198732001333</c:v>
                </c:pt>
                <c:pt idx="4">
                  <c:v>1.0000000000000002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41-4304-A3BE-4C9DD2615BEE}"/>
            </c:ext>
          </c:extLst>
        </c:ser>
        <c:ser>
          <c:idx val="3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'CC Gral'!$F$5:$J$5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xVal>
          <c:yVal>
            <c:numRef>
              <c:f>'CC Gral'!$F$11:$J$11</c:f>
              <c:numCache>
                <c:formatCode>0%</c:formatCode>
                <c:ptCount val="5"/>
                <c:pt idx="0">
                  <c:v>0.10394676285980067</c:v>
                </c:pt>
                <c:pt idx="1">
                  <c:v>0.8451026931164729</c:v>
                </c:pt>
                <c:pt idx="2">
                  <c:v>0.90514969683831248</c:v>
                </c:pt>
                <c:pt idx="3">
                  <c:v>0.9587198732001333</c:v>
                </c:pt>
                <c:pt idx="4">
                  <c:v>1.0000000000000002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41-4304-A3BE-4C9DD2615BEE}"/>
            </c:ext>
          </c:extLst>
        </c:ser>
        <c:ser>
          <c:idx val="1"/>
          <c:order val="2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'CC Gral'!$F$5:$J$5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xVal>
          <c:yVal>
            <c:numRef>
              <c:f>'CC Gral'!$F$11:$J$11</c:f>
              <c:numCache>
                <c:formatCode>0%</c:formatCode>
                <c:ptCount val="5"/>
                <c:pt idx="0">
                  <c:v>0.10394676285980067</c:v>
                </c:pt>
                <c:pt idx="1">
                  <c:v>0.8451026931164729</c:v>
                </c:pt>
                <c:pt idx="2">
                  <c:v>0.90514969683831248</c:v>
                </c:pt>
                <c:pt idx="3">
                  <c:v>0.9587198732001333</c:v>
                </c:pt>
                <c:pt idx="4">
                  <c:v>1.0000000000000002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41-4304-A3BE-4C9DD2615BEE}"/>
            </c:ext>
          </c:extLst>
        </c:ser>
        <c:ser>
          <c:idx val="0"/>
          <c:order val="3"/>
          <c:spPr>
            <a:ln w="41275" cap="rnd">
              <a:solidFill>
                <a:srgbClr val="0000C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139072847682128E-2"/>
                  <c:y val="-0.1085358766622227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41-4304-A3BE-4C9DD2615BEE}"/>
                </c:ext>
              </c:extLst>
            </c:dLbl>
            <c:dLbl>
              <c:idx val="1"/>
              <c:layout>
                <c:manualLayout>
                  <c:x val="-3.3112582781456956E-2"/>
                  <c:y val="-9.0446563885185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941-4304-A3BE-4C9DD2615BEE}"/>
                </c:ext>
              </c:extLst>
            </c:dLbl>
            <c:dLbl>
              <c:idx val="2"/>
              <c:layout>
                <c:manualLayout>
                  <c:x val="-2.9139072847682128E-2"/>
                  <c:y val="-9.0446563885185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41-4304-A3BE-4C9DD2615BEE}"/>
                </c:ext>
              </c:extLst>
            </c:dLbl>
            <c:dLbl>
              <c:idx val="3"/>
              <c:layout>
                <c:manualLayout>
                  <c:x val="-3.1788079470198786E-2"/>
                  <c:y val="-8.5924235690926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941-4304-A3BE-4C9DD2615BEE}"/>
                </c:ext>
              </c:extLst>
            </c:dLbl>
            <c:dLbl>
              <c:idx val="4"/>
              <c:layout>
                <c:manualLayout>
                  <c:x val="-3.8410596026490162E-2"/>
                  <c:y val="-9.949122027370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41-4304-A3BE-4C9DD2615BEE}"/>
                </c:ext>
              </c:extLst>
            </c:dLbl>
            <c:dLbl>
              <c:idx val="5"/>
              <c:layout>
                <c:manualLayout>
                  <c:x val="-4.6357615894039667E-2"/>
                  <c:y val="-0.1221028612450005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941-4304-A3BE-4C9DD2615BEE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'CC Gral'!$F$5:$J$5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xVal>
          <c:yVal>
            <c:numRef>
              <c:f>'CC Gral'!$F$11:$J$11</c:f>
              <c:numCache>
                <c:formatCode>0%</c:formatCode>
                <c:ptCount val="5"/>
                <c:pt idx="0">
                  <c:v>0.10394676285980067</c:v>
                </c:pt>
                <c:pt idx="1">
                  <c:v>0.8451026931164729</c:v>
                </c:pt>
                <c:pt idx="2">
                  <c:v>0.90514969683831248</c:v>
                </c:pt>
                <c:pt idx="3">
                  <c:v>0.9587198732001333</c:v>
                </c:pt>
                <c:pt idx="4">
                  <c:v>1.0000000000000002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941-4304-A3BE-4C9DD2615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809616"/>
        <c:axId val="691806352"/>
      </c:scatterChart>
      <c:valAx>
        <c:axId val="69180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91806352"/>
        <c:crosses val="autoZero"/>
        <c:crossBetween val="midCat"/>
      </c:valAx>
      <c:valAx>
        <c:axId val="69180635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80961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</a:rPr>
              <a:t>Proyección de Ejecución por año en %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41275" cap="rnd">
              <a:solidFill>
                <a:srgbClr val="9900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197080291970798E-2"/>
                  <c:y val="-0.1422222222222223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F6-4A15-B195-23BE5F0EF23F}"/>
                </c:ext>
              </c:extLst>
            </c:dLbl>
            <c:dLbl>
              <c:idx val="2"/>
              <c:layout>
                <c:manualLayout>
                  <c:x val="-1.5925680159256803E-2"/>
                  <c:y val="-0.1303703703703703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F6-4A15-B195-23BE5F0EF23F}"/>
                </c:ext>
              </c:extLst>
            </c:dLbl>
            <c:dLbl>
              <c:idx val="3"/>
              <c:layout>
                <c:manualLayout>
                  <c:x val="-3.1851360318513634E-2"/>
                  <c:y val="-0.106666666666666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F6-4A15-B195-23BE5F0EF23F}"/>
                </c:ext>
              </c:extLst>
            </c:dLbl>
            <c:dLbl>
              <c:idx val="4"/>
              <c:layout>
                <c:manualLayout>
                  <c:x val="-2.7869940278699521E-2"/>
                  <c:y val="-0.1303703703703703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F6-4A15-B195-23BE5F0EF23F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'CC Gral'!$F$5:$J$5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xVal>
          <c:yVal>
            <c:numRef>
              <c:f>'CC Gral'!$F$12:$J$12</c:f>
              <c:numCache>
                <c:formatCode>0%</c:formatCode>
                <c:ptCount val="5"/>
                <c:pt idx="0">
                  <c:v>0.10394676285980067</c:v>
                </c:pt>
                <c:pt idx="1">
                  <c:v>0.74115593025667226</c:v>
                </c:pt>
                <c:pt idx="2">
                  <c:v>6.0047003721839687E-2</c:v>
                </c:pt>
                <c:pt idx="3">
                  <c:v>5.3570176361820772E-2</c:v>
                </c:pt>
                <c:pt idx="4">
                  <c:v>4.1280126799866833E-2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BF6-4A15-B195-23BE5F0EF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808528"/>
        <c:axId val="691815600"/>
      </c:scatterChart>
      <c:valAx>
        <c:axId val="69180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91815600"/>
        <c:crosses val="autoZero"/>
        <c:crossBetween val="midCat"/>
      </c:valAx>
      <c:valAx>
        <c:axId val="69181560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8085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14</xdr:col>
          <xdr:colOff>387350</xdr:colOff>
          <xdr:row>32</xdr:row>
          <xdr:rowOff>88900</xdr:rowOff>
        </xdr:to>
        <xdr:sp macro="" textlink="">
          <xdr:nvSpPr>
            <xdr:cNvPr id="7177" name="Object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1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11</xdr:col>
          <xdr:colOff>533400</xdr:colOff>
          <xdr:row>32</xdr:row>
          <xdr:rowOff>88900</xdr:rowOff>
        </xdr:to>
        <xdr:sp macro="" textlink="">
          <xdr:nvSpPr>
            <xdr:cNvPr id="7178" name="Object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1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69850</xdr:rowOff>
    </xdr:from>
    <xdr:to>
      <xdr:col>2</xdr:col>
      <xdr:colOff>1619250</xdr:colOff>
      <xdr:row>20</xdr:row>
      <xdr:rowOff>15875</xdr:rowOff>
    </xdr:to>
    <xdr:graphicFrame macro="">
      <xdr:nvGraphicFramePr>
        <xdr:cNvPr id="14346" name="Gráfico 2">
          <a:extLst>
            <a:ext uri="{FF2B5EF4-FFF2-40B4-BE49-F238E27FC236}">
              <a16:creationId xmlns:a16="http://schemas.microsoft.com/office/drawing/2014/main" id="{00000000-0008-0000-0300-00000A3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13</xdr:row>
      <xdr:rowOff>38100</xdr:rowOff>
    </xdr:from>
    <xdr:to>
      <xdr:col>10</xdr:col>
      <xdr:colOff>1543050</xdr:colOff>
      <xdr:row>17</xdr:row>
      <xdr:rowOff>215900</xdr:rowOff>
    </xdr:to>
    <xdr:graphicFrame macro="">
      <xdr:nvGraphicFramePr>
        <xdr:cNvPr id="14347" name="Gráfico 3">
          <a:extLst>
            <a:ext uri="{FF2B5EF4-FFF2-40B4-BE49-F238E27FC236}">
              <a16:creationId xmlns:a16="http://schemas.microsoft.com/office/drawing/2014/main" id="{00000000-0008-0000-0300-00000B3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44450</xdr:colOff>
      <xdr:row>17</xdr:row>
      <xdr:rowOff>428624</xdr:rowOff>
    </xdr:from>
    <xdr:to>
      <xdr:col>11</xdr:col>
      <xdr:colOff>15875</xdr:colOff>
      <xdr:row>26</xdr:row>
      <xdr:rowOff>12700</xdr:rowOff>
    </xdr:to>
    <xdr:graphicFrame macro="">
      <xdr:nvGraphicFramePr>
        <xdr:cNvPr id="14348" name="Gráfico 6">
          <a:extLst>
            <a:ext uri="{FF2B5EF4-FFF2-40B4-BE49-F238E27FC236}">
              <a16:creationId xmlns:a16="http://schemas.microsoft.com/office/drawing/2014/main" id="{00000000-0008-0000-0300-00000C3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/../../../../../../../../alvarog/Downloads/Programa%201147%20-%20PEP%20y%20CC%20versi&#243;n%20USD15mm%20-%2006%20de%20sep.xlsx" TargetMode="External"/><Relationship Id="rId1" Type="http://schemas.openxmlformats.org/officeDocument/2006/relationships/hyperlink" Target="../../../../../../../../../alvarog/Downloads/Programa%201147%20-%20PEP%20y%20CC%20versi&#243;n%20USD15mm%20-%2006%20de%20sep.xls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Visio_Drawing.vsd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package" Target="../embeddings/Microsoft_Visio_Drawing1.vsdx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showGridLines="0" zoomScale="130" zoomScaleNormal="130" workbookViewId="0">
      <selection activeCell="B15" sqref="B15"/>
    </sheetView>
  </sheetViews>
  <sheetFormatPr defaultColWidth="9.08984375" defaultRowHeight="14.5" x14ac:dyDescent="0.35"/>
  <cols>
    <col min="1" max="1" width="11.453125" bestFit="1" customWidth="1"/>
    <col min="2" max="2" width="29" bestFit="1" customWidth="1"/>
    <col min="3" max="3" width="37.453125" bestFit="1" customWidth="1"/>
    <col min="4" max="11" width="9.08984375" style="440"/>
  </cols>
  <sheetData>
    <row r="1" spans="1:11" x14ac:dyDescent="0.35">
      <c r="A1" s="661" t="s">
        <v>661</v>
      </c>
      <c r="B1" s="661"/>
      <c r="C1" s="661"/>
      <c r="D1" s="438"/>
      <c r="E1" s="438"/>
      <c r="F1" s="438"/>
      <c r="G1" s="438"/>
      <c r="H1" s="438"/>
      <c r="I1" s="438"/>
      <c r="J1" s="438"/>
      <c r="K1" s="438"/>
    </row>
    <row r="2" spans="1:11" s="273" customFormat="1" x14ac:dyDescent="0.35">
      <c r="A2" s="277" t="s">
        <v>545</v>
      </c>
      <c r="B2" s="277" t="s">
        <v>559</v>
      </c>
      <c r="C2" s="277" t="s">
        <v>560</v>
      </c>
      <c r="D2" s="439"/>
      <c r="E2" s="439"/>
      <c r="F2" s="439"/>
      <c r="G2" s="439"/>
      <c r="H2" s="439"/>
      <c r="I2" s="439"/>
      <c r="J2" s="439"/>
      <c r="K2" s="439"/>
    </row>
    <row r="3" spans="1:11" x14ac:dyDescent="0.35">
      <c r="A3" s="278" t="s">
        <v>90</v>
      </c>
      <c r="B3" s="437" t="s">
        <v>553</v>
      </c>
      <c r="C3" s="362"/>
    </row>
    <row r="4" spans="1:11" x14ac:dyDescent="0.35">
      <c r="A4" s="278" t="s">
        <v>567</v>
      </c>
      <c r="B4" s="437" t="s">
        <v>568</v>
      </c>
      <c r="C4" s="362"/>
    </row>
    <row r="5" spans="1:11" x14ac:dyDescent="0.35">
      <c r="A5" s="278" t="s">
        <v>554</v>
      </c>
      <c r="B5" s="437" t="s">
        <v>546</v>
      </c>
      <c r="C5" s="363" t="s">
        <v>558</v>
      </c>
    </row>
    <row r="6" spans="1:11" x14ac:dyDescent="0.35">
      <c r="A6" s="278" t="s">
        <v>547</v>
      </c>
      <c r="B6" s="437" t="s">
        <v>548</v>
      </c>
      <c r="C6" s="362"/>
    </row>
    <row r="7" spans="1:11" x14ac:dyDescent="0.35">
      <c r="A7" s="278" t="s">
        <v>561</v>
      </c>
      <c r="B7" s="437" t="s">
        <v>562</v>
      </c>
      <c r="C7" s="362"/>
    </row>
    <row r="8" spans="1:11" x14ac:dyDescent="0.35">
      <c r="A8" s="278" t="s">
        <v>549</v>
      </c>
      <c r="B8" s="437" t="s">
        <v>550</v>
      </c>
      <c r="C8" s="363" t="s">
        <v>557</v>
      </c>
    </row>
    <row r="9" spans="1:11" x14ac:dyDescent="0.35">
      <c r="A9" s="278" t="s">
        <v>859</v>
      </c>
      <c r="B9" s="437" t="s">
        <v>860</v>
      </c>
      <c r="C9" s="363"/>
    </row>
    <row r="10" spans="1:11" x14ac:dyDescent="0.35">
      <c r="A10" s="278" t="s">
        <v>551</v>
      </c>
      <c r="B10" s="437" t="s">
        <v>555</v>
      </c>
      <c r="C10" s="362"/>
    </row>
    <row r="11" spans="1:11" x14ac:dyDescent="0.35">
      <c r="A11" s="278" t="s">
        <v>552</v>
      </c>
      <c r="B11" s="437" t="s">
        <v>556</v>
      </c>
      <c r="C11" s="362"/>
    </row>
  </sheetData>
  <mergeCells count="1">
    <mergeCell ref="A1:C1"/>
  </mergeCells>
  <hyperlinks>
    <hyperlink ref="B3" r:id="rId1" location="EDT!A1" xr:uid="{00000000-0004-0000-0000-000000000000}"/>
    <hyperlink ref="B5" r:id="rId2" location="'CC Gral'!A1" xr:uid="{00000000-0004-0000-0000-000001000000}"/>
    <hyperlink ref="B6" location="'CC detallado'!A1" display="Cuadro de Costo Detallado" xr:uid="{00000000-0004-0000-0000-000002000000}"/>
    <hyperlink ref="B8" location="PEP!A1" display="Plan de Ejecución del Proyecto" xr:uid="{00000000-0004-0000-0000-000003000000}"/>
    <hyperlink ref="B10" location="PA!A1" display="Plan de Adquisiciones" xr:uid="{00000000-0004-0000-0000-000004000000}"/>
    <hyperlink ref="B11" location="PAI!A1" display="Plan de Adquisición Inicial" xr:uid="{00000000-0004-0000-0000-000005000000}"/>
    <hyperlink ref="B7" location="Cronograma!A1" display="Cronograma del Programa" xr:uid="{00000000-0004-0000-0000-000006000000}"/>
    <hyperlink ref="B9" location="'POA año 1'!A1" display="Plan Operativo Ano 1" xr:uid="{00000000-0004-0000-0000-000007000000}"/>
    <hyperlink ref="B4" location="MDR!_ftn1" display="Matriz de Resultados" xr:uid="{00000000-0004-0000-0000-000008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Y130"/>
  <sheetViews>
    <sheetView showGridLines="0" tabSelected="1" topLeftCell="B34" zoomScale="60" zoomScaleNormal="60" zoomScaleSheetLayoutView="80" workbookViewId="0">
      <selection activeCell="G41" sqref="G41:G42"/>
    </sheetView>
  </sheetViews>
  <sheetFormatPr defaultColWidth="9.08984375" defaultRowHeight="13" x14ac:dyDescent="0.35"/>
  <cols>
    <col min="1" max="1" width="6" style="192" hidden="1" customWidth="1"/>
    <col min="2" max="2" width="12.54296875" style="192" customWidth="1"/>
    <col min="3" max="3" width="46.6328125" style="193" customWidth="1"/>
    <col min="4" max="4" width="15.08984375" style="194" customWidth="1"/>
    <col min="5" max="5" width="15" style="192" customWidth="1"/>
    <col min="6" max="6" width="9.453125" style="192" customWidth="1"/>
    <col min="7" max="7" width="17" style="195" customWidth="1"/>
    <col min="8" max="8" width="16.08984375" style="192" customWidth="1"/>
    <col min="9" max="9" width="13.6328125" style="192" customWidth="1"/>
    <col min="10" max="10" width="14.453125" style="192" customWidth="1"/>
    <col min="11" max="11" width="17.54296875" style="192" customWidth="1"/>
    <col min="12" max="12" width="17.90625" style="196" customWidth="1"/>
    <col min="13" max="13" width="18.08984375" style="196" customWidth="1"/>
    <col min="14" max="14" width="18.453125" style="194" customWidth="1"/>
    <col min="15" max="15" width="34.36328125" style="192" customWidth="1"/>
    <col min="16" max="16" width="21" style="192" customWidth="1"/>
    <col min="17" max="17" width="9.08984375" style="197"/>
    <col min="18" max="18" width="68.54296875" style="197" hidden="1" customWidth="1"/>
    <col min="19" max="19" width="57.453125" style="197" hidden="1" customWidth="1"/>
    <col min="20" max="207" width="9.08984375" style="197"/>
    <col min="208" max="16384" width="9.08984375" style="192"/>
  </cols>
  <sheetData>
    <row r="1" spans="1:21" x14ac:dyDescent="0.3">
      <c r="B1" s="178" t="s">
        <v>290</v>
      </c>
    </row>
    <row r="2" spans="1:21" x14ac:dyDescent="0.3">
      <c r="B2" s="178" t="s">
        <v>291</v>
      </c>
    </row>
    <row r="3" spans="1:21" x14ac:dyDescent="0.3">
      <c r="B3" s="183"/>
    </row>
    <row r="4" spans="1:21" x14ac:dyDescent="0.3">
      <c r="B4" s="178" t="s">
        <v>383</v>
      </c>
    </row>
    <row r="5" spans="1:21" x14ac:dyDescent="0.3">
      <c r="B5" s="183"/>
    </row>
    <row r="6" spans="1:21" x14ac:dyDescent="0.3">
      <c r="B6" s="178" t="s">
        <v>292</v>
      </c>
    </row>
    <row r="7" spans="1:21" x14ac:dyDescent="0.3">
      <c r="B7" s="178"/>
    </row>
    <row r="8" spans="1:21" s="197" customFormat="1" x14ac:dyDescent="0.35">
      <c r="A8" s="192"/>
      <c r="B8" s="729" t="s">
        <v>293</v>
      </c>
      <c r="C8" s="730"/>
      <c r="D8" s="730"/>
      <c r="E8" s="730"/>
      <c r="F8" s="730"/>
      <c r="G8" s="730"/>
      <c r="H8" s="730"/>
      <c r="I8" s="730"/>
      <c r="J8" s="730"/>
      <c r="K8" s="730"/>
      <c r="L8" s="730"/>
      <c r="M8" s="730"/>
      <c r="N8" s="730"/>
      <c r="O8" s="730"/>
      <c r="P8" s="198"/>
      <c r="Q8" s="199"/>
      <c r="R8" s="200"/>
      <c r="S8" s="199"/>
      <c r="T8" s="199"/>
      <c r="U8" s="199"/>
    </row>
    <row r="9" spans="1:21" s="197" customFormat="1" x14ac:dyDescent="0.35">
      <c r="A9" s="192"/>
      <c r="B9" s="729" t="s">
        <v>294</v>
      </c>
      <c r="C9" s="729"/>
      <c r="D9" s="729"/>
      <c r="E9" s="729"/>
      <c r="F9" s="729"/>
      <c r="G9" s="729"/>
      <c r="H9" s="729"/>
      <c r="I9" s="729"/>
      <c r="J9" s="729"/>
      <c r="K9" s="729"/>
      <c r="L9" s="729"/>
      <c r="M9" s="729"/>
      <c r="N9" s="729"/>
      <c r="O9" s="729"/>
      <c r="P9" s="198"/>
      <c r="Q9" s="199"/>
      <c r="R9" s="200"/>
      <c r="S9" s="199"/>
      <c r="T9" s="199"/>
      <c r="U9" s="199"/>
    </row>
    <row r="10" spans="1:21" s="197" customFormat="1" ht="12.9" customHeight="1" x14ac:dyDescent="0.35">
      <c r="A10" s="192"/>
      <c r="B10" s="731" t="s">
        <v>295</v>
      </c>
      <c r="C10" s="732" t="s">
        <v>296</v>
      </c>
      <c r="D10" s="732" t="s">
        <v>297</v>
      </c>
      <c r="E10" s="731" t="s">
        <v>298</v>
      </c>
      <c r="F10" s="731" t="s">
        <v>299</v>
      </c>
      <c r="G10" s="733" t="s">
        <v>300</v>
      </c>
      <c r="H10" s="734" t="s">
        <v>301</v>
      </c>
      <c r="I10" s="734"/>
      <c r="J10" s="734"/>
      <c r="K10" s="731" t="s">
        <v>302</v>
      </c>
      <c r="L10" s="735" t="s">
        <v>303</v>
      </c>
      <c r="M10" s="731" t="s">
        <v>304</v>
      </c>
      <c r="N10" s="731"/>
      <c r="O10" s="731" t="s">
        <v>305</v>
      </c>
      <c r="P10" s="198"/>
      <c r="Q10" s="199"/>
      <c r="R10" s="201" t="s">
        <v>306</v>
      </c>
      <c r="S10" s="199"/>
      <c r="T10" s="199"/>
      <c r="U10" s="199"/>
    </row>
    <row r="11" spans="1:21" s="197" customFormat="1" ht="39" x14ac:dyDescent="0.35">
      <c r="A11" s="192"/>
      <c r="B11" s="731"/>
      <c r="C11" s="732"/>
      <c r="D11" s="732"/>
      <c r="E11" s="731"/>
      <c r="F11" s="731"/>
      <c r="G11" s="733"/>
      <c r="H11" s="308" t="s">
        <v>307</v>
      </c>
      <c r="I11" s="308" t="s">
        <v>308</v>
      </c>
      <c r="J11" s="308" t="s">
        <v>309</v>
      </c>
      <c r="K11" s="731"/>
      <c r="L11" s="735"/>
      <c r="M11" s="310" t="s">
        <v>310</v>
      </c>
      <c r="N11" s="330" t="s">
        <v>311</v>
      </c>
      <c r="O11" s="731"/>
      <c r="P11" s="198"/>
      <c r="Q11" s="199"/>
      <c r="R11" s="201" t="s">
        <v>312</v>
      </c>
      <c r="S11" s="199"/>
      <c r="T11" s="199"/>
      <c r="U11" s="199"/>
    </row>
    <row r="12" spans="1:21" s="197" customFormat="1" x14ac:dyDescent="0.35">
      <c r="A12" s="192"/>
      <c r="B12" s="318" t="s">
        <v>384</v>
      </c>
      <c r="C12" s="346" t="s">
        <v>382</v>
      </c>
      <c r="D12" s="347"/>
      <c r="E12" s="337" t="str">
        <f>'CC detallado'!E90</f>
        <v>CP</v>
      </c>
      <c r="F12" s="332"/>
      <c r="G12" s="348">
        <v>1</v>
      </c>
      <c r="H12" s="337">
        <f>'CC detallado'!N90</f>
        <v>35587.78883454208</v>
      </c>
      <c r="I12" s="349">
        <v>1</v>
      </c>
      <c r="J12" s="349">
        <f>100%-I12</f>
        <v>0</v>
      </c>
      <c r="K12" s="328" t="s">
        <v>321</v>
      </c>
      <c r="L12" s="335" t="s">
        <v>322</v>
      </c>
      <c r="M12" s="320" t="s">
        <v>522</v>
      </c>
      <c r="N12" s="320" t="s">
        <v>523</v>
      </c>
      <c r="O12" s="350"/>
      <c r="P12" s="198"/>
      <c r="Q12" s="199"/>
      <c r="R12" s="201" t="s">
        <v>313</v>
      </c>
      <c r="S12" s="199"/>
      <c r="T12" s="199"/>
      <c r="U12" s="199"/>
    </row>
    <row r="13" spans="1:21" s="197" customFormat="1" x14ac:dyDescent="0.35">
      <c r="A13" s="192"/>
      <c r="B13" s="736" t="s">
        <v>314</v>
      </c>
      <c r="C13" s="736"/>
      <c r="D13" s="736"/>
      <c r="E13" s="736"/>
      <c r="F13" s="736"/>
      <c r="G13" s="736"/>
      <c r="H13" s="341">
        <f>SUM(H12:H12)</f>
        <v>35587.78883454208</v>
      </c>
      <c r="I13" s="342"/>
      <c r="J13" s="342"/>
      <c r="K13" s="342"/>
      <c r="L13" s="342"/>
      <c r="M13" s="342"/>
      <c r="N13" s="342"/>
      <c r="O13" s="342"/>
      <c r="P13" s="198"/>
      <c r="Q13" s="199"/>
      <c r="R13" s="201" t="s">
        <v>315</v>
      </c>
      <c r="S13" s="199"/>
      <c r="T13" s="199"/>
      <c r="U13" s="199"/>
    </row>
    <row r="14" spans="1:21" s="197" customFormat="1" x14ac:dyDescent="0.35">
      <c r="A14" s="192"/>
      <c r="B14" s="192"/>
      <c r="C14" s="193"/>
      <c r="D14" s="194"/>
      <c r="E14" s="192"/>
      <c r="F14" s="192"/>
      <c r="G14" s="195"/>
      <c r="H14" s="192"/>
      <c r="I14" s="192"/>
      <c r="J14" s="192"/>
      <c r="K14" s="192"/>
      <c r="L14" s="192"/>
      <c r="M14" s="192"/>
      <c r="N14" s="192"/>
      <c r="O14" s="192"/>
      <c r="P14" s="198"/>
      <c r="R14" s="201" t="s">
        <v>316</v>
      </c>
    </row>
    <row r="15" spans="1:21" s="197" customFormat="1" x14ac:dyDescent="0.35">
      <c r="A15" s="192"/>
      <c r="B15" s="729" t="s">
        <v>317</v>
      </c>
      <c r="C15" s="729"/>
      <c r="D15" s="729"/>
      <c r="E15" s="729"/>
      <c r="F15" s="729"/>
      <c r="G15" s="729"/>
      <c r="H15" s="729"/>
      <c r="I15" s="729"/>
      <c r="J15" s="729"/>
      <c r="K15" s="729"/>
      <c r="L15" s="729"/>
      <c r="M15" s="729"/>
      <c r="N15" s="729"/>
      <c r="O15" s="729"/>
      <c r="P15" s="198"/>
      <c r="Q15" s="199"/>
      <c r="R15" s="200" t="s">
        <v>318</v>
      </c>
      <c r="S15" s="199"/>
      <c r="T15" s="199"/>
      <c r="U15" s="199"/>
    </row>
    <row r="16" spans="1:21" s="197" customFormat="1" ht="12.9" customHeight="1" x14ac:dyDescent="0.35">
      <c r="A16" s="192"/>
      <c r="B16" s="731" t="s">
        <v>295</v>
      </c>
      <c r="C16" s="732" t="s">
        <v>296</v>
      </c>
      <c r="D16" s="732" t="s">
        <v>297</v>
      </c>
      <c r="E16" s="731" t="s">
        <v>319</v>
      </c>
      <c r="F16" s="731" t="s">
        <v>299</v>
      </c>
      <c r="G16" s="733" t="s">
        <v>300</v>
      </c>
      <c r="H16" s="734" t="s">
        <v>301</v>
      </c>
      <c r="I16" s="734"/>
      <c r="J16" s="734"/>
      <c r="K16" s="731" t="s">
        <v>302</v>
      </c>
      <c r="L16" s="735" t="s">
        <v>303</v>
      </c>
      <c r="M16" s="731" t="s">
        <v>304</v>
      </c>
      <c r="N16" s="731"/>
      <c r="O16" s="731" t="s">
        <v>305</v>
      </c>
      <c r="P16" s="198"/>
      <c r="Q16" s="199"/>
      <c r="R16" s="201" t="s">
        <v>320</v>
      </c>
      <c r="S16" s="199"/>
      <c r="T16" s="199"/>
      <c r="U16" s="199"/>
    </row>
    <row r="17" spans="1:207" s="197" customFormat="1" ht="39" x14ac:dyDescent="0.35">
      <c r="A17" s="192"/>
      <c r="B17" s="731"/>
      <c r="C17" s="732"/>
      <c r="D17" s="732"/>
      <c r="E17" s="731"/>
      <c r="F17" s="731"/>
      <c r="G17" s="733"/>
      <c r="H17" s="308" t="s">
        <v>307</v>
      </c>
      <c r="I17" s="308" t="s">
        <v>308</v>
      </c>
      <c r="J17" s="308" t="s">
        <v>309</v>
      </c>
      <c r="K17" s="731"/>
      <c r="L17" s="735"/>
      <c r="M17" s="310" t="s">
        <v>310</v>
      </c>
      <c r="N17" s="330" t="s">
        <v>311</v>
      </c>
      <c r="O17" s="731"/>
      <c r="P17" s="198"/>
      <c r="Q17" s="199"/>
      <c r="R17" s="201"/>
      <c r="S17" s="199"/>
      <c r="T17" s="199"/>
      <c r="U17" s="199"/>
    </row>
    <row r="18" spans="1:207" s="197" customFormat="1" ht="65" x14ac:dyDescent="0.35">
      <c r="A18" s="202"/>
      <c r="B18" s="318" t="s">
        <v>384</v>
      </c>
      <c r="C18" s="312" t="s">
        <v>399</v>
      </c>
      <c r="D18" s="337"/>
      <c r="E18" s="315" t="s">
        <v>286</v>
      </c>
      <c r="F18" s="343"/>
      <c r="G18" s="333">
        <f>G12+1</f>
        <v>2</v>
      </c>
      <c r="H18" s="344">
        <f>'CC detallado'!N35+'CC detallado'!N24</f>
        <v>283353.01062573789</v>
      </c>
      <c r="I18" s="316">
        <v>1</v>
      </c>
      <c r="J18" s="327">
        <v>0</v>
      </c>
      <c r="K18" s="335" t="s">
        <v>336</v>
      </c>
      <c r="L18" s="335" t="s">
        <v>396</v>
      </c>
      <c r="M18" s="336" t="s">
        <v>522</v>
      </c>
      <c r="N18" s="336" t="s">
        <v>524</v>
      </c>
      <c r="O18" s="345" t="s">
        <v>538</v>
      </c>
      <c r="P18" s="198"/>
      <c r="Q18" s="199"/>
      <c r="R18" s="201"/>
      <c r="S18" s="199"/>
      <c r="T18" s="199"/>
      <c r="U18" s="199"/>
    </row>
    <row r="19" spans="1:207" s="197" customFormat="1" x14ac:dyDescent="0.35">
      <c r="A19" s="202"/>
      <c r="B19" s="318" t="s">
        <v>384</v>
      </c>
      <c r="C19" s="312" t="s">
        <v>464</v>
      </c>
      <c r="D19" s="337"/>
      <c r="E19" s="318" t="str">
        <f>'CC detallado'!E95</f>
        <v>SBE</v>
      </c>
      <c r="F19" s="343"/>
      <c r="G19" s="333">
        <f>G18+1</f>
        <v>3</v>
      </c>
      <c r="H19" s="315">
        <f>'CC detallado'!N95</f>
        <v>32383.201214370049</v>
      </c>
      <c r="I19" s="316">
        <v>1</v>
      </c>
      <c r="J19" s="327">
        <v>0</v>
      </c>
      <c r="K19" s="335" t="s">
        <v>321</v>
      </c>
      <c r="L19" s="335" t="s">
        <v>396</v>
      </c>
      <c r="M19" s="336" t="s">
        <v>522</v>
      </c>
      <c r="N19" s="336" t="s">
        <v>524</v>
      </c>
      <c r="O19" s="343"/>
      <c r="P19" s="198"/>
      <c r="Q19" s="199"/>
      <c r="R19" s="201"/>
      <c r="S19" s="199"/>
      <c r="T19" s="199"/>
      <c r="U19" s="199"/>
    </row>
    <row r="20" spans="1:207" s="197" customFormat="1" x14ac:dyDescent="0.35">
      <c r="A20" s="202"/>
      <c r="B20" s="318" t="s">
        <v>384</v>
      </c>
      <c r="C20" s="312" t="s">
        <v>431</v>
      </c>
      <c r="D20" s="337"/>
      <c r="E20" s="318" t="str">
        <f>'CC detallado'!E100</f>
        <v>LPI</v>
      </c>
      <c r="F20" s="343"/>
      <c r="G20" s="333">
        <f t="shared" ref="G20:G23" si="0">G19+1</f>
        <v>4</v>
      </c>
      <c r="H20" s="315">
        <f>'CC detallado'!N100+'CC detallado'!N134</f>
        <v>1382013.8303255187</v>
      </c>
      <c r="I20" s="316">
        <v>1</v>
      </c>
      <c r="J20" s="327">
        <v>0</v>
      </c>
      <c r="K20" s="335" t="s">
        <v>321</v>
      </c>
      <c r="L20" s="335" t="s">
        <v>396</v>
      </c>
      <c r="M20" s="336" t="s">
        <v>522</v>
      </c>
      <c r="N20" s="336" t="s">
        <v>524</v>
      </c>
      <c r="O20" s="343"/>
      <c r="P20" s="198"/>
      <c r="Q20" s="199"/>
      <c r="R20" s="201"/>
      <c r="S20" s="199"/>
      <c r="T20" s="199"/>
      <c r="U20" s="199"/>
    </row>
    <row r="21" spans="1:207" s="197" customFormat="1" x14ac:dyDescent="0.35">
      <c r="A21" s="202"/>
      <c r="B21" s="318" t="s">
        <v>384</v>
      </c>
      <c r="C21" s="312" t="s">
        <v>436</v>
      </c>
      <c r="D21" s="337"/>
      <c r="E21" s="318" t="str">
        <f>'CC detallado'!E131</f>
        <v>LPI</v>
      </c>
      <c r="F21" s="343"/>
      <c r="G21" s="333">
        <f t="shared" si="0"/>
        <v>5</v>
      </c>
      <c r="H21" s="315">
        <f>'CC detallado'!N131</f>
        <v>617500</v>
      </c>
      <c r="I21" s="316">
        <v>1</v>
      </c>
      <c r="J21" s="327">
        <v>0</v>
      </c>
      <c r="K21" s="335" t="s">
        <v>321</v>
      </c>
      <c r="L21" s="335" t="s">
        <v>396</v>
      </c>
      <c r="M21" s="336" t="s">
        <v>522</v>
      </c>
      <c r="N21" s="336" t="s">
        <v>524</v>
      </c>
      <c r="O21" s="343"/>
      <c r="P21" s="198"/>
      <c r="Q21" s="199"/>
      <c r="R21" s="201"/>
      <c r="S21" s="199"/>
      <c r="T21" s="199"/>
      <c r="U21" s="199"/>
    </row>
    <row r="22" spans="1:207" s="197" customFormat="1" x14ac:dyDescent="0.35">
      <c r="A22" s="202"/>
      <c r="B22" s="318" t="s">
        <v>384</v>
      </c>
      <c r="C22" s="312" t="s">
        <v>432</v>
      </c>
      <c r="D22" s="337"/>
      <c r="E22" s="318" t="str">
        <f>'CC detallado'!E135</f>
        <v>SBE</v>
      </c>
      <c r="F22" s="343"/>
      <c r="G22" s="333">
        <f t="shared" si="0"/>
        <v>6</v>
      </c>
      <c r="H22" s="315">
        <f>'CC detallado'!N135+'CC detallado'!N137</f>
        <v>239433.12531624219</v>
      </c>
      <c r="I22" s="316">
        <v>1</v>
      </c>
      <c r="J22" s="327">
        <v>0</v>
      </c>
      <c r="K22" s="335" t="s">
        <v>321</v>
      </c>
      <c r="L22" s="335" t="s">
        <v>396</v>
      </c>
      <c r="M22" s="336" t="s">
        <v>522</v>
      </c>
      <c r="N22" s="336" t="s">
        <v>524</v>
      </c>
      <c r="O22" s="343"/>
      <c r="P22" s="198"/>
      <c r="Q22" s="199"/>
      <c r="R22" s="201"/>
      <c r="S22" s="199"/>
      <c r="T22" s="199"/>
      <c r="U22" s="199"/>
    </row>
    <row r="23" spans="1:207" s="203" customFormat="1" x14ac:dyDescent="0.35">
      <c r="A23" s="192"/>
      <c r="B23" s="311" t="s">
        <v>384</v>
      </c>
      <c r="C23" s="312" t="str">
        <f>'CC detallado'!F145</f>
        <v>Imágenes Satelitales de alta resolución</v>
      </c>
      <c r="D23" s="331"/>
      <c r="E23" s="318" t="str">
        <f>'CC detallado'!E145</f>
        <v>SBE</v>
      </c>
      <c r="F23" s="333"/>
      <c r="G23" s="333">
        <f t="shared" si="0"/>
        <v>7</v>
      </c>
      <c r="H23" s="337">
        <f>'CC detallado'!N145</f>
        <v>24000</v>
      </c>
      <c r="I23" s="316">
        <v>1</v>
      </c>
      <c r="J23" s="327">
        <v>0</v>
      </c>
      <c r="K23" s="335" t="s">
        <v>321</v>
      </c>
      <c r="L23" s="335" t="s">
        <v>396</v>
      </c>
      <c r="M23" s="336" t="s">
        <v>522</v>
      </c>
      <c r="N23" s="336" t="s">
        <v>524</v>
      </c>
      <c r="O23" s="332"/>
      <c r="P23" s="192"/>
      <c r="Q23" s="197"/>
      <c r="R23" s="201"/>
      <c r="S23" s="201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7"/>
      <c r="BN23" s="197"/>
      <c r="BO23" s="197"/>
      <c r="BP23" s="197"/>
      <c r="BQ23" s="197"/>
      <c r="BR23" s="197"/>
      <c r="BS23" s="197"/>
      <c r="BT23" s="197"/>
      <c r="BU23" s="197"/>
      <c r="BV23" s="197"/>
      <c r="BW23" s="197"/>
      <c r="BX23" s="197"/>
      <c r="BY23" s="197"/>
      <c r="BZ23" s="197"/>
      <c r="CA23" s="197"/>
      <c r="CB23" s="197"/>
      <c r="CC23" s="197"/>
      <c r="CD23" s="197"/>
      <c r="CE23" s="197"/>
      <c r="CF23" s="197"/>
      <c r="CG23" s="197"/>
      <c r="CH23" s="197"/>
      <c r="CI23" s="197"/>
      <c r="CJ23" s="197"/>
      <c r="CK23" s="197"/>
      <c r="CL23" s="197"/>
      <c r="CM23" s="197"/>
      <c r="CN23" s="197"/>
      <c r="CO23" s="197"/>
      <c r="CP23" s="197"/>
      <c r="CQ23" s="197"/>
      <c r="CR23" s="197"/>
      <c r="CS23" s="197"/>
      <c r="CT23" s="197"/>
      <c r="CU23" s="197"/>
      <c r="CV23" s="197"/>
      <c r="CW23" s="197"/>
      <c r="CX23" s="197"/>
      <c r="CY23" s="197"/>
      <c r="CZ23" s="197"/>
      <c r="DA23" s="197"/>
      <c r="DB23" s="197"/>
      <c r="DC23" s="197"/>
      <c r="DD23" s="197"/>
      <c r="DE23" s="197"/>
      <c r="DF23" s="197"/>
      <c r="DG23" s="197"/>
      <c r="DH23" s="197"/>
      <c r="DI23" s="197"/>
      <c r="DJ23" s="197"/>
      <c r="DK23" s="197"/>
      <c r="DL23" s="197"/>
      <c r="DM23" s="197"/>
      <c r="DN23" s="197"/>
      <c r="DO23" s="197"/>
      <c r="DP23" s="197"/>
      <c r="DQ23" s="197"/>
      <c r="DR23" s="197"/>
      <c r="DS23" s="197"/>
      <c r="DT23" s="197"/>
      <c r="DU23" s="197"/>
      <c r="DV23" s="197"/>
      <c r="DW23" s="197"/>
      <c r="DX23" s="197"/>
      <c r="DY23" s="197"/>
      <c r="DZ23" s="197"/>
      <c r="EA23" s="197"/>
      <c r="EB23" s="197"/>
      <c r="EC23" s="197"/>
      <c r="ED23" s="197"/>
      <c r="EE23" s="197"/>
      <c r="EF23" s="197"/>
      <c r="EG23" s="197"/>
      <c r="EH23" s="197"/>
      <c r="EI23" s="197"/>
      <c r="EJ23" s="197"/>
      <c r="EK23" s="197"/>
      <c r="EL23" s="197"/>
      <c r="EM23" s="197"/>
      <c r="EN23" s="197"/>
      <c r="EO23" s="197"/>
      <c r="EP23" s="197"/>
      <c r="EQ23" s="197"/>
      <c r="ER23" s="197"/>
      <c r="ES23" s="197"/>
      <c r="ET23" s="197"/>
      <c r="EU23" s="197"/>
      <c r="EV23" s="197"/>
      <c r="EW23" s="197"/>
      <c r="EX23" s="197"/>
      <c r="EY23" s="197"/>
      <c r="EZ23" s="197"/>
      <c r="FA23" s="197"/>
      <c r="FB23" s="197"/>
      <c r="FC23" s="197"/>
      <c r="FD23" s="197"/>
      <c r="FE23" s="197"/>
      <c r="FF23" s="197"/>
      <c r="FG23" s="197"/>
      <c r="FH23" s="197"/>
      <c r="FI23" s="197"/>
      <c r="FJ23" s="197"/>
      <c r="FK23" s="197"/>
      <c r="FL23" s="197"/>
      <c r="FM23" s="197"/>
      <c r="FN23" s="197"/>
      <c r="FO23" s="197"/>
      <c r="FP23" s="197"/>
      <c r="FQ23" s="197"/>
      <c r="FR23" s="197"/>
      <c r="FS23" s="197"/>
      <c r="FT23" s="197"/>
      <c r="FU23" s="197"/>
      <c r="FV23" s="197"/>
      <c r="FW23" s="197"/>
      <c r="FX23" s="197"/>
      <c r="FY23" s="197"/>
      <c r="FZ23" s="197"/>
      <c r="GA23" s="197"/>
      <c r="GB23" s="197"/>
      <c r="GC23" s="197"/>
      <c r="GD23" s="197"/>
      <c r="GE23" s="197"/>
      <c r="GF23" s="197"/>
      <c r="GG23" s="197"/>
      <c r="GH23" s="197"/>
      <c r="GI23" s="197"/>
      <c r="GJ23" s="197"/>
      <c r="GK23" s="197"/>
      <c r="GL23" s="197"/>
      <c r="GM23" s="197"/>
      <c r="GN23" s="197"/>
      <c r="GO23" s="197"/>
      <c r="GP23" s="197"/>
      <c r="GQ23" s="197"/>
      <c r="GR23" s="197"/>
      <c r="GS23" s="197"/>
      <c r="GT23" s="197"/>
      <c r="GU23" s="197"/>
      <c r="GV23" s="197"/>
      <c r="GW23" s="197"/>
      <c r="GX23" s="197"/>
      <c r="GY23" s="197"/>
    </row>
    <row r="24" spans="1:207" s="197" customFormat="1" x14ac:dyDescent="0.35">
      <c r="A24" s="192"/>
      <c r="B24" s="736" t="s">
        <v>323</v>
      </c>
      <c r="C24" s="736"/>
      <c r="D24" s="736"/>
      <c r="E24" s="736"/>
      <c r="F24" s="736"/>
      <c r="G24" s="736"/>
      <c r="H24" s="341">
        <f>SUM(H18:H23)</f>
        <v>2578683.167481869</v>
      </c>
      <c r="I24" s="342"/>
      <c r="J24" s="342"/>
      <c r="K24" s="342"/>
      <c r="L24" s="342"/>
      <c r="M24" s="342"/>
      <c r="N24" s="342"/>
      <c r="O24" s="342"/>
      <c r="P24" s="198"/>
      <c r="Q24" s="199"/>
      <c r="R24" s="201" t="s">
        <v>315</v>
      </c>
      <c r="S24" s="199"/>
      <c r="T24" s="199"/>
      <c r="U24" s="199"/>
    </row>
    <row r="25" spans="1:207" x14ac:dyDescent="0.35">
      <c r="H25" s="195"/>
      <c r="I25" s="195"/>
      <c r="J25" s="195"/>
      <c r="K25" s="195"/>
      <c r="L25" s="195"/>
      <c r="M25" s="195"/>
      <c r="N25" s="195"/>
      <c r="O25" s="195"/>
      <c r="P25" s="195"/>
    </row>
    <row r="26" spans="1:207" s="197" customFormat="1" x14ac:dyDescent="0.35">
      <c r="A26" s="192"/>
      <c r="B26" s="729" t="s">
        <v>324</v>
      </c>
      <c r="C26" s="729"/>
      <c r="D26" s="729"/>
      <c r="E26" s="729"/>
      <c r="F26" s="729"/>
      <c r="G26" s="729"/>
      <c r="H26" s="729"/>
      <c r="I26" s="729"/>
      <c r="J26" s="729"/>
      <c r="K26" s="729"/>
      <c r="L26" s="729"/>
      <c r="M26" s="729"/>
      <c r="N26" s="729"/>
      <c r="O26" s="729"/>
      <c r="P26" s="198"/>
      <c r="Q26" s="199"/>
      <c r="R26" s="200" t="s">
        <v>325</v>
      </c>
      <c r="S26" s="199"/>
      <c r="T26" s="199"/>
      <c r="U26" s="199"/>
    </row>
    <row r="27" spans="1:207" s="197" customFormat="1" ht="12.9" customHeight="1" x14ac:dyDescent="0.35">
      <c r="A27" s="192"/>
      <c r="B27" s="731" t="s">
        <v>295</v>
      </c>
      <c r="C27" s="732" t="s">
        <v>296</v>
      </c>
      <c r="D27" s="732" t="s">
        <v>297</v>
      </c>
      <c r="E27" s="731" t="s">
        <v>319</v>
      </c>
      <c r="F27" s="731" t="s">
        <v>299</v>
      </c>
      <c r="G27" s="733" t="s">
        <v>300</v>
      </c>
      <c r="H27" s="734" t="s">
        <v>301</v>
      </c>
      <c r="I27" s="734"/>
      <c r="J27" s="734"/>
      <c r="K27" s="731" t="s">
        <v>302</v>
      </c>
      <c r="L27" s="735" t="s">
        <v>303</v>
      </c>
      <c r="M27" s="731" t="s">
        <v>304</v>
      </c>
      <c r="N27" s="731"/>
      <c r="O27" s="731" t="s">
        <v>305</v>
      </c>
      <c r="P27" s="198"/>
      <c r="Q27" s="199"/>
      <c r="R27" s="201" t="s">
        <v>326</v>
      </c>
      <c r="S27" s="199"/>
      <c r="T27" s="199"/>
      <c r="U27" s="199"/>
    </row>
    <row r="28" spans="1:207" s="197" customFormat="1" ht="39" x14ac:dyDescent="0.35">
      <c r="A28" s="192"/>
      <c r="B28" s="731"/>
      <c r="C28" s="732"/>
      <c r="D28" s="732"/>
      <c r="E28" s="731"/>
      <c r="F28" s="731"/>
      <c r="G28" s="733"/>
      <c r="H28" s="308" t="s">
        <v>307</v>
      </c>
      <c r="I28" s="308" t="s">
        <v>308</v>
      </c>
      <c r="J28" s="308" t="s">
        <v>309</v>
      </c>
      <c r="K28" s="731"/>
      <c r="L28" s="735"/>
      <c r="M28" s="310" t="s">
        <v>327</v>
      </c>
      <c r="N28" s="330" t="s">
        <v>311</v>
      </c>
      <c r="O28" s="731"/>
      <c r="P28" s="198"/>
      <c r="Q28" s="199"/>
      <c r="R28" s="201" t="s">
        <v>328</v>
      </c>
      <c r="S28" s="199"/>
      <c r="T28" s="199"/>
      <c r="U28" s="199"/>
    </row>
    <row r="29" spans="1:207" x14ac:dyDescent="0.35">
      <c r="B29" s="311" t="s">
        <v>384</v>
      </c>
      <c r="C29" s="312" t="str">
        <f>'CC detallado'!F36</f>
        <v>Mantenimiento de vehículos</v>
      </c>
      <c r="D29" s="331"/>
      <c r="E29" s="318" t="str">
        <f>'CC detallado'!E25</f>
        <v>SBE</v>
      </c>
      <c r="F29" s="333"/>
      <c r="G29" s="333">
        <f>G23+1</f>
        <v>8</v>
      </c>
      <c r="H29" s="337">
        <f>'CC detallado'!N36+'CC detallado'!N25</f>
        <v>53128.689492325851</v>
      </c>
      <c r="I29" s="316">
        <v>1</v>
      </c>
      <c r="J29" s="327">
        <v>0</v>
      </c>
      <c r="K29" s="335" t="s">
        <v>336</v>
      </c>
      <c r="L29" s="335" t="s">
        <v>396</v>
      </c>
      <c r="M29" s="336" t="s">
        <v>522</v>
      </c>
      <c r="N29" s="336" t="s">
        <v>524</v>
      </c>
      <c r="O29" s="332"/>
      <c r="R29" s="201"/>
      <c r="S29" s="201"/>
    </row>
    <row r="30" spans="1:207" x14ac:dyDescent="0.35">
      <c r="B30" s="311" t="s">
        <v>384</v>
      </c>
      <c r="C30" s="312" t="str">
        <f>'CC detallado'!F41</f>
        <v>Servicio de Logística para la Prueba Piloto del Censo</v>
      </c>
      <c r="D30" s="331"/>
      <c r="E30" s="318" t="str">
        <f>'CC detallado'!E41</f>
        <v>SBE</v>
      </c>
      <c r="F30" s="333"/>
      <c r="G30" s="333">
        <f>G29+1</f>
        <v>9</v>
      </c>
      <c r="H30" s="337">
        <f>'CC detallado'!N41</f>
        <v>75898.127846179792</v>
      </c>
      <c r="I30" s="316">
        <v>1</v>
      </c>
      <c r="J30" s="327">
        <v>0</v>
      </c>
      <c r="K30" s="335" t="s">
        <v>336</v>
      </c>
      <c r="L30" s="335" t="s">
        <v>396</v>
      </c>
      <c r="M30" s="336" t="s">
        <v>525</v>
      </c>
      <c r="N30" s="336" t="s">
        <v>526</v>
      </c>
      <c r="O30" s="332"/>
      <c r="R30" s="201"/>
      <c r="S30" s="201"/>
    </row>
    <row r="31" spans="1:207" ht="27" customHeight="1" x14ac:dyDescent="0.35">
      <c r="B31" s="311" t="s">
        <v>384</v>
      </c>
      <c r="C31" s="312" t="str">
        <f>'CC detallado'!F44</f>
        <v>Firma para contratación y gestión del personal para el trabajo de campo</v>
      </c>
      <c r="D31" s="331"/>
      <c r="E31" s="318" t="str">
        <f>'CC detallado'!E44</f>
        <v>LPI</v>
      </c>
      <c r="F31" s="333"/>
      <c r="G31" s="333">
        <f t="shared" ref="G31:G42" si="1">G30+1</f>
        <v>10</v>
      </c>
      <c r="H31" s="337">
        <f>'CC detallado'!N45+'CC detallado'!N64</f>
        <v>335894.75459605327</v>
      </c>
      <c r="I31" s="316">
        <v>1</v>
      </c>
      <c r="J31" s="327">
        <v>0</v>
      </c>
      <c r="K31" s="335" t="s">
        <v>336</v>
      </c>
      <c r="L31" s="335" t="s">
        <v>396</v>
      </c>
      <c r="M31" s="336" t="s">
        <v>523</v>
      </c>
      <c r="N31" s="336" t="s">
        <v>527</v>
      </c>
      <c r="O31" s="332"/>
      <c r="R31" s="201"/>
      <c r="S31" s="201"/>
    </row>
    <row r="32" spans="1:207" ht="26" x14ac:dyDescent="0.35">
      <c r="B32" s="311" t="s">
        <v>384</v>
      </c>
      <c r="C32" s="312" t="str">
        <f>'CC detallado'!F51</f>
        <v>Apoyo Logístico para Censo (Alquiler y mantenimiento de subcentros operativos)</v>
      </c>
      <c r="D32" s="331"/>
      <c r="E32" s="318" t="str">
        <f>'CC detallado'!E51</f>
        <v>SBE</v>
      </c>
      <c r="F32" s="333"/>
      <c r="G32" s="333">
        <f t="shared" si="1"/>
        <v>11</v>
      </c>
      <c r="H32" s="337">
        <f>'CC detallado'!N51</f>
        <v>80958.00303592511</v>
      </c>
      <c r="I32" s="316">
        <v>1</v>
      </c>
      <c r="J32" s="327">
        <v>0</v>
      </c>
      <c r="K32" s="335" t="s">
        <v>336</v>
      </c>
      <c r="L32" s="335" t="s">
        <v>396</v>
      </c>
      <c r="M32" s="336" t="s">
        <v>525</v>
      </c>
      <c r="N32" s="336" t="s">
        <v>527</v>
      </c>
      <c r="O32" s="332"/>
      <c r="R32" s="201"/>
      <c r="S32" s="201"/>
    </row>
    <row r="33" spans="1:207" s="203" customFormat="1" x14ac:dyDescent="0.35">
      <c r="A33" s="192"/>
      <c r="B33" s="311" t="s">
        <v>384</v>
      </c>
      <c r="C33" s="312" t="str">
        <f>'CC detallado'!F52</f>
        <v>Materiales para las capacitaciones y catering</v>
      </c>
      <c r="D33" s="331"/>
      <c r="E33" s="318" t="str">
        <f>'CC detallado'!E52</f>
        <v>SBE</v>
      </c>
      <c r="F33" s="333"/>
      <c r="G33" s="333">
        <f t="shared" si="1"/>
        <v>12</v>
      </c>
      <c r="H33" s="337">
        <f>'CC detallado'!N52</f>
        <v>168662.506324844</v>
      </c>
      <c r="I33" s="316">
        <v>1</v>
      </c>
      <c r="J33" s="327">
        <v>0</v>
      </c>
      <c r="K33" s="335" t="s">
        <v>336</v>
      </c>
      <c r="L33" s="335" t="s">
        <v>396</v>
      </c>
      <c r="M33" s="336" t="s">
        <v>522</v>
      </c>
      <c r="N33" s="336" t="s">
        <v>524</v>
      </c>
      <c r="O33" s="332"/>
      <c r="P33" s="192"/>
      <c r="Q33" s="197"/>
      <c r="R33" s="201"/>
      <c r="S33" s="201"/>
      <c r="T33" s="197"/>
      <c r="U33" s="197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/>
      <c r="AR33" s="197"/>
      <c r="AS33" s="197"/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7"/>
      <c r="BN33" s="197"/>
      <c r="BO33" s="197"/>
      <c r="BP33" s="197"/>
      <c r="BQ33" s="197"/>
      <c r="BR33" s="197"/>
      <c r="BS33" s="197"/>
      <c r="BT33" s="197"/>
      <c r="BU33" s="197"/>
      <c r="BV33" s="197"/>
      <c r="BW33" s="197"/>
      <c r="BX33" s="197"/>
      <c r="BY33" s="197"/>
      <c r="BZ33" s="197"/>
      <c r="CA33" s="197"/>
      <c r="CB33" s="197"/>
      <c r="CC33" s="197"/>
      <c r="CD33" s="197"/>
      <c r="CE33" s="197"/>
      <c r="CF33" s="197"/>
      <c r="CG33" s="197"/>
      <c r="CH33" s="197"/>
      <c r="CI33" s="197"/>
      <c r="CJ33" s="197"/>
      <c r="CK33" s="197"/>
      <c r="CL33" s="197"/>
      <c r="CM33" s="197"/>
      <c r="CN33" s="197"/>
      <c r="CO33" s="197"/>
      <c r="CP33" s="197"/>
      <c r="CQ33" s="197"/>
      <c r="CR33" s="197"/>
      <c r="CS33" s="197"/>
      <c r="CT33" s="197"/>
      <c r="CU33" s="197"/>
      <c r="CV33" s="197"/>
      <c r="CW33" s="197"/>
      <c r="CX33" s="197"/>
      <c r="CY33" s="197"/>
      <c r="CZ33" s="197"/>
      <c r="DA33" s="197"/>
      <c r="DB33" s="197"/>
      <c r="DC33" s="197"/>
      <c r="DD33" s="197"/>
      <c r="DE33" s="197"/>
      <c r="DF33" s="197"/>
      <c r="DG33" s="197"/>
      <c r="DH33" s="197"/>
      <c r="DI33" s="197"/>
      <c r="DJ33" s="197"/>
      <c r="DK33" s="197"/>
      <c r="DL33" s="197"/>
      <c r="DM33" s="197"/>
      <c r="DN33" s="197"/>
      <c r="DO33" s="197"/>
      <c r="DP33" s="197"/>
      <c r="DQ33" s="197"/>
      <c r="DR33" s="197"/>
      <c r="DS33" s="197"/>
      <c r="DT33" s="197"/>
      <c r="DU33" s="197"/>
      <c r="DV33" s="197"/>
      <c r="DW33" s="197"/>
      <c r="DX33" s="197"/>
      <c r="DY33" s="197"/>
      <c r="DZ33" s="197"/>
      <c r="EA33" s="197"/>
      <c r="EB33" s="197"/>
      <c r="EC33" s="197"/>
      <c r="ED33" s="197"/>
      <c r="EE33" s="197"/>
      <c r="EF33" s="197"/>
      <c r="EG33" s="197"/>
      <c r="EH33" s="197"/>
      <c r="EI33" s="197"/>
      <c r="EJ33" s="197"/>
      <c r="EK33" s="197"/>
      <c r="EL33" s="197"/>
      <c r="EM33" s="197"/>
      <c r="EN33" s="197"/>
      <c r="EO33" s="197"/>
      <c r="EP33" s="197"/>
      <c r="EQ33" s="197"/>
      <c r="ER33" s="197"/>
      <c r="ES33" s="197"/>
      <c r="ET33" s="197"/>
      <c r="EU33" s="197"/>
      <c r="EV33" s="197"/>
      <c r="EW33" s="197"/>
      <c r="EX33" s="197"/>
      <c r="EY33" s="197"/>
      <c r="EZ33" s="197"/>
      <c r="FA33" s="197"/>
      <c r="FB33" s="197"/>
      <c r="FC33" s="197"/>
      <c r="FD33" s="197"/>
      <c r="FE33" s="197"/>
      <c r="FF33" s="197"/>
      <c r="FG33" s="197"/>
      <c r="FH33" s="197"/>
      <c r="FI33" s="197"/>
      <c r="FJ33" s="197"/>
      <c r="FK33" s="197"/>
      <c r="FL33" s="197"/>
      <c r="FM33" s="197"/>
      <c r="FN33" s="197"/>
      <c r="FO33" s="197"/>
      <c r="FP33" s="197"/>
      <c r="FQ33" s="197"/>
      <c r="FR33" s="197"/>
      <c r="FS33" s="197"/>
      <c r="FT33" s="197"/>
      <c r="FU33" s="197"/>
      <c r="FV33" s="197"/>
      <c r="FW33" s="197"/>
      <c r="FX33" s="197"/>
      <c r="FY33" s="197"/>
      <c r="FZ33" s="197"/>
      <c r="GA33" s="197"/>
      <c r="GB33" s="197"/>
      <c r="GC33" s="197"/>
      <c r="GD33" s="197"/>
      <c r="GE33" s="197"/>
      <c r="GF33" s="197"/>
      <c r="GG33" s="197"/>
      <c r="GH33" s="197"/>
      <c r="GI33" s="197"/>
      <c r="GJ33" s="197"/>
      <c r="GK33" s="197"/>
      <c r="GL33" s="197"/>
      <c r="GM33" s="197"/>
      <c r="GN33" s="197"/>
      <c r="GO33" s="197"/>
      <c r="GP33" s="197"/>
      <c r="GQ33" s="197"/>
      <c r="GR33" s="197"/>
      <c r="GS33" s="197"/>
      <c r="GT33" s="197"/>
      <c r="GU33" s="197"/>
      <c r="GV33" s="197"/>
      <c r="GW33" s="197"/>
      <c r="GX33" s="197"/>
      <c r="GY33" s="197"/>
    </row>
    <row r="34" spans="1:207" s="203" customFormat="1" x14ac:dyDescent="0.35">
      <c r="A34" s="192"/>
      <c r="B34" s="311" t="s">
        <v>384</v>
      </c>
      <c r="C34" s="312" t="str">
        <f>'CC detallado'!F53</f>
        <v>Diseño e Impresión de cuestionarios censales</v>
      </c>
      <c r="D34" s="331"/>
      <c r="E34" s="318" t="s">
        <v>433</v>
      </c>
      <c r="F34" s="333"/>
      <c r="G34" s="333">
        <f t="shared" si="1"/>
        <v>13</v>
      </c>
      <c r="H34" s="337">
        <f>'CC detallado'!N53</f>
        <v>20239.500758981278</v>
      </c>
      <c r="I34" s="316">
        <v>1</v>
      </c>
      <c r="J34" s="327">
        <v>0</v>
      </c>
      <c r="K34" s="335" t="s">
        <v>336</v>
      </c>
      <c r="L34" s="335" t="s">
        <v>396</v>
      </c>
      <c r="M34" s="336" t="s">
        <v>522</v>
      </c>
      <c r="N34" s="336" t="s">
        <v>524</v>
      </c>
      <c r="O34" s="332"/>
      <c r="P34" s="192"/>
      <c r="Q34" s="197"/>
      <c r="R34" s="201"/>
      <c r="S34" s="201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197"/>
      <c r="AL34" s="197"/>
      <c r="AM34" s="197"/>
      <c r="AN34" s="197"/>
      <c r="AO34" s="197"/>
      <c r="AP34" s="197"/>
      <c r="AQ34" s="197"/>
      <c r="AR34" s="197"/>
      <c r="AS34" s="197"/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7"/>
      <c r="BN34" s="197"/>
      <c r="BO34" s="197"/>
      <c r="BP34" s="197"/>
      <c r="BQ34" s="197"/>
      <c r="BR34" s="197"/>
      <c r="BS34" s="197"/>
      <c r="BT34" s="197"/>
      <c r="BU34" s="197"/>
      <c r="BV34" s="197"/>
      <c r="BW34" s="197"/>
      <c r="BX34" s="197"/>
      <c r="BY34" s="197"/>
      <c r="BZ34" s="197"/>
      <c r="CA34" s="197"/>
      <c r="CB34" s="197"/>
      <c r="CC34" s="197"/>
      <c r="CD34" s="197"/>
      <c r="CE34" s="197"/>
      <c r="CF34" s="197"/>
      <c r="CG34" s="197"/>
      <c r="CH34" s="197"/>
      <c r="CI34" s="197"/>
      <c r="CJ34" s="197"/>
      <c r="CK34" s="197"/>
      <c r="CL34" s="197"/>
      <c r="CM34" s="197"/>
      <c r="CN34" s="197"/>
      <c r="CO34" s="197"/>
      <c r="CP34" s="197"/>
      <c r="CQ34" s="197"/>
      <c r="CR34" s="197"/>
      <c r="CS34" s="197"/>
      <c r="CT34" s="197"/>
      <c r="CU34" s="197"/>
      <c r="CV34" s="197"/>
      <c r="CW34" s="197"/>
      <c r="CX34" s="197"/>
      <c r="CY34" s="197"/>
      <c r="CZ34" s="197"/>
      <c r="DA34" s="197"/>
      <c r="DB34" s="197"/>
      <c r="DC34" s="197"/>
      <c r="DD34" s="197"/>
      <c r="DE34" s="197"/>
      <c r="DF34" s="197"/>
      <c r="DG34" s="197"/>
      <c r="DH34" s="197"/>
      <c r="DI34" s="197"/>
      <c r="DJ34" s="197"/>
      <c r="DK34" s="197"/>
      <c r="DL34" s="197"/>
      <c r="DM34" s="197"/>
      <c r="DN34" s="197"/>
      <c r="DO34" s="197"/>
      <c r="DP34" s="197"/>
      <c r="DQ34" s="197"/>
      <c r="DR34" s="197"/>
      <c r="DS34" s="197"/>
      <c r="DT34" s="197"/>
      <c r="DU34" s="197"/>
      <c r="DV34" s="197"/>
      <c r="DW34" s="197"/>
      <c r="DX34" s="197"/>
      <c r="DY34" s="197"/>
      <c r="DZ34" s="197"/>
      <c r="EA34" s="197"/>
      <c r="EB34" s="197"/>
      <c r="EC34" s="197"/>
      <c r="ED34" s="197"/>
      <c r="EE34" s="197"/>
      <c r="EF34" s="197"/>
      <c r="EG34" s="197"/>
      <c r="EH34" s="197"/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  <c r="FF34" s="197"/>
      <c r="FG34" s="197"/>
      <c r="FH34" s="197"/>
      <c r="FI34" s="197"/>
      <c r="FJ34" s="197"/>
      <c r="FK34" s="197"/>
      <c r="FL34" s="197"/>
      <c r="FM34" s="197"/>
      <c r="FN34" s="197"/>
      <c r="FO34" s="197"/>
      <c r="FP34" s="197"/>
      <c r="FQ34" s="197"/>
      <c r="FR34" s="197"/>
      <c r="FS34" s="197"/>
      <c r="FT34" s="197"/>
      <c r="FU34" s="197"/>
      <c r="FV34" s="197"/>
      <c r="FW34" s="197"/>
      <c r="FX34" s="197"/>
      <c r="FY34" s="197"/>
      <c r="FZ34" s="197"/>
      <c r="GA34" s="197"/>
      <c r="GB34" s="197"/>
      <c r="GC34" s="197"/>
      <c r="GD34" s="197"/>
      <c r="GE34" s="197"/>
      <c r="GF34" s="197"/>
      <c r="GG34" s="197"/>
      <c r="GH34" s="197"/>
      <c r="GI34" s="197"/>
      <c r="GJ34" s="197"/>
      <c r="GK34" s="197"/>
      <c r="GL34" s="197"/>
      <c r="GM34" s="197"/>
      <c r="GN34" s="197"/>
      <c r="GO34" s="197"/>
      <c r="GP34" s="197"/>
      <c r="GQ34" s="197"/>
      <c r="GR34" s="197"/>
      <c r="GS34" s="197"/>
      <c r="GT34" s="197"/>
      <c r="GU34" s="197"/>
      <c r="GV34" s="197"/>
      <c r="GW34" s="197"/>
      <c r="GX34" s="197"/>
      <c r="GY34" s="197"/>
    </row>
    <row r="35" spans="1:207" s="203" customFormat="1" x14ac:dyDescent="0.35">
      <c r="A35" s="192"/>
      <c r="B35" s="311" t="s">
        <v>384</v>
      </c>
      <c r="C35" s="312" t="str">
        <f>'CC detallado'!F54</f>
        <v>Identificador Personal(chalecos, quepis, porta nombre)</v>
      </c>
      <c r="D35" s="331"/>
      <c r="E35" s="318" t="s">
        <v>433</v>
      </c>
      <c r="F35" s="333"/>
      <c r="G35" s="333">
        <f t="shared" si="1"/>
        <v>14</v>
      </c>
      <c r="H35" s="337">
        <f>'CC detallado'!N54</f>
        <v>55658.627087198518</v>
      </c>
      <c r="I35" s="316">
        <v>1</v>
      </c>
      <c r="J35" s="327">
        <v>0</v>
      </c>
      <c r="K35" s="335" t="s">
        <v>336</v>
      </c>
      <c r="L35" s="335" t="s">
        <v>396</v>
      </c>
      <c r="M35" s="336" t="s">
        <v>522</v>
      </c>
      <c r="N35" s="336" t="s">
        <v>524</v>
      </c>
      <c r="O35" s="332"/>
      <c r="P35" s="192"/>
      <c r="Q35" s="197"/>
      <c r="R35" s="201"/>
      <c r="S35" s="201"/>
      <c r="T35" s="197"/>
      <c r="U35" s="197"/>
      <c r="V35" s="197"/>
      <c r="W35" s="197"/>
      <c r="X35" s="197"/>
      <c r="Y35" s="197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197"/>
      <c r="AL35" s="197"/>
      <c r="AM35" s="197"/>
      <c r="AN35" s="197"/>
      <c r="AO35" s="197"/>
      <c r="AP35" s="197"/>
      <c r="AQ35" s="197"/>
      <c r="AR35" s="197"/>
      <c r="AS35" s="197"/>
      <c r="AT35" s="197"/>
      <c r="AU35" s="197"/>
      <c r="AV35" s="197"/>
      <c r="AW35" s="197"/>
      <c r="AX35" s="197"/>
      <c r="AY35" s="197"/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7"/>
      <c r="BN35" s="197"/>
      <c r="BO35" s="197"/>
      <c r="BP35" s="197"/>
      <c r="BQ35" s="197"/>
      <c r="BR35" s="197"/>
      <c r="BS35" s="197"/>
      <c r="BT35" s="197"/>
      <c r="BU35" s="197"/>
      <c r="BV35" s="197"/>
      <c r="BW35" s="197"/>
      <c r="BX35" s="197"/>
      <c r="BY35" s="197"/>
      <c r="BZ35" s="197"/>
      <c r="CA35" s="197"/>
      <c r="CB35" s="197"/>
      <c r="CC35" s="197"/>
      <c r="CD35" s="197"/>
      <c r="CE35" s="197"/>
      <c r="CF35" s="197"/>
      <c r="CG35" s="197"/>
      <c r="CH35" s="197"/>
      <c r="CI35" s="197"/>
      <c r="CJ35" s="197"/>
      <c r="CK35" s="197"/>
      <c r="CL35" s="197"/>
      <c r="CM35" s="197"/>
      <c r="CN35" s="197"/>
      <c r="CO35" s="197"/>
      <c r="CP35" s="197"/>
      <c r="CQ35" s="197"/>
      <c r="CR35" s="197"/>
      <c r="CS35" s="197"/>
      <c r="CT35" s="197"/>
      <c r="CU35" s="197"/>
      <c r="CV35" s="197"/>
      <c r="CW35" s="197"/>
      <c r="CX35" s="197"/>
      <c r="CY35" s="197"/>
      <c r="CZ35" s="197"/>
      <c r="DA35" s="197"/>
      <c r="DB35" s="197"/>
      <c r="DC35" s="197"/>
      <c r="DD35" s="197"/>
      <c r="DE35" s="197"/>
      <c r="DF35" s="197"/>
      <c r="DG35" s="197"/>
      <c r="DH35" s="197"/>
      <c r="DI35" s="197"/>
      <c r="DJ35" s="197"/>
      <c r="DK35" s="197"/>
      <c r="DL35" s="197"/>
      <c r="DM35" s="197"/>
      <c r="DN35" s="197"/>
      <c r="DO35" s="197"/>
      <c r="DP35" s="197"/>
      <c r="DQ35" s="197"/>
      <c r="DR35" s="197"/>
      <c r="DS35" s="197"/>
      <c r="DT35" s="197"/>
      <c r="DU35" s="197"/>
      <c r="DV35" s="197"/>
      <c r="DW35" s="197"/>
      <c r="DX35" s="197"/>
      <c r="DY35" s="197"/>
      <c r="DZ35" s="197"/>
      <c r="EA35" s="197"/>
      <c r="EB35" s="197"/>
      <c r="EC35" s="197"/>
      <c r="ED35" s="197"/>
      <c r="EE35" s="197"/>
      <c r="EF35" s="197"/>
      <c r="EG35" s="197"/>
      <c r="EH35" s="197"/>
      <c r="EI35" s="197"/>
      <c r="EJ35" s="197"/>
      <c r="EK35" s="197"/>
      <c r="EL35" s="197"/>
      <c r="EM35" s="197"/>
      <c r="EN35" s="197"/>
      <c r="EO35" s="197"/>
      <c r="EP35" s="197"/>
      <c r="EQ35" s="197"/>
      <c r="ER35" s="197"/>
      <c r="ES35" s="197"/>
      <c r="ET35" s="197"/>
      <c r="EU35" s="197"/>
      <c r="EV35" s="197"/>
      <c r="EW35" s="197"/>
      <c r="EX35" s="197"/>
      <c r="EY35" s="197"/>
      <c r="EZ35" s="197"/>
      <c r="FA35" s="197"/>
      <c r="FB35" s="197"/>
      <c r="FC35" s="197"/>
      <c r="FD35" s="197"/>
      <c r="FE35" s="197"/>
      <c r="FF35" s="197"/>
      <c r="FG35" s="197"/>
      <c r="FH35" s="197"/>
      <c r="FI35" s="197"/>
      <c r="FJ35" s="197"/>
      <c r="FK35" s="197"/>
      <c r="FL35" s="197"/>
      <c r="FM35" s="197"/>
      <c r="FN35" s="197"/>
      <c r="FO35" s="197"/>
      <c r="FP35" s="197"/>
      <c r="FQ35" s="197"/>
      <c r="FR35" s="197"/>
      <c r="FS35" s="197"/>
      <c r="FT35" s="197"/>
      <c r="FU35" s="197"/>
      <c r="FV35" s="197"/>
      <c r="FW35" s="197"/>
      <c r="FX35" s="197"/>
      <c r="FY35" s="197"/>
      <c r="FZ35" s="197"/>
      <c r="GA35" s="197"/>
      <c r="GB35" s="197"/>
      <c r="GC35" s="197"/>
      <c r="GD35" s="197"/>
      <c r="GE35" s="197"/>
      <c r="GF35" s="197"/>
      <c r="GG35" s="197"/>
      <c r="GH35" s="197"/>
      <c r="GI35" s="197"/>
      <c r="GJ35" s="197"/>
      <c r="GK35" s="197"/>
      <c r="GL35" s="197"/>
      <c r="GM35" s="197"/>
      <c r="GN35" s="197"/>
      <c r="GO35" s="197"/>
      <c r="GP35" s="197"/>
      <c r="GQ35" s="197"/>
      <c r="GR35" s="197"/>
      <c r="GS35" s="197"/>
      <c r="GT35" s="197"/>
      <c r="GU35" s="197"/>
      <c r="GV35" s="197"/>
      <c r="GW35" s="197"/>
      <c r="GX35" s="197"/>
      <c r="GY35" s="197"/>
    </row>
    <row r="36" spans="1:207" s="206" customFormat="1" x14ac:dyDescent="0.35">
      <c r="A36" s="205"/>
      <c r="B36" s="311" t="s">
        <v>384</v>
      </c>
      <c r="C36" s="312" t="s">
        <v>434</v>
      </c>
      <c r="D36" s="338"/>
      <c r="E36" s="318" t="str">
        <f>'CC detallado'!E56</f>
        <v>SBE</v>
      </c>
      <c r="F36" s="339"/>
      <c r="G36" s="333">
        <f t="shared" si="1"/>
        <v>15</v>
      </c>
      <c r="H36" s="315">
        <f>'CC detallado'!N56+'CC detallado'!N57</f>
        <v>236127.5088547816</v>
      </c>
      <c r="I36" s="316">
        <v>1</v>
      </c>
      <c r="J36" s="327">
        <v>0</v>
      </c>
      <c r="K36" s="311" t="s">
        <v>336</v>
      </c>
      <c r="L36" s="311" t="s">
        <v>396</v>
      </c>
      <c r="M36" s="336" t="s">
        <v>525</v>
      </c>
      <c r="N36" s="336" t="s">
        <v>527</v>
      </c>
      <c r="O36" s="332"/>
      <c r="P36" s="205"/>
      <c r="Q36" s="197"/>
      <c r="R36" s="201"/>
      <c r="S36" s="201"/>
      <c r="T36" s="197"/>
      <c r="U36" s="197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7"/>
      <c r="AR36" s="197"/>
      <c r="AS36" s="197"/>
      <c r="AT36" s="197"/>
      <c r="AU36" s="197"/>
      <c r="AV36" s="197"/>
      <c r="AW36" s="197"/>
      <c r="AX36" s="197"/>
      <c r="AY36" s="197"/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7"/>
      <c r="BN36" s="197"/>
      <c r="BO36" s="197"/>
      <c r="BP36" s="197"/>
      <c r="BQ36" s="197"/>
      <c r="BR36" s="197"/>
      <c r="BS36" s="197"/>
      <c r="BT36" s="197"/>
      <c r="BU36" s="197"/>
      <c r="BV36" s="197"/>
      <c r="BW36" s="197"/>
      <c r="BX36" s="197"/>
      <c r="BY36" s="197"/>
      <c r="BZ36" s="197"/>
      <c r="CA36" s="197"/>
      <c r="CB36" s="197"/>
      <c r="CC36" s="197"/>
      <c r="CD36" s="197"/>
      <c r="CE36" s="197"/>
      <c r="CF36" s="197"/>
      <c r="CG36" s="197"/>
      <c r="CH36" s="197"/>
      <c r="CI36" s="197"/>
      <c r="CJ36" s="197"/>
      <c r="CK36" s="197"/>
      <c r="CL36" s="197"/>
      <c r="CM36" s="197"/>
      <c r="CN36" s="197"/>
      <c r="CO36" s="197"/>
      <c r="CP36" s="197"/>
      <c r="CQ36" s="197"/>
      <c r="CR36" s="197"/>
      <c r="CS36" s="197"/>
      <c r="CT36" s="197"/>
      <c r="CU36" s="197"/>
      <c r="CV36" s="197"/>
      <c r="CW36" s="197"/>
      <c r="CX36" s="197"/>
      <c r="CY36" s="197"/>
      <c r="CZ36" s="197"/>
      <c r="DA36" s="197"/>
      <c r="DB36" s="197"/>
      <c r="DC36" s="197"/>
      <c r="DD36" s="197"/>
      <c r="DE36" s="197"/>
      <c r="DF36" s="197"/>
      <c r="DG36" s="197"/>
      <c r="DH36" s="197"/>
      <c r="DI36" s="197"/>
      <c r="DJ36" s="197"/>
      <c r="DK36" s="197"/>
      <c r="DL36" s="197"/>
      <c r="DM36" s="197"/>
      <c r="DN36" s="197"/>
      <c r="DO36" s="197"/>
      <c r="DP36" s="197"/>
      <c r="DQ36" s="197"/>
      <c r="DR36" s="197"/>
      <c r="DS36" s="197"/>
      <c r="DT36" s="197"/>
      <c r="DU36" s="197"/>
      <c r="DV36" s="197"/>
      <c r="DW36" s="197"/>
      <c r="DX36" s="197"/>
      <c r="DY36" s="197"/>
      <c r="DZ36" s="197"/>
      <c r="EA36" s="197"/>
      <c r="EB36" s="197"/>
      <c r="EC36" s="197"/>
      <c r="ED36" s="197"/>
      <c r="EE36" s="197"/>
      <c r="EF36" s="197"/>
      <c r="EG36" s="197"/>
      <c r="EH36" s="197"/>
      <c r="EI36" s="197"/>
      <c r="EJ36" s="197"/>
      <c r="EK36" s="197"/>
      <c r="EL36" s="197"/>
      <c r="EM36" s="197"/>
      <c r="EN36" s="197"/>
      <c r="EO36" s="197"/>
      <c r="EP36" s="197"/>
      <c r="EQ36" s="197"/>
      <c r="ER36" s="197"/>
      <c r="ES36" s="197"/>
      <c r="ET36" s="197"/>
      <c r="EU36" s="197"/>
      <c r="EV36" s="197"/>
      <c r="EW36" s="197"/>
      <c r="EX36" s="197"/>
      <c r="EY36" s="197"/>
      <c r="EZ36" s="197"/>
      <c r="FA36" s="197"/>
      <c r="FB36" s="197"/>
      <c r="FC36" s="197"/>
      <c r="FD36" s="197"/>
      <c r="FE36" s="197"/>
      <c r="FF36" s="197"/>
      <c r="FG36" s="197"/>
      <c r="FH36" s="197"/>
      <c r="FI36" s="197"/>
      <c r="FJ36" s="197"/>
      <c r="FK36" s="197"/>
      <c r="FL36" s="197"/>
      <c r="FM36" s="197"/>
      <c r="FN36" s="197"/>
      <c r="FO36" s="197"/>
      <c r="FP36" s="197"/>
      <c r="FQ36" s="197"/>
      <c r="FR36" s="197"/>
      <c r="FS36" s="197"/>
      <c r="FT36" s="197"/>
      <c r="FU36" s="197"/>
      <c r="FV36" s="197"/>
      <c r="FW36" s="197"/>
      <c r="FX36" s="197"/>
      <c r="FY36" s="197"/>
      <c r="FZ36" s="197"/>
      <c r="GA36" s="197"/>
      <c r="GB36" s="197"/>
      <c r="GC36" s="197"/>
      <c r="GD36" s="197"/>
      <c r="GE36" s="197"/>
      <c r="GF36" s="197"/>
      <c r="GG36" s="197"/>
      <c r="GH36" s="197"/>
      <c r="GI36" s="197"/>
      <c r="GJ36" s="197"/>
      <c r="GK36" s="197"/>
      <c r="GL36" s="197"/>
      <c r="GM36" s="197"/>
      <c r="GN36" s="197"/>
      <c r="GO36" s="197"/>
      <c r="GP36" s="197"/>
      <c r="GQ36" s="197"/>
      <c r="GR36" s="197"/>
      <c r="GS36" s="197"/>
      <c r="GT36" s="197"/>
      <c r="GU36" s="197"/>
      <c r="GV36" s="197"/>
      <c r="GW36" s="197"/>
      <c r="GX36" s="197"/>
      <c r="GY36" s="197"/>
    </row>
    <row r="37" spans="1:207" s="203" customFormat="1" x14ac:dyDescent="0.35">
      <c r="A37" s="192"/>
      <c r="B37" s="311" t="s">
        <v>384</v>
      </c>
      <c r="C37" s="312" t="str">
        <f>'CC detallado'!F79</f>
        <v>Publicaciones de resultados censales</v>
      </c>
      <c r="D37" s="338"/>
      <c r="E37" s="318" t="str">
        <f>'CC detallado'!E79</f>
        <v>SBE</v>
      </c>
      <c r="F37" s="339"/>
      <c r="G37" s="333">
        <f t="shared" si="1"/>
        <v>16</v>
      </c>
      <c r="H37" s="337">
        <f>'CC detallado'!N79</f>
        <v>84331.253162421999</v>
      </c>
      <c r="I37" s="316">
        <v>1</v>
      </c>
      <c r="J37" s="327">
        <v>0</v>
      </c>
      <c r="K37" s="335" t="s">
        <v>336</v>
      </c>
      <c r="L37" s="311" t="s">
        <v>396</v>
      </c>
      <c r="M37" s="336" t="s">
        <v>528</v>
      </c>
      <c r="N37" s="336" t="s">
        <v>529</v>
      </c>
      <c r="O37" s="332"/>
      <c r="P37" s="192"/>
      <c r="Q37" s="197"/>
      <c r="R37" s="201"/>
      <c r="S37" s="201"/>
      <c r="T37" s="197"/>
      <c r="U37" s="197"/>
      <c r="V37" s="197"/>
      <c r="W37" s="197"/>
      <c r="X37" s="197"/>
      <c r="Y37" s="197"/>
      <c r="Z37" s="197"/>
      <c r="AA37" s="197"/>
      <c r="AB37" s="197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7"/>
      <c r="AO37" s="197"/>
      <c r="AP37" s="197"/>
      <c r="AQ37" s="197"/>
      <c r="AR37" s="197"/>
      <c r="AS37" s="197"/>
      <c r="AT37" s="197"/>
      <c r="AU37" s="197"/>
      <c r="AV37" s="197"/>
      <c r="AW37" s="197"/>
      <c r="AX37" s="197"/>
      <c r="AY37" s="197"/>
      <c r="AZ37" s="197"/>
      <c r="BA37" s="197"/>
      <c r="BB37" s="197"/>
      <c r="BC37" s="197"/>
      <c r="BD37" s="197"/>
      <c r="BE37" s="197"/>
      <c r="BF37" s="197"/>
      <c r="BG37" s="197"/>
      <c r="BH37" s="197"/>
      <c r="BI37" s="197"/>
      <c r="BJ37" s="197"/>
      <c r="BK37" s="197"/>
      <c r="BL37" s="197"/>
      <c r="BM37" s="197"/>
      <c r="BN37" s="197"/>
      <c r="BO37" s="197"/>
      <c r="BP37" s="197"/>
      <c r="BQ37" s="197"/>
      <c r="BR37" s="197"/>
      <c r="BS37" s="197"/>
      <c r="BT37" s="197"/>
      <c r="BU37" s="197"/>
      <c r="BV37" s="197"/>
      <c r="BW37" s="197"/>
      <c r="BX37" s="197"/>
      <c r="BY37" s="197"/>
      <c r="BZ37" s="197"/>
      <c r="CA37" s="197"/>
      <c r="CB37" s="197"/>
      <c r="CC37" s="197"/>
      <c r="CD37" s="197"/>
      <c r="CE37" s="197"/>
      <c r="CF37" s="197"/>
      <c r="CG37" s="197"/>
      <c r="CH37" s="197"/>
      <c r="CI37" s="197"/>
      <c r="CJ37" s="197"/>
      <c r="CK37" s="197"/>
      <c r="CL37" s="197"/>
      <c r="CM37" s="197"/>
      <c r="CN37" s="197"/>
      <c r="CO37" s="197"/>
      <c r="CP37" s="197"/>
      <c r="CQ37" s="197"/>
      <c r="CR37" s="197"/>
      <c r="CS37" s="197"/>
      <c r="CT37" s="197"/>
      <c r="CU37" s="197"/>
      <c r="CV37" s="197"/>
      <c r="CW37" s="197"/>
      <c r="CX37" s="197"/>
      <c r="CY37" s="197"/>
      <c r="CZ37" s="197"/>
      <c r="DA37" s="197"/>
      <c r="DB37" s="197"/>
      <c r="DC37" s="197"/>
      <c r="DD37" s="197"/>
      <c r="DE37" s="197"/>
      <c r="DF37" s="197"/>
      <c r="DG37" s="197"/>
      <c r="DH37" s="197"/>
      <c r="DI37" s="197"/>
      <c r="DJ37" s="197"/>
      <c r="DK37" s="197"/>
      <c r="DL37" s="197"/>
      <c r="DM37" s="197"/>
      <c r="DN37" s="197"/>
      <c r="DO37" s="197"/>
      <c r="DP37" s="197"/>
      <c r="DQ37" s="197"/>
      <c r="DR37" s="197"/>
      <c r="DS37" s="197"/>
      <c r="DT37" s="197"/>
      <c r="DU37" s="197"/>
      <c r="DV37" s="197"/>
      <c r="DW37" s="197"/>
      <c r="DX37" s="197"/>
      <c r="DY37" s="197"/>
      <c r="DZ37" s="197"/>
      <c r="EA37" s="197"/>
      <c r="EB37" s="197"/>
      <c r="EC37" s="197"/>
      <c r="ED37" s="197"/>
      <c r="EE37" s="197"/>
      <c r="EF37" s="197"/>
      <c r="EG37" s="197"/>
      <c r="EH37" s="197"/>
      <c r="EI37" s="197"/>
      <c r="EJ37" s="197"/>
      <c r="EK37" s="197"/>
      <c r="EL37" s="197"/>
      <c r="EM37" s="197"/>
      <c r="EN37" s="197"/>
      <c r="EO37" s="197"/>
      <c r="EP37" s="197"/>
      <c r="EQ37" s="197"/>
      <c r="ER37" s="197"/>
      <c r="ES37" s="197"/>
      <c r="ET37" s="197"/>
      <c r="EU37" s="197"/>
      <c r="EV37" s="197"/>
      <c r="EW37" s="197"/>
      <c r="EX37" s="197"/>
      <c r="EY37" s="197"/>
      <c r="EZ37" s="197"/>
      <c r="FA37" s="197"/>
      <c r="FB37" s="197"/>
      <c r="FC37" s="197"/>
      <c r="FD37" s="197"/>
      <c r="FE37" s="197"/>
      <c r="FF37" s="197"/>
      <c r="FG37" s="197"/>
      <c r="FH37" s="197"/>
      <c r="FI37" s="197"/>
      <c r="FJ37" s="197"/>
      <c r="FK37" s="197"/>
      <c r="FL37" s="197"/>
      <c r="FM37" s="197"/>
      <c r="FN37" s="197"/>
      <c r="FO37" s="197"/>
      <c r="FP37" s="197"/>
      <c r="FQ37" s="197"/>
      <c r="FR37" s="197"/>
      <c r="FS37" s="197"/>
      <c r="FT37" s="197"/>
      <c r="FU37" s="197"/>
      <c r="FV37" s="197"/>
      <c r="FW37" s="197"/>
      <c r="FX37" s="197"/>
      <c r="FY37" s="197"/>
      <c r="FZ37" s="197"/>
      <c r="GA37" s="197"/>
      <c r="GB37" s="197"/>
      <c r="GC37" s="197"/>
      <c r="GD37" s="197"/>
      <c r="GE37" s="197"/>
      <c r="GF37" s="197"/>
      <c r="GG37" s="197"/>
      <c r="GH37" s="197"/>
      <c r="GI37" s="197"/>
      <c r="GJ37" s="197"/>
      <c r="GK37" s="197"/>
      <c r="GL37" s="197"/>
      <c r="GM37" s="197"/>
      <c r="GN37" s="197"/>
      <c r="GO37" s="197"/>
      <c r="GP37" s="197"/>
      <c r="GQ37" s="197"/>
      <c r="GR37" s="197"/>
      <c r="GS37" s="197"/>
      <c r="GT37" s="197"/>
      <c r="GU37" s="197"/>
      <c r="GV37" s="197"/>
      <c r="GW37" s="197"/>
      <c r="GX37" s="197"/>
      <c r="GY37" s="197"/>
    </row>
    <row r="38" spans="1:207" x14ac:dyDescent="0.35">
      <c r="B38" s="311" t="s">
        <v>384</v>
      </c>
      <c r="C38" s="312" t="s">
        <v>435</v>
      </c>
      <c r="D38" s="338"/>
      <c r="E38" s="318" t="str">
        <f>'CC detallado'!E90</f>
        <v>CP</v>
      </c>
      <c r="F38" s="339"/>
      <c r="G38" s="333">
        <f t="shared" si="1"/>
        <v>17</v>
      </c>
      <c r="H38" s="315">
        <f>'CC detallado'!N89</f>
        <v>35419.126328217237</v>
      </c>
      <c r="I38" s="316">
        <v>1</v>
      </c>
      <c r="J38" s="327">
        <v>0</v>
      </c>
      <c r="K38" s="311" t="s">
        <v>321</v>
      </c>
      <c r="L38" s="311" t="s">
        <v>396</v>
      </c>
      <c r="M38" s="336" t="s">
        <v>522</v>
      </c>
      <c r="N38" s="336" t="s">
        <v>522</v>
      </c>
      <c r="O38" s="332"/>
    </row>
    <row r="39" spans="1:207" x14ac:dyDescent="0.35">
      <c r="B39" s="311" t="s">
        <v>384</v>
      </c>
      <c r="C39" s="312" t="str">
        <f>'CC detallado'!F132</f>
        <v>Seguros de vehiculos</v>
      </c>
      <c r="D39" s="338"/>
      <c r="E39" s="318" t="str">
        <f>'CC detallado'!E132</f>
        <v>SBE</v>
      </c>
      <c r="F39" s="339"/>
      <c r="G39" s="333">
        <f t="shared" si="1"/>
        <v>18</v>
      </c>
      <c r="H39" s="337">
        <f>'CC detallado'!N132</f>
        <v>32500</v>
      </c>
      <c r="I39" s="316">
        <v>1</v>
      </c>
      <c r="J39" s="327">
        <v>0</v>
      </c>
      <c r="K39" s="311" t="s">
        <v>321</v>
      </c>
      <c r="L39" s="311" t="s">
        <v>396</v>
      </c>
      <c r="M39" s="336" t="s">
        <v>522</v>
      </c>
      <c r="N39" s="336" t="s">
        <v>524</v>
      </c>
      <c r="O39" s="332"/>
    </row>
    <row r="40" spans="1:207" s="197" customFormat="1" x14ac:dyDescent="0.35">
      <c r="A40" s="202"/>
      <c r="B40" s="318" t="s">
        <v>384</v>
      </c>
      <c r="C40" s="312" t="str">
        <f>'CC detallado'!F136</f>
        <v>Transmisión de datos (Internet corporativo-soporte)</v>
      </c>
      <c r="D40" s="315"/>
      <c r="E40" s="318" t="str">
        <f>'CC detallado'!E136</f>
        <v>SBE</v>
      </c>
      <c r="F40" s="340"/>
      <c r="G40" s="333">
        <f t="shared" si="1"/>
        <v>19</v>
      </c>
      <c r="H40" s="337">
        <f>'CC detallado'!N136</f>
        <v>10119.750379490639</v>
      </c>
      <c r="I40" s="316">
        <v>1</v>
      </c>
      <c r="J40" s="327">
        <v>0</v>
      </c>
      <c r="K40" s="311" t="s">
        <v>321</v>
      </c>
      <c r="L40" s="335" t="s">
        <v>396</v>
      </c>
      <c r="M40" s="336" t="s">
        <v>526</v>
      </c>
      <c r="N40" s="336" t="s">
        <v>527</v>
      </c>
      <c r="O40" s="332"/>
      <c r="P40" s="204"/>
      <c r="Q40" s="199"/>
      <c r="R40" s="201"/>
      <c r="S40" s="199"/>
      <c r="T40" s="199"/>
      <c r="U40" s="199"/>
    </row>
    <row r="41" spans="1:207" s="197" customFormat="1" x14ac:dyDescent="0.35">
      <c r="A41" s="202"/>
      <c r="B41" s="318" t="s">
        <v>384</v>
      </c>
      <c r="C41" s="312" t="str">
        <f>'CC detallado'!F139</f>
        <v>Mantenimiento de equipos informáticos</v>
      </c>
      <c r="D41" s="315"/>
      <c r="E41" s="318" t="str">
        <f>'CC detallado'!E139</f>
        <v>SBE</v>
      </c>
      <c r="F41" s="340"/>
      <c r="G41" s="333">
        <f t="shared" si="1"/>
        <v>20</v>
      </c>
      <c r="H41" s="337">
        <f>'CC detallado'!N139</f>
        <v>50598.751897453199</v>
      </c>
      <c r="I41" s="316">
        <v>1</v>
      </c>
      <c r="J41" s="327">
        <v>0</v>
      </c>
      <c r="K41" s="311" t="s">
        <v>321</v>
      </c>
      <c r="L41" s="335" t="s">
        <v>396</v>
      </c>
      <c r="M41" s="336" t="s">
        <v>522</v>
      </c>
      <c r="N41" s="336" t="s">
        <v>523</v>
      </c>
      <c r="O41" s="332"/>
      <c r="P41" s="204"/>
      <c r="Q41" s="199"/>
      <c r="R41" s="201"/>
      <c r="S41" s="199"/>
      <c r="T41" s="199"/>
      <c r="U41" s="199"/>
    </row>
    <row r="42" spans="1:207" x14ac:dyDescent="0.35">
      <c r="B42" s="311" t="s">
        <v>384</v>
      </c>
      <c r="C42" s="312" t="str">
        <f>'CC detallado'!F157</f>
        <v>Publicación y difusión de resultados</v>
      </c>
      <c r="D42" s="338"/>
      <c r="E42" s="318" t="str">
        <f>'CC detallado'!E157</f>
        <v>SBE</v>
      </c>
      <c r="F42" s="339"/>
      <c r="G42" s="333">
        <f t="shared" si="1"/>
        <v>21</v>
      </c>
      <c r="H42" s="337">
        <f>'CC detallado'!N157</f>
        <v>100000</v>
      </c>
      <c r="I42" s="316">
        <v>1</v>
      </c>
      <c r="J42" s="327">
        <v>0</v>
      </c>
      <c r="K42" s="311" t="s">
        <v>321</v>
      </c>
      <c r="L42" s="311" t="s">
        <v>396</v>
      </c>
      <c r="M42" s="336" t="s">
        <v>530</v>
      </c>
      <c r="N42" s="336" t="s">
        <v>531</v>
      </c>
      <c r="O42" s="332"/>
    </row>
    <row r="43" spans="1:207" s="197" customFormat="1" ht="12.75" customHeight="1" x14ac:dyDescent="0.35">
      <c r="A43" s="192"/>
      <c r="B43" s="736" t="s">
        <v>329</v>
      </c>
      <c r="C43" s="736"/>
      <c r="D43" s="736"/>
      <c r="E43" s="736"/>
      <c r="F43" s="736"/>
      <c r="G43" s="736"/>
      <c r="H43" s="341">
        <f>SUM(H29:H42)</f>
        <v>1339536.5997638726</v>
      </c>
      <c r="I43" s="342"/>
      <c r="J43" s="342"/>
      <c r="K43" s="342"/>
      <c r="L43" s="342"/>
      <c r="M43" s="342"/>
      <c r="N43" s="342"/>
      <c r="O43" s="342"/>
      <c r="P43" s="208"/>
      <c r="Q43" s="199"/>
      <c r="R43" s="201" t="s">
        <v>315</v>
      </c>
      <c r="S43" s="199"/>
      <c r="T43" s="199"/>
      <c r="U43" s="199"/>
    </row>
    <row r="44" spans="1:207" s="197" customFormat="1" x14ac:dyDescent="0.35">
      <c r="A44" s="192"/>
      <c r="B44" s="209"/>
      <c r="C44" s="210"/>
      <c r="D44" s="210"/>
      <c r="E44" s="211"/>
      <c r="F44" s="211"/>
      <c r="P44" s="192"/>
      <c r="R44" s="201"/>
    </row>
    <row r="45" spans="1:207" s="197" customFormat="1" x14ac:dyDescent="0.35">
      <c r="A45" s="192"/>
      <c r="B45" s="729" t="s">
        <v>330</v>
      </c>
      <c r="C45" s="729"/>
      <c r="D45" s="729"/>
      <c r="E45" s="729"/>
      <c r="F45" s="729"/>
      <c r="G45" s="729"/>
      <c r="H45" s="729"/>
      <c r="I45" s="729"/>
      <c r="J45" s="729"/>
      <c r="K45" s="729"/>
      <c r="L45" s="729"/>
      <c r="M45" s="729"/>
      <c r="N45" s="729"/>
      <c r="O45" s="729"/>
      <c r="P45" s="198"/>
      <c r="Q45" s="199"/>
      <c r="R45" s="200" t="s">
        <v>331</v>
      </c>
      <c r="S45" s="199"/>
      <c r="T45" s="199"/>
      <c r="U45" s="199"/>
    </row>
    <row r="46" spans="1:207" s="197" customFormat="1" ht="16.5" customHeight="1" x14ac:dyDescent="0.35">
      <c r="A46" s="244"/>
      <c r="B46" s="731" t="s">
        <v>295</v>
      </c>
      <c r="C46" s="732" t="s">
        <v>296</v>
      </c>
      <c r="D46" s="731" t="s">
        <v>332</v>
      </c>
      <c r="E46" s="731" t="s">
        <v>319</v>
      </c>
      <c r="F46" s="731" t="s">
        <v>300</v>
      </c>
      <c r="G46" s="734" t="s">
        <v>301</v>
      </c>
      <c r="H46" s="734"/>
      <c r="I46" s="734"/>
      <c r="J46" s="731" t="s">
        <v>302</v>
      </c>
      <c r="K46" s="731" t="s">
        <v>303</v>
      </c>
      <c r="L46" s="731" t="s">
        <v>304</v>
      </c>
      <c r="M46" s="731"/>
      <c r="N46" s="731" t="s">
        <v>305</v>
      </c>
      <c r="O46" s="731"/>
      <c r="P46" s="192"/>
      <c r="R46" s="201" t="s">
        <v>333</v>
      </c>
    </row>
    <row r="47" spans="1:207" s="197" customFormat="1" ht="43.5" customHeight="1" x14ac:dyDescent="0.35">
      <c r="A47" s="244"/>
      <c r="B47" s="731"/>
      <c r="C47" s="732"/>
      <c r="D47" s="731"/>
      <c r="E47" s="731"/>
      <c r="F47" s="731"/>
      <c r="G47" s="309" t="s">
        <v>307</v>
      </c>
      <c r="H47" s="308" t="s">
        <v>308</v>
      </c>
      <c r="I47" s="308" t="s">
        <v>309</v>
      </c>
      <c r="J47" s="731"/>
      <c r="K47" s="731"/>
      <c r="L47" s="310" t="s">
        <v>334</v>
      </c>
      <c r="M47" s="310" t="s">
        <v>311</v>
      </c>
      <c r="N47" s="731"/>
      <c r="O47" s="731"/>
      <c r="P47" s="192"/>
      <c r="R47" s="201" t="s">
        <v>335</v>
      </c>
    </row>
    <row r="48" spans="1:207" s="197" customFormat="1" x14ac:dyDescent="0.35">
      <c r="A48" s="207"/>
      <c r="B48" s="311" t="s">
        <v>384</v>
      </c>
      <c r="C48" s="312" t="str">
        <f>'CC detallado'!F72</f>
        <v>Evaluación por muestreo de la calidad de los datos</v>
      </c>
      <c r="D48" s="338"/>
      <c r="E48" s="318" t="str">
        <f>'CC detallado'!E72</f>
        <v>SBCC</v>
      </c>
      <c r="F48" s="333">
        <f>G42+1</f>
        <v>22</v>
      </c>
      <c r="G48" s="325">
        <f>'CC detallado'!N72</f>
        <v>315857</v>
      </c>
      <c r="H48" s="316">
        <v>1</v>
      </c>
      <c r="I48" s="327">
        <v>0</v>
      </c>
      <c r="J48" s="335" t="s">
        <v>336</v>
      </c>
      <c r="K48" s="311" t="s">
        <v>396</v>
      </c>
      <c r="L48" s="336" t="s">
        <v>533</v>
      </c>
      <c r="M48" s="336" t="s">
        <v>528</v>
      </c>
      <c r="N48" s="737"/>
      <c r="O48" s="737"/>
      <c r="P48" s="192"/>
      <c r="R48" s="201"/>
      <c r="S48" s="201"/>
    </row>
    <row r="49" spans="1:207" s="197" customFormat="1" x14ac:dyDescent="0.35">
      <c r="A49" s="211"/>
      <c r="B49" s="311" t="s">
        <v>384</v>
      </c>
      <c r="C49" s="312" t="str">
        <f>'CC detallado'!F141</f>
        <v>Asistencia Tecnica en TIC</v>
      </c>
      <c r="D49" s="338"/>
      <c r="E49" s="318" t="str">
        <f>'CC detallado'!E141</f>
        <v>SCC</v>
      </c>
      <c r="F49" s="333">
        <f>F48+1</f>
        <v>23</v>
      </c>
      <c r="G49" s="325">
        <f>'CC detallado'!N141</f>
        <v>46127</v>
      </c>
      <c r="H49" s="316">
        <v>1</v>
      </c>
      <c r="I49" s="327">
        <v>0</v>
      </c>
      <c r="J49" s="335" t="s">
        <v>321</v>
      </c>
      <c r="K49" s="311" t="s">
        <v>396</v>
      </c>
      <c r="L49" s="336" t="s">
        <v>534</v>
      </c>
      <c r="M49" s="336" t="s">
        <v>522</v>
      </c>
      <c r="N49" s="318"/>
      <c r="O49" s="318"/>
      <c r="P49" s="192"/>
      <c r="R49" s="201"/>
      <c r="S49" s="201"/>
    </row>
    <row r="50" spans="1:207" s="203" customFormat="1" x14ac:dyDescent="0.35">
      <c r="A50" s="192"/>
      <c r="B50" s="311" t="s">
        <v>384</v>
      </c>
      <c r="C50" s="312" t="str">
        <f>'CC detallado'!F156</f>
        <v>Operativo de Campo (7500 encuestas en 2 ondas)</v>
      </c>
      <c r="D50" s="331"/>
      <c r="E50" s="318" t="str">
        <f>'CC detallado'!E156</f>
        <v>SBCC</v>
      </c>
      <c r="F50" s="333">
        <f t="shared" ref="F50:F53" si="2">F49+1</f>
        <v>24</v>
      </c>
      <c r="G50" s="325">
        <f>'CC detallado'!N156</f>
        <v>758981.27846179798</v>
      </c>
      <c r="H50" s="316">
        <v>1</v>
      </c>
      <c r="I50" s="327">
        <v>0</v>
      </c>
      <c r="J50" s="335" t="s">
        <v>321</v>
      </c>
      <c r="K50" s="311" t="s">
        <v>396</v>
      </c>
      <c r="L50" s="336" t="s">
        <v>535</v>
      </c>
      <c r="M50" s="336" t="s">
        <v>536</v>
      </c>
      <c r="N50" s="737"/>
      <c r="O50" s="737"/>
      <c r="P50" s="192"/>
      <c r="Q50" s="197"/>
      <c r="R50" s="201"/>
      <c r="S50" s="201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7"/>
      <c r="BP50" s="197"/>
      <c r="BQ50" s="197"/>
      <c r="BR50" s="197"/>
      <c r="BS50" s="197"/>
      <c r="BT50" s="197"/>
      <c r="BU50" s="197"/>
      <c r="BV50" s="197"/>
      <c r="BW50" s="197"/>
      <c r="BX50" s="197"/>
      <c r="BY50" s="197"/>
      <c r="BZ50" s="197"/>
      <c r="CA50" s="197"/>
      <c r="CB50" s="197"/>
      <c r="CC50" s="197"/>
      <c r="CD50" s="197"/>
      <c r="CE50" s="197"/>
      <c r="CF50" s="197"/>
      <c r="CG50" s="197"/>
      <c r="CH50" s="197"/>
      <c r="CI50" s="197"/>
      <c r="CJ50" s="197"/>
      <c r="CK50" s="197"/>
      <c r="CL50" s="197"/>
      <c r="CM50" s="197"/>
      <c r="CN50" s="197"/>
      <c r="CO50" s="197"/>
      <c r="CP50" s="197"/>
      <c r="CQ50" s="197"/>
      <c r="CR50" s="197"/>
      <c r="CS50" s="197"/>
      <c r="CT50" s="197"/>
      <c r="CU50" s="197"/>
      <c r="CV50" s="197"/>
      <c r="CW50" s="197"/>
      <c r="CX50" s="197"/>
      <c r="CY50" s="197"/>
      <c r="CZ50" s="197"/>
      <c r="DA50" s="197"/>
      <c r="DB50" s="197"/>
      <c r="DC50" s="197"/>
      <c r="DD50" s="197"/>
      <c r="DE50" s="197"/>
      <c r="DF50" s="197"/>
      <c r="DG50" s="197"/>
      <c r="DH50" s="197"/>
      <c r="DI50" s="197"/>
      <c r="DJ50" s="197"/>
      <c r="DK50" s="197"/>
      <c r="DL50" s="197"/>
      <c r="DM50" s="197"/>
      <c r="DN50" s="197"/>
      <c r="DO50" s="197"/>
      <c r="DP50" s="197"/>
      <c r="DQ50" s="197"/>
      <c r="DR50" s="197"/>
      <c r="DS50" s="197"/>
      <c r="DT50" s="197"/>
      <c r="DU50" s="197"/>
      <c r="DV50" s="197"/>
      <c r="DW50" s="197"/>
      <c r="DX50" s="197"/>
      <c r="DY50" s="197"/>
      <c r="DZ50" s="197"/>
      <c r="EA50" s="197"/>
      <c r="EB50" s="197"/>
      <c r="EC50" s="197"/>
      <c r="ED50" s="197"/>
      <c r="EE50" s="197"/>
      <c r="EF50" s="197"/>
      <c r="EG50" s="197"/>
      <c r="EH50" s="197"/>
      <c r="EI50" s="197"/>
      <c r="EJ50" s="197"/>
      <c r="EK50" s="197"/>
      <c r="EL50" s="197"/>
      <c r="EM50" s="197"/>
      <c r="EN50" s="197"/>
      <c r="EO50" s="197"/>
      <c r="EP50" s="197"/>
      <c r="EQ50" s="197"/>
      <c r="ER50" s="197"/>
      <c r="ES50" s="197"/>
      <c r="ET50" s="197"/>
      <c r="EU50" s="197"/>
      <c r="EV50" s="197"/>
      <c r="EW50" s="197"/>
      <c r="EX50" s="197"/>
      <c r="EY50" s="197"/>
      <c r="EZ50" s="197"/>
      <c r="FA50" s="197"/>
      <c r="FB50" s="197"/>
      <c r="FC50" s="197"/>
      <c r="FD50" s="197"/>
      <c r="FE50" s="197"/>
      <c r="FF50" s="197"/>
      <c r="FG50" s="197"/>
      <c r="FH50" s="197"/>
      <c r="FI50" s="197"/>
      <c r="FJ50" s="197"/>
      <c r="FK50" s="197"/>
      <c r="FL50" s="197"/>
      <c r="FM50" s="197"/>
      <c r="FN50" s="197"/>
      <c r="FO50" s="197"/>
      <c r="FP50" s="197"/>
      <c r="FQ50" s="197"/>
      <c r="FR50" s="197"/>
      <c r="FS50" s="197"/>
      <c r="FT50" s="197"/>
      <c r="FU50" s="197"/>
      <c r="FV50" s="197"/>
      <c r="FW50" s="197"/>
      <c r="FX50" s="197"/>
      <c r="FY50" s="197"/>
      <c r="FZ50" s="197"/>
      <c r="GA50" s="197"/>
      <c r="GB50" s="197"/>
      <c r="GC50" s="197"/>
      <c r="GD50" s="197"/>
      <c r="GE50" s="197"/>
      <c r="GF50" s="197"/>
      <c r="GG50" s="197"/>
      <c r="GH50" s="197"/>
      <c r="GI50" s="197"/>
      <c r="GJ50" s="197"/>
      <c r="GK50" s="197"/>
      <c r="GL50" s="197"/>
      <c r="GM50" s="197"/>
      <c r="GN50" s="197"/>
      <c r="GO50" s="197"/>
      <c r="GP50" s="197"/>
      <c r="GQ50" s="197"/>
      <c r="GR50" s="197"/>
      <c r="GS50" s="197"/>
      <c r="GT50" s="197"/>
      <c r="GU50" s="197"/>
      <c r="GV50" s="197"/>
      <c r="GW50" s="197"/>
      <c r="GX50" s="197"/>
      <c r="GY50" s="197"/>
    </row>
    <row r="51" spans="1:207" s="197" customFormat="1" x14ac:dyDescent="0.35">
      <c r="A51" s="211"/>
      <c r="B51" s="311" t="s">
        <v>384</v>
      </c>
      <c r="C51" s="312" t="str">
        <f>'CC detallado'!F168</f>
        <v xml:space="preserve">Evaluación Intermedia </v>
      </c>
      <c r="D51" s="338"/>
      <c r="E51" s="318" t="str">
        <f>'CC detallado'!E168</f>
        <v>SCC</v>
      </c>
      <c r="F51" s="333">
        <f t="shared" si="2"/>
        <v>25</v>
      </c>
      <c r="G51" s="325">
        <f>'CC detallado'!N168</f>
        <v>30000</v>
      </c>
      <c r="H51" s="316">
        <v>1</v>
      </c>
      <c r="I51" s="327">
        <v>0</v>
      </c>
      <c r="J51" s="335" t="s">
        <v>532</v>
      </c>
      <c r="K51" s="311" t="s">
        <v>396</v>
      </c>
      <c r="L51" s="336" t="s">
        <v>527</v>
      </c>
      <c r="M51" s="336" t="s">
        <v>529</v>
      </c>
      <c r="N51" s="318"/>
      <c r="O51" s="318"/>
      <c r="P51" s="192"/>
      <c r="R51" s="201"/>
      <c r="S51" s="201"/>
    </row>
    <row r="52" spans="1:207" s="197" customFormat="1" x14ac:dyDescent="0.35">
      <c r="A52" s="211"/>
      <c r="B52" s="311" t="s">
        <v>384</v>
      </c>
      <c r="C52" s="312" t="str">
        <f>'CC detallado'!F169</f>
        <v>Evaluación Final</v>
      </c>
      <c r="D52" s="338"/>
      <c r="E52" s="318" t="str">
        <f>'CC detallado'!E169</f>
        <v>SCC</v>
      </c>
      <c r="F52" s="333">
        <f t="shared" si="2"/>
        <v>26</v>
      </c>
      <c r="G52" s="325">
        <f>'CC detallado'!N169</f>
        <v>30000</v>
      </c>
      <c r="H52" s="316">
        <v>1</v>
      </c>
      <c r="I52" s="327">
        <v>0</v>
      </c>
      <c r="J52" s="335" t="s">
        <v>532</v>
      </c>
      <c r="K52" s="311" t="s">
        <v>396</v>
      </c>
      <c r="L52" s="336" t="s">
        <v>537</v>
      </c>
      <c r="M52" s="336" t="s">
        <v>531</v>
      </c>
      <c r="N52" s="318"/>
      <c r="O52" s="318"/>
      <c r="P52" s="192"/>
      <c r="R52" s="201"/>
      <c r="S52" s="201"/>
    </row>
    <row r="53" spans="1:207" s="197" customFormat="1" x14ac:dyDescent="0.35">
      <c r="A53" s="211"/>
      <c r="B53" s="311" t="s">
        <v>384</v>
      </c>
      <c r="C53" s="312" t="str">
        <f>'CC detallado'!F171</f>
        <v>Auditoria Externa</v>
      </c>
      <c r="D53" s="338"/>
      <c r="E53" s="318" t="str">
        <f>'CC detallado'!E171</f>
        <v>SBCC</v>
      </c>
      <c r="F53" s="333">
        <f t="shared" si="2"/>
        <v>27</v>
      </c>
      <c r="G53" s="325">
        <f>'CC detallado'!N171</f>
        <v>100000</v>
      </c>
      <c r="H53" s="316">
        <v>1</v>
      </c>
      <c r="I53" s="327">
        <v>0</v>
      </c>
      <c r="J53" s="335" t="s">
        <v>532</v>
      </c>
      <c r="K53" s="311" t="s">
        <v>396</v>
      </c>
      <c r="L53" s="336" t="s">
        <v>522</v>
      </c>
      <c r="M53" s="336" t="s">
        <v>531</v>
      </c>
      <c r="N53" s="318"/>
      <c r="O53" s="318"/>
      <c r="P53" s="192"/>
      <c r="R53" s="201"/>
      <c r="S53" s="201"/>
    </row>
    <row r="54" spans="1:207" s="197" customFormat="1" x14ac:dyDescent="0.35">
      <c r="A54" s="192"/>
      <c r="B54" s="738" t="s">
        <v>337</v>
      </c>
      <c r="C54" s="738"/>
      <c r="D54" s="738"/>
      <c r="E54" s="738"/>
      <c r="F54" s="738"/>
      <c r="G54" s="321">
        <f>SUM(G48:G53)</f>
        <v>1280965.2784617981</v>
      </c>
      <c r="H54" s="322"/>
      <c r="I54" s="342"/>
      <c r="J54" s="342"/>
      <c r="K54" s="342"/>
      <c r="L54" s="342"/>
      <c r="M54" s="342"/>
      <c r="N54" s="342"/>
      <c r="O54" s="342"/>
      <c r="P54" s="198"/>
      <c r="Q54" s="199"/>
      <c r="R54" s="201" t="s">
        <v>315</v>
      </c>
      <c r="S54" s="199"/>
      <c r="T54" s="199"/>
      <c r="U54" s="199"/>
    </row>
    <row r="55" spans="1:207" x14ac:dyDescent="0.35">
      <c r="A55" s="211"/>
      <c r="B55" s="209"/>
      <c r="C55" s="212"/>
      <c r="D55" s="213"/>
      <c r="E55" s="213"/>
      <c r="F55" s="213"/>
      <c r="G55" s="213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01"/>
      <c r="S55" s="201"/>
    </row>
    <row r="56" spans="1:207" s="197" customFormat="1" x14ac:dyDescent="0.35">
      <c r="A56" s="192"/>
      <c r="B56" s="729" t="s">
        <v>338</v>
      </c>
      <c r="C56" s="729"/>
      <c r="D56" s="729"/>
      <c r="E56" s="729"/>
      <c r="F56" s="729"/>
      <c r="G56" s="729"/>
      <c r="H56" s="729"/>
      <c r="I56" s="729"/>
      <c r="J56" s="729"/>
      <c r="K56" s="729"/>
      <c r="L56" s="729"/>
      <c r="M56" s="729"/>
      <c r="N56" s="729"/>
      <c r="O56" s="729"/>
      <c r="P56" s="198"/>
      <c r="Q56" s="199"/>
      <c r="R56" s="200" t="s">
        <v>339</v>
      </c>
      <c r="S56" s="199" t="s">
        <v>340</v>
      </c>
      <c r="T56" s="199"/>
      <c r="U56" s="199"/>
    </row>
    <row r="57" spans="1:207" x14ac:dyDescent="0.35">
      <c r="B57" s="731" t="s">
        <v>295</v>
      </c>
      <c r="C57" s="732" t="s">
        <v>296</v>
      </c>
      <c r="D57" s="732" t="s">
        <v>297</v>
      </c>
      <c r="E57" s="731" t="s">
        <v>319</v>
      </c>
      <c r="F57" s="731" t="s">
        <v>300</v>
      </c>
      <c r="G57" s="734" t="s">
        <v>301</v>
      </c>
      <c r="H57" s="734"/>
      <c r="I57" s="734"/>
      <c r="J57" s="731" t="s">
        <v>341</v>
      </c>
      <c r="K57" s="731" t="s">
        <v>302</v>
      </c>
      <c r="L57" s="735" t="s">
        <v>303</v>
      </c>
      <c r="M57" s="731" t="s">
        <v>304</v>
      </c>
      <c r="N57" s="731"/>
      <c r="O57" s="731" t="s">
        <v>305</v>
      </c>
      <c r="R57" s="201" t="s">
        <v>342</v>
      </c>
      <c r="S57" s="201" t="s">
        <v>343</v>
      </c>
    </row>
    <row r="58" spans="1:207" ht="39" x14ac:dyDescent="0.35">
      <c r="B58" s="731"/>
      <c r="C58" s="732"/>
      <c r="D58" s="732"/>
      <c r="E58" s="734"/>
      <c r="F58" s="731"/>
      <c r="G58" s="309" t="s">
        <v>307</v>
      </c>
      <c r="H58" s="308" t="s">
        <v>308</v>
      </c>
      <c r="I58" s="308" t="s">
        <v>309</v>
      </c>
      <c r="J58" s="731"/>
      <c r="K58" s="731"/>
      <c r="L58" s="734"/>
      <c r="M58" s="310" t="s">
        <v>344</v>
      </c>
      <c r="N58" s="330" t="s">
        <v>345</v>
      </c>
      <c r="O58" s="731"/>
      <c r="R58" s="201" t="s">
        <v>346</v>
      </c>
      <c r="S58" s="201" t="s">
        <v>343</v>
      </c>
    </row>
    <row r="59" spans="1:207" s="203" customFormat="1" x14ac:dyDescent="0.35">
      <c r="A59" s="192"/>
      <c r="B59" s="311" t="s">
        <v>384</v>
      </c>
      <c r="C59" s="312" t="str">
        <f>'CC detallado'!F18</f>
        <v>Técnico en SIG - Coordinador de Campo</v>
      </c>
      <c r="D59" s="331"/>
      <c r="E59" s="332" t="s">
        <v>91</v>
      </c>
      <c r="F59" s="333">
        <f>F53+1</f>
        <v>28</v>
      </c>
      <c r="G59" s="315">
        <f>'CC detallado'!N18</f>
        <v>16191.600607185022</v>
      </c>
      <c r="H59" s="316">
        <v>1</v>
      </c>
      <c r="I59" s="327">
        <v>0</v>
      </c>
      <c r="J59" s="334">
        <f>'CC detallado'!G18</f>
        <v>1</v>
      </c>
      <c r="K59" s="335" t="s">
        <v>336</v>
      </c>
      <c r="L59" s="335" t="s">
        <v>391</v>
      </c>
      <c r="M59" s="336" t="s">
        <v>522</v>
      </c>
      <c r="N59" s="336" t="s">
        <v>523</v>
      </c>
      <c r="O59" s="332"/>
      <c r="P59" s="192"/>
      <c r="Q59" s="197"/>
      <c r="R59" s="201"/>
      <c r="S59" s="201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197"/>
      <c r="AF59" s="197"/>
      <c r="AG59" s="197"/>
      <c r="AH59" s="197"/>
      <c r="AI59" s="197"/>
      <c r="AJ59" s="197"/>
      <c r="AK59" s="197"/>
      <c r="AL59" s="197"/>
      <c r="AM59" s="197"/>
      <c r="AN59" s="197"/>
      <c r="AO59" s="197"/>
      <c r="AP59" s="197"/>
      <c r="AQ59" s="197"/>
      <c r="AR59" s="197"/>
      <c r="AS59" s="197"/>
      <c r="AT59" s="197"/>
      <c r="AU59" s="197"/>
      <c r="AV59" s="197"/>
      <c r="AW59" s="197"/>
      <c r="AX59" s="197"/>
      <c r="AY59" s="197"/>
      <c r="AZ59" s="197"/>
      <c r="BA59" s="197"/>
      <c r="BB59" s="197"/>
      <c r="BC59" s="197"/>
      <c r="BD59" s="197"/>
      <c r="BE59" s="197"/>
      <c r="BF59" s="197"/>
      <c r="BG59" s="197"/>
      <c r="BH59" s="197"/>
      <c r="BI59" s="197"/>
      <c r="BJ59" s="197"/>
      <c r="BK59" s="197"/>
      <c r="BL59" s="197"/>
      <c r="BM59" s="197"/>
      <c r="BN59" s="197"/>
      <c r="BO59" s="197"/>
      <c r="BP59" s="197"/>
      <c r="BQ59" s="197"/>
      <c r="BR59" s="197"/>
      <c r="BS59" s="197"/>
      <c r="BT59" s="197"/>
      <c r="BU59" s="197"/>
      <c r="BV59" s="197"/>
      <c r="BW59" s="197"/>
      <c r="BX59" s="197"/>
      <c r="BY59" s="197"/>
      <c r="BZ59" s="197"/>
      <c r="CA59" s="197"/>
      <c r="CB59" s="197"/>
      <c r="CC59" s="197"/>
      <c r="CD59" s="197"/>
      <c r="CE59" s="197"/>
      <c r="CF59" s="197"/>
      <c r="CG59" s="197"/>
      <c r="CH59" s="197"/>
      <c r="CI59" s="197"/>
      <c r="CJ59" s="197"/>
      <c r="CK59" s="197"/>
      <c r="CL59" s="197"/>
      <c r="CM59" s="197"/>
      <c r="CN59" s="197"/>
      <c r="CO59" s="197"/>
      <c r="CP59" s="197"/>
      <c r="CQ59" s="197"/>
      <c r="CR59" s="197"/>
      <c r="CS59" s="197"/>
      <c r="CT59" s="197"/>
      <c r="CU59" s="197"/>
      <c r="CV59" s="197"/>
      <c r="CW59" s="197"/>
      <c r="CX59" s="197"/>
      <c r="CY59" s="197"/>
      <c r="CZ59" s="197"/>
      <c r="DA59" s="197"/>
      <c r="DB59" s="197"/>
      <c r="DC59" s="197"/>
      <c r="DD59" s="197"/>
      <c r="DE59" s="197"/>
      <c r="DF59" s="197"/>
      <c r="DG59" s="197"/>
      <c r="DH59" s="197"/>
      <c r="DI59" s="197"/>
      <c r="DJ59" s="197"/>
      <c r="DK59" s="197"/>
      <c r="DL59" s="197"/>
      <c r="DM59" s="197"/>
      <c r="DN59" s="197"/>
      <c r="DO59" s="197"/>
      <c r="DP59" s="197"/>
      <c r="DQ59" s="197"/>
      <c r="DR59" s="197"/>
      <c r="DS59" s="197"/>
      <c r="DT59" s="197"/>
      <c r="DU59" s="197"/>
      <c r="DV59" s="197"/>
      <c r="DW59" s="197"/>
      <c r="DX59" s="197"/>
      <c r="DY59" s="197"/>
      <c r="DZ59" s="197"/>
      <c r="EA59" s="197"/>
      <c r="EB59" s="197"/>
      <c r="EC59" s="197"/>
      <c r="ED59" s="197"/>
      <c r="EE59" s="197"/>
      <c r="EF59" s="197"/>
      <c r="EG59" s="197"/>
      <c r="EH59" s="197"/>
      <c r="EI59" s="197"/>
      <c r="EJ59" s="197"/>
      <c r="EK59" s="197"/>
      <c r="EL59" s="197"/>
      <c r="EM59" s="197"/>
      <c r="EN59" s="197"/>
      <c r="EO59" s="197"/>
      <c r="EP59" s="197"/>
      <c r="EQ59" s="197"/>
      <c r="ER59" s="197"/>
      <c r="ES59" s="197"/>
      <c r="ET59" s="197"/>
      <c r="EU59" s="197"/>
      <c r="EV59" s="197"/>
      <c r="EW59" s="197"/>
      <c r="EX59" s="197"/>
      <c r="EY59" s="197"/>
      <c r="EZ59" s="197"/>
      <c r="FA59" s="197"/>
      <c r="FB59" s="197"/>
      <c r="FC59" s="197"/>
      <c r="FD59" s="197"/>
      <c r="FE59" s="197"/>
      <c r="FF59" s="197"/>
      <c r="FG59" s="197"/>
      <c r="FH59" s="197"/>
      <c r="FI59" s="197"/>
      <c r="FJ59" s="197"/>
      <c r="FK59" s="197"/>
      <c r="FL59" s="197"/>
      <c r="FM59" s="197"/>
      <c r="FN59" s="197"/>
      <c r="FO59" s="197"/>
      <c r="FP59" s="197"/>
      <c r="FQ59" s="197"/>
      <c r="FR59" s="197"/>
      <c r="FS59" s="197"/>
      <c r="FT59" s="197"/>
      <c r="FU59" s="197"/>
      <c r="FV59" s="197"/>
      <c r="FW59" s="197"/>
      <c r="FX59" s="197"/>
      <c r="FY59" s="197"/>
      <c r="FZ59" s="197"/>
      <c r="GA59" s="197"/>
      <c r="GB59" s="197"/>
      <c r="GC59" s="197"/>
      <c r="GD59" s="197"/>
      <c r="GE59" s="197"/>
      <c r="GF59" s="197"/>
      <c r="GG59" s="197"/>
      <c r="GH59" s="197"/>
      <c r="GI59" s="197"/>
      <c r="GJ59" s="197"/>
      <c r="GK59" s="197"/>
      <c r="GL59" s="197"/>
      <c r="GM59" s="197"/>
      <c r="GN59" s="197"/>
      <c r="GO59" s="197"/>
      <c r="GP59" s="197"/>
      <c r="GQ59" s="197"/>
      <c r="GR59" s="197"/>
      <c r="GS59" s="197"/>
      <c r="GT59" s="197"/>
      <c r="GU59" s="197"/>
      <c r="GV59" s="197"/>
      <c r="GW59" s="197"/>
      <c r="GX59" s="197"/>
      <c r="GY59" s="197"/>
    </row>
    <row r="60" spans="1:207" s="203" customFormat="1" x14ac:dyDescent="0.35">
      <c r="A60" s="192"/>
      <c r="B60" s="311" t="s">
        <v>384</v>
      </c>
      <c r="C60" s="312" t="str">
        <f>'CC detallado'!F19</f>
        <v>Técnico en SIG - Supervisor de Campo</v>
      </c>
      <c r="D60" s="331"/>
      <c r="E60" s="332" t="s">
        <v>91</v>
      </c>
      <c r="F60" s="333">
        <f>F59+1</f>
        <v>29</v>
      </c>
      <c r="G60" s="315">
        <f>'CC detallado'!N19</f>
        <v>20239.500758981278</v>
      </c>
      <c r="H60" s="316">
        <v>1</v>
      </c>
      <c r="I60" s="327">
        <v>0</v>
      </c>
      <c r="J60" s="334">
        <f>'CC detallado'!G19</f>
        <v>2</v>
      </c>
      <c r="K60" s="335" t="s">
        <v>336</v>
      </c>
      <c r="L60" s="335" t="s">
        <v>391</v>
      </c>
      <c r="M60" s="336" t="s">
        <v>522</v>
      </c>
      <c r="N60" s="336" t="s">
        <v>523</v>
      </c>
      <c r="O60" s="332"/>
      <c r="P60" s="192"/>
      <c r="Q60" s="197"/>
      <c r="R60" s="201"/>
      <c r="S60" s="201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  <c r="AE60" s="197"/>
      <c r="AF60" s="197"/>
      <c r="AG60" s="197"/>
      <c r="AH60" s="197"/>
      <c r="AI60" s="197"/>
      <c r="AJ60" s="197"/>
      <c r="AK60" s="197"/>
      <c r="AL60" s="197"/>
      <c r="AM60" s="197"/>
      <c r="AN60" s="197"/>
      <c r="AO60" s="197"/>
      <c r="AP60" s="197"/>
      <c r="AQ60" s="197"/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7"/>
      <c r="BF60" s="197"/>
      <c r="BG60" s="197"/>
      <c r="BH60" s="197"/>
      <c r="BI60" s="197"/>
      <c r="BJ60" s="197"/>
      <c r="BK60" s="197"/>
      <c r="BL60" s="197"/>
      <c r="BM60" s="197"/>
      <c r="BN60" s="197"/>
      <c r="BO60" s="197"/>
      <c r="BP60" s="197"/>
      <c r="BQ60" s="197"/>
      <c r="BR60" s="197"/>
      <c r="BS60" s="197"/>
      <c r="BT60" s="197"/>
      <c r="BU60" s="197"/>
      <c r="BV60" s="197"/>
      <c r="BW60" s="197"/>
      <c r="BX60" s="197"/>
      <c r="BY60" s="197"/>
      <c r="BZ60" s="197"/>
      <c r="CA60" s="197"/>
      <c r="CB60" s="197"/>
      <c r="CC60" s="197"/>
      <c r="CD60" s="197"/>
      <c r="CE60" s="197"/>
      <c r="CF60" s="197"/>
      <c r="CG60" s="197"/>
      <c r="CH60" s="197"/>
      <c r="CI60" s="197"/>
      <c r="CJ60" s="197"/>
      <c r="CK60" s="197"/>
      <c r="CL60" s="197"/>
      <c r="CM60" s="197"/>
      <c r="CN60" s="197"/>
      <c r="CO60" s="197"/>
      <c r="CP60" s="197"/>
      <c r="CQ60" s="197"/>
      <c r="CR60" s="197"/>
      <c r="CS60" s="197"/>
      <c r="CT60" s="197"/>
      <c r="CU60" s="197"/>
      <c r="CV60" s="197"/>
      <c r="CW60" s="197"/>
      <c r="CX60" s="197"/>
      <c r="CY60" s="197"/>
      <c r="CZ60" s="197"/>
      <c r="DA60" s="197"/>
      <c r="DB60" s="197"/>
      <c r="DC60" s="197"/>
      <c r="DD60" s="197"/>
      <c r="DE60" s="197"/>
      <c r="DF60" s="197"/>
      <c r="DG60" s="197"/>
      <c r="DH60" s="197"/>
      <c r="DI60" s="197"/>
      <c r="DJ60" s="197"/>
      <c r="DK60" s="197"/>
      <c r="DL60" s="197"/>
      <c r="DM60" s="197"/>
      <c r="DN60" s="197"/>
      <c r="DO60" s="197"/>
      <c r="DP60" s="197"/>
      <c r="DQ60" s="197"/>
      <c r="DR60" s="197"/>
      <c r="DS60" s="197"/>
      <c r="DT60" s="197"/>
      <c r="DU60" s="197"/>
      <c r="DV60" s="197"/>
      <c r="DW60" s="197"/>
      <c r="DX60" s="197"/>
      <c r="DY60" s="197"/>
      <c r="DZ60" s="197"/>
      <c r="EA60" s="197"/>
      <c r="EB60" s="197"/>
      <c r="EC60" s="197"/>
      <c r="ED60" s="197"/>
      <c r="EE60" s="197"/>
      <c r="EF60" s="197"/>
      <c r="EG60" s="197"/>
      <c r="EH60" s="197"/>
      <c r="EI60" s="197"/>
      <c r="EJ60" s="197"/>
      <c r="EK60" s="197"/>
      <c r="EL60" s="197"/>
      <c r="EM60" s="197"/>
      <c r="EN60" s="197"/>
      <c r="EO60" s="197"/>
      <c r="EP60" s="197"/>
      <c r="EQ60" s="197"/>
      <c r="ER60" s="197"/>
      <c r="ES60" s="197"/>
      <c r="ET60" s="197"/>
      <c r="EU60" s="197"/>
      <c r="EV60" s="197"/>
      <c r="EW60" s="197"/>
      <c r="EX60" s="197"/>
      <c r="EY60" s="197"/>
      <c r="EZ60" s="197"/>
      <c r="FA60" s="197"/>
      <c r="FB60" s="197"/>
      <c r="FC60" s="197"/>
      <c r="FD60" s="197"/>
      <c r="FE60" s="197"/>
      <c r="FF60" s="197"/>
      <c r="FG60" s="197"/>
      <c r="FH60" s="197"/>
      <c r="FI60" s="197"/>
      <c r="FJ60" s="197"/>
      <c r="FK60" s="197"/>
      <c r="FL60" s="197"/>
      <c r="FM60" s="197"/>
      <c r="FN60" s="197"/>
      <c r="FO60" s="197"/>
      <c r="FP60" s="197"/>
      <c r="FQ60" s="197"/>
      <c r="FR60" s="197"/>
      <c r="FS60" s="197"/>
      <c r="FT60" s="197"/>
      <c r="FU60" s="197"/>
      <c r="FV60" s="197"/>
      <c r="FW60" s="197"/>
      <c r="FX60" s="197"/>
      <c r="FY60" s="197"/>
      <c r="FZ60" s="197"/>
      <c r="GA60" s="197"/>
      <c r="GB60" s="197"/>
      <c r="GC60" s="197"/>
      <c r="GD60" s="197"/>
      <c r="GE60" s="197"/>
      <c r="GF60" s="197"/>
      <c r="GG60" s="197"/>
      <c r="GH60" s="197"/>
      <c r="GI60" s="197"/>
      <c r="GJ60" s="197"/>
      <c r="GK60" s="197"/>
      <c r="GL60" s="197"/>
      <c r="GM60" s="197"/>
      <c r="GN60" s="197"/>
      <c r="GO60" s="197"/>
      <c r="GP60" s="197"/>
      <c r="GQ60" s="197"/>
      <c r="GR60" s="197"/>
      <c r="GS60" s="197"/>
      <c r="GT60" s="197"/>
      <c r="GU60" s="197"/>
      <c r="GV60" s="197"/>
      <c r="GW60" s="197"/>
      <c r="GX60" s="197"/>
      <c r="GY60" s="197"/>
    </row>
    <row r="61" spans="1:207" s="203" customFormat="1" x14ac:dyDescent="0.35">
      <c r="A61" s="192"/>
      <c r="B61" s="311" t="s">
        <v>384</v>
      </c>
      <c r="C61" s="312" t="str">
        <f>'CC detallado'!F20</f>
        <v>Técnico en SIG - Supervisor en Gabinete</v>
      </c>
      <c r="D61" s="331"/>
      <c r="E61" s="332" t="s">
        <v>91</v>
      </c>
      <c r="F61" s="333">
        <f t="shared" ref="F61:F102" si="3">F60+1</f>
        <v>30</v>
      </c>
      <c r="G61" s="315">
        <f>'CC detallado'!N20</f>
        <v>20239.500758981278</v>
      </c>
      <c r="H61" s="316">
        <v>1</v>
      </c>
      <c r="I61" s="327">
        <v>0</v>
      </c>
      <c r="J61" s="334">
        <f>'CC detallado'!G20</f>
        <v>2</v>
      </c>
      <c r="K61" s="335" t="s">
        <v>336</v>
      </c>
      <c r="L61" s="335" t="s">
        <v>391</v>
      </c>
      <c r="M61" s="336" t="s">
        <v>523</v>
      </c>
      <c r="N61" s="336" t="s">
        <v>541</v>
      </c>
      <c r="O61" s="332"/>
      <c r="P61" s="192"/>
      <c r="Q61" s="197"/>
      <c r="R61" s="201"/>
      <c r="S61" s="201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  <c r="AG61" s="197"/>
      <c r="AH61" s="197"/>
      <c r="AI61" s="197"/>
      <c r="AJ61" s="197"/>
      <c r="AK61" s="197"/>
      <c r="AL61" s="197"/>
      <c r="AM61" s="197"/>
      <c r="AN61" s="197"/>
      <c r="AO61" s="197"/>
      <c r="AP61" s="197"/>
      <c r="AQ61" s="197"/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7"/>
      <c r="BF61" s="197"/>
      <c r="BG61" s="197"/>
      <c r="BH61" s="197"/>
      <c r="BI61" s="197"/>
      <c r="BJ61" s="197"/>
      <c r="BK61" s="197"/>
      <c r="BL61" s="197"/>
      <c r="BM61" s="197"/>
      <c r="BN61" s="197"/>
      <c r="BO61" s="197"/>
      <c r="BP61" s="197"/>
      <c r="BQ61" s="197"/>
      <c r="BR61" s="197"/>
      <c r="BS61" s="197"/>
      <c r="BT61" s="197"/>
      <c r="BU61" s="197"/>
      <c r="BV61" s="197"/>
      <c r="BW61" s="197"/>
      <c r="BX61" s="197"/>
      <c r="BY61" s="197"/>
      <c r="BZ61" s="197"/>
      <c r="CA61" s="197"/>
      <c r="CB61" s="197"/>
      <c r="CC61" s="197"/>
      <c r="CD61" s="197"/>
      <c r="CE61" s="197"/>
      <c r="CF61" s="197"/>
      <c r="CG61" s="197"/>
      <c r="CH61" s="197"/>
      <c r="CI61" s="197"/>
      <c r="CJ61" s="197"/>
      <c r="CK61" s="197"/>
      <c r="CL61" s="197"/>
      <c r="CM61" s="197"/>
      <c r="CN61" s="197"/>
      <c r="CO61" s="197"/>
      <c r="CP61" s="197"/>
      <c r="CQ61" s="197"/>
      <c r="CR61" s="197"/>
      <c r="CS61" s="197"/>
      <c r="CT61" s="197"/>
      <c r="CU61" s="197"/>
      <c r="CV61" s="197"/>
      <c r="CW61" s="197"/>
      <c r="CX61" s="197"/>
      <c r="CY61" s="197"/>
      <c r="CZ61" s="197"/>
      <c r="DA61" s="197"/>
      <c r="DB61" s="197"/>
      <c r="DC61" s="197"/>
      <c r="DD61" s="197"/>
      <c r="DE61" s="197"/>
      <c r="DF61" s="197"/>
      <c r="DG61" s="197"/>
      <c r="DH61" s="197"/>
      <c r="DI61" s="197"/>
      <c r="DJ61" s="197"/>
      <c r="DK61" s="197"/>
      <c r="DL61" s="197"/>
      <c r="DM61" s="197"/>
      <c r="DN61" s="197"/>
      <c r="DO61" s="197"/>
      <c r="DP61" s="197"/>
      <c r="DQ61" s="197"/>
      <c r="DR61" s="197"/>
      <c r="DS61" s="197"/>
      <c r="DT61" s="197"/>
      <c r="DU61" s="197"/>
      <c r="DV61" s="197"/>
      <c r="DW61" s="197"/>
      <c r="DX61" s="197"/>
      <c r="DY61" s="197"/>
      <c r="DZ61" s="197"/>
      <c r="EA61" s="197"/>
      <c r="EB61" s="197"/>
      <c r="EC61" s="197"/>
      <c r="ED61" s="197"/>
      <c r="EE61" s="197"/>
      <c r="EF61" s="197"/>
      <c r="EG61" s="197"/>
      <c r="EH61" s="197"/>
      <c r="EI61" s="197"/>
      <c r="EJ61" s="197"/>
      <c r="EK61" s="197"/>
      <c r="EL61" s="197"/>
      <c r="EM61" s="197"/>
      <c r="EN61" s="197"/>
      <c r="EO61" s="197"/>
      <c r="EP61" s="197"/>
      <c r="EQ61" s="197"/>
      <c r="ER61" s="197"/>
      <c r="ES61" s="197"/>
      <c r="ET61" s="197"/>
      <c r="EU61" s="197"/>
      <c r="EV61" s="197"/>
      <c r="EW61" s="197"/>
      <c r="EX61" s="197"/>
      <c r="EY61" s="197"/>
      <c r="EZ61" s="197"/>
      <c r="FA61" s="197"/>
      <c r="FB61" s="197"/>
      <c r="FC61" s="197"/>
      <c r="FD61" s="197"/>
      <c r="FE61" s="197"/>
      <c r="FF61" s="197"/>
      <c r="FG61" s="197"/>
      <c r="FH61" s="197"/>
      <c r="FI61" s="197"/>
      <c r="FJ61" s="197"/>
      <c r="FK61" s="197"/>
      <c r="FL61" s="197"/>
      <c r="FM61" s="197"/>
      <c r="FN61" s="197"/>
      <c r="FO61" s="197"/>
      <c r="FP61" s="197"/>
      <c r="FQ61" s="197"/>
      <c r="FR61" s="197"/>
      <c r="FS61" s="197"/>
      <c r="FT61" s="197"/>
      <c r="FU61" s="197"/>
      <c r="FV61" s="197"/>
      <c r="FW61" s="197"/>
      <c r="FX61" s="197"/>
      <c r="FY61" s="197"/>
      <c r="FZ61" s="197"/>
      <c r="GA61" s="197"/>
      <c r="GB61" s="197"/>
      <c r="GC61" s="197"/>
      <c r="GD61" s="197"/>
      <c r="GE61" s="197"/>
      <c r="GF61" s="197"/>
      <c r="GG61" s="197"/>
      <c r="GH61" s="197"/>
      <c r="GI61" s="197"/>
      <c r="GJ61" s="197"/>
      <c r="GK61" s="197"/>
      <c r="GL61" s="197"/>
      <c r="GM61" s="197"/>
      <c r="GN61" s="197"/>
      <c r="GO61" s="197"/>
      <c r="GP61" s="197"/>
      <c r="GQ61" s="197"/>
      <c r="GR61" s="197"/>
      <c r="GS61" s="197"/>
      <c r="GT61" s="197"/>
      <c r="GU61" s="197"/>
      <c r="GV61" s="197"/>
      <c r="GW61" s="197"/>
      <c r="GX61" s="197"/>
      <c r="GY61" s="197"/>
    </row>
    <row r="62" spans="1:207" s="203" customFormat="1" x14ac:dyDescent="0.35">
      <c r="A62" s="192"/>
      <c r="B62" s="311" t="s">
        <v>384</v>
      </c>
      <c r="C62" s="312" t="str">
        <f>'CC detallado'!F21</f>
        <v>Técnicos en SIG - Gabinete</v>
      </c>
      <c r="D62" s="331"/>
      <c r="E62" s="332" t="s">
        <v>91</v>
      </c>
      <c r="F62" s="333">
        <f t="shared" si="3"/>
        <v>31</v>
      </c>
      <c r="G62" s="315">
        <f>'CC detallado'!N21</f>
        <v>48574.801821555069</v>
      </c>
      <c r="H62" s="316">
        <v>1</v>
      </c>
      <c r="I62" s="327">
        <v>0</v>
      </c>
      <c r="J62" s="334">
        <f>'CC detallado'!G21</f>
        <v>6</v>
      </c>
      <c r="K62" s="335" t="s">
        <v>336</v>
      </c>
      <c r="L62" s="335" t="s">
        <v>391</v>
      </c>
      <c r="M62" s="336" t="s">
        <v>523</v>
      </c>
      <c r="N62" s="336" t="s">
        <v>541</v>
      </c>
      <c r="O62" s="332"/>
      <c r="P62" s="192"/>
      <c r="Q62" s="197"/>
      <c r="R62" s="201"/>
      <c r="S62" s="201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197"/>
      <c r="AL62" s="197"/>
      <c r="AM62" s="197"/>
      <c r="AN62" s="197"/>
      <c r="AO62" s="197"/>
      <c r="AP62" s="197"/>
      <c r="AQ62" s="197"/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97"/>
      <c r="BD62" s="197"/>
      <c r="BE62" s="197"/>
      <c r="BF62" s="197"/>
      <c r="BG62" s="197"/>
      <c r="BH62" s="197"/>
      <c r="BI62" s="197"/>
      <c r="BJ62" s="197"/>
      <c r="BK62" s="197"/>
      <c r="BL62" s="197"/>
      <c r="BM62" s="197"/>
      <c r="BN62" s="197"/>
      <c r="BO62" s="197"/>
      <c r="BP62" s="197"/>
      <c r="BQ62" s="197"/>
      <c r="BR62" s="197"/>
      <c r="BS62" s="197"/>
      <c r="BT62" s="197"/>
      <c r="BU62" s="197"/>
      <c r="BV62" s="197"/>
      <c r="BW62" s="197"/>
      <c r="BX62" s="197"/>
      <c r="BY62" s="197"/>
      <c r="BZ62" s="197"/>
      <c r="CA62" s="197"/>
      <c r="CB62" s="197"/>
      <c r="CC62" s="197"/>
      <c r="CD62" s="197"/>
      <c r="CE62" s="197"/>
      <c r="CF62" s="197"/>
      <c r="CG62" s="197"/>
      <c r="CH62" s="197"/>
      <c r="CI62" s="197"/>
      <c r="CJ62" s="197"/>
      <c r="CK62" s="197"/>
      <c r="CL62" s="197"/>
      <c r="CM62" s="197"/>
      <c r="CN62" s="197"/>
      <c r="CO62" s="197"/>
      <c r="CP62" s="197"/>
      <c r="CQ62" s="197"/>
      <c r="CR62" s="197"/>
      <c r="CS62" s="197"/>
      <c r="CT62" s="197"/>
      <c r="CU62" s="197"/>
      <c r="CV62" s="197"/>
      <c r="CW62" s="197"/>
      <c r="CX62" s="197"/>
      <c r="CY62" s="197"/>
      <c r="CZ62" s="197"/>
      <c r="DA62" s="197"/>
      <c r="DB62" s="197"/>
      <c r="DC62" s="197"/>
      <c r="DD62" s="197"/>
      <c r="DE62" s="197"/>
      <c r="DF62" s="197"/>
      <c r="DG62" s="197"/>
      <c r="DH62" s="197"/>
      <c r="DI62" s="197"/>
      <c r="DJ62" s="197"/>
      <c r="DK62" s="197"/>
      <c r="DL62" s="197"/>
      <c r="DM62" s="197"/>
      <c r="DN62" s="197"/>
      <c r="DO62" s="197"/>
      <c r="DP62" s="197"/>
      <c r="DQ62" s="197"/>
      <c r="DR62" s="197"/>
      <c r="DS62" s="197"/>
      <c r="DT62" s="197"/>
      <c r="DU62" s="197"/>
      <c r="DV62" s="197"/>
      <c r="DW62" s="197"/>
      <c r="DX62" s="197"/>
      <c r="DY62" s="197"/>
      <c r="DZ62" s="197"/>
      <c r="EA62" s="197"/>
      <c r="EB62" s="197"/>
      <c r="EC62" s="197"/>
      <c r="ED62" s="197"/>
      <c r="EE62" s="197"/>
      <c r="EF62" s="197"/>
      <c r="EG62" s="197"/>
      <c r="EH62" s="197"/>
      <c r="EI62" s="197"/>
      <c r="EJ62" s="197"/>
      <c r="EK62" s="197"/>
      <c r="EL62" s="197"/>
      <c r="EM62" s="197"/>
      <c r="EN62" s="197"/>
      <c r="EO62" s="197"/>
      <c r="EP62" s="197"/>
      <c r="EQ62" s="197"/>
      <c r="ER62" s="197"/>
      <c r="ES62" s="197"/>
      <c r="ET62" s="197"/>
      <c r="EU62" s="197"/>
      <c r="EV62" s="197"/>
      <c r="EW62" s="197"/>
      <c r="EX62" s="197"/>
      <c r="EY62" s="197"/>
      <c r="EZ62" s="197"/>
      <c r="FA62" s="197"/>
      <c r="FB62" s="197"/>
      <c r="FC62" s="197"/>
      <c r="FD62" s="197"/>
      <c r="FE62" s="197"/>
      <c r="FF62" s="197"/>
      <c r="FG62" s="197"/>
      <c r="FH62" s="197"/>
      <c r="FI62" s="197"/>
      <c r="FJ62" s="197"/>
      <c r="FK62" s="197"/>
      <c r="FL62" s="197"/>
      <c r="FM62" s="197"/>
      <c r="FN62" s="197"/>
      <c r="FO62" s="197"/>
      <c r="FP62" s="197"/>
      <c r="FQ62" s="197"/>
      <c r="FR62" s="197"/>
      <c r="FS62" s="197"/>
      <c r="FT62" s="197"/>
      <c r="FU62" s="197"/>
      <c r="FV62" s="197"/>
      <c r="FW62" s="197"/>
      <c r="FX62" s="197"/>
      <c r="FY62" s="197"/>
      <c r="FZ62" s="197"/>
      <c r="GA62" s="197"/>
      <c r="GB62" s="197"/>
      <c r="GC62" s="197"/>
      <c r="GD62" s="197"/>
      <c r="GE62" s="197"/>
      <c r="GF62" s="197"/>
      <c r="GG62" s="197"/>
      <c r="GH62" s="197"/>
      <c r="GI62" s="197"/>
      <c r="GJ62" s="197"/>
      <c r="GK62" s="197"/>
      <c r="GL62" s="197"/>
      <c r="GM62" s="197"/>
      <c r="GN62" s="197"/>
      <c r="GO62" s="197"/>
      <c r="GP62" s="197"/>
      <c r="GQ62" s="197"/>
      <c r="GR62" s="197"/>
      <c r="GS62" s="197"/>
      <c r="GT62" s="197"/>
      <c r="GU62" s="197"/>
      <c r="GV62" s="197"/>
      <c r="GW62" s="197"/>
      <c r="GX62" s="197"/>
      <c r="GY62" s="197"/>
    </row>
    <row r="63" spans="1:207" s="203" customFormat="1" x14ac:dyDescent="0.35">
      <c r="A63" s="192"/>
      <c r="B63" s="311" t="s">
        <v>384</v>
      </c>
      <c r="C63" s="312" t="str">
        <f>'CC detallado'!F28</f>
        <v>Programador principal</v>
      </c>
      <c r="D63" s="331"/>
      <c r="E63" s="332" t="s">
        <v>91</v>
      </c>
      <c r="F63" s="333">
        <f t="shared" si="3"/>
        <v>32</v>
      </c>
      <c r="G63" s="315">
        <f>'CC detallado'!N28</f>
        <v>66115.702479338841</v>
      </c>
      <c r="H63" s="316">
        <v>1</v>
      </c>
      <c r="I63" s="327">
        <v>0</v>
      </c>
      <c r="J63" s="334">
        <f>'CC detallado'!G28</f>
        <v>2</v>
      </c>
      <c r="K63" s="335" t="s">
        <v>336</v>
      </c>
      <c r="L63" s="335" t="s">
        <v>391</v>
      </c>
      <c r="M63" s="336" t="s">
        <v>522</v>
      </c>
      <c r="N63" s="336" t="s">
        <v>522</v>
      </c>
      <c r="O63" s="332"/>
      <c r="P63" s="192"/>
      <c r="Q63" s="197"/>
      <c r="R63" s="201"/>
      <c r="S63" s="201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7"/>
      <c r="AI63" s="197"/>
      <c r="AJ63" s="197"/>
      <c r="AK63" s="197"/>
      <c r="AL63" s="197"/>
      <c r="AM63" s="197"/>
      <c r="AN63" s="197"/>
      <c r="AO63" s="197"/>
      <c r="AP63" s="197"/>
      <c r="AQ63" s="197"/>
      <c r="AR63" s="197"/>
      <c r="AS63" s="197"/>
      <c r="AT63" s="197"/>
      <c r="AU63" s="197"/>
      <c r="AV63" s="197"/>
      <c r="AW63" s="197"/>
      <c r="AX63" s="197"/>
      <c r="AY63" s="197"/>
      <c r="AZ63" s="197"/>
      <c r="BA63" s="197"/>
      <c r="BB63" s="197"/>
      <c r="BC63" s="197"/>
      <c r="BD63" s="197"/>
      <c r="BE63" s="197"/>
      <c r="BF63" s="197"/>
      <c r="BG63" s="197"/>
      <c r="BH63" s="197"/>
      <c r="BI63" s="197"/>
      <c r="BJ63" s="197"/>
      <c r="BK63" s="197"/>
      <c r="BL63" s="197"/>
      <c r="BM63" s="197"/>
      <c r="BN63" s="197"/>
      <c r="BO63" s="197"/>
      <c r="BP63" s="197"/>
      <c r="BQ63" s="197"/>
      <c r="BR63" s="197"/>
      <c r="BS63" s="197"/>
      <c r="BT63" s="197"/>
      <c r="BU63" s="197"/>
      <c r="BV63" s="197"/>
      <c r="BW63" s="197"/>
      <c r="BX63" s="197"/>
      <c r="BY63" s="197"/>
      <c r="BZ63" s="197"/>
      <c r="CA63" s="197"/>
      <c r="CB63" s="197"/>
      <c r="CC63" s="197"/>
      <c r="CD63" s="197"/>
      <c r="CE63" s="197"/>
      <c r="CF63" s="197"/>
      <c r="CG63" s="197"/>
      <c r="CH63" s="197"/>
      <c r="CI63" s="197"/>
      <c r="CJ63" s="197"/>
      <c r="CK63" s="197"/>
      <c r="CL63" s="197"/>
      <c r="CM63" s="197"/>
      <c r="CN63" s="197"/>
      <c r="CO63" s="197"/>
      <c r="CP63" s="197"/>
      <c r="CQ63" s="197"/>
      <c r="CR63" s="197"/>
      <c r="CS63" s="197"/>
      <c r="CT63" s="197"/>
      <c r="CU63" s="197"/>
      <c r="CV63" s="197"/>
      <c r="CW63" s="197"/>
      <c r="CX63" s="197"/>
      <c r="CY63" s="197"/>
      <c r="CZ63" s="197"/>
      <c r="DA63" s="197"/>
      <c r="DB63" s="197"/>
      <c r="DC63" s="197"/>
      <c r="DD63" s="197"/>
      <c r="DE63" s="197"/>
      <c r="DF63" s="197"/>
      <c r="DG63" s="197"/>
      <c r="DH63" s="197"/>
      <c r="DI63" s="197"/>
      <c r="DJ63" s="197"/>
      <c r="DK63" s="197"/>
      <c r="DL63" s="197"/>
      <c r="DM63" s="197"/>
      <c r="DN63" s="197"/>
      <c r="DO63" s="197"/>
      <c r="DP63" s="197"/>
      <c r="DQ63" s="197"/>
      <c r="DR63" s="197"/>
      <c r="DS63" s="197"/>
      <c r="DT63" s="197"/>
      <c r="DU63" s="197"/>
      <c r="DV63" s="197"/>
      <c r="DW63" s="197"/>
      <c r="DX63" s="197"/>
      <c r="DY63" s="197"/>
      <c r="DZ63" s="197"/>
      <c r="EA63" s="197"/>
      <c r="EB63" s="197"/>
      <c r="EC63" s="197"/>
      <c r="ED63" s="197"/>
      <c r="EE63" s="197"/>
      <c r="EF63" s="197"/>
      <c r="EG63" s="197"/>
      <c r="EH63" s="197"/>
      <c r="EI63" s="197"/>
      <c r="EJ63" s="197"/>
      <c r="EK63" s="197"/>
      <c r="EL63" s="197"/>
      <c r="EM63" s="197"/>
      <c r="EN63" s="197"/>
      <c r="EO63" s="197"/>
      <c r="EP63" s="197"/>
      <c r="EQ63" s="197"/>
      <c r="ER63" s="197"/>
      <c r="ES63" s="197"/>
      <c r="ET63" s="197"/>
      <c r="EU63" s="197"/>
      <c r="EV63" s="197"/>
      <c r="EW63" s="197"/>
      <c r="EX63" s="197"/>
      <c r="EY63" s="197"/>
      <c r="EZ63" s="197"/>
      <c r="FA63" s="197"/>
      <c r="FB63" s="197"/>
      <c r="FC63" s="197"/>
      <c r="FD63" s="197"/>
      <c r="FE63" s="197"/>
      <c r="FF63" s="197"/>
      <c r="FG63" s="197"/>
      <c r="FH63" s="197"/>
      <c r="FI63" s="197"/>
      <c r="FJ63" s="197"/>
      <c r="FK63" s="197"/>
      <c r="FL63" s="197"/>
      <c r="FM63" s="197"/>
      <c r="FN63" s="197"/>
      <c r="FO63" s="197"/>
      <c r="FP63" s="197"/>
      <c r="FQ63" s="197"/>
      <c r="FR63" s="197"/>
      <c r="FS63" s="197"/>
      <c r="FT63" s="197"/>
      <c r="FU63" s="197"/>
      <c r="FV63" s="197"/>
      <c r="FW63" s="197"/>
      <c r="FX63" s="197"/>
      <c r="FY63" s="197"/>
      <c r="FZ63" s="197"/>
      <c r="GA63" s="197"/>
      <c r="GB63" s="197"/>
      <c r="GC63" s="197"/>
      <c r="GD63" s="197"/>
      <c r="GE63" s="197"/>
      <c r="GF63" s="197"/>
      <c r="GG63" s="197"/>
      <c r="GH63" s="197"/>
      <c r="GI63" s="197"/>
      <c r="GJ63" s="197"/>
      <c r="GK63" s="197"/>
      <c r="GL63" s="197"/>
      <c r="GM63" s="197"/>
      <c r="GN63" s="197"/>
      <c r="GO63" s="197"/>
      <c r="GP63" s="197"/>
      <c r="GQ63" s="197"/>
      <c r="GR63" s="197"/>
      <c r="GS63" s="197"/>
      <c r="GT63" s="197"/>
      <c r="GU63" s="197"/>
      <c r="GV63" s="197"/>
      <c r="GW63" s="197"/>
      <c r="GX63" s="197"/>
      <c r="GY63" s="197"/>
    </row>
    <row r="64" spans="1:207" s="203" customFormat="1" x14ac:dyDescent="0.35">
      <c r="A64" s="192"/>
      <c r="B64" s="311" t="s">
        <v>384</v>
      </c>
      <c r="C64" s="312" t="str">
        <f>'CC detallado'!F29</f>
        <v>Programador asistente</v>
      </c>
      <c r="D64" s="331"/>
      <c r="E64" s="332" t="s">
        <v>91</v>
      </c>
      <c r="F64" s="333">
        <f t="shared" si="3"/>
        <v>33</v>
      </c>
      <c r="G64" s="315">
        <f>'CC detallado'!N29</f>
        <v>20239.500758981278</v>
      </c>
      <c r="H64" s="316">
        <v>1</v>
      </c>
      <c r="I64" s="327">
        <v>0</v>
      </c>
      <c r="J64" s="334">
        <f>'CC detallado'!G29</f>
        <v>2</v>
      </c>
      <c r="K64" s="335" t="s">
        <v>336</v>
      </c>
      <c r="L64" s="335" t="s">
        <v>391</v>
      </c>
      <c r="M64" s="336" t="s">
        <v>522</v>
      </c>
      <c r="N64" s="336" t="s">
        <v>522</v>
      </c>
      <c r="O64" s="332"/>
      <c r="P64" s="192"/>
      <c r="Q64" s="197"/>
      <c r="R64" s="201"/>
      <c r="S64" s="201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  <c r="AD64" s="197"/>
      <c r="AE64" s="197"/>
      <c r="AF64" s="197"/>
      <c r="AG64" s="197"/>
      <c r="AH64" s="197"/>
      <c r="AI64" s="197"/>
      <c r="AJ64" s="197"/>
      <c r="AK64" s="197"/>
      <c r="AL64" s="197"/>
      <c r="AM64" s="197"/>
      <c r="AN64" s="197"/>
      <c r="AO64" s="197"/>
      <c r="AP64" s="197"/>
      <c r="AQ64" s="197"/>
      <c r="AR64" s="197"/>
      <c r="AS64" s="197"/>
      <c r="AT64" s="197"/>
      <c r="AU64" s="197"/>
      <c r="AV64" s="197"/>
      <c r="AW64" s="197"/>
      <c r="AX64" s="197"/>
      <c r="AY64" s="197"/>
      <c r="AZ64" s="197"/>
      <c r="BA64" s="197"/>
      <c r="BB64" s="197"/>
      <c r="BC64" s="197"/>
      <c r="BD64" s="197"/>
      <c r="BE64" s="197"/>
      <c r="BF64" s="197"/>
      <c r="BG64" s="197"/>
      <c r="BH64" s="197"/>
      <c r="BI64" s="197"/>
      <c r="BJ64" s="197"/>
      <c r="BK64" s="197"/>
      <c r="BL64" s="197"/>
      <c r="BM64" s="197"/>
      <c r="BN64" s="197"/>
      <c r="BO64" s="197"/>
      <c r="BP64" s="197"/>
      <c r="BQ64" s="197"/>
      <c r="BR64" s="197"/>
      <c r="BS64" s="197"/>
      <c r="BT64" s="197"/>
      <c r="BU64" s="197"/>
      <c r="BV64" s="197"/>
      <c r="BW64" s="197"/>
      <c r="BX64" s="197"/>
      <c r="BY64" s="197"/>
      <c r="BZ64" s="197"/>
      <c r="CA64" s="197"/>
      <c r="CB64" s="197"/>
      <c r="CC64" s="197"/>
      <c r="CD64" s="197"/>
      <c r="CE64" s="197"/>
      <c r="CF64" s="197"/>
      <c r="CG64" s="197"/>
      <c r="CH64" s="197"/>
      <c r="CI64" s="197"/>
      <c r="CJ64" s="197"/>
      <c r="CK64" s="197"/>
      <c r="CL64" s="197"/>
      <c r="CM64" s="197"/>
      <c r="CN64" s="197"/>
      <c r="CO64" s="197"/>
      <c r="CP64" s="197"/>
      <c r="CQ64" s="197"/>
      <c r="CR64" s="197"/>
      <c r="CS64" s="197"/>
      <c r="CT64" s="197"/>
      <c r="CU64" s="197"/>
      <c r="CV64" s="197"/>
      <c r="CW64" s="197"/>
      <c r="CX64" s="197"/>
      <c r="CY64" s="197"/>
      <c r="CZ64" s="197"/>
      <c r="DA64" s="197"/>
      <c r="DB64" s="197"/>
      <c r="DC64" s="197"/>
      <c r="DD64" s="197"/>
      <c r="DE64" s="197"/>
      <c r="DF64" s="197"/>
      <c r="DG64" s="197"/>
      <c r="DH64" s="197"/>
      <c r="DI64" s="197"/>
      <c r="DJ64" s="197"/>
      <c r="DK64" s="197"/>
      <c r="DL64" s="197"/>
      <c r="DM64" s="197"/>
      <c r="DN64" s="197"/>
      <c r="DO64" s="197"/>
      <c r="DP64" s="197"/>
      <c r="DQ64" s="197"/>
      <c r="DR64" s="197"/>
      <c r="DS64" s="197"/>
      <c r="DT64" s="197"/>
      <c r="DU64" s="197"/>
      <c r="DV64" s="197"/>
      <c r="DW64" s="197"/>
      <c r="DX64" s="197"/>
      <c r="DY64" s="197"/>
      <c r="DZ64" s="197"/>
      <c r="EA64" s="197"/>
      <c r="EB64" s="197"/>
      <c r="EC64" s="197"/>
      <c r="ED64" s="197"/>
      <c r="EE64" s="197"/>
      <c r="EF64" s="197"/>
      <c r="EG64" s="197"/>
      <c r="EH64" s="197"/>
      <c r="EI64" s="197"/>
      <c r="EJ64" s="197"/>
      <c r="EK64" s="197"/>
      <c r="EL64" s="197"/>
      <c r="EM64" s="197"/>
      <c r="EN64" s="197"/>
      <c r="EO64" s="197"/>
      <c r="EP64" s="197"/>
      <c r="EQ64" s="197"/>
      <c r="ER64" s="197"/>
      <c r="ES64" s="197"/>
      <c r="ET64" s="197"/>
      <c r="EU64" s="197"/>
      <c r="EV64" s="197"/>
      <c r="EW64" s="197"/>
      <c r="EX64" s="197"/>
      <c r="EY64" s="197"/>
      <c r="EZ64" s="197"/>
      <c r="FA64" s="197"/>
      <c r="FB64" s="197"/>
      <c r="FC64" s="197"/>
      <c r="FD64" s="197"/>
      <c r="FE64" s="197"/>
      <c r="FF64" s="197"/>
      <c r="FG64" s="197"/>
      <c r="FH64" s="197"/>
      <c r="FI64" s="197"/>
      <c r="FJ64" s="197"/>
      <c r="FK64" s="197"/>
      <c r="FL64" s="197"/>
      <c r="FM64" s="197"/>
      <c r="FN64" s="197"/>
      <c r="FO64" s="197"/>
      <c r="FP64" s="197"/>
      <c r="FQ64" s="197"/>
      <c r="FR64" s="197"/>
      <c r="FS64" s="197"/>
      <c r="FT64" s="197"/>
      <c r="FU64" s="197"/>
      <c r="FV64" s="197"/>
      <c r="FW64" s="197"/>
      <c r="FX64" s="197"/>
      <c r="FY64" s="197"/>
      <c r="FZ64" s="197"/>
      <c r="GA64" s="197"/>
      <c r="GB64" s="197"/>
      <c r="GC64" s="197"/>
      <c r="GD64" s="197"/>
      <c r="GE64" s="197"/>
      <c r="GF64" s="197"/>
      <c r="GG64" s="197"/>
      <c r="GH64" s="197"/>
      <c r="GI64" s="197"/>
      <c r="GJ64" s="197"/>
      <c r="GK64" s="197"/>
      <c r="GL64" s="197"/>
      <c r="GM64" s="197"/>
      <c r="GN64" s="197"/>
      <c r="GO64" s="197"/>
      <c r="GP64" s="197"/>
      <c r="GQ64" s="197"/>
      <c r="GR64" s="197"/>
      <c r="GS64" s="197"/>
      <c r="GT64" s="197"/>
      <c r="GU64" s="197"/>
      <c r="GV64" s="197"/>
      <c r="GW64" s="197"/>
      <c r="GX64" s="197"/>
      <c r="GY64" s="197"/>
    </row>
    <row r="65" spans="1:207" s="203" customFormat="1" x14ac:dyDescent="0.35">
      <c r="A65" s="192"/>
      <c r="B65" s="311" t="s">
        <v>384</v>
      </c>
      <c r="C65" s="312" t="str">
        <f>'CC detallado'!F30</f>
        <v>Administrador de Sistema</v>
      </c>
      <c r="D65" s="331"/>
      <c r="E65" s="332" t="s">
        <v>91</v>
      </c>
      <c r="F65" s="333">
        <f t="shared" si="3"/>
        <v>34</v>
      </c>
      <c r="G65" s="315">
        <f>'CC detallado'!N30</f>
        <v>15179.625569235959</v>
      </c>
      <c r="H65" s="316">
        <v>1</v>
      </c>
      <c r="I65" s="327">
        <v>0</v>
      </c>
      <c r="J65" s="334">
        <f>'CC detallado'!G30</f>
        <v>1</v>
      </c>
      <c r="K65" s="335" t="s">
        <v>336</v>
      </c>
      <c r="L65" s="335" t="s">
        <v>391</v>
      </c>
      <c r="M65" s="336" t="s">
        <v>523</v>
      </c>
      <c r="N65" s="336" t="s">
        <v>541</v>
      </c>
      <c r="O65" s="332"/>
      <c r="P65" s="192"/>
      <c r="Q65" s="197"/>
      <c r="R65" s="201"/>
      <c r="S65" s="201"/>
      <c r="T65" s="197"/>
      <c r="U65" s="197"/>
      <c r="V65" s="197"/>
      <c r="W65" s="197"/>
      <c r="X65" s="197"/>
      <c r="Y65" s="197"/>
      <c r="Z65" s="197"/>
      <c r="AA65" s="197"/>
      <c r="AB65" s="197"/>
      <c r="AC65" s="197"/>
      <c r="AD65" s="197"/>
      <c r="AE65" s="197"/>
      <c r="AF65" s="197"/>
      <c r="AG65" s="197"/>
      <c r="AH65" s="197"/>
      <c r="AI65" s="197"/>
      <c r="AJ65" s="197"/>
      <c r="AK65" s="197"/>
      <c r="AL65" s="197"/>
      <c r="AM65" s="197"/>
      <c r="AN65" s="197"/>
      <c r="AO65" s="197"/>
      <c r="AP65" s="197"/>
      <c r="AQ65" s="197"/>
      <c r="AR65" s="197"/>
      <c r="AS65" s="197"/>
      <c r="AT65" s="197"/>
      <c r="AU65" s="197"/>
      <c r="AV65" s="197"/>
      <c r="AW65" s="197"/>
      <c r="AX65" s="197"/>
      <c r="AY65" s="197"/>
      <c r="AZ65" s="197"/>
      <c r="BA65" s="197"/>
      <c r="BB65" s="197"/>
      <c r="BC65" s="197"/>
      <c r="BD65" s="197"/>
      <c r="BE65" s="197"/>
      <c r="BF65" s="197"/>
      <c r="BG65" s="197"/>
      <c r="BH65" s="197"/>
      <c r="BI65" s="197"/>
      <c r="BJ65" s="197"/>
      <c r="BK65" s="197"/>
      <c r="BL65" s="197"/>
      <c r="BM65" s="197"/>
      <c r="BN65" s="197"/>
      <c r="BO65" s="197"/>
      <c r="BP65" s="197"/>
      <c r="BQ65" s="197"/>
      <c r="BR65" s="197"/>
      <c r="BS65" s="197"/>
      <c r="BT65" s="197"/>
      <c r="BU65" s="197"/>
      <c r="BV65" s="197"/>
      <c r="BW65" s="197"/>
      <c r="BX65" s="197"/>
      <c r="BY65" s="197"/>
      <c r="BZ65" s="197"/>
      <c r="CA65" s="197"/>
      <c r="CB65" s="197"/>
      <c r="CC65" s="197"/>
      <c r="CD65" s="197"/>
      <c r="CE65" s="197"/>
      <c r="CF65" s="197"/>
      <c r="CG65" s="197"/>
      <c r="CH65" s="197"/>
      <c r="CI65" s="197"/>
      <c r="CJ65" s="197"/>
      <c r="CK65" s="197"/>
      <c r="CL65" s="197"/>
      <c r="CM65" s="197"/>
      <c r="CN65" s="197"/>
      <c r="CO65" s="197"/>
      <c r="CP65" s="197"/>
      <c r="CQ65" s="197"/>
      <c r="CR65" s="197"/>
      <c r="CS65" s="197"/>
      <c r="CT65" s="197"/>
      <c r="CU65" s="197"/>
      <c r="CV65" s="197"/>
      <c r="CW65" s="197"/>
      <c r="CX65" s="197"/>
      <c r="CY65" s="197"/>
      <c r="CZ65" s="197"/>
      <c r="DA65" s="197"/>
      <c r="DB65" s="197"/>
      <c r="DC65" s="197"/>
      <c r="DD65" s="197"/>
      <c r="DE65" s="197"/>
      <c r="DF65" s="197"/>
      <c r="DG65" s="197"/>
      <c r="DH65" s="197"/>
      <c r="DI65" s="197"/>
      <c r="DJ65" s="197"/>
      <c r="DK65" s="197"/>
      <c r="DL65" s="197"/>
      <c r="DM65" s="197"/>
      <c r="DN65" s="197"/>
      <c r="DO65" s="197"/>
      <c r="DP65" s="197"/>
      <c r="DQ65" s="197"/>
      <c r="DR65" s="197"/>
      <c r="DS65" s="197"/>
      <c r="DT65" s="197"/>
      <c r="DU65" s="197"/>
      <c r="DV65" s="197"/>
      <c r="DW65" s="197"/>
      <c r="DX65" s="197"/>
      <c r="DY65" s="197"/>
      <c r="DZ65" s="197"/>
      <c r="EA65" s="197"/>
      <c r="EB65" s="197"/>
      <c r="EC65" s="197"/>
      <c r="ED65" s="197"/>
      <c r="EE65" s="197"/>
      <c r="EF65" s="197"/>
      <c r="EG65" s="197"/>
      <c r="EH65" s="197"/>
      <c r="EI65" s="197"/>
      <c r="EJ65" s="197"/>
      <c r="EK65" s="197"/>
      <c r="EL65" s="197"/>
      <c r="EM65" s="197"/>
      <c r="EN65" s="197"/>
      <c r="EO65" s="197"/>
      <c r="EP65" s="197"/>
      <c r="EQ65" s="197"/>
      <c r="ER65" s="197"/>
      <c r="ES65" s="197"/>
      <c r="ET65" s="197"/>
      <c r="EU65" s="197"/>
      <c r="EV65" s="197"/>
      <c r="EW65" s="197"/>
      <c r="EX65" s="197"/>
      <c r="EY65" s="197"/>
      <c r="EZ65" s="197"/>
      <c r="FA65" s="197"/>
      <c r="FB65" s="197"/>
      <c r="FC65" s="197"/>
      <c r="FD65" s="197"/>
      <c r="FE65" s="197"/>
      <c r="FF65" s="197"/>
      <c r="FG65" s="197"/>
      <c r="FH65" s="197"/>
      <c r="FI65" s="197"/>
      <c r="FJ65" s="197"/>
      <c r="FK65" s="197"/>
      <c r="FL65" s="197"/>
      <c r="FM65" s="197"/>
      <c r="FN65" s="197"/>
      <c r="FO65" s="197"/>
      <c r="FP65" s="197"/>
      <c r="FQ65" s="197"/>
      <c r="FR65" s="197"/>
      <c r="FS65" s="197"/>
      <c r="FT65" s="197"/>
      <c r="FU65" s="197"/>
      <c r="FV65" s="197"/>
      <c r="FW65" s="197"/>
      <c r="FX65" s="197"/>
      <c r="FY65" s="197"/>
      <c r="FZ65" s="197"/>
      <c r="GA65" s="197"/>
      <c r="GB65" s="197"/>
      <c r="GC65" s="197"/>
      <c r="GD65" s="197"/>
      <c r="GE65" s="197"/>
      <c r="GF65" s="197"/>
      <c r="GG65" s="197"/>
      <c r="GH65" s="197"/>
      <c r="GI65" s="197"/>
      <c r="GJ65" s="197"/>
      <c r="GK65" s="197"/>
      <c r="GL65" s="197"/>
      <c r="GM65" s="197"/>
      <c r="GN65" s="197"/>
      <c r="GO65" s="197"/>
      <c r="GP65" s="197"/>
      <c r="GQ65" s="197"/>
      <c r="GR65" s="197"/>
      <c r="GS65" s="197"/>
      <c r="GT65" s="197"/>
      <c r="GU65" s="197"/>
      <c r="GV65" s="197"/>
      <c r="GW65" s="197"/>
      <c r="GX65" s="197"/>
      <c r="GY65" s="197"/>
    </row>
    <row r="66" spans="1:207" s="203" customFormat="1" x14ac:dyDescent="0.35">
      <c r="A66" s="192"/>
      <c r="B66" s="311" t="s">
        <v>384</v>
      </c>
      <c r="C66" s="312" t="str">
        <f>'CC detallado'!F31</f>
        <v>Administrador de red</v>
      </c>
      <c r="D66" s="331"/>
      <c r="E66" s="332" t="s">
        <v>91</v>
      </c>
      <c r="F66" s="333">
        <f t="shared" si="3"/>
        <v>35</v>
      </c>
      <c r="G66" s="315">
        <f>'CC detallado'!N31</f>
        <v>15179.625569235959</v>
      </c>
      <c r="H66" s="316">
        <v>1</v>
      </c>
      <c r="I66" s="327">
        <v>0</v>
      </c>
      <c r="J66" s="334">
        <f>'CC detallado'!G31</f>
        <v>1</v>
      </c>
      <c r="K66" s="335" t="s">
        <v>336</v>
      </c>
      <c r="L66" s="335" t="s">
        <v>391</v>
      </c>
      <c r="M66" s="336" t="s">
        <v>523</v>
      </c>
      <c r="N66" s="336" t="s">
        <v>541</v>
      </c>
      <c r="O66" s="332"/>
      <c r="P66" s="192"/>
      <c r="Q66" s="197"/>
      <c r="R66" s="201"/>
      <c r="S66" s="201"/>
      <c r="T66" s="197"/>
      <c r="U66" s="197"/>
      <c r="V66" s="197"/>
      <c r="W66" s="197"/>
      <c r="X66" s="197"/>
      <c r="Y66" s="197"/>
      <c r="Z66" s="197"/>
      <c r="AA66" s="197"/>
      <c r="AB66" s="197"/>
      <c r="AC66" s="197"/>
      <c r="AD66" s="197"/>
      <c r="AE66" s="197"/>
      <c r="AF66" s="197"/>
      <c r="AG66" s="197"/>
      <c r="AH66" s="197"/>
      <c r="AI66" s="197"/>
      <c r="AJ66" s="197"/>
      <c r="AK66" s="197"/>
      <c r="AL66" s="197"/>
      <c r="AM66" s="197"/>
      <c r="AN66" s="197"/>
      <c r="AO66" s="197"/>
      <c r="AP66" s="197"/>
      <c r="AQ66" s="197"/>
      <c r="AR66" s="197"/>
      <c r="AS66" s="197"/>
      <c r="AT66" s="197"/>
      <c r="AU66" s="197"/>
      <c r="AV66" s="197"/>
      <c r="AW66" s="197"/>
      <c r="AX66" s="197"/>
      <c r="AY66" s="197"/>
      <c r="AZ66" s="197"/>
      <c r="BA66" s="197"/>
      <c r="BB66" s="197"/>
      <c r="BC66" s="197"/>
      <c r="BD66" s="197"/>
      <c r="BE66" s="197"/>
      <c r="BF66" s="197"/>
      <c r="BG66" s="197"/>
      <c r="BH66" s="197"/>
      <c r="BI66" s="197"/>
      <c r="BJ66" s="197"/>
      <c r="BK66" s="197"/>
      <c r="BL66" s="197"/>
      <c r="BM66" s="197"/>
      <c r="BN66" s="197"/>
      <c r="BO66" s="197"/>
      <c r="BP66" s="197"/>
      <c r="BQ66" s="197"/>
      <c r="BR66" s="197"/>
      <c r="BS66" s="197"/>
      <c r="BT66" s="197"/>
      <c r="BU66" s="197"/>
      <c r="BV66" s="197"/>
      <c r="BW66" s="197"/>
      <c r="BX66" s="197"/>
      <c r="BY66" s="197"/>
      <c r="BZ66" s="197"/>
      <c r="CA66" s="197"/>
      <c r="CB66" s="197"/>
      <c r="CC66" s="197"/>
      <c r="CD66" s="197"/>
      <c r="CE66" s="197"/>
      <c r="CF66" s="197"/>
      <c r="CG66" s="197"/>
      <c r="CH66" s="197"/>
      <c r="CI66" s="197"/>
      <c r="CJ66" s="197"/>
      <c r="CK66" s="197"/>
      <c r="CL66" s="197"/>
      <c r="CM66" s="197"/>
      <c r="CN66" s="197"/>
      <c r="CO66" s="197"/>
      <c r="CP66" s="197"/>
      <c r="CQ66" s="197"/>
      <c r="CR66" s="197"/>
      <c r="CS66" s="197"/>
      <c r="CT66" s="197"/>
      <c r="CU66" s="197"/>
      <c r="CV66" s="197"/>
      <c r="CW66" s="197"/>
      <c r="CX66" s="197"/>
      <c r="CY66" s="197"/>
      <c r="CZ66" s="197"/>
      <c r="DA66" s="197"/>
      <c r="DB66" s="197"/>
      <c r="DC66" s="197"/>
      <c r="DD66" s="197"/>
      <c r="DE66" s="197"/>
      <c r="DF66" s="197"/>
      <c r="DG66" s="197"/>
      <c r="DH66" s="197"/>
      <c r="DI66" s="197"/>
      <c r="DJ66" s="197"/>
      <c r="DK66" s="197"/>
      <c r="DL66" s="197"/>
      <c r="DM66" s="197"/>
      <c r="DN66" s="197"/>
      <c r="DO66" s="197"/>
      <c r="DP66" s="197"/>
      <c r="DQ66" s="197"/>
      <c r="DR66" s="197"/>
      <c r="DS66" s="197"/>
      <c r="DT66" s="197"/>
      <c r="DU66" s="197"/>
      <c r="DV66" s="197"/>
      <c r="DW66" s="197"/>
      <c r="DX66" s="197"/>
      <c r="DY66" s="197"/>
      <c r="DZ66" s="197"/>
      <c r="EA66" s="197"/>
      <c r="EB66" s="197"/>
      <c r="EC66" s="197"/>
      <c r="ED66" s="197"/>
      <c r="EE66" s="197"/>
      <c r="EF66" s="197"/>
      <c r="EG66" s="197"/>
      <c r="EH66" s="197"/>
      <c r="EI66" s="197"/>
      <c r="EJ66" s="197"/>
      <c r="EK66" s="197"/>
      <c r="EL66" s="197"/>
      <c r="EM66" s="197"/>
      <c r="EN66" s="197"/>
      <c r="EO66" s="197"/>
      <c r="EP66" s="197"/>
      <c r="EQ66" s="197"/>
      <c r="ER66" s="197"/>
      <c r="ES66" s="197"/>
      <c r="ET66" s="197"/>
      <c r="EU66" s="197"/>
      <c r="EV66" s="197"/>
      <c r="EW66" s="197"/>
      <c r="EX66" s="197"/>
      <c r="EY66" s="197"/>
      <c r="EZ66" s="197"/>
      <c r="FA66" s="197"/>
      <c r="FB66" s="197"/>
      <c r="FC66" s="197"/>
      <c r="FD66" s="197"/>
      <c r="FE66" s="197"/>
      <c r="FF66" s="197"/>
      <c r="FG66" s="197"/>
      <c r="FH66" s="197"/>
      <c r="FI66" s="197"/>
      <c r="FJ66" s="197"/>
      <c r="FK66" s="197"/>
      <c r="FL66" s="197"/>
      <c r="FM66" s="197"/>
      <c r="FN66" s="197"/>
      <c r="FO66" s="197"/>
      <c r="FP66" s="197"/>
      <c r="FQ66" s="197"/>
      <c r="FR66" s="197"/>
      <c r="FS66" s="197"/>
      <c r="FT66" s="197"/>
      <c r="FU66" s="197"/>
      <c r="FV66" s="197"/>
      <c r="FW66" s="197"/>
      <c r="FX66" s="197"/>
      <c r="FY66" s="197"/>
      <c r="FZ66" s="197"/>
      <c r="GA66" s="197"/>
      <c r="GB66" s="197"/>
      <c r="GC66" s="197"/>
      <c r="GD66" s="197"/>
      <c r="GE66" s="197"/>
      <c r="GF66" s="197"/>
      <c r="GG66" s="197"/>
      <c r="GH66" s="197"/>
      <c r="GI66" s="197"/>
      <c r="GJ66" s="197"/>
      <c r="GK66" s="197"/>
      <c r="GL66" s="197"/>
      <c r="GM66" s="197"/>
      <c r="GN66" s="197"/>
      <c r="GO66" s="197"/>
      <c r="GP66" s="197"/>
      <c r="GQ66" s="197"/>
      <c r="GR66" s="197"/>
      <c r="GS66" s="197"/>
      <c r="GT66" s="197"/>
      <c r="GU66" s="197"/>
      <c r="GV66" s="197"/>
      <c r="GW66" s="197"/>
      <c r="GX66" s="197"/>
      <c r="GY66" s="197"/>
    </row>
    <row r="67" spans="1:207" s="203" customFormat="1" x14ac:dyDescent="0.35">
      <c r="A67" s="192"/>
      <c r="B67" s="311" t="s">
        <v>384</v>
      </c>
      <c r="C67" s="312" t="str">
        <f>'CC detallado'!F32</f>
        <v>Experto en aplicaciones web</v>
      </c>
      <c r="D67" s="331"/>
      <c r="E67" s="332" t="s">
        <v>91</v>
      </c>
      <c r="F67" s="333">
        <f t="shared" si="3"/>
        <v>36</v>
      </c>
      <c r="G67" s="315">
        <f>'CC detallado'!N32</f>
        <v>18215.550683083151</v>
      </c>
      <c r="H67" s="316">
        <v>1</v>
      </c>
      <c r="I67" s="327">
        <v>0</v>
      </c>
      <c r="J67" s="334">
        <f>'CC detallado'!G32</f>
        <v>1</v>
      </c>
      <c r="K67" s="335" t="s">
        <v>336</v>
      </c>
      <c r="L67" s="335" t="s">
        <v>391</v>
      </c>
      <c r="M67" s="336" t="s">
        <v>523</v>
      </c>
      <c r="N67" s="336" t="s">
        <v>541</v>
      </c>
      <c r="O67" s="332"/>
      <c r="P67" s="192"/>
      <c r="Q67" s="197"/>
      <c r="R67" s="201"/>
      <c r="S67" s="201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7"/>
      <c r="AG67" s="197"/>
      <c r="AH67" s="197"/>
      <c r="AI67" s="197"/>
      <c r="AJ67" s="197"/>
      <c r="AK67" s="197"/>
      <c r="AL67" s="197"/>
      <c r="AM67" s="197"/>
      <c r="AN67" s="197"/>
      <c r="AO67" s="197"/>
      <c r="AP67" s="197"/>
      <c r="AQ67" s="197"/>
      <c r="AR67" s="197"/>
      <c r="AS67" s="197"/>
      <c r="AT67" s="197"/>
      <c r="AU67" s="197"/>
      <c r="AV67" s="197"/>
      <c r="AW67" s="197"/>
      <c r="AX67" s="197"/>
      <c r="AY67" s="197"/>
      <c r="AZ67" s="197"/>
      <c r="BA67" s="197"/>
      <c r="BB67" s="197"/>
      <c r="BC67" s="197"/>
      <c r="BD67" s="197"/>
      <c r="BE67" s="197"/>
      <c r="BF67" s="197"/>
      <c r="BG67" s="197"/>
      <c r="BH67" s="197"/>
      <c r="BI67" s="197"/>
      <c r="BJ67" s="197"/>
      <c r="BK67" s="197"/>
      <c r="BL67" s="197"/>
      <c r="BM67" s="197"/>
      <c r="BN67" s="197"/>
      <c r="BO67" s="197"/>
      <c r="BP67" s="197"/>
      <c r="BQ67" s="197"/>
      <c r="BR67" s="197"/>
      <c r="BS67" s="197"/>
      <c r="BT67" s="197"/>
      <c r="BU67" s="197"/>
      <c r="BV67" s="197"/>
      <c r="BW67" s="197"/>
      <c r="BX67" s="197"/>
      <c r="BY67" s="197"/>
      <c r="BZ67" s="197"/>
      <c r="CA67" s="197"/>
      <c r="CB67" s="197"/>
      <c r="CC67" s="197"/>
      <c r="CD67" s="197"/>
      <c r="CE67" s="197"/>
      <c r="CF67" s="197"/>
      <c r="CG67" s="197"/>
      <c r="CH67" s="197"/>
      <c r="CI67" s="197"/>
      <c r="CJ67" s="197"/>
      <c r="CK67" s="197"/>
      <c r="CL67" s="197"/>
      <c r="CM67" s="197"/>
      <c r="CN67" s="197"/>
      <c r="CO67" s="197"/>
      <c r="CP67" s="197"/>
      <c r="CQ67" s="197"/>
      <c r="CR67" s="197"/>
      <c r="CS67" s="197"/>
      <c r="CT67" s="197"/>
      <c r="CU67" s="197"/>
      <c r="CV67" s="197"/>
      <c r="CW67" s="197"/>
      <c r="CX67" s="197"/>
      <c r="CY67" s="197"/>
      <c r="CZ67" s="197"/>
      <c r="DA67" s="197"/>
      <c r="DB67" s="197"/>
      <c r="DC67" s="197"/>
      <c r="DD67" s="197"/>
      <c r="DE67" s="197"/>
      <c r="DF67" s="197"/>
      <c r="DG67" s="197"/>
      <c r="DH67" s="197"/>
      <c r="DI67" s="197"/>
      <c r="DJ67" s="197"/>
      <c r="DK67" s="197"/>
      <c r="DL67" s="197"/>
      <c r="DM67" s="197"/>
      <c r="DN67" s="197"/>
      <c r="DO67" s="197"/>
      <c r="DP67" s="197"/>
      <c r="DQ67" s="197"/>
      <c r="DR67" s="197"/>
      <c r="DS67" s="197"/>
      <c r="DT67" s="197"/>
      <c r="DU67" s="197"/>
      <c r="DV67" s="197"/>
      <c r="DW67" s="197"/>
      <c r="DX67" s="197"/>
      <c r="DY67" s="197"/>
      <c r="DZ67" s="197"/>
      <c r="EA67" s="197"/>
      <c r="EB67" s="197"/>
      <c r="EC67" s="197"/>
      <c r="ED67" s="197"/>
      <c r="EE67" s="197"/>
      <c r="EF67" s="197"/>
      <c r="EG67" s="197"/>
      <c r="EH67" s="197"/>
      <c r="EI67" s="197"/>
      <c r="EJ67" s="197"/>
      <c r="EK67" s="197"/>
      <c r="EL67" s="197"/>
      <c r="EM67" s="197"/>
      <c r="EN67" s="197"/>
      <c r="EO67" s="197"/>
      <c r="EP67" s="197"/>
      <c r="EQ67" s="197"/>
      <c r="ER67" s="197"/>
      <c r="ES67" s="197"/>
      <c r="ET67" s="197"/>
      <c r="EU67" s="197"/>
      <c r="EV67" s="197"/>
      <c r="EW67" s="197"/>
      <c r="EX67" s="197"/>
      <c r="EY67" s="197"/>
      <c r="EZ67" s="197"/>
      <c r="FA67" s="197"/>
      <c r="FB67" s="197"/>
      <c r="FC67" s="197"/>
      <c r="FD67" s="197"/>
      <c r="FE67" s="197"/>
      <c r="FF67" s="197"/>
      <c r="FG67" s="197"/>
      <c r="FH67" s="197"/>
      <c r="FI67" s="197"/>
      <c r="FJ67" s="197"/>
      <c r="FK67" s="197"/>
      <c r="FL67" s="197"/>
      <c r="FM67" s="197"/>
      <c r="FN67" s="197"/>
      <c r="FO67" s="197"/>
      <c r="FP67" s="197"/>
      <c r="FQ67" s="197"/>
      <c r="FR67" s="197"/>
      <c r="FS67" s="197"/>
      <c r="FT67" s="197"/>
      <c r="FU67" s="197"/>
      <c r="FV67" s="197"/>
      <c r="FW67" s="197"/>
      <c r="FX67" s="197"/>
      <c r="FY67" s="197"/>
      <c r="FZ67" s="197"/>
      <c r="GA67" s="197"/>
      <c r="GB67" s="197"/>
      <c r="GC67" s="197"/>
      <c r="GD67" s="197"/>
      <c r="GE67" s="197"/>
      <c r="GF67" s="197"/>
      <c r="GG67" s="197"/>
      <c r="GH67" s="197"/>
      <c r="GI67" s="197"/>
      <c r="GJ67" s="197"/>
      <c r="GK67" s="197"/>
      <c r="GL67" s="197"/>
      <c r="GM67" s="197"/>
      <c r="GN67" s="197"/>
      <c r="GO67" s="197"/>
      <c r="GP67" s="197"/>
      <c r="GQ67" s="197"/>
      <c r="GR67" s="197"/>
      <c r="GS67" s="197"/>
      <c r="GT67" s="197"/>
      <c r="GU67" s="197"/>
      <c r="GV67" s="197"/>
      <c r="GW67" s="197"/>
      <c r="GX67" s="197"/>
      <c r="GY67" s="197"/>
    </row>
    <row r="68" spans="1:207" s="203" customFormat="1" ht="26" x14ac:dyDescent="0.35">
      <c r="A68" s="192"/>
      <c r="B68" s="311" t="s">
        <v>384</v>
      </c>
      <c r="C68" s="312" t="str">
        <f>'CC detallado'!F43</f>
        <v>Consultoría para desarrollo de las especificaciones técnicas para la contratación de RRHH para el Censo</v>
      </c>
      <c r="D68" s="331"/>
      <c r="E68" s="332" t="s">
        <v>91</v>
      </c>
      <c r="F68" s="333">
        <f t="shared" si="3"/>
        <v>37</v>
      </c>
      <c r="G68" s="315">
        <f>'CC detallado'!N43</f>
        <v>25299.3759487266</v>
      </c>
      <c r="H68" s="316">
        <v>1</v>
      </c>
      <c r="I68" s="327">
        <v>0</v>
      </c>
      <c r="J68" s="334">
        <f>'CC detallado'!G43</f>
        <v>1</v>
      </c>
      <c r="K68" s="335" t="s">
        <v>336</v>
      </c>
      <c r="L68" s="335" t="s">
        <v>391</v>
      </c>
      <c r="M68" s="336" t="s">
        <v>539</v>
      </c>
      <c r="N68" s="336" t="s">
        <v>540</v>
      </c>
      <c r="O68" s="332"/>
      <c r="P68" s="192"/>
      <c r="Q68" s="197"/>
      <c r="R68" s="201"/>
      <c r="S68" s="201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7"/>
      <c r="AL68" s="197"/>
      <c r="AM68" s="197"/>
      <c r="AN68" s="197"/>
      <c r="AO68" s="197"/>
      <c r="AP68" s="197"/>
      <c r="AQ68" s="197"/>
      <c r="AR68" s="197"/>
      <c r="AS68" s="197"/>
      <c r="AT68" s="197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197"/>
      <c r="BF68" s="197"/>
      <c r="BG68" s="197"/>
      <c r="BH68" s="197"/>
      <c r="BI68" s="197"/>
      <c r="BJ68" s="197"/>
      <c r="BK68" s="197"/>
      <c r="BL68" s="197"/>
      <c r="BM68" s="197"/>
      <c r="BN68" s="197"/>
      <c r="BO68" s="197"/>
      <c r="BP68" s="197"/>
      <c r="BQ68" s="197"/>
      <c r="BR68" s="197"/>
      <c r="BS68" s="197"/>
      <c r="BT68" s="197"/>
      <c r="BU68" s="197"/>
      <c r="BV68" s="197"/>
      <c r="BW68" s="197"/>
      <c r="BX68" s="197"/>
      <c r="BY68" s="197"/>
      <c r="BZ68" s="197"/>
      <c r="CA68" s="197"/>
      <c r="CB68" s="197"/>
      <c r="CC68" s="197"/>
      <c r="CD68" s="197"/>
      <c r="CE68" s="197"/>
      <c r="CF68" s="197"/>
      <c r="CG68" s="197"/>
      <c r="CH68" s="197"/>
      <c r="CI68" s="197"/>
      <c r="CJ68" s="197"/>
      <c r="CK68" s="197"/>
      <c r="CL68" s="197"/>
      <c r="CM68" s="197"/>
      <c r="CN68" s="197"/>
      <c r="CO68" s="197"/>
      <c r="CP68" s="197"/>
      <c r="CQ68" s="197"/>
      <c r="CR68" s="197"/>
      <c r="CS68" s="197"/>
      <c r="CT68" s="197"/>
      <c r="CU68" s="197"/>
      <c r="CV68" s="197"/>
      <c r="CW68" s="197"/>
      <c r="CX68" s="197"/>
      <c r="CY68" s="197"/>
      <c r="CZ68" s="197"/>
      <c r="DA68" s="197"/>
      <c r="DB68" s="197"/>
      <c r="DC68" s="197"/>
      <c r="DD68" s="197"/>
      <c r="DE68" s="197"/>
      <c r="DF68" s="197"/>
      <c r="DG68" s="197"/>
      <c r="DH68" s="197"/>
      <c r="DI68" s="197"/>
      <c r="DJ68" s="197"/>
      <c r="DK68" s="197"/>
      <c r="DL68" s="197"/>
      <c r="DM68" s="197"/>
      <c r="DN68" s="197"/>
      <c r="DO68" s="197"/>
      <c r="DP68" s="197"/>
      <c r="DQ68" s="197"/>
      <c r="DR68" s="197"/>
      <c r="DS68" s="197"/>
      <c r="DT68" s="197"/>
      <c r="DU68" s="197"/>
      <c r="DV68" s="197"/>
      <c r="DW68" s="197"/>
      <c r="DX68" s="197"/>
      <c r="DY68" s="197"/>
      <c r="DZ68" s="197"/>
      <c r="EA68" s="197"/>
      <c r="EB68" s="197"/>
      <c r="EC68" s="197"/>
      <c r="ED68" s="197"/>
      <c r="EE68" s="197"/>
      <c r="EF68" s="197"/>
      <c r="EG68" s="197"/>
      <c r="EH68" s="197"/>
      <c r="EI68" s="197"/>
      <c r="EJ68" s="197"/>
      <c r="EK68" s="197"/>
      <c r="EL68" s="197"/>
      <c r="EM68" s="197"/>
      <c r="EN68" s="197"/>
      <c r="EO68" s="197"/>
      <c r="EP68" s="197"/>
      <c r="EQ68" s="197"/>
      <c r="ER68" s="197"/>
      <c r="ES68" s="197"/>
      <c r="ET68" s="197"/>
      <c r="EU68" s="197"/>
      <c r="EV68" s="197"/>
      <c r="EW68" s="197"/>
      <c r="EX68" s="197"/>
      <c r="EY68" s="197"/>
      <c r="EZ68" s="197"/>
      <c r="FA68" s="197"/>
      <c r="FB68" s="197"/>
      <c r="FC68" s="197"/>
      <c r="FD68" s="197"/>
      <c r="FE68" s="197"/>
      <c r="FF68" s="197"/>
      <c r="FG68" s="197"/>
      <c r="FH68" s="197"/>
      <c r="FI68" s="197"/>
      <c r="FJ68" s="197"/>
      <c r="FK68" s="197"/>
      <c r="FL68" s="197"/>
      <c r="FM68" s="197"/>
      <c r="FN68" s="197"/>
      <c r="FO68" s="197"/>
      <c r="FP68" s="197"/>
      <c r="FQ68" s="197"/>
      <c r="FR68" s="197"/>
      <c r="FS68" s="197"/>
      <c r="FT68" s="197"/>
      <c r="FU68" s="197"/>
      <c r="FV68" s="197"/>
      <c r="FW68" s="197"/>
      <c r="FX68" s="197"/>
      <c r="FY68" s="197"/>
      <c r="FZ68" s="197"/>
      <c r="GA68" s="197"/>
      <c r="GB68" s="197"/>
      <c r="GC68" s="197"/>
      <c r="GD68" s="197"/>
      <c r="GE68" s="197"/>
      <c r="GF68" s="197"/>
      <c r="GG68" s="197"/>
      <c r="GH68" s="197"/>
      <c r="GI68" s="197"/>
      <c r="GJ68" s="197"/>
      <c r="GK68" s="197"/>
      <c r="GL68" s="197"/>
      <c r="GM68" s="197"/>
      <c r="GN68" s="197"/>
      <c r="GO68" s="197"/>
      <c r="GP68" s="197"/>
      <c r="GQ68" s="197"/>
      <c r="GR68" s="197"/>
      <c r="GS68" s="197"/>
      <c r="GT68" s="197"/>
      <c r="GU68" s="197"/>
      <c r="GV68" s="197"/>
      <c r="GW68" s="197"/>
      <c r="GX68" s="197"/>
      <c r="GY68" s="197"/>
    </row>
    <row r="69" spans="1:207" s="203" customFormat="1" x14ac:dyDescent="0.35">
      <c r="A69" s="192"/>
      <c r="B69" s="311" t="s">
        <v>384</v>
      </c>
      <c r="C69" s="312" t="str">
        <f>'CC detallado'!F59</f>
        <v>Administrador de Sistema</v>
      </c>
      <c r="D69" s="331"/>
      <c r="E69" s="332" t="s">
        <v>91</v>
      </c>
      <c r="F69" s="333">
        <f t="shared" si="3"/>
        <v>38</v>
      </c>
      <c r="G69" s="315">
        <f>'CC detallado'!N59</f>
        <v>18215.550683083151</v>
      </c>
      <c r="H69" s="316">
        <v>1</v>
      </c>
      <c r="I69" s="327">
        <v>0</v>
      </c>
      <c r="J69" s="334">
        <f>'CC detallado'!G59</f>
        <v>1</v>
      </c>
      <c r="K69" s="335" t="s">
        <v>336</v>
      </c>
      <c r="L69" s="335" t="s">
        <v>391</v>
      </c>
      <c r="M69" s="336" t="s">
        <v>525</v>
      </c>
      <c r="N69" s="336" t="s">
        <v>526</v>
      </c>
      <c r="O69" s="332"/>
      <c r="P69" s="192"/>
      <c r="Q69" s="197"/>
      <c r="R69" s="201"/>
      <c r="S69" s="201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7"/>
      <c r="AG69" s="197"/>
      <c r="AH69" s="197"/>
      <c r="AI69" s="197"/>
      <c r="AJ69" s="197"/>
      <c r="AK69" s="197"/>
      <c r="AL69" s="197"/>
      <c r="AM69" s="197"/>
      <c r="AN69" s="197"/>
      <c r="AO69" s="197"/>
      <c r="AP69" s="197"/>
      <c r="AQ69" s="197"/>
      <c r="AR69" s="197"/>
      <c r="AS69" s="197"/>
      <c r="AT69" s="197"/>
      <c r="AU69" s="197"/>
      <c r="AV69" s="197"/>
      <c r="AW69" s="197"/>
      <c r="AX69" s="197"/>
      <c r="AY69" s="197"/>
      <c r="AZ69" s="197"/>
      <c r="BA69" s="197"/>
      <c r="BB69" s="197"/>
      <c r="BC69" s="197"/>
      <c r="BD69" s="197"/>
      <c r="BE69" s="197"/>
      <c r="BF69" s="197"/>
      <c r="BG69" s="197"/>
      <c r="BH69" s="197"/>
      <c r="BI69" s="197"/>
      <c r="BJ69" s="197"/>
      <c r="BK69" s="197"/>
      <c r="BL69" s="197"/>
      <c r="BM69" s="197"/>
      <c r="BN69" s="197"/>
      <c r="BO69" s="197"/>
      <c r="BP69" s="197"/>
      <c r="BQ69" s="197"/>
      <c r="BR69" s="197"/>
      <c r="BS69" s="197"/>
      <c r="BT69" s="197"/>
      <c r="BU69" s="197"/>
      <c r="BV69" s="197"/>
      <c r="BW69" s="197"/>
      <c r="BX69" s="197"/>
      <c r="BY69" s="197"/>
      <c r="BZ69" s="197"/>
      <c r="CA69" s="197"/>
      <c r="CB69" s="197"/>
      <c r="CC69" s="197"/>
      <c r="CD69" s="197"/>
      <c r="CE69" s="197"/>
      <c r="CF69" s="197"/>
      <c r="CG69" s="197"/>
      <c r="CH69" s="197"/>
      <c r="CI69" s="197"/>
      <c r="CJ69" s="197"/>
      <c r="CK69" s="197"/>
      <c r="CL69" s="197"/>
      <c r="CM69" s="197"/>
      <c r="CN69" s="197"/>
      <c r="CO69" s="197"/>
      <c r="CP69" s="197"/>
      <c r="CQ69" s="197"/>
      <c r="CR69" s="197"/>
      <c r="CS69" s="197"/>
      <c r="CT69" s="197"/>
      <c r="CU69" s="197"/>
      <c r="CV69" s="197"/>
      <c r="CW69" s="197"/>
      <c r="CX69" s="197"/>
      <c r="CY69" s="197"/>
      <c r="CZ69" s="197"/>
      <c r="DA69" s="197"/>
      <c r="DB69" s="197"/>
      <c r="DC69" s="197"/>
      <c r="DD69" s="197"/>
      <c r="DE69" s="197"/>
      <c r="DF69" s="197"/>
      <c r="DG69" s="197"/>
      <c r="DH69" s="197"/>
      <c r="DI69" s="197"/>
      <c r="DJ69" s="197"/>
      <c r="DK69" s="197"/>
      <c r="DL69" s="197"/>
      <c r="DM69" s="197"/>
      <c r="DN69" s="197"/>
      <c r="DO69" s="197"/>
      <c r="DP69" s="197"/>
      <c r="DQ69" s="197"/>
      <c r="DR69" s="197"/>
      <c r="DS69" s="197"/>
      <c r="DT69" s="197"/>
      <c r="DU69" s="197"/>
      <c r="DV69" s="197"/>
      <c r="DW69" s="197"/>
      <c r="DX69" s="197"/>
      <c r="DY69" s="197"/>
      <c r="DZ69" s="197"/>
      <c r="EA69" s="197"/>
      <c r="EB69" s="197"/>
      <c r="EC69" s="197"/>
      <c r="ED69" s="197"/>
      <c r="EE69" s="197"/>
      <c r="EF69" s="197"/>
      <c r="EG69" s="197"/>
      <c r="EH69" s="197"/>
      <c r="EI69" s="197"/>
      <c r="EJ69" s="197"/>
      <c r="EK69" s="197"/>
      <c r="EL69" s="197"/>
      <c r="EM69" s="197"/>
      <c r="EN69" s="197"/>
      <c r="EO69" s="197"/>
      <c r="EP69" s="197"/>
      <c r="EQ69" s="197"/>
      <c r="ER69" s="197"/>
      <c r="ES69" s="197"/>
      <c r="ET69" s="197"/>
      <c r="EU69" s="197"/>
      <c r="EV69" s="197"/>
      <c r="EW69" s="197"/>
      <c r="EX69" s="197"/>
      <c r="EY69" s="197"/>
      <c r="EZ69" s="197"/>
      <c r="FA69" s="197"/>
      <c r="FB69" s="197"/>
      <c r="FC69" s="197"/>
      <c r="FD69" s="197"/>
      <c r="FE69" s="197"/>
      <c r="FF69" s="197"/>
      <c r="FG69" s="197"/>
      <c r="FH69" s="197"/>
      <c r="FI69" s="197"/>
      <c r="FJ69" s="197"/>
      <c r="FK69" s="197"/>
      <c r="FL69" s="197"/>
      <c r="FM69" s="197"/>
      <c r="FN69" s="197"/>
      <c r="FO69" s="197"/>
      <c r="FP69" s="197"/>
      <c r="FQ69" s="197"/>
      <c r="FR69" s="197"/>
      <c r="FS69" s="197"/>
      <c r="FT69" s="197"/>
      <c r="FU69" s="197"/>
      <c r="FV69" s="197"/>
      <c r="FW69" s="197"/>
      <c r="FX69" s="197"/>
      <c r="FY69" s="197"/>
      <c r="FZ69" s="197"/>
      <c r="GA69" s="197"/>
      <c r="GB69" s="197"/>
      <c r="GC69" s="197"/>
      <c r="GD69" s="197"/>
      <c r="GE69" s="197"/>
      <c r="GF69" s="197"/>
      <c r="GG69" s="197"/>
      <c r="GH69" s="197"/>
      <c r="GI69" s="197"/>
      <c r="GJ69" s="197"/>
      <c r="GK69" s="197"/>
      <c r="GL69" s="197"/>
      <c r="GM69" s="197"/>
      <c r="GN69" s="197"/>
      <c r="GO69" s="197"/>
      <c r="GP69" s="197"/>
      <c r="GQ69" s="197"/>
      <c r="GR69" s="197"/>
      <c r="GS69" s="197"/>
      <c r="GT69" s="197"/>
      <c r="GU69" s="197"/>
      <c r="GV69" s="197"/>
      <c r="GW69" s="197"/>
      <c r="GX69" s="197"/>
      <c r="GY69" s="197"/>
    </row>
    <row r="70" spans="1:207" s="203" customFormat="1" x14ac:dyDescent="0.35">
      <c r="A70" s="192"/>
      <c r="B70" s="311" t="s">
        <v>384</v>
      </c>
      <c r="C70" s="312" t="str">
        <f>'CC detallado'!F60</f>
        <v>Administrador de red</v>
      </c>
      <c r="D70" s="331"/>
      <c r="E70" s="332" t="s">
        <v>91</v>
      </c>
      <c r="F70" s="333">
        <f t="shared" si="3"/>
        <v>39</v>
      </c>
      <c r="G70" s="315">
        <f>'CC detallado'!N60</f>
        <v>18215.550683083151</v>
      </c>
      <c r="H70" s="316">
        <v>1</v>
      </c>
      <c r="I70" s="327">
        <v>0</v>
      </c>
      <c r="J70" s="334">
        <f>'CC detallado'!G20</f>
        <v>2</v>
      </c>
      <c r="K70" s="335" t="s">
        <v>336</v>
      </c>
      <c r="L70" s="335" t="s">
        <v>391</v>
      </c>
      <c r="M70" s="336" t="s">
        <v>525</v>
      </c>
      <c r="N70" s="336" t="s">
        <v>526</v>
      </c>
      <c r="O70" s="332"/>
      <c r="P70" s="192"/>
      <c r="Q70" s="197"/>
      <c r="R70" s="201"/>
      <c r="S70" s="201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  <c r="AD70" s="197"/>
      <c r="AE70" s="197"/>
      <c r="AF70" s="197"/>
      <c r="AG70" s="197"/>
      <c r="AH70" s="197"/>
      <c r="AI70" s="197"/>
      <c r="AJ70" s="197"/>
      <c r="AK70" s="197"/>
      <c r="AL70" s="197"/>
      <c r="AM70" s="197"/>
      <c r="AN70" s="197"/>
      <c r="AO70" s="197"/>
      <c r="AP70" s="197"/>
      <c r="AQ70" s="197"/>
      <c r="AR70" s="197"/>
      <c r="AS70" s="197"/>
      <c r="AT70" s="197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197"/>
      <c r="BF70" s="197"/>
      <c r="BG70" s="197"/>
      <c r="BH70" s="197"/>
      <c r="BI70" s="197"/>
      <c r="BJ70" s="197"/>
      <c r="BK70" s="197"/>
      <c r="BL70" s="197"/>
      <c r="BM70" s="197"/>
      <c r="BN70" s="197"/>
      <c r="BO70" s="197"/>
      <c r="BP70" s="197"/>
      <c r="BQ70" s="197"/>
      <c r="BR70" s="197"/>
      <c r="BS70" s="197"/>
      <c r="BT70" s="197"/>
      <c r="BU70" s="197"/>
      <c r="BV70" s="197"/>
      <c r="BW70" s="197"/>
      <c r="BX70" s="197"/>
      <c r="BY70" s="197"/>
      <c r="BZ70" s="197"/>
      <c r="CA70" s="197"/>
      <c r="CB70" s="197"/>
      <c r="CC70" s="197"/>
      <c r="CD70" s="197"/>
      <c r="CE70" s="197"/>
      <c r="CF70" s="197"/>
      <c r="CG70" s="197"/>
      <c r="CH70" s="197"/>
      <c r="CI70" s="197"/>
      <c r="CJ70" s="197"/>
      <c r="CK70" s="197"/>
      <c r="CL70" s="197"/>
      <c r="CM70" s="197"/>
      <c r="CN70" s="197"/>
      <c r="CO70" s="197"/>
      <c r="CP70" s="197"/>
      <c r="CQ70" s="197"/>
      <c r="CR70" s="197"/>
      <c r="CS70" s="197"/>
      <c r="CT70" s="197"/>
      <c r="CU70" s="197"/>
      <c r="CV70" s="197"/>
      <c r="CW70" s="197"/>
      <c r="CX70" s="197"/>
      <c r="CY70" s="197"/>
      <c r="CZ70" s="197"/>
      <c r="DA70" s="197"/>
      <c r="DB70" s="197"/>
      <c r="DC70" s="197"/>
      <c r="DD70" s="197"/>
      <c r="DE70" s="197"/>
      <c r="DF70" s="197"/>
      <c r="DG70" s="197"/>
      <c r="DH70" s="197"/>
      <c r="DI70" s="197"/>
      <c r="DJ70" s="197"/>
      <c r="DK70" s="197"/>
      <c r="DL70" s="197"/>
      <c r="DM70" s="197"/>
      <c r="DN70" s="197"/>
      <c r="DO70" s="197"/>
      <c r="DP70" s="197"/>
      <c r="DQ70" s="197"/>
      <c r="DR70" s="197"/>
      <c r="DS70" s="197"/>
      <c r="DT70" s="197"/>
      <c r="DU70" s="197"/>
      <c r="DV70" s="197"/>
      <c r="DW70" s="197"/>
      <c r="DX70" s="197"/>
      <c r="DY70" s="197"/>
      <c r="DZ70" s="197"/>
      <c r="EA70" s="197"/>
      <c r="EB70" s="197"/>
      <c r="EC70" s="197"/>
      <c r="ED70" s="197"/>
      <c r="EE70" s="197"/>
      <c r="EF70" s="197"/>
      <c r="EG70" s="197"/>
      <c r="EH70" s="197"/>
      <c r="EI70" s="197"/>
      <c r="EJ70" s="197"/>
      <c r="EK70" s="197"/>
      <c r="EL70" s="197"/>
      <c r="EM70" s="197"/>
      <c r="EN70" s="197"/>
      <c r="EO70" s="197"/>
      <c r="EP70" s="197"/>
      <c r="EQ70" s="197"/>
      <c r="ER70" s="197"/>
      <c r="ES70" s="197"/>
      <c r="ET70" s="197"/>
      <c r="EU70" s="197"/>
      <c r="EV70" s="197"/>
      <c r="EW70" s="197"/>
      <c r="EX70" s="197"/>
      <c r="EY70" s="197"/>
      <c r="EZ70" s="197"/>
      <c r="FA70" s="197"/>
      <c r="FB70" s="197"/>
      <c r="FC70" s="197"/>
      <c r="FD70" s="197"/>
      <c r="FE70" s="197"/>
      <c r="FF70" s="197"/>
      <c r="FG70" s="197"/>
      <c r="FH70" s="197"/>
      <c r="FI70" s="197"/>
      <c r="FJ70" s="197"/>
      <c r="FK70" s="197"/>
      <c r="FL70" s="197"/>
      <c r="FM70" s="197"/>
      <c r="FN70" s="197"/>
      <c r="FO70" s="197"/>
      <c r="FP70" s="197"/>
      <c r="FQ70" s="197"/>
      <c r="FR70" s="197"/>
      <c r="FS70" s="197"/>
      <c r="FT70" s="197"/>
      <c r="FU70" s="197"/>
      <c r="FV70" s="197"/>
      <c r="FW70" s="197"/>
      <c r="FX70" s="197"/>
      <c r="FY70" s="197"/>
      <c r="FZ70" s="197"/>
      <c r="GA70" s="197"/>
      <c r="GB70" s="197"/>
      <c r="GC70" s="197"/>
      <c r="GD70" s="197"/>
      <c r="GE70" s="197"/>
      <c r="GF70" s="197"/>
      <c r="GG70" s="197"/>
      <c r="GH70" s="197"/>
      <c r="GI70" s="197"/>
      <c r="GJ70" s="197"/>
      <c r="GK70" s="197"/>
      <c r="GL70" s="197"/>
      <c r="GM70" s="197"/>
      <c r="GN70" s="197"/>
      <c r="GO70" s="197"/>
      <c r="GP70" s="197"/>
      <c r="GQ70" s="197"/>
      <c r="GR70" s="197"/>
      <c r="GS70" s="197"/>
      <c r="GT70" s="197"/>
      <c r="GU70" s="197"/>
      <c r="GV70" s="197"/>
      <c r="GW70" s="197"/>
      <c r="GX70" s="197"/>
      <c r="GY70" s="197"/>
    </row>
    <row r="71" spans="1:207" s="203" customFormat="1" x14ac:dyDescent="0.35">
      <c r="A71" s="192"/>
      <c r="B71" s="311" t="s">
        <v>384</v>
      </c>
      <c r="C71" s="312" t="str">
        <f>'CC detallado'!F61</f>
        <v>Experto en web</v>
      </c>
      <c r="D71" s="331"/>
      <c r="E71" s="332" t="s">
        <v>91</v>
      </c>
      <c r="F71" s="333">
        <f t="shared" si="3"/>
        <v>40</v>
      </c>
      <c r="G71" s="315">
        <f>'CC detallado'!N61</f>
        <v>18215.550683083151</v>
      </c>
      <c r="H71" s="316">
        <v>1</v>
      </c>
      <c r="I71" s="327">
        <v>0</v>
      </c>
      <c r="J71" s="334">
        <f>'CC detallado'!G61</f>
        <v>1</v>
      </c>
      <c r="K71" s="335" t="s">
        <v>336</v>
      </c>
      <c r="L71" s="335" t="s">
        <v>391</v>
      </c>
      <c r="M71" s="336" t="s">
        <v>525</v>
      </c>
      <c r="N71" s="336" t="s">
        <v>526</v>
      </c>
      <c r="O71" s="332"/>
      <c r="P71" s="192"/>
      <c r="Q71" s="197"/>
      <c r="R71" s="201"/>
      <c r="S71" s="201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7"/>
      <c r="AG71" s="197"/>
      <c r="AH71" s="197"/>
      <c r="AI71" s="197"/>
      <c r="AJ71" s="197"/>
      <c r="AK71" s="197"/>
      <c r="AL71" s="197"/>
      <c r="AM71" s="197"/>
      <c r="AN71" s="197"/>
      <c r="AO71" s="197"/>
      <c r="AP71" s="197"/>
      <c r="AQ71" s="197"/>
      <c r="AR71" s="197"/>
      <c r="AS71" s="197"/>
      <c r="AT71" s="197"/>
      <c r="AU71" s="197"/>
      <c r="AV71" s="197"/>
      <c r="AW71" s="197"/>
      <c r="AX71" s="197"/>
      <c r="AY71" s="197"/>
      <c r="AZ71" s="197"/>
      <c r="BA71" s="197"/>
      <c r="BB71" s="197"/>
      <c r="BC71" s="197"/>
      <c r="BD71" s="197"/>
      <c r="BE71" s="197"/>
      <c r="BF71" s="197"/>
      <c r="BG71" s="197"/>
      <c r="BH71" s="197"/>
      <c r="BI71" s="197"/>
      <c r="BJ71" s="197"/>
      <c r="BK71" s="197"/>
      <c r="BL71" s="197"/>
      <c r="BM71" s="197"/>
      <c r="BN71" s="197"/>
      <c r="BO71" s="197"/>
      <c r="BP71" s="197"/>
      <c r="BQ71" s="197"/>
      <c r="BR71" s="197"/>
      <c r="BS71" s="197"/>
      <c r="BT71" s="197"/>
      <c r="BU71" s="197"/>
      <c r="BV71" s="197"/>
      <c r="BW71" s="197"/>
      <c r="BX71" s="197"/>
      <c r="BY71" s="197"/>
      <c r="BZ71" s="197"/>
      <c r="CA71" s="197"/>
      <c r="CB71" s="197"/>
      <c r="CC71" s="197"/>
      <c r="CD71" s="197"/>
      <c r="CE71" s="197"/>
      <c r="CF71" s="197"/>
      <c r="CG71" s="197"/>
      <c r="CH71" s="197"/>
      <c r="CI71" s="197"/>
      <c r="CJ71" s="197"/>
      <c r="CK71" s="197"/>
      <c r="CL71" s="197"/>
      <c r="CM71" s="197"/>
      <c r="CN71" s="197"/>
      <c r="CO71" s="197"/>
      <c r="CP71" s="197"/>
      <c r="CQ71" s="197"/>
      <c r="CR71" s="197"/>
      <c r="CS71" s="197"/>
      <c r="CT71" s="197"/>
      <c r="CU71" s="197"/>
      <c r="CV71" s="197"/>
      <c r="CW71" s="197"/>
      <c r="CX71" s="197"/>
      <c r="CY71" s="197"/>
      <c r="CZ71" s="197"/>
      <c r="DA71" s="197"/>
      <c r="DB71" s="197"/>
      <c r="DC71" s="197"/>
      <c r="DD71" s="197"/>
      <c r="DE71" s="197"/>
      <c r="DF71" s="197"/>
      <c r="DG71" s="197"/>
      <c r="DH71" s="197"/>
      <c r="DI71" s="197"/>
      <c r="DJ71" s="197"/>
      <c r="DK71" s="197"/>
      <c r="DL71" s="197"/>
      <c r="DM71" s="197"/>
      <c r="DN71" s="197"/>
      <c r="DO71" s="197"/>
      <c r="DP71" s="197"/>
      <c r="DQ71" s="197"/>
      <c r="DR71" s="197"/>
      <c r="DS71" s="197"/>
      <c r="DT71" s="197"/>
      <c r="DU71" s="197"/>
      <c r="DV71" s="197"/>
      <c r="DW71" s="197"/>
      <c r="DX71" s="197"/>
      <c r="DY71" s="197"/>
      <c r="DZ71" s="197"/>
      <c r="EA71" s="197"/>
      <c r="EB71" s="197"/>
      <c r="EC71" s="197"/>
      <c r="ED71" s="197"/>
      <c r="EE71" s="197"/>
      <c r="EF71" s="197"/>
      <c r="EG71" s="197"/>
      <c r="EH71" s="197"/>
      <c r="EI71" s="197"/>
      <c r="EJ71" s="197"/>
      <c r="EK71" s="197"/>
      <c r="EL71" s="197"/>
      <c r="EM71" s="197"/>
      <c r="EN71" s="197"/>
      <c r="EO71" s="197"/>
      <c r="EP71" s="197"/>
      <c r="EQ71" s="197"/>
      <c r="ER71" s="197"/>
      <c r="ES71" s="197"/>
      <c r="ET71" s="197"/>
      <c r="EU71" s="197"/>
      <c r="EV71" s="197"/>
      <c r="EW71" s="197"/>
      <c r="EX71" s="197"/>
      <c r="EY71" s="197"/>
      <c r="EZ71" s="197"/>
      <c r="FA71" s="197"/>
      <c r="FB71" s="197"/>
      <c r="FC71" s="197"/>
      <c r="FD71" s="197"/>
      <c r="FE71" s="197"/>
      <c r="FF71" s="197"/>
      <c r="FG71" s="197"/>
      <c r="FH71" s="197"/>
      <c r="FI71" s="197"/>
      <c r="FJ71" s="197"/>
      <c r="FK71" s="197"/>
      <c r="FL71" s="197"/>
      <c r="FM71" s="197"/>
      <c r="FN71" s="197"/>
      <c r="FO71" s="197"/>
      <c r="FP71" s="197"/>
      <c r="FQ71" s="197"/>
      <c r="FR71" s="197"/>
      <c r="FS71" s="197"/>
      <c r="FT71" s="197"/>
      <c r="FU71" s="197"/>
      <c r="FV71" s="197"/>
      <c r="FW71" s="197"/>
      <c r="FX71" s="197"/>
      <c r="FY71" s="197"/>
      <c r="FZ71" s="197"/>
      <c r="GA71" s="197"/>
      <c r="GB71" s="197"/>
      <c r="GC71" s="197"/>
      <c r="GD71" s="197"/>
      <c r="GE71" s="197"/>
      <c r="GF71" s="197"/>
      <c r="GG71" s="197"/>
      <c r="GH71" s="197"/>
      <c r="GI71" s="197"/>
      <c r="GJ71" s="197"/>
      <c r="GK71" s="197"/>
      <c r="GL71" s="197"/>
      <c r="GM71" s="197"/>
      <c r="GN71" s="197"/>
      <c r="GO71" s="197"/>
      <c r="GP71" s="197"/>
      <c r="GQ71" s="197"/>
      <c r="GR71" s="197"/>
      <c r="GS71" s="197"/>
      <c r="GT71" s="197"/>
      <c r="GU71" s="197"/>
      <c r="GV71" s="197"/>
      <c r="GW71" s="197"/>
      <c r="GX71" s="197"/>
      <c r="GY71" s="197"/>
    </row>
    <row r="72" spans="1:207" s="203" customFormat="1" x14ac:dyDescent="0.35">
      <c r="A72" s="192"/>
      <c r="B72" s="311" t="s">
        <v>384</v>
      </c>
      <c r="C72" s="312" t="str">
        <f>'CC detallado'!F62</f>
        <v>Programadores</v>
      </c>
      <c r="D72" s="331"/>
      <c r="E72" s="332" t="s">
        <v>91</v>
      </c>
      <c r="F72" s="333">
        <f t="shared" si="3"/>
        <v>41</v>
      </c>
      <c r="G72" s="315">
        <f>'CC detallado'!N62</f>
        <v>10119.750379490639</v>
      </c>
      <c r="H72" s="316">
        <v>1</v>
      </c>
      <c r="I72" s="327">
        <v>0</v>
      </c>
      <c r="J72" s="334">
        <f>'CC detallado'!G62</f>
        <v>1</v>
      </c>
      <c r="K72" s="335" t="s">
        <v>336</v>
      </c>
      <c r="L72" s="335" t="s">
        <v>391</v>
      </c>
      <c r="M72" s="336" t="s">
        <v>526</v>
      </c>
      <c r="N72" s="336" t="s">
        <v>533</v>
      </c>
      <c r="O72" s="332"/>
      <c r="P72" s="192"/>
      <c r="Q72" s="197"/>
      <c r="R72" s="201"/>
      <c r="S72" s="201"/>
      <c r="T72" s="197"/>
      <c r="U72" s="197"/>
      <c r="V72" s="197"/>
      <c r="W72" s="197"/>
      <c r="X72" s="197"/>
      <c r="Y72" s="197"/>
      <c r="Z72" s="197"/>
      <c r="AA72" s="197"/>
      <c r="AB72" s="197"/>
      <c r="AC72" s="197"/>
      <c r="AD72" s="197"/>
      <c r="AE72" s="197"/>
      <c r="AF72" s="197"/>
      <c r="AG72" s="197"/>
      <c r="AH72" s="197"/>
      <c r="AI72" s="197"/>
      <c r="AJ72" s="197"/>
      <c r="AK72" s="197"/>
      <c r="AL72" s="197"/>
      <c r="AM72" s="197"/>
      <c r="AN72" s="197"/>
      <c r="AO72" s="197"/>
      <c r="AP72" s="197"/>
      <c r="AQ72" s="197"/>
      <c r="AR72" s="197"/>
      <c r="AS72" s="197"/>
      <c r="AT72" s="197"/>
      <c r="AU72" s="197"/>
      <c r="AV72" s="197"/>
      <c r="AW72" s="197"/>
      <c r="AX72" s="197"/>
      <c r="AY72" s="197"/>
      <c r="AZ72" s="197"/>
      <c r="BA72" s="197"/>
      <c r="BB72" s="197"/>
      <c r="BC72" s="197"/>
      <c r="BD72" s="197"/>
      <c r="BE72" s="197"/>
      <c r="BF72" s="197"/>
      <c r="BG72" s="197"/>
      <c r="BH72" s="197"/>
      <c r="BI72" s="197"/>
      <c r="BJ72" s="197"/>
      <c r="BK72" s="197"/>
      <c r="BL72" s="197"/>
      <c r="BM72" s="197"/>
      <c r="BN72" s="197"/>
      <c r="BO72" s="197"/>
      <c r="BP72" s="197"/>
      <c r="BQ72" s="197"/>
      <c r="BR72" s="197"/>
      <c r="BS72" s="197"/>
      <c r="BT72" s="197"/>
      <c r="BU72" s="197"/>
      <c r="BV72" s="197"/>
      <c r="BW72" s="197"/>
      <c r="BX72" s="197"/>
      <c r="BY72" s="197"/>
      <c r="BZ72" s="197"/>
      <c r="CA72" s="197"/>
      <c r="CB72" s="197"/>
      <c r="CC72" s="197"/>
      <c r="CD72" s="197"/>
      <c r="CE72" s="197"/>
      <c r="CF72" s="197"/>
      <c r="CG72" s="197"/>
      <c r="CH72" s="197"/>
      <c r="CI72" s="197"/>
      <c r="CJ72" s="197"/>
      <c r="CK72" s="197"/>
      <c r="CL72" s="197"/>
      <c r="CM72" s="197"/>
      <c r="CN72" s="197"/>
      <c r="CO72" s="197"/>
      <c r="CP72" s="197"/>
      <c r="CQ72" s="197"/>
      <c r="CR72" s="197"/>
      <c r="CS72" s="197"/>
      <c r="CT72" s="197"/>
      <c r="CU72" s="197"/>
      <c r="CV72" s="197"/>
      <c r="CW72" s="197"/>
      <c r="CX72" s="197"/>
      <c r="CY72" s="197"/>
      <c r="CZ72" s="197"/>
      <c r="DA72" s="197"/>
      <c r="DB72" s="197"/>
      <c r="DC72" s="197"/>
      <c r="DD72" s="197"/>
      <c r="DE72" s="197"/>
      <c r="DF72" s="197"/>
      <c r="DG72" s="197"/>
      <c r="DH72" s="197"/>
      <c r="DI72" s="197"/>
      <c r="DJ72" s="197"/>
      <c r="DK72" s="197"/>
      <c r="DL72" s="197"/>
      <c r="DM72" s="197"/>
      <c r="DN72" s="197"/>
      <c r="DO72" s="197"/>
      <c r="DP72" s="197"/>
      <c r="DQ72" s="197"/>
      <c r="DR72" s="197"/>
      <c r="DS72" s="197"/>
      <c r="DT72" s="197"/>
      <c r="DU72" s="197"/>
      <c r="DV72" s="197"/>
      <c r="DW72" s="197"/>
      <c r="DX72" s="197"/>
      <c r="DY72" s="197"/>
      <c r="DZ72" s="197"/>
      <c r="EA72" s="197"/>
      <c r="EB72" s="197"/>
      <c r="EC72" s="197"/>
      <c r="ED72" s="197"/>
      <c r="EE72" s="197"/>
      <c r="EF72" s="197"/>
      <c r="EG72" s="197"/>
      <c r="EH72" s="197"/>
      <c r="EI72" s="197"/>
      <c r="EJ72" s="197"/>
      <c r="EK72" s="197"/>
      <c r="EL72" s="197"/>
      <c r="EM72" s="197"/>
      <c r="EN72" s="197"/>
      <c r="EO72" s="197"/>
      <c r="EP72" s="197"/>
      <c r="EQ72" s="197"/>
      <c r="ER72" s="197"/>
      <c r="ES72" s="197"/>
      <c r="ET72" s="197"/>
      <c r="EU72" s="197"/>
      <c r="EV72" s="197"/>
      <c r="EW72" s="197"/>
      <c r="EX72" s="197"/>
      <c r="EY72" s="197"/>
      <c r="EZ72" s="197"/>
      <c r="FA72" s="197"/>
      <c r="FB72" s="197"/>
      <c r="FC72" s="197"/>
      <c r="FD72" s="197"/>
      <c r="FE72" s="197"/>
      <c r="FF72" s="197"/>
      <c r="FG72" s="197"/>
      <c r="FH72" s="197"/>
      <c r="FI72" s="197"/>
      <c r="FJ72" s="197"/>
      <c r="FK72" s="197"/>
      <c r="FL72" s="197"/>
      <c r="FM72" s="197"/>
      <c r="FN72" s="197"/>
      <c r="FO72" s="197"/>
      <c r="FP72" s="197"/>
      <c r="FQ72" s="197"/>
      <c r="FR72" s="197"/>
      <c r="FS72" s="197"/>
      <c r="FT72" s="197"/>
      <c r="FU72" s="197"/>
      <c r="FV72" s="197"/>
      <c r="FW72" s="197"/>
      <c r="FX72" s="197"/>
      <c r="FY72" s="197"/>
      <c r="FZ72" s="197"/>
      <c r="GA72" s="197"/>
      <c r="GB72" s="197"/>
      <c r="GC72" s="197"/>
      <c r="GD72" s="197"/>
      <c r="GE72" s="197"/>
      <c r="GF72" s="197"/>
      <c r="GG72" s="197"/>
      <c r="GH72" s="197"/>
      <c r="GI72" s="197"/>
      <c r="GJ72" s="197"/>
      <c r="GK72" s="197"/>
      <c r="GL72" s="197"/>
      <c r="GM72" s="197"/>
      <c r="GN72" s="197"/>
      <c r="GO72" s="197"/>
      <c r="GP72" s="197"/>
      <c r="GQ72" s="197"/>
      <c r="GR72" s="197"/>
      <c r="GS72" s="197"/>
      <c r="GT72" s="197"/>
      <c r="GU72" s="197"/>
      <c r="GV72" s="197"/>
      <c r="GW72" s="197"/>
      <c r="GX72" s="197"/>
      <c r="GY72" s="197"/>
    </row>
    <row r="73" spans="1:207" s="203" customFormat="1" x14ac:dyDescent="0.35">
      <c r="A73" s="192"/>
      <c r="B73" s="311" t="s">
        <v>384</v>
      </c>
      <c r="C73" s="312" t="str">
        <f>'CC detallado'!F66</f>
        <v>Soporte técnico (puesto de captura y gabinete)</v>
      </c>
      <c r="D73" s="331"/>
      <c r="E73" s="332" t="s">
        <v>91</v>
      </c>
      <c r="F73" s="333">
        <f t="shared" si="3"/>
        <v>42</v>
      </c>
      <c r="G73" s="315">
        <f>'CC detallado'!N66</f>
        <v>16191.600607185022</v>
      </c>
      <c r="H73" s="316">
        <v>1</v>
      </c>
      <c r="I73" s="327">
        <v>0</v>
      </c>
      <c r="J73" s="334">
        <f>'CC detallado'!G66</f>
        <v>4</v>
      </c>
      <c r="K73" s="335" t="s">
        <v>336</v>
      </c>
      <c r="L73" s="335" t="s">
        <v>391</v>
      </c>
      <c r="M73" s="336" t="s">
        <v>526</v>
      </c>
      <c r="N73" s="336" t="s">
        <v>533</v>
      </c>
      <c r="O73" s="332"/>
      <c r="P73" s="192"/>
      <c r="Q73" s="197"/>
      <c r="R73" s="201"/>
      <c r="S73" s="201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7"/>
      <c r="AG73" s="197"/>
      <c r="AH73" s="197"/>
      <c r="AI73" s="197"/>
      <c r="AJ73" s="197"/>
      <c r="AK73" s="197"/>
      <c r="AL73" s="197"/>
      <c r="AM73" s="197"/>
      <c r="AN73" s="197"/>
      <c r="AO73" s="197"/>
      <c r="AP73" s="197"/>
      <c r="AQ73" s="197"/>
      <c r="AR73" s="197"/>
      <c r="AS73" s="197"/>
      <c r="AT73" s="197"/>
      <c r="AU73" s="197"/>
      <c r="AV73" s="197"/>
      <c r="AW73" s="197"/>
      <c r="AX73" s="197"/>
      <c r="AY73" s="197"/>
      <c r="AZ73" s="197"/>
      <c r="BA73" s="197"/>
      <c r="BB73" s="197"/>
      <c r="BC73" s="197"/>
      <c r="BD73" s="197"/>
      <c r="BE73" s="197"/>
      <c r="BF73" s="197"/>
      <c r="BG73" s="197"/>
      <c r="BH73" s="197"/>
      <c r="BI73" s="197"/>
      <c r="BJ73" s="197"/>
      <c r="BK73" s="197"/>
      <c r="BL73" s="197"/>
      <c r="BM73" s="197"/>
      <c r="BN73" s="197"/>
      <c r="BO73" s="197"/>
      <c r="BP73" s="197"/>
      <c r="BQ73" s="197"/>
      <c r="BR73" s="197"/>
      <c r="BS73" s="197"/>
      <c r="BT73" s="197"/>
      <c r="BU73" s="197"/>
      <c r="BV73" s="197"/>
      <c r="BW73" s="197"/>
      <c r="BX73" s="197"/>
      <c r="BY73" s="197"/>
      <c r="BZ73" s="197"/>
      <c r="CA73" s="197"/>
      <c r="CB73" s="197"/>
      <c r="CC73" s="197"/>
      <c r="CD73" s="197"/>
      <c r="CE73" s="197"/>
      <c r="CF73" s="197"/>
      <c r="CG73" s="197"/>
      <c r="CH73" s="197"/>
      <c r="CI73" s="197"/>
      <c r="CJ73" s="197"/>
      <c r="CK73" s="197"/>
      <c r="CL73" s="197"/>
      <c r="CM73" s="197"/>
      <c r="CN73" s="197"/>
      <c r="CO73" s="197"/>
      <c r="CP73" s="197"/>
      <c r="CQ73" s="197"/>
      <c r="CR73" s="197"/>
      <c r="CS73" s="197"/>
      <c r="CT73" s="197"/>
      <c r="CU73" s="197"/>
      <c r="CV73" s="197"/>
      <c r="CW73" s="197"/>
      <c r="CX73" s="197"/>
      <c r="CY73" s="197"/>
      <c r="CZ73" s="197"/>
      <c r="DA73" s="197"/>
      <c r="DB73" s="197"/>
      <c r="DC73" s="197"/>
      <c r="DD73" s="197"/>
      <c r="DE73" s="197"/>
      <c r="DF73" s="197"/>
      <c r="DG73" s="197"/>
      <c r="DH73" s="197"/>
      <c r="DI73" s="197"/>
      <c r="DJ73" s="197"/>
      <c r="DK73" s="197"/>
      <c r="DL73" s="197"/>
      <c r="DM73" s="197"/>
      <c r="DN73" s="197"/>
      <c r="DO73" s="197"/>
      <c r="DP73" s="197"/>
      <c r="DQ73" s="197"/>
      <c r="DR73" s="197"/>
      <c r="DS73" s="197"/>
      <c r="DT73" s="197"/>
      <c r="DU73" s="197"/>
      <c r="DV73" s="197"/>
      <c r="DW73" s="197"/>
      <c r="DX73" s="197"/>
      <c r="DY73" s="197"/>
      <c r="DZ73" s="197"/>
      <c r="EA73" s="197"/>
      <c r="EB73" s="197"/>
      <c r="EC73" s="197"/>
      <c r="ED73" s="197"/>
      <c r="EE73" s="197"/>
      <c r="EF73" s="197"/>
      <c r="EG73" s="197"/>
      <c r="EH73" s="197"/>
      <c r="EI73" s="197"/>
      <c r="EJ73" s="197"/>
      <c r="EK73" s="197"/>
      <c r="EL73" s="197"/>
      <c r="EM73" s="197"/>
      <c r="EN73" s="197"/>
      <c r="EO73" s="197"/>
      <c r="EP73" s="197"/>
      <c r="EQ73" s="197"/>
      <c r="ER73" s="197"/>
      <c r="ES73" s="197"/>
      <c r="ET73" s="197"/>
      <c r="EU73" s="197"/>
      <c r="EV73" s="197"/>
      <c r="EW73" s="197"/>
      <c r="EX73" s="197"/>
      <c r="EY73" s="197"/>
      <c r="EZ73" s="197"/>
      <c r="FA73" s="197"/>
      <c r="FB73" s="197"/>
      <c r="FC73" s="197"/>
      <c r="FD73" s="197"/>
      <c r="FE73" s="197"/>
      <c r="FF73" s="197"/>
      <c r="FG73" s="197"/>
      <c r="FH73" s="197"/>
      <c r="FI73" s="197"/>
      <c r="FJ73" s="197"/>
      <c r="FK73" s="197"/>
      <c r="FL73" s="197"/>
      <c r="FM73" s="197"/>
      <c r="FN73" s="197"/>
      <c r="FO73" s="197"/>
      <c r="FP73" s="197"/>
      <c r="FQ73" s="197"/>
      <c r="FR73" s="197"/>
      <c r="FS73" s="197"/>
      <c r="FT73" s="197"/>
      <c r="FU73" s="197"/>
      <c r="FV73" s="197"/>
      <c r="FW73" s="197"/>
      <c r="FX73" s="197"/>
      <c r="FY73" s="197"/>
      <c r="FZ73" s="197"/>
      <c r="GA73" s="197"/>
      <c r="GB73" s="197"/>
      <c r="GC73" s="197"/>
      <c r="GD73" s="197"/>
      <c r="GE73" s="197"/>
      <c r="GF73" s="197"/>
      <c r="GG73" s="197"/>
      <c r="GH73" s="197"/>
      <c r="GI73" s="197"/>
      <c r="GJ73" s="197"/>
      <c r="GK73" s="197"/>
      <c r="GL73" s="197"/>
      <c r="GM73" s="197"/>
      <c r="GN73" s="197"/>
      <c r="GO73" s="197"/>
      <c r="GP73" s="197"/>
      <c r="GQ73" s="197"/>
      <c r="GR73" s="197"/>
      <c r="GS73" s="197"/>
      <c r="GT73" s="197"/>
      <c r="GU73" s="197"/>
      <c r="GV73" s="197"/>
      <c r="GW73" s="197"/>
      <c r="GX73" s="197"/>
      <c r="GY73" s="197"/>
    </row>
    <row r="74" spans="1:207" s="203" customFormat="1" x14ac:dyDescent="0.35">
      <c r="A74" s="192"/>
      <c r="B74" s="311" t="s">
        <v>384</v>
      </c>
      <c r="C74" s="312" t="str">
        <f>'CC detallado'!F67</f>
        <v>Digitadores y supervisores (de contingencia)</v>
      </c>
      <c r="D74" s="331"/>
      <c r="E74" s="332" t="s">
        <v>91</v>
      </c>
      <c r="F74" s="333">
        <f t="shared" si="3"/>
        <v>43</v>
      </c>
      <c r="G74" s="315">
        <f>'CC detallado'!N67</f>
        <v>26986.001011975037</v>
      </c>
      <c r="H74" s="316">
        <v>1</v>
      </c>
      <c r="I74" s="327">
        <v>0</v>
      </c>
      <c r="J74" s="334">
        <f>'CC detallado'!G67</f>
        <v>20</v>
      </c>
      <c r="K74" s="335" t="s">
        <v>336</v>
      </c>
      <c r="L74" s="335" t="s">
        <v>391</v>
      </c>
      <c r="M74" s="336" t="s">
        <v>526</v>
      </c>
      <c r="N74" s="336" t="s">
        <v>533</v>
      </c>
      <c r="O74" s="332"/>
      <c r="P74" s="192"/>
      <c r="Q74" s="197"/>
      <c r="R74" s="201"/>
      <c r="S74" s="201"/>
      <c r="T74" s="197"/>
      <c r="U74" s="197"/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7"/>
      <c r="AK74" s="197"/>
      <c r="AL74" s="197"/>
      <c r="AM74" s="197"/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7"/>
      <c r="BR74" s="197"/>
      <c r="BS74" s="197"/>
      <c r="BT74" s="197"/>
      <c r="BU74" s="197"/>
      <c r="BV74" s="197"/>
      <c r="BW74" s="197"/>
      <c r="BX74" s="197"/>
      <c r="BY74" s="197"/>
      <c r="BZ74" s="197"/>
      <c r="CA74" s="197"/>
      <c r="CB74" s="197"/>
      <c r="CC74" s="197"/>
      <c r="CD74" s="197"/>
      <c r="CE74" s="197"/>
      <c r="CF74" s="197"/>
      <c r="CG74" s="197"/>
      <c r="CH74" s="197"/>
      <c r="CI74" s="197"/>
      <c r="CJ74" s="197"/>
      <c r="CK74" s="197"/>
      <c r="CL74" s="197"/>
      <c r="CM74" s="197"/>
      <c r="CN74" s="197"/>
      <c r="CO74" s="197"/>
      <c r="CP74" s="197"/>
      <c r="CQ74" s="197"/>
      <c r="CR74" s="197"/>
      <c r="CS74" s="197"/>
      <c r="CT74" s="197"/>
      <c r="CU74" s="197"/>
      <c r="CV74" s="197"/>
      <c r="CW74" s="197"/>
      <c r="CX74" s="197"/>
      <c r="CY74" s="197"/>
      <c r="CZ74" s="197"/>
      <c r="DA74" s="197"/>
      <c r="DB74" s="197"/>
      <c r="DC74" s="197"/>
      <c r="DD74" s="197"/>
      <c r="DE74" s="197"/>
      <c r="DF74" s="197"/>
      <c r="DG74" s="197"/>
      <c r="DH74" s="197"/>
      <c r="DI74" s="197"/>
      <c r="DJ74" s="197"/>
      <c r="DK74" s="197"/>
      <c r="DL74" s="197"/>
      <c r="DM74" s="197"/>
      <c r="DN74" s="197"/>
      <c r="DO74" s="197"/>
      <c r="DP74" s="197"/>
      <c r="DQ74" s="197"/>
      <c r="DR74" s="197"/>
      <c r="DS74" s="197"/>
      <c r="DT74" s="197"/>
      <c r="DU74" s="197"/>
      <c r="DV74" s="197"/>
      <c r="DW74" s="197"/>
      <c r="DX74" s="197"/>
      <c r="DY74" s="197"/>
      <c r="DZ74" s="197"/>
      <c r="EA74" s="197"/>
      <c r="EB74" s="197"/>
      <c r="EC74" s="197"/>
      <c r="ED74" s="197"/>
      <c r="EE74" s="197"/>
      <c r="EF74" s="197"/>
      <c r="EG74" s="197"/>
      <c r="EH74" s="197"/>
      <c r="EI74" s="197"/>
      <c r="EJ74" s="197"/>
      <c r="EK74" s="197"/>
      <c r="EL74" s="197"/>
      <c r="EM74" s="197"/>
      <c r="EN74" s="197"/>
      <c r="EO74" s="197"/>
      <c r="EP74" s="197"/>
      <c r="EQ74" s="197"/>
      <c r="ER74" s="197"/>
      <c r="ES74" s="197"/>
      <c r="ET74" s="197"/>
      <c r="EU74" s="197"/>
      <c r="EV74" s="197"/>
      <c r="EW74" s="197"/>
      <c r="EX74" s="197"/>
      <c r="EY74" s="197"/>
      <c r="EZ74" s="197"/>
      <c r="FA74" s="197"/>
      <c r="FB74" s="197"/>
      <c r="FC74" s="197"/>
      <c r="FD74" s="197"/>
      <c r="FE74" s="197"/>
      <c r="FF74" s="197"/>
      <c r="FG74" s="197"/>
      <c r="FH74" s="197"/>
      <c r="FI74" s="197"/>
      <c r="FJ74" s="197"/>
      <c r="FK74" s="197"/>
      <c r="FL74" s="197"/>
      <c r="FM74" s="197"/>
      <c r="FN74" s="197"/>
      <c r="FO74" s="197"/>
      <c r="FP74" s="197"/>
      <c r="FQ74" s="197"/>
      <c r="FR74" s="197"/>
      <c r="FS74" s="197"/>
      <c r="FT74" s="197"/>
      <c r="FU74" s="197"/>
      <c r="FV74" s="197"/>
      <c r="FW74" s="197"/>
      <c r="FX74" s="197"/>
      <c r="FY74" s="197"/>
      <c r="FZ74" s="197"/>
      <c r="GA74" s="197"/>
      <c r="GB74" s="197"/>
      <c r="GC74" s="197"/>
      <c r="GD74" s="197"/>
      <c r="GE74" s="197"/>
      <c r="GF74" s="197"/>
      <c r="GG74" s="197"/>
      <c r="GH74" s="197"/>
      <c r="GI74" s="197"/>
      <c r="GJ74" s="197"/>
      <c r="GK74" s="197"/>
      <c r="GL74" s="197"/>
      <c r="GM74" s="197"/>
      <c r="GN74" s="197"/>
      <c r="GO74" s="197"/>
      <c r="GP74" s="197"/>
      <c r="GQ74" s="197"/>
      <c r="GR74" s="197"/>
      <c r="GS74" s="197"/>
      <c r="GT74" s="197"/>
      <c r="GU74" s="197"/>
      <c r="GV74" s="197"/>
      <c r="GW74" s="197"/>
      <c r="GX74" s="197"/>
      <c r="GY74" s="197"/>
    </row>
    <row r="75" spans="1:207" s="203" customFormat="1" x14ac:dyDescent="0.35">
      <c r="A75" s="192"/>
      <c r="B75" s="311" t="s">
        <v>384</v>
      </c>
      <c r="C75" s="312" t="str">
        <f>'CC detallado'!F68</f>
        <v>Analistas de datos</v>
      </c>
      <c r="D75" s="331"/>
      <c r="E75" s="332" t="s">
        <v>91</v>
      </c>
      <c r="F75" s="333">
        <f t="shared" si="3"/>
        <v>44</v>
      </c>
      <c r="G75" s="315">
        <f>'CC detallado'!N68</f>
        <v>24793.388429752067</v>
      </c>
      <c r="H75" s="316">
        <v>1</v>
      </c>
      <c r="I75" s="327">
        <v>0</v>
      </c>
      <c r="J75" s="334">
        <f>'CC detallado'!G68</f>
        <v>3</v>
      </c>
      <c r="K75" s="335" t="s">
        <v>336</v>
      </c>
      <c r="L75" s="335" t="s">
        <v>391</v>
      </c>
      <c r="M75" s="336" t="s">
        <v>526</v>
      </c>
      <c r="N75" s="336" t="s">
        <v>533</v>
      </c>
      <c r="O75" s="332"/>
      <c r="P75" s="192"/>
      <c r="Q75" s="197"/>
      <c r="R75" s="201"/>
      <c r="S75" s="201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7"/>
      <c r="AG75" s="197"/>
      <c r="AH75" s="197"/>
      <c r="AI75" s="197"/>
      <c r="AJ75" s="197"/>
      <c r="AK75" s="197"/>
      <c r="AL75" s="197"/>
      <c r="AM75" s="197"/>
      <c r="AN75" s="197"/>
      <c r="AO75" s="197"/>
      <c r="AP75" s="197"/>
      <c r="AQ75" s="197"/>
      <c r="AR75" s="197"/>
      <c r="AS75" s="197"/>
      <c r="AT75" s="197"/>
      <c r="AU75" s="197"/>
      <c r="AV75" s="197"/>
      <c r="AW75" s="197"/>
      <c r="AX75" s="197"/>
      <c r="AY75" s="197"/>
      <c r="AZ75" s="197"/>
      <c r="BA75" s="197"/>
      <c r="BB75" s="197"/>
      <c r="BC75" s="197"/>
      <c r="BD75" s="197"/>
      <c r="BE75" s="197"/>
      <c r="BF75" s="197"/>
      <c r="BG75" s="197"/>
      <c r="BH75" s="197"/>
      <c r="BI75" s="197"/>
      <c r="BJ75" s="197"/>
      <c r="BK75" s="197"/>
      <c r="BL75" s="197"/>
      <c r="BM75" s="197"/>
      <c r="BN75" s="197"/>
      <c r="BO75" s="197"/>
      <c r="BP75" s="197"/>
      <c r="BQ75" s="197"/>
      <c r="BR75" s="197"/>
      <c r="BS75" s="197"/>
      <c r="BT75" s="197"/>
      <c r="BU75" s="197"/>
      <c r="BV75" s="197"/>
      <c r="BW75" s="197"/>
      <c r="BX75" s="197"/>
      <c r="BY75" s="197"/>
      <c r="BZ75" s="197"/>
      <c r="CA75" s="197"/>
      <c r="CB75" s="197"/>
      <c r="CC75" s="197"/>
      <c r="CD75" s="197"/>
      <c r="CE75" s="197"/>
      <c r="CF75" s="197"/>
      <c r="CG75" s="197"/>
      <c r="CH75" s="197"/>
      <c r="CI75" s="197"/>
      <c r="CJ75" s="197"/>
      <c r="CK75" s="197"/>
      <c r="CL75" s="197"/>
      <c r="CM75" s="197"/>
      <c r="CN75" s="197"/>
      <c r="CO75" s="197"/>
      <c r="CP75" s="197"/>
      <c r="CQ75" s="197"/>
      <c r="CR75" s="197"/>
      <c r="CS75" s="197"/>
      <c r="CT75" s="197"/>
      <c r="CU75" s="197"/>
      <c r="CV75" s="197"/>
      <c r="CW75" s="197"/>
      <c r="CX75" s="197"/>
      <c r="CY75" s="197"/>
      <c r="CZ75" s="197"/>
      <c r="DA75" s="197"/>
      <c r="DB75" s="197"/>
      <c r="DC75" s="197"/>
      <c r="DD75" s="197"/>
      <c r="DE75" s="197"/>
      <c r="DF75" s="197"/>
      <c r="DG75" s="197"/>
      <c r="DH75" s="197"/>
      <c r="DI75" s="197"/>
      <c r="DJ75" s="197"/>
      <c r="DK75" s="197"/>
      <c r="DL75" s="197"/>
      <c r="DM75" s="197"/>
      <c r="DN75" s="197"/>
      <c r="DO75" s="197"/>
      <c r="DP75" s="197"/>
      <c r="DQ75" s="197"/>
      <c r="DR75" s="197"/>
      <c r="DS75" s="197"/>
      <c r="DT75" s="197"/>
      <c r="DU75" s="197"/>
      <c r="DV75" s="197"/>
      <c r="DW75" s="197"/>
      <c r="DX75" s="197"/>
      <c r="DY75" s="197"/>
      <c r="DZ75" s="197"/>
      <c r="EA75" s="197"/>
      <c r="EB75" s="197"/>
      <c r="EC75" s="197"/>
      <c r="ED75" s="197"/>
      <c r="EE75" s="197"/>
      <c r="EF75" s="197"/>
      <c r="EG75" s="197"/>
      <c r="EH75" s="197"/>
      <c r="EI75" s="197"/>
      <c r="EJ75" s="197"/>
      <c r="EK75" s="197"/>
      <c r="EL75" s="197"/>
      <c r="EM75" s="197"/>
      <c r="EN75" s="197"/>
      <c r="EO75" s="197"/>
      <c r="EP75" s="197"/>
      <c r="EQ75" s="197"/>
      <c r="ER75" s="197"/>
      <c r="ES75" s="197"/>
      <c r="ET75" s="197"/>
      <c r="EU75" s="197"/>
      <c r="EV75" s="197"/>
      <c r="EW75" s="197"/>
      <c r="EX75" s="197"/>
      <c r="EY75" s="197"/>
      <c r="EZ75" s="197"/>
      <c r="FA75" s="197"/>
      <c r="FB75" s="197"/>
      <c r="FC75" s="197"/>
      <c r="FD75" s="197"/>
      <c r="FE75" s="197"/>
      <c r="FF75" s="197"/>
      <c r="FG75" s="197"/>
      <c r="FH75" s="197"/>
      <c r="FI75" s="197"/>
      <c r="FJ75" s="197"/>
      <c r="FK75" s="197"/>
      <c r="FL75" s="197"/>
      <c r="FM75" s="197"/>
      <c r="FN75" s="197"/>
      <c r="FO75" s="197"/>
      <c r="FP75" s="197"/>
      <c r="FQ75" s="197"/>
      <c r="FR75" s="197"/>
      <c r="FS75" s="197"/>
      <c r="FT75" s="197"/>
      <c r="FU75" s="197"/>
      <c r="FV75" s="197"/>
      <c r="FW75" s="197"/>
      <c r="FX75" s="197"/>
      <c r="FY75" s="197"/>
      <c r="FZ75" s="197"/>
      <c r="GA75" s="197"/>
      <c r="GB75" s="197"/>
      <c r="GC75" s="197"/>
      <c r="GD75" s="197"/>
      <c r="GE75" s="197"/>
      <c r="GF75" s="197"/>
      <c r="GG75" s="197"/>
      <c r="GH75" s="197"/>
      <c r="GI75" s="197"/>
      <c r="GJ75" s="197"/>
      <c r="GK75" s="197"/>
      <c r="GL75" s="197"/>
      <c r="GM75" s="197"/>
      <c r="GN75" s="197"/>
      <c r="GO75" s="197"/>
      <c r="GP75" s="197"/>
      <c r="GQ75" s="197"/>
      <c r="GR75" s="197"/>
      <c r="GS75" s="197"/>
      <c r="GT75" s="197"/>
      <c r="GU75" s="197"/>
      <c r="GV75" s="197"/>
      <c r="GW75" s="197"/>
      <c r="GX75" s="197"/>
      <c r="GY75" s="197"/>
    </row>
    <row r="76" spans="1:207" s="203" customFormat="1" x14ac:dyDescent="0.35">
      <c r="A76" s="192"/>
      <c r="B76" s="311" t="s">
        <v>384</v>
      </c>
      <c r="C76" s="312" t="str">
        <f>'CC detallado'!F69</f>
        <v>Críticos y supervisores</v>
      </c>
      <c r="D76" s="331"/>
      <c r="E76" s="332" t="s">
        <v>91</v>
      </c>
      <c r="F76" s="333">
        <f t="shared" si="3"/>
        <v>45</v>
      </c>
      <c r="G76" s="315">
        <f>'CC detallado'!N69</f>
        <v>53972.002023950074</v>
      </c>
      <c r="H76" s="316">
        <v>1</v>
      </c>
      <c r="I76" s="327">
        <v>0</v>
      </c>
      <c r="J76" s="334">
        <f>'CC detallado'!G69</f>
        <v>20</v>
      </c>
      <c r="K76" s="335" t="s">
        <v>336</v>
      </c>
      <c r="L76" s="335" t="s">
        <v>391</v>
      </c>
      <c r="M76" s="336" t="s">
        <v>526</v>
      </c>
      <c r="N76" s="336" t="s">
        <v>533</v>
      </c>
      <c r="O76" s="332"/>
      <c r="P76" s="192"/>
      <c r="Q76" s="197"/>
      <c r="R76" s="201"/>
      <c r="S76" s="201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197"/>
      <c r="AR76" s="197"/>
      <c r="AS76" s="197"/>
      <c r="AT76" s="197"/>
      <c r="AU76" s="197"/>
      <c r="AV76" s="197"/>
      <c r="AW76" s="197"/>
      <c r="AX76" s="197"/>
      <c r="AY76" s="197"/>
      <c r="AZ76" s="197"/>
      <c r="BA76" s="197"/>
      <c r="BB76" s="197"/>
      <c r="BC76" s="197"/>
      <c r="BD76" s="197"/>
      <c r="BE76" s="197"/>
      <c r="BF76" s="197"/>
      <c r="BG76" s="197"/>
      <c r="BH76" s="197"/>
      <c r="BI76" s="197"/>
      <c r="BJ76" s="197"/>
      <c r="BK76" s="197"/>
      <c r="BL76" s="197"/>
      <c r="BM76" s="197"/>
      <c r="BN76" s="197"/>
      <c r="BO76" s="197"/>
      <c r="BP76" s="197"/>
      <c r="BQ76" s="197"/>
      <c r="BR76" s="197"/>
      <c r="BS76" s="197"/>
      <c r="BT76" s="197"/>
      <c r="BU76" s="197"/>
      <c r="BV76" s="197"/>
      <c r="BW76" s="197"/>
      <c r="BX76" s="197"/>
      <c r="BY76" s="197"/>
      <c r="BZ76" s="197"/>
      <c r="CA76" s="197"/>
      <c r="CB76" s="197"/>
      <c r="CC76" s="197"/>
      <c r="CD76" s="197"/>
      <c r="CE76" s="197"/>
      <c r="CF76" s="197"/>
      <c r="CG76" s="197"/>
      <c r="CH76" s="197"/>
      <c r="CI76" s="197"/>
      <c r="CJ76" s="197"/>
      <c r="CK76" s="197"/>
      <c r="CL76" s="197"/>
      <c r="CM76" s="197"/>
      <c r="CN76" s="197"/>
      <c r="CO76" s="197"/>
      <c r="CP76" s="197"/>
      <c r="CQ76" s="197"/>
      <c r="CR76" s="197"/>
      <c r="CS76" s="197"/>
      <c r="CT76" s="197"/>
      <c r="CU76" s="197"/>
      <c r="CV76" s="197"/>
      <c r="CW76" s="197"/>
      <c r="CX76" s="197"/>
      <c r="CY76" s="197"/>
      <c r="CZ76" s="197"/>
      <c r="DA76" s="197"/>
      <c r="DB76" s="197"/>
      <c r="DC76" s="197"/>
      <c r="DD76" s="197"/>
      <c r="DE76" s="197"/>
      <c r="DF76" s="197"/>
      <c r="DG76" s="197"/>
      <c r="DH76" s="197"/>
      <c r="DI76" s="197"/>
      <c r="DJ76" s="197"/>
      <c r="DK76" s="197"/>
      <c r="DL76" s="197"/>
      <c r="DM76" s="197"/>
      <c r="DN76" s="197"/>
      <c r="DO76" s="197"/>
      <c r="DP76" s="197"/>
      <c r="DQ76" s="197"/>
      <c r="DR76" s="197"/>
      <c r="DS76" s="197"/>
      <c r="DT76" s="197"/>
      <c r="DU76" s="197"/>
      <c r="DV76" s="197"/>
      <c r="DW76" s="197"/>
      <c r="DX76" s="197"/>
      <c r="DY76" s="197"/>
      <c r="DZ76" s="197"/>
      <c r="EA76" s="197"/>
      <c r="EB76" s="197"/>
      <c r="EC76" s="197"/>
      <c r="ED76" s="197"/>
      <c r="EE76" s="197"/>
      <c r="EF76" s="197"/>
      <c r="EG76" s="197"/>
      <c r="EH76" s="197"/>
      <c r="EI76" s="197"/>
      <c r="EJ76" s="197"/>
      <c r="EK76" s="197"/>
      <c r="EL76" s="197"/>
      <c r="EM76" s="197"/>
      <c r="EN76" s="197"/>
      <c r="EO76" s="197"/>
      <c r="EP76" s="197"/>
      <c r="EQ76" s="197"/>
      <c r="ER76" s="197"/>
      <c r="ES76" s="197"/>
      <c r="ET76" s="197"/>
      <c r="EU76" s="197"/>
      <c r="EV76" s="197"/>
      <c r="EW76" s="197"/>
      <c r="EX76" s="197"/>
      <c r="EY76" s="197"/>
      <c r="EZ76" s="197"/>
      <c r="FA76" s="197"/>
      <c r="FB76" s="197"/>
      <c r="FC76" s="197"/>
      <c r="FD76" s="197"/>
      <c r="FE76" s="197"/>
      <c r="FF76" s="197"/>
      <c r="FG76" s="197"/>
      <c r="FH76" s="197"/>
      <c r="FI76" s="197"/>
      <c r="FJ76" s="197"/>
      <c r="FK76" s="197"/>
      <c r="FL76" s="197"/>
      <c r="FM76" s="197"/>
      <c r="FN76" s="197"/>
      <c r="FO76" s="197"/>
      <c r="FP76" s="197"/>
      <c r="FQ76" s="197"/>
      <c r="FR76" s="197"/>
      <c r="FS76" s="197"/>
      <c r="FT76" s="197"/>
      <c r="FU76" s="197"/>
      <c r="FV76" s="197"/>
      <c r="FW76" s="197"/>
      <c r="FX76" s="197"/>
      <c r="FY76" s="197"/>
      <c r="FZ76" s="197"/>
      <c r="GA76" s="197"/>
      <c r="GB76" s="197"/>
      <c r="GC76" s="197"/>
      <c r="GD76" s="197"/>
      <c r="GE76" s="197"/>
      <c r="GF76" s="197"/>
      <c r="GG76" s="197"/>
      <c r="GH76" s="197"/>
      <c r="GI76" s="197"/>
      <c r="GJ76" s="197"/>
      <c r="GK76" s="197"/>
      <c r="GL76" s="197"/>
      <c r="GM76" s="197"/>
      <c r="GN76" s="197"/>
      <c r="GO76" s="197"/>
      <c r="GP76" s="197"/>
      <c r="GQ76" s="197"/>
      <c r="GR76" s="197"/>
      <c r="GS76" s="197"/>
      <c r="GT76" s="197"/>
      <c r="GU76" s="197"/>
      <c r="GV76" s="197"/>
      <c r="GW76" s="197"/>
      <c r="GX76" s="197"/>
      <c r="GY76" s="197"/>
    </row>
    <row r="77" spans="1:207" s="203" customFormat="1" x14ac:dyDescent="0.35">
      <c r="A77" s="192"/>
      <c r="B77" s="311" t="s">
        <v>384</v>
      </c>
      <c r="C77" s="312" t="str">
        <f>'CC detallado'!F71</f>
        <v>Análisis y evaluación de la cobertura censal</v>
      </c>
      <c r="D77" s="331"/>
      <c r="E77" s="332" t="s">
        <v>91</v>
      </c>
      <c r="F77" s="333">
        <f t="shared" si="3"/>
        <v>46</v>
      </c>
      <c r="G77" s="315">
        <f>'CC detallado'!N71</f>
        <v>20000</v>
      </c>
      <c r="H77" s="316">
        <v>1</v>
      </c>
      <c r="I77" s="327">
        <v>0</v>
      </c>
      <c r="J77" s="334">
        <f>'CC detallado'!G71</f>
        <v>1</v>
      </c>
      <c r="K77" s="335" t="s">
        <v>336</v>
      </c>
      <c r="L77" s="335" t="s">
        <v>391</v>
      </c>
      <c r="M77" s="336" t="s">
        <v>533</v>
      </c>
      <c r="N77" s="336" t="s">
        <v>528</v>
      </c>
      <c r="O77" s="332"/>
      <c r="P77" s="192"/>
      <c r="Q77" s="197"/>
      <c r="R77" s="201"/>
      <c r="S77" s="201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7"/>
      <c r="AG77" s="197"/>
      <c r="AH77" s="197"/>
      <c r="AI77" s="197"/>
      <c r="AJ77" s="197"/>
      <c r="AK77" s="197"/>
      <c r="AL77" s="197"/>
      <c r="AM77" s="197"/>
      <c r="AN77" s="197"/>
      <c r="AO77" s="197"/>
      <c r="AP77" s="197"/>
      <c r="AQ77" s="197"/>
      <c r="AR77" s="197"/>
      <c r="AS77" s="197"/>
      <c r="AT77" s="197"/>
      <c r="AU77" s="197"/>
      <c r="AV77" s="197"/>
      <c r="AW77" s="197"/>
      <c r="AX77" s="197"/>
      <c r="AY77" s="197"/>
      <c r="AZ77" s="197"/>
      <c r="BA77" s="197"/>
      <c r="BB77" s="197"/>
      <c r="BC77" s="197"/>
      <c r="BD77" s="197"/>
      <c r="BE77" s="197"/>
      <c r="BF77" s="197"/>
      <c r="BG77" s="197"/>
      <c r="BH77" s="197"/>
      <c r="BI77" s="197"/>
      <c r="BJ77" s="197"/>
      <c r="BK77" s="197"/>
      <c r="BL77" s="197"/>
      <c r="BM77" s="197"/>
      <c r="BN77" s="197"/>
      <c r="BO77" s="197"/>
      <c r="BP77" s="197"/>
      <c r="BQ77" s="197"/>
      <c r="BR77" s="197"/>
      <c r="BS77" s="197"/>
      <c r="BT77" s="197"/>
      <c r="BU77" s="197"/>
      <c r="BV77" s="197"/>
      <c r="BW77" s="197"/>
      <c r="BX77" s="197"/>
      <c r="BY77" s="197"/>
      <c r="BZ77" s="197"/>
      <c r="CA77" s="197"/>
      <c r="CB77" s="197"/>
      <c r="CC77" s="197"/>
      <c r="CD77" s="197"/>
      <c r="CE77" s="197"/>
      <c r="CF77" s="197"/>
      <c r="CG77" s="197"/>
      <c r="CH77" s="197"/>
      <c r="CI77" s="197"/>
      <c r="CJ77" s="197"/>
      <c r="CK77" s="197"/>
      <c r="CL77" s="197"/>
      <c r="CM77" s="197"/>
      <c r="CN77" s="197"/>
      <c r="CO77" s="197"/>
      <c r="CP77" s="197"/>
      <c r="CQ77" s="197"/>
      <c r="CR77" s="197"/>
      <c r="CS77" s="197"/>
      <c r="CT77" s="197"/>
      <c r="CU77" s="197"/>
      <c r="CV77" s="197"/>
      <c r="CW77" s="197"/>
      <c r="CX77" s="197"/>
      <c r="CY77" s="197"/>
      <c r="CZ77" s="197"/>
      <c r="DA77" s="197"/>
      <c r="DB77" s="197"/>
      <c r="DC77" s="197"/>
      <c r="DD77" s="197"/>
      <c r="DE77" s="197"/>
      <c r="DF77" s="197"/>
      <c r="DG77" s="197"/>
      <c r="DH77" s="197"/>
      <c r="DI77" s="197"/>
      <c r="DJ77" s="197"/>
      <c r="DK77" s="197"/>
      <c r="DL77" s="197"/>
      <c r="DM77" s="197"/>
      <c r="DN77" s="197"/>
      <c r="DO77" s="197"/>
      <c r="DP77" s="197"/>
      <c r="DQ77" s="197"/>
      <c r="DR77" s="197"/>
      <c r="DS77" s="197"/>
      <c r="DT77" s="197"/>
      <c r="DU77" s="197"/>
      <c r="DV77" s="197"/>
      <c r="DW77" s="197"/>
      <c r="DX77" s="197"/>
      <c r="DY77" s="197"/>
      <c r="DZ77" s="197"/>
      <c r="EA77" s="197"/>
      <c r="EB77" s="197"/>
      <c r="EC77" s="197"/>
      <c r="ED77" s="197"/>
      <c r="EE77" s="197"/>
      <c r="EF77" s="197"/>
      <c r="EG77" s="197"/>
      <c r="EH77" s="197"/>
      <c r="EI77" s="197"/>
      <c r="EJ77" s="197"/>
      <c r="EK77" s="197"/>
      <c r="EL77" s="197"/>
      <c r="EM77" s="197"/>
      <c r="EN77" s="197"/>
      <c r="EO77" s="197"/>
      <c r="EP77" s="197"/>
      <c r="EQ77" s="197"/>
      <c r="ER77" s="197"/>
      <c r="ES77" s="197"/>
      <c r="ET77" s="197"/>
      <c r="EU77" s="197"/>
      <c r="EV77" s="197"/>
      <c r="EW77" s="197"/>
      <c r="EX77" s="197"/>
      <c r="EY77" s="197"/>
      <c r="EZ77" s="197"/>
      <c r="FA77" s="197"/>
      <c r="FB77" s="197"/>
      <c r="FC77" s="197"/>
      <c r="FD77" s="197"/>
      <c r="FE77" s="197"/>
      <c r="FF77" s="197"/>
      <c r="FG77" s="197"/>
      <c r="FH77" s="197"/>
      <c r="FI77" s="197"/>
      <c r="FJ77" s="197"/>
      <c r="FK77" s="197"/>
      <c r="FL77" s="197"/>
      <c r="FM77" s="197"/>
      <c r="FN77" s="197"/>
      <c r="FO77" s="197"/>
      <c r="FP77" s="197"/>
      <c r="FQ77" s="197"/>
      <c r="FR77" s="197"/>
      <c r="FS77" s="197"/>
      <c r="FT77" s="197"/>
      <c r="FU77" s="197"/>
      <c r="FV77" s="197"/>
      <c r="FW77" s="197"/>
      <c r="FX77" s="197"/>
      <c r="FY77" s="197"/>
      <c r="FZ77" s="197"/>
      <c r="GA77" s="197"/>
      <c r="GB77" s="197"/>
      <c r="GC77" s="197"/>
      <c r="GD77" s="197"/>
      <c r="GE77" s="197"/>
      <c r="GF77" s="197"/>
      <c r="GG77" s="197"/>
      <c r="GH77" s="197"/>
      <c r="GI77" s="197"/>
      <c r="GJ77" s="197"/>
      <c r="GK77" s="197"/>
      <c r="GL77" s="197"/>
      <c r="GM77" s="197"/>
      <c r="GN77" s="197"/>
      <c r="GO77" s="197"/>
      <c r="GP77" s="197"/>
      <c r="GQ77" s="197"/>
      <c r="GR77" s="197"/>
      <c r="GS77" s="197"/>
      <c r="GT77" s="197"/>
      <c r="GU77" s="197"/>
      <c r="GV77" s="197"/>
      <c r="GW77" s="197"/>
      <c r="GX77" s="197"/>
      <c r="GY77" s="197"/>
    </row>
    <row r="78" spans="1:207" s="203" customFormat="1" x14ac:dyDescent="0.35">
      <c r="A78" s="192"/>
      <c r="B78" s="311" t="s">
        <v>384</v>
      </c>
      <c r="C78" s="312" t="str">
        <f>'CC detallado'!F73</f>
        <v>Evaluación y documentación del Operativo Censal</v>
      </c>
      <c r="D78" s="331"/>
      <c r="E78" s="332" t="s">
        <v>91</v>
      </c>
      <c r="F78" s="333">
        <f t="shared" si="3"/>
        <v>47</v>
      </c>
      <c r="G78" s="315">
        <f>'CC detallado'!N73</f>
        <v>20000</v>
      </c>
      <c r="H78" s="316">
        <v>1</v>
      </c>
      <c r="I78" s="327">
        <v>0</v>
      </c>
      <c r="J78" s="334">
        <f>'CC detallado'!G73</f>
        <v>1</v>
      </c>
      <c r="K78" s="335" t="s">
        <v>336</v>
      </c>
      <c r="L78" s="335" t="s">
        <v>391</v>
      </c>
      <c r="M78" s="336" t="s">
        <v>533</v>
      </c>
      <c r="N78" s="336" t="s">
        <v>528</v>
      </c>
      <c r="O78" s="332"/>
      <c r="P78" s="192"/>
      <c r="Q78" s="197"/>
      <c r="R78" s="201"/>
      <c r="S78" s="201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7"/>
      <c r="AI78" s="197"/>
      <c r="AJ78" s="197"/>
      <c r="AK78" s="197"/>
      <c r="AL78" s="197"/>
      <c r="AM78" s="197"/>
      <c r="AN78" s="197"/>
      <c r="AO78" s="197"/>
      <c r="AP78" s="197"/>
      <c r="AQ78" s="197"/>
      <c r="AR78" s="197"/>
      <c r="AS78" s="197"/>
      <c r="AT78" s="197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197"/>
      <c r="BF78" s="197"/>
      <c r="BG78" s="197"/>
      <c r="BH78" s="197"/>
      <c r="BI78" s="197"/>
      <c r="BJ78" s="197"/>
      <c r="BK78" s="197"/>
      <c r="BL78" s="197"/>
      <c r="BM78" s="197"/>
      <c r="BN78" s="197"/>
      <c r="BO78" s="197"/>
      <c r="BP78" s="197"/>
      <c r="BQ78" s="197"/>
      <c r="BR78" s="197"/>
      <c r="BS78" s="197"/>
      <c r="BT78" s="197"/>
      <c r="BU78" s="197"/>
      <c r="BV78" s="197"/>
      <c r="BW78" s="197"/>
      <c r="BX78" s="197"/>
      <c r="BY78" s="197"/>
      <c r="BZ78" s="197"/>
      <c r="CA78" s="197"/>
      <c r="CB78" s="197"/>
      <c r="CC78" s="197"/>
      <c r="CD78" s="197"/>
      <c r="CE78" s="197"/>
      <c r="CF78" s="197"/>
      <c r="CG78" s="197"/>
      <c r="CH78" s="197"/>
      <c r="CI78" s="197"/>
      <c r="CJ78" s="197"/>
      <c r="CK78" s="197"/>
      <c r="CL78" s="197"/>
      <c r="CM78" s="197"/>
      <c r="CN78" s="197"/>
      <c r="CO78" s="197"/>
      <c r="CP78" s="197"/>
      <c r="CQ78" s="197"/>
      <c r="CR78" s="197"/>
      <c r="CS78" s="197"/>
      <c r="CT78" s="197"/>
      <c r="CU78" s="197"/>
      <c r="CV78" s="197"/>
      <c r="CW78" s="197"/>
      <c r="CX78" s="197"/>
      <c r="CY78" s="197"/>
      <c r="CZ78" s="197"/>
      <c r="DA78" s="197"/>
      <c r="DB78" s="197"/>
      <c r="DC78" s="197"/>
      <c r="DD78" s="197"/>
      <c r="DE78" s="197"/>
      <c r="DF78" s="197"/>
      <c r="DG78" s="197"/>
      <c r="DH78" s="197"/>
      <c r="DI78" s="197"/>
      <c r="DJ78" s="197"/>
      <c r="DK78" s="197"/>
      <c r="DL78" s="197"/>
      <c r="DM78" s="197"/>
      <c r="DN78" s="197"/>
      <c r="DO78" s="197"/>
      <c r="DP78" s="197"/>
      <c r="DQ78" s="197"/>
      <c r="DR78" s="197"/>
      <c r="DS78" s="197"/>
      <c r="DT78" s="197"/>
      <c r="DU78" s="197"/>
      <c r="DV78" s="197"/>
      <c r="DW78" s="197"/>
      <c r="DX78" s="197"/>
      <c r="DY78" s="197"/>
      <c r="DZ78" s="197"/>
      <c r="EA78" s="197"/>
      <c r="EB78" s="197"/>
      <c r="EC78" s="197"/>
      <c r="ED78" s="197"/>
      <c r="EE78" s="197"/>
      <c r="EF78" s="197"/>
      <c r="EG78" s="197"/>
      <c r="EH78" s="197"/>
      <c r="EI78" s="197"/>
      <c r="EJ78" s="197"/>
      <c r="EK78" s="197"/>
      <c r="EL78" s="197"/>
      <c r="EM78" s="197"/>
      <c r="EN78" s="197"/>
      <c r="EO78" s="197"/>
      <c r="EP78" s="197"/>
      <c r="EQ78" s="197"/>
      <c r="ER78" s="197"/>
      <c r="ES78" s="197"/>
      <c r="ET78" s="197"/>
      <c r="EU78" s="197"/>
      <c r="EV78" s="197"/>
      <c r="EW78" s="197"/>
      <c r="EX78" s="197"/>
      <c r="EY78" s="197"/>
      <c r="EZ78" s="197"/>
      <c r="FA78" s="197"/>
      <c r="FB78" s="197"/>
      <c r="FC78" s="197"/>
      <c r="FD78" s="197"/>
      <c r="FE78" s="197"/>
      <c r="FF78" s="197"/>
      <c r="FG78" s="197"/>
      <c r="FH78" s="197"/>
      <c r="FI78" s="197"/>
      <c r="FJ78" s="197"/>
      <c r="FK78" s="197"/>
      <c r="FL78" s="197"/>
      <c r="FM78" s="197"/>
      <c r="FN78" s="197"/>
      <c r="FO78" s="197"/>
      <c r="FP78" s="197"/>
      <c r="FQ78" s="197"/>
      <c r="FR78" s="197"/>
      <c r="FS78" s="197"/>
      <c r="FT78" s="197"/>
      <c r="FU78" s="197"/>
      <c r="FV78" s="197"/>
      <c r="FW78" s="197"/>
      <c r="FX78" s="197"/>
      <c r="FY78" s="197"/>
      <c r="FZ78" s="197"/>
      <c r="GA78" s="197"/>
      <c r="GB78" s="197"/>
      <c r="GC78" s="197"/>
      <c r="GD78" s="197"/>
      <c r="GE78" s="197"/>
      <c r="GF78" s="197"/>
      <c r="GG78" s="197"/>
      <c r="GH78" s="197"/>
      <c r="GI78" s="197"/>
      <c r="GJ78" s="197"/>
      <c r="GK78" s="197"/>
      <c r="GL78" s="197"/>
      <c r="GM78" s="197"/>
      <c r="GN78" s="197"/>
      <c r="GO78" s="197"/>
      <c r="GP78" s="197"/>
      <c r="GQ78" s="197"/>
      <c r="GR78" s="197"/>
      <c r="GS78" s="197"/>
      <c r="GT78" s="197"/>
      <c r="GU78" s="197"/>
      <c r="GV78" s="197"/>
      <c r="GW78" s="197"/>
      <c r="GX78" s="197"/>
      <c r="GY78" s="197"/>
    </row>
    <row r="79" spans="1:207" s="203" customFormat="1" x14ac:dyDescent="0.35">
      <c r="A79" s="192"/>
      <c r="B79" s="311" t="s">
        <v>384</v>
      </c>
      <c r="C79" s="312" t="str">
        <f>'CC detallado'!F75</f>
        <v>Sistematización y Análisis</v>
      </c>
      <c r="D79" s="331"/>
      <c r="E79" s="332" t="s">
        <v>91</v>
      </c>
      <c r="F79" s="333">
        <f t="shared" si="3"/>
        <v>48</v>
      </c>
      <c r="G79" s="315">
        <f>'CC detallado'!N75</f>
        <v>14167.650531286896</v>
      </c>
      <c r="H79" s="316">
        <v>1</v>
      </c>
      <c r="I79" s="327">
        <v>0</v>
      </c>
      <c r="J79" s="334">
        <f>'CC detallado'!G75</f>
        <v>2</v>
      </c>
      <c r="K79" s="335" t="s">
        <v>336</v>
      </c>
      <c r="L79" s="335" t="s">
        <v>391</v>
      </c>
      <c r="M79" s="336" t="s">
        <v>526</v>
      </c>
      <c r="N79" s="336" t="s">
        <v>527</v>
      </c>
      <c r="O79" s="332"/>
      <c r="P79" s="192"/>
      <c r="Q79" s="197"/>
      <c r="R79" s="201"/>
      <c r="S79" s="201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7"/>
      <c r="AG79" s="197"/>
      <c r="AH79" s="197"/>
      <c r="AI79" s="197"/>
      <c r="AJ79" s="197"/>
      <c r="AK79" s="197"/>
      <c r="AL79" s="197"/>
      <c r="AM79" s="197"/>
      <c r="AN79" s="197"/>
      <c r="AO79" s="197"/>
      <c r="AP79" s="197"/>
      <c r="AQ79" s="197"/>
      <c r="AR79" s="197"/>
      <c r="AS79" s="197"/>
      <c r="AT79" s="197"/>
      <c r="AU79" s="197"/>
      <c r="AV79" s="197"/>
      <c r="AW79" s="197"/>
      <c r="AX79" s="197"/>
      <c r="AY79" s="197"/>
      <c r="AZ79" s="197"/>
      <c r="BA79" s="197"/>
      <c r="BB79" s="197"/>
      <c r="BC79" s="197"/>
      <c r="BD79" s="197"/>
      <c r="BE79" s="197"/>
      <c r="BF79" s="197"/>
      <c r="BG79" s="197"/>
      <c r="BH79" s="197"/>
      <c r="BI79" s="197"/>
      <c r="BJ79" s="197"/>
      <c r="BK79" s="197"/>
      <c r="BL79" s="197"/>
      <c r="BM79" s="197"/>
      <c r="BN79" s="197"/>
      <c r="BO79" s="197"/>
      <c r="BP79" s="197"/>
      <c r="BQ79" s="197"/>
      <c r="BR79" s="197"/>
      <c r="BS79" s="197"/>
      <c r="BT79" s="197"/>
      <c r="BU79" s="197"/>
      <c r="BV79" s="197"/>
      <c r="BW79" s="197"/>
      <c r="BX79" s="197"/>
      <c r="BY79" s="197"/>
      <c r="BZ79" s="197"/>
      <c r="CA79" s="197"/>
      <c r="CB79" s="197"/>
      <c r="CC79" s="197"/>
      <c r="CD79" s="197"/>
      <c r="CE79" s="197"/>
      <c r="CF79" s="197"/>
      <c r="CG79" s="197"/>
      <c r="CH79" s="197"/>
      <c r="CI79" s="197"/>
      <c r="CJ79" s="197"/>
      <c r="CK79" s="197"/>
      <c r="CL79" s="197"/>
      <c r="CM79" s="197"/>
      <c r="CN79" s="197"/>
      <c r="CO79" s="197"/>
      <c r="CP79" s="197"/>
      <c r="CQ79" s="197"/>
      <c r="CR79" s="197"/>
      <c r="CS79" s="197"/>
      <c r="CT79" s="197"/>
      <c r="CU79" s="197"/>
      <c r="CV79" s="197"/>
      <c r="CW79" s="197"/>
      <c r="CX79" s="197"/>
      <c r="CY79" s="197"/>
      <c r="CZ79" s="197"/>
      <c r="DA79" s="197"/>
      <c r="DB79" s="197"/>
      <c r="DC79" s="197"/>
      <c r="DD79" s="197"/>
      <c r="DE79" s="197"/>
      <c r="DF79" s="197"/>
      <c r="DG79" s="197"/>
      <c r="DH79" s="197"/>
      <c r="DI79" s="197"/>
      <c r="DJ79" s="197"/>
      <c r="DK79" s="197"/>
      <c r="DL79" s="197"/>
      <c r="DM79" s="197"/>
      <c r="DN79" s="197"/>
      <c r="DO79" s="197"/>
      <c r="DP79" s="197"/>
      <c r="DQ79" s="197"/>
      <c r="DR79" s="197"/>
      <c r="DS79" s="197"/>
      <c r="DT79" s="197"/>
      <c r="DU79" s="197"/>
      <c r="DV79" s="197"/>
      <c r="DW79" s="197"/>
      <c r="DX79" s="197"/>
      <c r="DY79" s="197"/>
      <c r="DZ79" s="197"/>
      <c r="EA79" s="197"/>
      <c r="EB79" s="197"/>
      <c r="EC79" s="197"/>
      <c r="ED79" s="197"/>
      <c r="EE79" s="197"/>
      <c r="EF79" s="197"/>
      <c r="EG79" s="197"/>
      <c r="EH79" s="197"/>
      <c r="EI79" s="197"/>
      <c r="EJ79" s="197"/>
      <c r="EK79" s="197"/>
      <c r="EL79" s="197"/>
      <c r="EM79" s="197"/>
      <c r="EN79" s="197"/>
      <c r="EO79" s="197"/>
      <c r="EP79" s="197"/>
      <c r="EQ79" s="197"/>
      <c r="ER79" s="197"/>
      <c r="ES79" s="197"/>
      <c r="ET79" s="197"/>
      <c r="EU79" s="197"/>
      <c r="EV79" s="197"/>
      <c r="EW79" s="197"/>
      <c r="EX79" s="197"/>
      <c r="EY79" s="197"/>
      <c r="EZ79" s="197"/>
      <c r="FA79" s="197"/>
      <c r="FB79" s="197"/>
      <c r="FC79" s="197"/>
      <c r="FD79" s="197"/>
      <c r="FE79" s="197"/>
      <c r="FF79" s="197"/>
      <c r="FG79" s="197"/>
      <c r="FH79" s="197"/>
      <c r="FI79" s="197"/>
      <c r="FJ79" s="197"/>
      <c r="FK79" s="197"/>
      <c r="FL79" s="197"/>
      <c r="FM79" s="197"/>
      <c r="FN79" s="197"/>
      <c r="FO79" s="197"/>
      <c r="FP79" s="197"/>
      <c r="FQ79" s="197"/>
      <c r="FR79" s="197"/>
      <c r="FS79" s="197"/>
      <c r="FT79" s="197"/>
      <c r="FU79" s="197"/>
      <c r="FV79" s="197"/>
      <c r="FW79" s="197"/>
      <c r="FX79" s="197"/>
      <c r="FY79" s="197"/>
      <c r="FZ79" s="197"/>
      <c r="GA79" s="197"/>
      <c r="GB79" s="197"/>
      <c r="GC79" s="197"/>
      <c r="GD79" s="197"/>
      <c r="GE79" s="197"/>
      <c r="GF79" s="197"/>
      <c r="GG79" s="197"/>
      <c r="GH79" s="197"/>
      <c r="GI79" s="197"/>
      <c r="GJ79" s="197"/>
      <c r="GK79" s="197"/>
      <c r="GL79" s="197"/>
      <c r="GM79" s="197"/>
      <c r="GN79" s="197"/>
      <c r="GO79" s="197"/>
      <c r="GP79" s="197"/>
      <c r="GQ79" s="197"/>
      <c r="GR79" s="197"/>
      <c r="GS79" s="197"/>
      <c r="GT79" s="197"/>
      <c r="GU79" s="197"/>
      <c r="GV79" s="197"/>
      <c r="GW79" s="197"/>
      <c r="GX79" s="197"/>
      <c r="GY79" s="197"/>
    </row>
    <row r="80" spans="1:207" s="203" customFormat="1" x14ac:dyDescent="0.35">
      <c r="A80" s="192"/>
      <c r="B80" s="311" t="s">
        <v>384</v>
      </c>
      <c r="C80" s="312" t="str">
        <f>'CC detallado'!F76</f>
        <v>Experto en comunicación de resultados censales</v>
      </c>
      <c r="D80" s="331"/>
      <c r="E80" s="332" t="s">
        <v>91</v>
      </c>
      <c r="F80" s="333">
        <f t="shared" si="3"/>
        <v>49</v>
      </c>
      <c r="G80" s="315">
        <f>'CC detallado'!N76</f>
        <v>10119.750379490639</v>
      </c>
      <c r="H80" s="316">
        <v>1</v>
      </c>
      <c r="I80" s="327">
        <v>0</v>
      </c>
      <c r="J80" s="334">
        <f>'CC detallado'!G76</f>
        <v>1</v>
      </c>
      <c r="K80" s="335" t="s">
        <v>336</v>
      </c>
      <c r="L80" s="335" t="s">
        <v>391</v>
      </c>
      <c r="M80" s="336" t="s">
        <v>528</v>
      </c>
      <c r="N80" s="336" t="s">
        <v>542</v>
      </c>
      <c r="O80" s="332"/>
      <c r="P80" s="192"/>
      <c r="Q80" s="197"/>
      <c r="R80" s="201"/>
      <c r="S80" s="201"/>
      <c r="T80" s="197"/>
      <c r="U80" s="197"/>
      <c r="V80" s="197"/>
      <c r="W80" s="197"/>
      <c r="X80" s="197"/>
      <c r="Y80" s="197"/>
      <c r="Z80" s="197"/>
      <c r="AA80" s="197"/>
      <c r="AB80" s="197"/>
      <c r="AC80" s="197"/>
      <c r="AD80" s="197"/>
      <c r="AE80" s="197"/>
      <c r="AF80" s="197"/>
      <c r="AG80" s="197"/>
      <c r="AH80" s="197"/>
      <c r="AI80" s="197"/>
      <c r="AJ80" s="197"/>
      <c r="AK80" s="197"/>
      <c r="AL80" s="197"/>
      <c r="AM80" s="197"/>
      <c r="AN80" s="197"/>
      <c r="AO80" s="197"/>
      <c r="AP80" s="197"/>
      <c r="AQ80" s="197"/>
      <c r="AR80" s="197"/>
      <c r="AS80" s="197"/>
      <c r="AT80" s="197"/>
      <c r="AU80" s="197"/>
      <c r="AV80" s="197"/>
      <c r="AW80" s="197"/>
      <c r="AX80" s="197"/>
      <c r="AY80" s="197"/>
      <c r="AZ80" s="197"/>
      <c r="BA80" s="197"/>
      <c r="BB80" s="197"/>
      <c r="BC80" s="197"/>
      <c r="BD80" s="197"/>
      <c r="BE80" s="197"/>
      <c r="BF80" s="197"/>
      <c r="BG80" s="197"/>
      <c r="BH80" s="197"/>
      <c r="BI80" s="197"/>
      <c r="BJ80" s="197"/>
      <c r="BK80" s="197"/>
      <c r="BL80" s="197"/>
      <c r="BM80" s="197"/>
      <c r="BN80" s="197"/>
      <c r="BO80" s="197"/>
      <c r="BP80" s="197"/>
      <c r="BQ80" s="197"/>
      <c r="BR80" s="197"/>
      <c r="BS80" s="197"/>
      <c r="BT80" s="197"/>
      <c r="BU80" s="197"/>
      <c r="BV80" s="197"/>
      <c r="BW80" s="197"/>
      <c r="BX80" s="197"/>
      <c r="BY80" s="197"/>
      <c r="BZ80" s="197"/>
      <c r="CA80" s="197"/>
      <c r="CB80" s="197"/>
      <c r="CC80" s="197"/>
      <c r="CD80" s="197"/>
      <c r="CE80" s="197"/>
      <c r="CF80" s="197"/>
      <c r="CG80" s="197"/>
      <c r="CH80" s="197"/>
      <c r="CI80" s="197"/>
      <c r="CJ80" s="197"/>
      <c r="CK80" s="197"/>
      <c r="CL80" s="197"/>
      <c r="CM80" s="197"/>
      <c r="CN80" s="197"/>
      <c r="CO80" s="197"/>
      <c r="CP80" s="197"/>
      <c r="CQ80" s="197"/>
      <c r="CR80" s="197"/>
      <c r="CS80" s="197"/>
      <c r="CT80" s="197"/>
      <c r="CU80" s="197"/>
      <c r="CV80" s="197"/>
      <c r="CW80" s="197"/>
      <c r="CX80" s="197"/>
      <c r="CY80" s="197"/>
      <c r="CZ80" s="197"/>
      <c r="DA80" s="197"/>
      <c r="DB80" s="197"/>
      <c r="DC80" s="197"/>
      <c r="DD80" s="197"/>
      <c r="DE80" s="197"/>
      <c r="DF80" s="197"/>
      <c r="DG80" s="197"/>
      <c r="DH80" s="197"/>
      <c r="DI80" s="197"/>
      <c r="DJ80" s="197"/>
      <c r="DK80" s="197"/>
      <c r="DL80" s="197"/>
      <c r="DM80" s="197"/>
      <c r="DN80" s="197"/>
      <c r="DO80" s="197"/>
      <c r="DP80" s="197"/>
      <c r="DQ80" s="197"/>
      <c r="DR80" s="197"/>
      <c r="DS80" s="197"/>
      <c r="DT80" s="197"/>
      <c r="DU80" s="197"/>
      <c r="DV80" s="197"/>
      <c r="DW80" s="197"/>
      <c r="DX80" s="197"/>
      <c r="DY80" s="197"/>
      <c r="DZ80" s="197"/>
      <c r="EA80" s="197"/>
      <c r="EB80" s="197"/>
      <c r="EC80" s="197"/>
      <c r="ED80" s="197"/>
      <c r="EE80" s="197"/>
      <c r="EF80" s="197"/>
      <c r="EG80" s="197"/>
      <c r="EH80" s="197"/>
      <c r="EI80" s="197"/>
      <c r="EJ80" s="197"/>
      <c r="EK80" s="197"/>
      <c r="EL80" s="197"/>
      <c r="EM80" s="197"/>
      <c r="EN80" s="197"/>
      <c r="EO80" s="197"/>
      <c r="EP80" s="197"/>
      <c r="EQ80" s="197"/>
      <c r="ER80" s="197"/>
      <c r="ES80" s="197"/>
      <c r="ET80" s="197"/>
      <c r="EU80" s="197"/>
      <c r="EV80" s="197"/>
      <c r="EW80" s="197"/>
      <c r="EX80" s="197"/>
      <c r="EY80" s="197"/>
      <c r="EZ80" s="197"/>
      <c r="FA80" s="197"/>
      <c r="FB80" s="197"/>
      <c r="FC80" s="197"/>
      <c r="FD80" s="197"/>
      <c r="FE80" s="197"/>
      <c r="FF80" s="197"/>
      <c r="FG80" s="197"/>
      <c r="FH80" s="197"/>
      <c r="FI80" s="197"/>
      <c r="FJ80" s="197"/>
      <c r="FK80" s="197"/>
      <c r="FL80" s="197"/>
      <c r="FM80" s="197"/>
      <c r="FN80" s="197"/>
      <c r="FO80" s="197"/>
      <c r="FP80" s="197"/>
      <c r="FQ80" s="197"/>
      <c r="FR80" s="197"/>
      <c r="FS80" s="197"/>
      <c r="FT80" s="197"/>
      <c r="FU80" s="197"/>
      <c r="FV80" s="197"/>
      <c r="FW80" s="197"/>
      <c r="FX80" s="197"/>
      <c r="FY80" s="197"/>
      <c r="FZ80" s="197"/>
      <c r="GA80" s="197"/>
      <c r="GB80" s="197"/>
      <c r="GC80" s="197"/>
      <c r="GD80" s="197"/>
      <c r="GE80" s="197"/>
      <c r="GF80" s="197"/>
      <c r="GG80" s="197"/>
      <c r="GH80" s="197"/>
      <c r="GI80" s="197"/>
      <c r="GJ80" s="197"/>
      <c r="GK80" s="197"/>
      <c r="GL80" s="197"/>
      <c r="GM80" s="197"/>
      <c r="GN80" s="197"/>
      <c r="GO80" s="197"/>
      <c r="GP80" s="197"/>
      <c r="GQ80" s="197"/>
      <c r="GR80" s="197"/>
      <c r="GS80" s="197"/>
      <c r="GT80" s="197"/>
      <c r="GU80" s="197"/>
      <c r="GV80" s="197"/>
      <c r="GW80" s="197"/>
      <c r="GX80" s="197"/>
      <c r="GY80" s="197"/>
    </row>
    <row r="81" spans="1:207" s="203" customFormat="1" x14ac:dyDescent="0.35">
      <c r="A81" s="192"/>
      <c r="B81" s="311" t="s">
        <v>384</v>
      </c>
      <c r="C81" s="312" t="str">
        <f>'CC detallado'!F77</f>
        <v>Experto en diseño e implementación de la base de datos</v>
      </c>
      <c r="D81" s="331"/>
      <c r="E81" s="332" t="s">
        <v>91</v>
      </c>
      <c r="F81" s="333">
        <f t="shared" si="3"/>
        <v>50</v>
      </c>
      <c r="G81" s="315">
        <f>'CC detallado'!N77</f>
        <v>7083.8252656434479</v>
      </c>
      <c r="H81" s="316">
        <v>1</v>
      </c>
      <c r="I81" s="327">
        <v>0</v>
      </c>
      <c r="J81" s="334">
        <f>'CC detallado'!G77</f>
        <v>1</v>
      </c>
      <c r="K81" s="335" t="s">
        <v>336</v>
      </c>
      <c r="L81" s="335" t="s">
        <v>391</v>
      </c>
      <c r="M81" s="336" t="s">
        <v>528</v>
      </c>
      <c r="N81" s="336" t="s">
        <v>542</v>
      </c>
      <c r="O81" s="332"/>
      <c r="P81" s="192"/>
      <c r="Q81" s="197"/>
      <c r="R81" s="201"/>
      <c r="S81" s="201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7"/>
      <c r="AG81" s="197"/>
      <c r="AH81" s="197"/>
      <c r="AI81" s="197"/>
      <c r="AJ81" s="197"/>
      <c r="AK81" s="197"/>
      <c r="AL81" s="197"/>
      <c r="AM81" s="197"/>
      <c r="AN81" s="197"/>
      <c r="AO81" s="197"/>
      <c r="AP81" s="197"/>
      <c r="AQ81" s="197"/>
      <c r="AR81" s="197"/>
      <c r="AS81" s="197"/>
      <c r="AT81" s="197"/>
      <c r="AU81" s="197"/>
      <c r="AV81" s="197"/>
      <c r="AW81" s="197"/>
      <c r="AX81" s="197"/>
      <c r="AY81" s="197"/>
      <c r="AZ81" s="197"/>
      <c r="BA81" s="197"/>
      <c r="BB81" s="197"/>
      <c r="BC81" s="197"/>
      <c r="BD81" s="197"/>
      <c r="BE81" s="197"/>
      <c r="BF81" s="197"/>
      <c r="BG81" s="197"/>
      <c r="BH81" s="197"/>
      <c r="BI81" s="197"/>
      <c r="BJ81" s="197"/>
      <c r="BK81" s="197"/>
      <c r="BL81" s="197"/>
      <c r="BM81" s="197"/>
      <c r="BN81" s="197"/>
      <c r="BO81" s="197"/>
      <c r="BP81" s="197"/>
      <c r="BQ81" s="197"/>
      <c r="BR81" s="197"/>
      <c r="BS81" s="197"/>
      <c r="BT81" s="197"/>
      <c r="BU81" s="197"/>
      <c r="BV81" s="197"/>
      <c r="BW81" s="197"/>
      <c r="BX81" s="197"/>
      <c r="BY81" s="197"/>
      <c r="BZ81" s="197"/>
      <c r="CA81" s="197"/>
      <c r="CB81" s="197"/>
      <c r="CC81" s="197"/>
      <c r="CD81" s="197"/>
      <c r="CE81" s="197"/>
      <c r="CF81" s="197"/>
      <c r="CG81" s="197"/>
      <c r="CH81" s="197"/>
      <c r="CI81" s="197"/>
      <c r="CJ81" s="197"/>
      <c r="CK81" s="197"/>
      <c r="CL81" s="197"/>
      <c r="CM81" s="197"/>
      <c r="CN81" s="197"/>
      <c r="CO81" s="197"/>
      <c r="CP81" s="197"/>
      <c r="CQ81" s="197"/>
      <c r="CR81" s="197"/>
      <c r="CS81" s="197"/>
      <c r="CT81" s="197"/>
      <c r="CU81" s="197"/>
      <c r="CV81" s="197"/>
      <c r="CW81" s="197"/>
      <c r="CX81" s="197"/>
      <c r="CY81" s="197"/>
      <c r="CZ81" s="197"/>
      <c r="DA81" s="197"/>
      <c r="DB81" s="197"/>
      <c r="DC81" s="197"/>
      <c r="DD81" s="197"/>
      <c r="DE81" s="197"/>
      <c r="DF81" s="197"/>
      <c r="DG81" s="197"/>
      <c r="DH81" s="197"/>
      <c r="DI81" s="197"/>
      <c r="DJ81" s="197"/>
      <c r="DK81" s="197"/>
      <c r="DL81" s="197"/>
      <c r="DM81" s="197"/>
      <c r="DN81" s="197"/>
      <c r="DO81" s="197"/>
      <c r="DP81" s="197"/>
      <c r="DQ81" s="197"/>
      <c r="DR81" s="197"/>
      <c r="DS81" s="197"/>
      <c r="DT81" s="197"/>
      <c r="DU81" s="197"/>
      <c r="DV81" s="197"/>
      <c r="DW81" s="197"/>
      <c r="DX81" s="197"/>
      <c r="DY81" s="197"/>
      <c r="DZ81" s="197"/>
      <c r="EA81" s="197"/>
      <c r="EB81" s="197"/>
      <c r="EC81" s="197"/>
      <c r="ED81" s="197"/>
      <c r="EE81" s="197"/>
      <c r="EF81" s="197"/>
      <c r="EG81" s="197"/>
      <c r="EH81" s="197"/>
      <c r="EI81" s="197"/>
      <c r="EJ81" s="197"/>
      <c r="EK81" s="197"/>
      <c r="EL81" s="197"/>
      <c r="EM81" s="197"/>
      <c r="EN81" s="197"/>
      <c r="EO81" s="197"/>
      <c r="EP81" s="197"/>
      <c r="EQ81" s="197"/>
      <c r="ER81" s="197"/>
      <c r="ES81" s="197"/>
      <c r="ET81" s="197"/>
      <c r="EU81" s="197"/>
      <c r="EV81" s="197"/>
      <c r="EW81" s="197"/>
      <c r="EX81" s="197"/>
      <c r="EY81" s="197"/>
      <c r="EZ81" s="197"/>
      <c r="FA81" s="197"/>
      <c r="FB81" s="197"/>
      <c r="FC81" s="197"/>
      <c r="FD81" s="197"/>
      <c r="FE81" s="197"/>
      <c r="FF81" s="197"/>
      <c r="FG81" s="197"/>
      <c r="FH81" s="197"/>
      <c r="FI81" s="197"/>
      <c r="FJ81" s="197"/>
      <c r="FK81" s="197"/>
      <c r="FL81" s="197"/>
      <c r="FM81" s="197"/>
      <c r="FN81" s="197"/>
      <c r="FO81" s="197"/>
      <c r="FP81" s="197"/>
      <c r="FQ81" s="197"/>
      <c r="FR81" s="197"/>
      <c r="FS81" s="197"/>
      <c r="FT81" s="197"/>
      <c r="FU81" s="197"/>
      <c r="FV81" s="197"/>
      <c r="FW81" s="197"/>
      <c r="FX81" s="197"/>
      <c r="FY81" s="197"/>
      <c r="FZ81" s="197"/>
      <c r="GA81" s="197"/>
      <c r="GB81" s="197"/>
      <c r="GC81" s="197"/>
      <c r="GD81" s="197"/>
      <c r="GE81" s="197"/>
      <c r="GF81" s="197"/>
      <c r="GG81" s="197"/>
      <c r="GH81" s="197"/>
      <c r="GI81" s="197"/>
      <c r="GJ81" s="197"/>
      <c r="GK81" s="197"/>
      <c r="GL81" s="197"/>
      <c r="GM81" s="197"/>
      <c r="GN81" s="197"/>
      <c r="GO81" s="197"/>
      <c r="GP81" s="197"/>
      <c r="GQ81" s="197"/>
      <c r="GR81" s="197"/>
      <c r="GS81" s="197"/>
      <c r="GT81" s="197"/>
      <c r="GU81" s="197"/>
      <c r="GV81" s="197"/>
      <c r="GW81" s="197"/>
      <c r="GX81" s="197"/>
      <c r="GY81" s="197"/>
    </row>
    <row r="82" spans="1:207" s="203" customFormat="1" ht="26" x14ac:dyDescent="0.35">
      <c r="A82" s="192"/>
      <c r="B82" s="311" t="s">
        <v>384</v>
      </c>
      <c r="C82" s="312" t="str">
        <f>'CC detallado'!F78</f>
        <v>Asistente para Diseño e implementación de la base de datos</v>
      </c>
      <c r="D82" s="331"/>
      <c r="E82" s="332" t="s">
        <v>91</v>
      </c>
      <c r="F82" s="333">
        <f t="shared" si="3"/>
        <v>51</v>
      </c>
      <c r="G82" s="315">
        <f>'CC detallado'!N78</f>
        <v>4047.9001517962556</v>
      </c>
      <c r="H82" s="316">
        <v>1</v>
      </c>
      <c r="I82" s="327">
        <v>0</v>
      </c>
      <c r="J82" s="334">
        <f>'CC detallado'!G78</f>
        <v>1</v>
      </c>
      <c r="K82" s="335" t="s">
        <v>336</v>
      </c>
      <c r="L82" s="335" t="s">
        <v>391</v>
      </c>
      <c r="M82" s="336" t="s">
        <v>528</v>
      </c>
      <c r="N82" s="336" t="s">
        <v>542</v>
      </c>
      <c r="O82" s="332"/>
      <c r="P82" s="192"/>
      <c r="Q82" s="197"/>
      <c r="R82" s="201"/>
      <c r="S82" s="201"/>
      <c r="T82" s="197"/>
      <c r="U82" s="197"/>
      <c r="V82" s="197"/>
      <c r="W82" s="197"/>
      <c r="X82" s="197"/>
      <c r="Y82" s="197"/>
      <c r="Z82" s="197"/>
      <c r="AA82" s="197"/>
      <c r="AB82" s="197"/>
      <c r="AC82" s="197"/>
      <c r="AD82" s="197"/>
      <c r="AE82" s="197"/>
      <c r="AF82" s="197"/>
      <c r="AG82" s="197"/>
      <c r="AH82" s="197"/>
      <c r="AI82" s="197"/>
      <c r="AJ82" s="197"/>
      <c r="AK82" s="197"/>
      <c r="AL82" s="197"/>
      <c r="AM82" s="197"/>
      <c r="AN82" s="197"/>
      <c r="AO82" s="197"/>
      <c r="AP82" s="197"/>
      <c r="AQ82" s="197"/>
      <c r="AR82" s="197"/>
      <c r="AS82" s="197"/>
      <c r="AT82" s="197"/>
      <c r="AU82" s="197"/>
      <c r="AV82" s="197"/>
      <c r="AW82" s="197"/>
      <c r="AX82" s="197"/>
      <c r="AY82" s="197"/>
      <c r="AZ82" s="197"/>
      <c r="BA82" s="197"/>
      <c r="BB82" s="197"/>
      <c r="BC82" s="197"/>
      <c r="BD82" s="197"/>
      <c r="BE82" s="197"/>
      <c r="BF82" s="197"/>
      <c r="BG82" s="197"/>
      <c r="BH82" s="197"/>
      <c r="BI82" s="197"/>
      <c r="BJ82" s="197"/>
      <c r="BK82" s="197"/>
      <c r="BL82" s="197"/>
      <c r="BM82" s="197"/>
      <c r="BN82" s="197"/>
      <c r="BO82" s="197"/>
      <c r="BP82" s="197"/>
      <c r="BQ82" s="197"/>
      <c r="BR82" s="197"/>
      <c r="BS82" s="197"/>
      <c r="BT82" s="197"/>
      <c r="BU82" s="197"/>
      <c r="BV82" s="197"/>
      <c r="BW82" s="197"/>
      <c r="BX82" s="197"/>
      <c r="BY82" s="197"/>
      <c r="BZ82" s="197"/>
      <c r="CA82" s="197"/>
      <c r="CB82" s="197"/>
      <c r="CC82" s="197"/>
      <c r="CD82" s="197"/>
      <c r="CE82" s="197"/>
      <c r="CF82" s="197"/>
      <c r="CG82" s="197"/>
      <c r="CH82" s="197"/>
      <c r="CI82" s="197"/>
      <c r="CJ82" s="197"/>
      <c r="CK82" s="197"/>
      <c r="CL82" s="197"/>
      <c r="CM82" s="197"/>
      <c r="CN82" s="197"/>
      <c r="CO82" s="197"/>
      <c r="CP82" s="197"/>
      <c r="CQ82" s="197"/>
      <c r="CR82" s="197"/>
      <c r="CS82" s="197"/>
      <c r="CT82" s="197"/>
      <c r="CU82" s="197"/>
      <c r="CV82" s="197"/>
      <c r="CW82" s="197"/>
      <c r="CX82" s="197"/>
      <c r="CY82" s="197"/>
      <c r="CZ82" s="197"/>
      <c r="DA82" s="197"/>
      <c r="DB82" s="197"/>
      <c r="DC82" s="197"/>
      <c r="DD82" s="197"/>
      <c r="DE82" s="197"/>
      <c r="DF82" s="197"/>
      <c r="DG82" s="197"/>
      <c r="DH82" s="197"/>
      <c r="DI82" s="197"/>
      <c r="DJ82" s="197"/>
      <c r="DK82" s="197"/>
      <c r="DL82" s="197"/>
      <c r="DM82" s="197"/>
      <c r="DN82" s="197"/>
      <c r="DO82" s="197"/>
      <c r="DP82" s="197"/>
      <c r="DQ82" s="197"/>
      <c r="DR82" s="197"/>
      <c r="DS82" s="197"/>
      <c r="DT82" s="197"/>
      <c r="DU82" s="197"/>
      <c r="DV82" s="197"/>
      <c r="DW82" s="197"/>
      <c r="DX82" s="197"/>
      <c r="DY82" s="197"/>
      <c r="DZ82" s="197"/>
      <c r="EA82" s="197"/>
      <c r="EB82" s="197"/>
      <c r="EC82" s="197"/>
      <c r="ED82" s="197"/>
      <c r="EE82" s="197"/>
      <c r="EF82" s="197"/>
      <c r="EG82" s="197"/>
      <c r="EH82" s="197"/>
      <c r="EI82" s="197"/>
      <c r="EJ82" s="197"/>
      <c r="EK82" s="197"/>
      <c r="EL82" s="197"/>
      <c r="EM82" s="197"/>
      <c r="EN82" s="197"/>
      <c r="EO82" s="197"/>
      <c r="EP82" s="197"/>
      <c r="EQ82" s="197"/>
      <c r="ER82" s="197"/>
      <c r="ES82" s="197"/>
      <c r="ET82" s="197"/>
      <c r="EU82" s="197"/>
      <c r="EV82" s="197"/>
      <c r="EW82" s="197"/>
      <c r="EX82" s="197"/>
      <c r="EY82" s="197"/>
      <c r="EZ82" s="197"/>
      <c r="FA82" s="197"/>
      <c r="FB82" s="197"/>
      <c r="FC82" s="197"/>
      <c r="FD82" s="197"/>
      <c r="FE82" s="197"/>
      <c r="FF82" s="197"/>
      <c r="FG82" s="197"/>
      <c r="FH82" s="197"/>
      <c r="FI82" s="197"/>
      <c r="FJ82" s="197"/>
      <c r="FK82" s="197"/>
      <c r="FL82" s="197"/>
      <c r="FM82" s="197"/>
      <c r="FN82" s="197"/>
      <c r="FO82" s="197"/>
      <c r="FP82" s="197"/>
      <c r="FQ82" s="197"/>
      <c r="FR82" s="197"/>
      <c r="FS82" s="197"/>
      <c r="FT82" s="197"/>
      <c r="FU82" s="197"/>
      <c r="FV82" s="197"/>
      <c r="FW82" s="197"/>
      <c r="FX82" s="197"/>
      <c r="FY82" s="197"/>
      <c r="FZ82" s="197"/>
      <c r="GA82" s="197"/>
      <c r="GB82" s="197"/>
      <c r="GC82" s="197"/>
      <c r="GD82" s="197"/>
      <c r="GE82" s="197"/>
      <c r="GF82" s="197"/>
      <c r="GG82" s="197"/>
      <c r="GH82" s="197"/>
      <c r="GI82" s="197"/>
      <c r="GJ82" s="197"/>
      <c r="GK82" s="197"/>
      <c r="GL82" s="197"/>
      <c r="GM82" s="197"/>
      <c r="GN82" s="197"/>
      <c r="GO82" s="197"/>
      <c r="GP82" s="197"/>
      <c r="GQ82" s="197"/>
      <c r="GR82" s="197"/>
      <c r="GS82" s="197"/>
      <c r="GT82" s="197"/>
      <c r="GU82" s="197"/>
      <c r="GV82" s="197"/>
      <c r="GW82" s="197"/>
      <c r="GX82" s="197"/>
      <c r="GY82" s="197"/>
    </row>
    <row r="83" spans="1:207" ht="26" x14ac:dyDescent="0.35">
      <c r="B83" s="311" t="s">
        <v>384</v>
      </c>
      <c r="C83" s="312" t="str">
        <f>'CC detallado'!F83</f>
        <v>Experto en programación en plataforma CSpro con aplicación a Tablet</v>
      </c>
      <c r="D83" s="331"/>
      <c r="E83" s="332" t="s">
        <v>91</v>
      </c>
      <c r="F83" s="333">
        <f t="shared" si="3"/>
        <v>52</v>
      </c>
      <c r="G83" s="337">
        <f>'CC detallado'!N83</f>
        <v>25000</v>
      </c>
      <c r="H83" s="316">
        <v>1</v>
      </c>
      <c r="I83" s="327">
        <v>0</v>
      </c>
      <c r="J83" s="334">
        <f>'CC detallado'!G83</f>
        <v>1</v>
      </c>
      <c r="K83" s="335" t="s">
        <v>336</v>
      </c>
      <c r="L83" s="335" t="s">
        <v>391</v>
      </c>
      <c r="M83" s="336" t="s">
        <v>522</v>
      </c>
      <c r="N83" s="336" t="s">
        <v>522</v>
      </c>
      <c r="O83" s="332"/>
      <c r="R83" s="201"/>
      <c r="S83" s="201"/>
    </row>
    <row r="84" spans="1:207" s="203" customFormat="1" ht="26" x14ac:dyDescent="0.35">
      <c r="A84" s="192"/>
      <c r="B84" s="311" t="s">
        <v>384</v>
      </c>
      <c r="C84" s="312" t="str">
        <f>'CC detallado'!F84</f>
        <v>DCEA capacitada y equipada para producción de estadísticas</v>
      </c>
      <c r="D84" s="331"/>
      <c r="E84" s="332" t="s">
        <v>91</v>
      </c>
      <c r="F84" s="333">
        <f t="shared" si="3"/>
        <v>53</v>
      </c>
      <c r="G84" s="337">
        <f>'CC detallado'!N84</f>
        <v>15000</v>
      </c>
      <c r="H84" s="316">
        <v>1</v>
      </c>
      <c r="I84" s="327">
        <v>0</v>
      </c>
      <c r="J84" s="334">
        <f>'CC detallado'!G84</f>
        <v>1</v>
      </c>
      <c r="K84" s="335" t="s">
        <v>336</v>
      </c>
      <c r="L84" s="335" t="s">
        <v>391</v>
      </c>
      <c r="M84" s="336" t="s">
        <v>522</v>
      </c>
      <c r="N84" s="336" t="s">
        <v>522</v>
      </c>
      <c r="O84" s="332"/>
      <c r="P84" s="192"/>
      <c r="Q84" s="197"/>
      <c r="R84" s="201"/>
      <c r="S84" s="201"/>
      <c r="T84" s="197"/>
      <c r="U84" s="197"/>
      <c r="V84" s="197"/>
      <c r="W84" s="197"/>
      <c r="X84" s="197"/>
      <c r="Y84" s="197"/>
      <c r="Z84" s="197"/>
      <c r="AA84" s="197"/>
      <c r="AB84" s="197"/>
      <c r="AC84" s="197"/>
      <c r="AD84" s="197"/>
      <c r="AE84" s="197"/>
      <c r="AF84" s="197"/>
      <c r="AG84" s="197"/>
      <c r="AH84" s="197"/>
      <c r="AI84" s="197"/>
      <c r="AJ84" s="197"/>
      <c r="AK84" s="197"/>
      <c r="AL84" s="197"/>
      <c r="AM84" s="197"/>
      <c r="AN84" s="197"/>
      <c r="AO84" s="197"/>
      <c r="AP84" s="197"/>
      <c r="AQ84" s="197"/>
      <c r="AR84" s="197"/>
      <c r="AS84" s="197"/>
      <c r="AT84" s="197"/>
      <c r="AU84" s="197"/>
      <c r="AV84" s="197"/>
      <c r="AW84" s="197"/>
      <c r="AX84" s="197"/>
      <c r="AY84" s="197"/>
      <c r="AZ84" s="197"/>
      <c r="BA84" s="197"/>
      <c r="BB84" s="197"/>
      <c r="BC84" s="197"/>
      <c r="BD84" s="197"/>
      <c r="BE84" s="197"/>
      <c r="BF84" s="197"/>
      <c r="BG84" s="197"/>
      <c r="BH84" s="197"/>
      <c r="BI84" s="197"/>
      <c r="BJ84" s="197"/>
      <c r="BK84" s="197"/>
      <c r="BL84" s="197"/>
      <c r="BM84" s="197"/>
      <c r="BN84" s="197"/>
      <c r="BO84" s="197"/>
      <c r="BP84" s="197"/>
      <c r="BQ84" s="197"/>
      <c r="BR84" s="197"/>
      <c r="BS84" s="197"/>
      <c r="BT84" s="197"/>
      <c r="BU84" s="197"/>
      <c r="BV84" s="197"/>
      <c r="BW84" s="197"/>
      <c r="BX84" s="197"/>
      <c r="BY84" s="197"/>
      <c r="BZ84" s="197"/>
      <c r="CA84" s="197"/>
      <c r="CB84" s="197"/>
      <c r="CC84" s="197"/>
      <c r="CD84" s="197"/>
      <c r="CE84" s="197"/>
      <c r="CF84" s="197"/>
      <c r="CG84" s="197"/>
      <c r="CH84" s="197"/>
      <c r="CI84" s="197"/>
      <c r="CJ84" s="197"/>
      <c r="CK84" s="197"/>
      <c r="CL84" s="197"/>
      <c r="CM84" s="197"/>
      <c r="CN84" s="197"/>
      <c r="CO84" s="197"/>
      <c r="CP84" s="197"/>
      <c r="CQ84" s="197"/>
      <c r="CR84" s="197"/>
      <c r="CS84" s="197"/>
      <c r="CT84" s="197"/>
      <c r="CU84" s="197"/>
      <c r="CV84" s="197"/>
      <c r="CW84" s="197"/>
      <c r="CX84" s="197"/>
      <c r="CY84" s="197"/>
      <c r="CZ84" s="197"/>
      <c r="DA84" s="197"/>
      <c r="DB84" s="197"/>
      <c r="DC84" s="197"/>
      <c r="DD84" s="197"/>
      <c r="DE84" s="197"/>
      <c r="DF84" s="197"/>
      <c r="DG84" s="197"/>
      <c r="DH84" s="197"/>
      <c r="DI84" s="197"/>
      <c r="DJ84" s="197"/>
      <c r="DK84" s="197"/>
      <c r="DL84" s="197"/>
      <c r="DM84" s="197"/>
      <c r="DN84" s="197"/>
      <c r="DO84" s="197"/>
      <c r="DP84" s="197"/>
      <c r="DQ84" s="197"/>
      <c r="DR84" s="197"/>
      <c r="DS84" s="197"/>
      <c r="DT84" s="197"/>
      <c r="DU84" s="197"/>
      <c r="DV84" s="197"/>
      <c r="DW84" s="197"/>
      <c r="DX84" s="197"/>
      <c r="DY84" s="197"/>
      <c r="DZ84" s="197"/>
      <c r="EA84" s="197"/>
      <c r="EB84" s="197"/>
      <c r="EC84" s="197"/>
      <c r="ED84" s="197"/>
      <c r="EE84" s="197"/>
      <c r="EF84" s="197"/>
      <c r="EG84" s="197"/>
      <c r="EH84" s="197"/>
      <c r="EI84" s="197"/>
      <c r="EJ84" s="197"/>
      <c r="EK84" s="197"/>
      <c r="EL84" s="197"/>
      <c r="EM84" s="197"/>
      <c r="EN84" s="197"/>
      <c r="EO84" s="197"/>
      <c r="EP84" s="197"/>
      <c r="EQ84" s="197"/>
      <c r="ER84" s="197"/>
      <c r="ES84" s="197"/>
      <c r="ET84" s="197"/>
      <c r="EU84" s="197"/>
      <c r="EV84" s="197"/>
      <c r="EW84" s="197"/>
      <c r="EX84" s="197"/>
      <c r="EY84" s="197"/>
      <c r="EZ84" s="197"/>
      <c r="FA84" s="197"/>
      <c r="FB84" s="197"/>
      <c r="FC84" s="197"/>
      <c r="FD84" s="197"/>
      <c r="FE84" s="197"/>
      <c r="FF84" s="197"/>
      <c r="FG84" s="197"/>
      <c r="FH84" s="197"/>
      <c r="FI84" s="197"/>
      <c r="FJ84" s="197"/>
      <c r="FK84" s="197"/>
      <c r="FL84" s="197"/>
      <c r="FM84" s="197"/>
      <c r="FN84" s="197"/>
      <c r="FO84" s="197"/>
      <c r="FP84" s="197"/>
      <c r="FQ84" s="197"/>
      <c r="FR84" s="197"/>
      <c r="FS84" s="197"/>
      <c r="FT84" s="197"/>
      <c r="FU84" s="197"/>
      <c r="FV84" s="197"/>
      <c r="FW84" s="197"/>
      <c r="FX84" s="197"/>
      <c r="FY84" s="197"/>
      <c r="FZ84" s="197"/>
      <c r="GA84" s="197"/>
      <c r="GB84" s="197"/>
      <c r="GC84" s="197"/>
      <c r="GD84" s="197"/>
      <c r="GE84" s="197"/>
      <c r="GF84" s="197"/>
      <c r="GG84" s="197"/>
      <c r="GH84" s="197"/>
      <c r="GI84" s="197"/>
      <c r="GJ84" s="197"/>
      <c r="GK84" s="197"/>
      <c r="GL84" s="197"/>
      <c r="GM84" s="197"/>
      <c r="GN84" s="197"/>
      <c r="GO84" s="197"/>
      <c r="GP84" s="197"/>
      <c r="GQ84" s="197"/>
      <c r="GR84" s="197"/>
      <c r="GS84" s="197"/>
      <c r="GT84" s="197"/>
      <c r="GU84" s="197"/>
      <c r="GV84" s="197"/>
      <c r="GW84" s="197"/>
      <c r="GX84" s="197"/>
      <c r="GY84" s="197"/>
    </row>
    <row r="85" spans="1:207" s="203" customFormat="1" ht="26" x14ac:dyDescent="0.35">
      <c r="A85" s="192"/>
      <c r="B85" s="311" t="s">
        <v>384</v>
      </c>
      <c r="C85" s="312" t="str">
        <f>'CC detallado'!F85</f>
        <v>Experto en transmisión de datos vía web y monitoreo informático de cobertura censal</v>
      </c>
      <c r="D85" s="331"/>
      <c r="E85" s="332" t="s">
        <v>91</v>
      </c>
      <c r="F85" s="333">
        <f t="shared" si="3"/>
        <v>54</v>
      </c>
      <c r="G85" s="337">
        <f>'CC detallado'!N85</f>
        <v>15000</v>
      </c>
      <c r="H85" s="316">
        <v>1</v>
      </c>
      <c r="I85" s="327">
        <v>0</v>
      </c>
      <c r="J85" s="334">
        <f>'CC detallado'!G85</f>
        <v>1</v>
      </c>
      <c r="K85" s="335" t="s">
        <v>336</v>
      </c>
      <c r="L85" s="335" t="s">
        <v>391</v>
      </c>
      <c r="M85" s="336" t="s">
        <v>541</v>
      </c>
      <c r="N85" s="336" t="s">
        <v>534</v>
      </c>
      <c r="O85" s="332"/>
      <c r="P85" s="192"/>
      <c r="Q85" s="197"/>
      <c r="R85" s="201"/>
      <c r="S85" s="201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P85" s="197"/>
      <c r="AQ85" s="197"/>
      <c r="AR85" s="197"/>
      <c r="AS85" s="197"/>
      <c r="AT85" s="197"/>
      <c r="AU85" s="197"/>
      <c r="AV85" s="197"/>
      <c r="AW85" s="197"/>
      <c r="AX85" s="197"/>
      <c r="AY85" s="197"/>
      <c r="AZ85" s="197"/>
      <c r="BA85" s="197"/>
      <c r="BB85" s="197"/>
      <c r="BC85" s="197"/>
      <c r="BD85" s="197"/>
      <c r="BE85" s="197"/>
      <c r="BF85" s="197"/>
      <c r="BG85" s="197"/>
      <c r="BH85" s="197"/>
      <c r="BI85" s="197"/>
      <c r="BJ85" s="197"/>
      <c r="BK85" s="197"/>
      <c r="BL85" s="197"/>
      <c r="BM85" s="197"/>
      <c r="BN85" s="197"/>
      <c r="BO85" s="197"/>
      <c r="BP85" s="197"/>
      <c r="BQ85" s="197"/>
      <c r="BR85" s="197"/>
      <c r="BS85" s="197"/>
      <c r="BT85" s="197"/>
      <c r="BU85" s="197"/>
      <c r="BV85" s="197"/>
      <c r="BW85" s="197"/>
      <c r="BX85" s="197"/>
      <c r="BY85" s="197"/>
      <c r="BZ85" s="197"/>
      <c r="CA85" s="197"/>
      <c r="CB85" s="197"/>
      <c r="CC85" s="197"/>
      <c r="CD85" s="197"/>
      <c r="CE85" s="197"/>
      <c r="CF85" s="197"/>
      <c r="CG85" s="197"/>
      <c r="CH85" s="197"/>
      <c r="CI85" s="197"/>
      <c r="CJ85" s="197"/>
      <c r="CK85" s="197"/>
      <c r="CL85" s="197"/>
      <c r="CM85" s="197"/>
      <c r="CN85" s="197"/>
      <c r="CO85" s="197"/>
      <c r="CP85" s="197"/>
      <c r="CQ85" s="197"/>
      <c r="CR85" s="197"/>
      <c r="CS85" s="197"/>
      <c r="CT85" s="197"/>
      <c r="CU85" s="197"/>
      <c r="CV85" s="197"/>
      <c r="CW85" s="197"/>
      <c r="CX85" s="197"/>
      <c r="CY85" s="197"/>
      <c r="CZ85" s="197"/>
      <c r="DA85" s="197"/>
      <c r="DB85" s="197"/>
      <c r="DC85" s="197"/>
      <c r="DD85" s="197"/>
      <c r="DE85" s="197"/>
      <c r="DF85" s="197"/>
      <c r="DG85" s="197"/>
      <c r="DH85" s="197"/>
      <c r="DI85" s="197"/>
      <c r="DJ85" s="197"/>
      <c r="DK85" s="197"/>
      <c r="DL85" s="197"/>
      <c r="DM85" s="197"/>
      <c r="DN85" s="197"/>
      <c r="DO85" s="197"/>
      <c r="DP85" s="197"/>
      <c r="DQ85" s="197"/>
      <c r="DR85" s="197"/>
      <c r="DS85" s="197"/>
      <c r="DT85" s="197"/>
      <c r="DU85" s="197"/>
      <c r="DV85" s="197"/>
      <c r="DW85" s="197"/>
      <c r="DX85" s="197"/>
      <c r="DY85" s="197"/>
      <c r="DZ85" s="197"/>
      <c r="EA85" s="197"/>
      <c r="EB85" s="197"/>
      <c r="EC85" s="197"/>
      <c r="ED85" s="197"/>
      <c r="EE85" s="197"/>
      <c r="EF85" s="197"/>
      <c r="EG85" s="197"/>
      <c r="EH85" s="197"/>
      <c r="EI85" s="197"/>
      <c r="EJ85" s="197"/>
      <c r="EK85" s="197"/>
      <c r="EL85" s="197"/>
      <c r="EM85" s="197"/>
      <c r="EN85" s="197"/>
      <c r="EO85" s="197"/>
      <c r="EP85" s="197"/>
      <c r="EQ85" s="197"/>
      <c r="ER85" s="197"/>
      <c r="ES85" s="197"/>
      <c r="ET85" s="197"/>
      <c r="EU85" s="197"/>
      <c r="EV85" s="197"/>
      <c r="EW85" s="197"/>
      <c r="EX85" s="197"/>
      <c r="EY85" s="197"/>
      <c r="EZ85" s="197"/>
      <c r="FA85" s="197"/>
      <c r="FB85" s="197"/>
      <c r="FC85" s="197"/>
      <c r="FD85" s="197"/>
      <c r="FE85" s="197"/>
      <c r="FF85" s="197"/>
      <c r="FG85" s="197"/>
      <c r="FH85" s="197"/>
      <c r="FI85" s="197"/>
      <c r="FJ85" s="197"/>
      <c r="FK85" s="197"/>
      <c r="FL85" s="197"/>
      <c r="FM85" s="197"/>
      <c r="FN85" s="197"/>
      <c r="FO85" s="197"/>
      <c r="FP85" s="197"/>
      <c r="FQ85" s="197"/>
      <c r="FR85" s="197"/>
      <c r="FS85" s="197"/>
      <c r="FT85" s="197"/>
      <c r="FU85" s="197"/>
      <c r="FV85" s="197"/>
      <c r="FW85" s="197"/>
      <c r="FX85" s="197"/>
      <c r="FY85" s="197"/>
      <c r="FZ85" s="197"/>
      <c r="GA85" s="197"/>
      <c r="GB85" s="197"/>
      <c r="GC85" s="197"/>
      <c r="GD85" s="197"/>
      <c r="GE85" s="197"/>
      <c r="GF85" s="197"/>
      <c r="GG85" s="197"/>
      <c r="GH85" s="197"/>
      <c r="GI85" s="197"/>
      <c r="GJ85" s="197"/>
      <c r="GK85" s="197"/>
      <c r="GL85" s="197"/>
      <c r="GM85" s="197"/>
      <c r="GN85" s="197"/>
      <c r="GO85" s="197"/>
      <c r="GP85" s="197"/>
      <c r="GQ85" s="197"/>
      <c r="GR85" s="197"/>
      <c r="GS85" s="197"/>
      <c r="GT85" s="197"/>
      <c r="GU85" s="197"/>
      <c r="GV85" s="197"/>
      <c r="GW85" s="197"/>
      <c r="GX85" s="197"/>
      <c r="GY85" s="197"/>
    </row>
    <row r="86" spans="1:207" s="203" customFormat="1" x14ac:dyDescent="0.35">
      <c r="A86" s="192"/>
      <c r="B86" s="311" t="s">
        <v>384</v>
      </c>
      <c r="C86" s="312" t="str">
        <f>'CC detallado'!F86</f>
        <v>Experto en gestión de base de datos</v>
      </c>
      <c r="D86" s="331"/>
      <c r="E86" s="332" t="s">
        <v>91</v>
      </c>
      <c r="F86" s="333">
        <f t="shared" si="3"/>
        <v>55</v>
      </c>
      <c r="G86" s="337">
        <f>'CC detallado'!N86</f>
        <v>15000</v>
      </c>
      <c r="H86" s="316">
        <v>1</v>
      </c>
      <c r="I86" s="327">
        <v>0</v>
      </c>
      <c r="J86" s="334">
        <f>'CC detallado'!G86</f>
        <v>1</v>
      </c>
      <c r="K86" s="335" t="s">
        <v>336</v>
      </c>
      <c r="L86" s="335" t="s">
        <v>391</v>
      </c>
      <c r="M86" s="336" t="s">
        <v>541</v>
      </c>
      <c r="N86" s="336" t="s">
        <v>534</v>
      </c>
      <c r="O86" s="332"/>
      <c r="P86" s="192"/>
      <c r="Q86" s="197"/>
      <c r="R86" s="201"/>
      <c r="S86" s="201"/>
      <c r="T86" s="197"/>
      <c r="U86" s="197"/>
      <c r="V86" s="197"/>
      <c r="W86" s="197"/>
      <c r="X86" s="197"/>
      <c r="Y86" s="197"/>
      <c r="Z86" s="197"/>
      <c r="AA86" s="197"/>
      <c r="AB86" s="197"/>
      <c r="AC86" s="197"/>
      <c r="AD86" s="197"/>
      <c r="AE86" s="197"/>
      <c r="AF86" s="197"/>
      <c r="AG86" s="197"/>
      <c r="AH86" s="197"/>
      <c r="AI86" s="197"/>
      <c r="AJ86" s="197"/>
      <c r="AK86" s="197"/>
      <c r="AL86" s="197"/>
      <c r="AM86" s="197"/>
      <c r="AN86" s="197"/>
      <c r="AO86" s="197"/>
      <c r="AP86" s="197"/>
      <c r="AQ86" s="197"/>
      <c r="AR86" s="197"/>
      <c r="AS86" s="197"/>
      <c r="AT86" s="197"/>
      <c r="AU86" s="197"/>
      <c r="AV86" s="197"/>
      <c r="AW86" s="197"/>
      <c r="AX86" s="197"/>
      <c r="AY86" s="197"/>
      <c r="AZ86" s="197"/>
      <c r="BA86" s="197"/>
      <c r="BB86" s="197"/>
      <c r="BC86" s="197"/>
      <c r="BD86" s="197"/>
      <c r="BE86" s="197"/>
      <c r="BF86" s="197"/>
      <c r="BG86" s="197"/>
      <c r="BH86" s="197"/>
      <c r="BI86" s="197"/>
      <c r="BJ86" s="197"/>
      <c r="BK86" s="197"/>
      <c r="BL86" s="197"/>
      <c r="BM86" s="197"/>
      <c r="BN86" s="197"/>
      <c r="BO86" s="197"/>
      <c r="BP86" s="197"/>
      <c r="BQ86" s="197"/>
      <c r="BR86" s="197"/>
      <c r="BS86" s="197"/>
      <c r="BT86" s="197"/>
      <c r="BU86" s="197"/>
      <c r="BV86" s="197"/>
      <c r="BW86" s="197"/>
      <c r="BX86" s="197"/>
      <c r="BY86" s="197"/>
      <c r="BZ86" s="197"/>
      <c r="CA86" s="197"/>
      <c r="CB86" s="197"/>
      <c r="CC86" s="197"/>
      <c r="CD86" s="197"/>
      <c r="CE86" s="197"/>
      <c r="CF86" s="197"/>
      <c r="CG86" s="197"/>
      <c r="CH86" s="197"/>
      <c r="CI86" s="197"/>
      <c r="CJ86" s="197"/>
      <c r="CK86" s="197"/>
      <c r="CL86" s="197"/>
      <c r="CM86" s="197"/>
      <c r="CN86" s="197"/>
      <c r="CO86" s="197"/>
      <c r="CP86" s="197"/>
      <c r="CQ86" s="197"/>
      <c r="CR86" s="197"/>
      <c r="CS86" s="197"/>
      <c r="CT86" s="197"/>
      <c r="CU86" s="197"/>
      <c r="CV86" s="197"/>
      <c r="CW86" s="197"/>
      <c r="CX86" s="197"/>
      <c r="CY86" s="197"/>
      <c r="CZ86" s="197"/>
      <c r="DA86" s="197"/>
      <c r="DB86" s="197"/>
      <c r="DC86" s="197"/>
      <c r="DD86" s="197"/>
      <c r="DE86" s="197"/>
      <c r="DF86" s="197"/>
      <c r="DG86" s="197"/>
      <c r="DH86" s="197"/>
      <c r="DI86" s="197"/>
      <c r="DJ86" s="197"/>
      <c r="DK86" s="197"/>
      <c r="DL86" s="197"/>
      <c r="DM86" s="197"/>
      <c r="DN86" s="197"/>
      <c r="DO86" s="197"/>
      <c r="DP86" s="197"/>
      <c r="DQ86" s="197"/>
      <c r="DR86" s="197"/>
      <c r="DS86" s="197"/>
      <c r="DT86" s="197"/>
      <c r="DU86" s="197"/>
      <c r="DV86" s="197"/>
      <c r="DW86" s="197"/>
      <c r="DX86" s="197"/>
      <c r="DY86" s="197"/>
      <c r="DZ86" s="197"/>
      <c r="EA86" s="197"/>
      <c r="EB86" s="197"/>
      <c r="EC86" s="197"/>
      <c r="ED86" s="197"/>
      <c r="EE86" s="197"/>
      <c r="EF86" s="197"/>
      <c r="EG86" s="197"/>
      <c r="EH86" s="197"/>
      <c r="EI86" s="197"/>
      <c r="EJ86" s="197"/>
      <c r="EK86" s="197"/>
      <c r="EL86" s="197"/>
      <c r="EM86" s="197"/>
      <c r="EN86" s="197"/>
      <c r="EO86" s="197"/>
      <c r="EP86" s="197"/>
      <c r="EQ86" s="197"/>
      <c r="ER86" s="197"/>
      <c r="ES86" s="197"/>
      <c r="ET86" s="197"/>
      <c r="EU86" s="197"/>
      <c r="EV86" s="197"/>
      <c r="EW86" s="197"/>
      <c r="EX86" s="197"/>
      <c r="EY86" s="197"/>
      <c r="EZ86" s="197"/>
      <c r="FA86" s="197"/>
      <c r="FB86" s="197"/>
      <c r="FC86" s="197"/>
      <c r="FD86" s="197"/>
      <c r="FE86" s="197"/>
      <c r="FF86" s="197"/>
      <c r="FG86" s="197"/>
      <c r="FH86" s="197"/>
      <c r="FI86" s="197"/>
      <c r="FJ86" s="197"/>
      <c r="FK86" s="197"/>
      <c r="FL86" s="197"/>
      <c r="FM86" s="197"/>
      <c r="FN86" s="197"/>
      <c r="FO86" s="197"/>
      <c r="FP86" s="197"/>
      <c r="FQ86" s="197"/>
      <c r="FR86" s="197"/>
      <c r="FS86" s="197"/>
      <c r="FT86" s="197"/>
      <c r="FU86" s="197"/>
      <c r="FV86" s="197"/>
      <c r="FW86" s="197"/>
      <c r="FX86" s="197"/>
      <c r="FY86" s="197"/>
      <c r="FZ86" s="197"/>
      <c r="GA86" s="197"/>
      <c r="GB86" s="197"/>
      <c r="GC86" s="197"/>
      <c r="GD86" s="197"/>
      <c r="GE86" s="197"/>
      <c r="GF86" s="197"/>
      <c r="GG86" s="197"/>
      <c r="GH86" s="197"/>
      <c r="GI86" s="197"/>
      <c r="GJ86" s="197"/>
      <c r="GK86" s="197"/>
      <c r="GL86" s="197"/>
      <c r="GM86" s="197"/>
      <c r="GN86" s="197"/>
      <c r="GO86" s="197"/>
      <c r="GP86" s="197"/>
      <c r="GQ86" s="197"/>
      <c r="GR86" s="197"/>
      <c r="GS86" s="197"/>
      <c r="GT86" s="197"/>
      <c r="GU86" s="197"/>
      <c r="GV86" s="197"/>
      <c r="GW86" s="197"/>
      <c r="GX86" s="197"/>
      <c r="GY86" s="197"/>
    </row>
    <row r="87" spans="1:207" s="203" customFormat="1" ht="26" x14ac:dyDescent="0.35">
      <c r="A87" s="192"/>
      <c r="B87" s="311" t="s">
        <v>384</v>
      </c>
      <c r="C87" s="312" t="str">
        <f>'CC detallado'!F88</f>
        <v>Experto en áreas temáticas de censos agropecuarios con aplicación de dispositivos móviles de captura (Tablet)</v>
      </c>
      <c r="D87" s="331"/>
      <c r="E87" s="332" t="s">
        <v>91</v>
      </c>
      <c r="F87" s="333">
        <f t="shared" si="3"/>
        <v>56</v>
      </c>
      <c r="G87" s="315">
        <f>'CC detallado'!N88</f>
        <v>30000</v>
      </c>
      <c r="H87" s="316">
        <v>1</v>
      </c>
      <c r="I87" s="327">
        <v>0</v>
      </c>
      <c r="J87" s="334">
        <f>'CC detallado'!G88</f>
        <v>1</v>
      </c>
      <c r="K87" s="335" t="s">
        <v>321</v>
      </c>
      <c r="L87" s="335" t="s">
        <v>391</v>
      </c>
      <c r="M87" s="336" t="s">
        <v>523</v>
      </c>
      <c r="N87" s="336" t="s">
        <v>541</v>
      </c>
      <c r="O87" s="332"/>
      <c r="P87" s="192"/>
      <c r="Q87" s="197"/>
      <c r="R87" s="201"/>
      <c r="S87" s="201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7"/>
      <c r="AG87" s="197"/>
      <c r="AH87" s="197"/>
      <c r="AI87" s="197"/>
      <c r="AJ87" s="197"/>
      <c r="AK87" s="197"/>
      <c r="AL87" s="197"/>
      <c r="AM87" s="197"/>
      <c r="AN87" s="197"/>
      <c r="AO87" s="197"/>
      <c r="AP87" s="197"/>
      <c r="AQ87" s="197"/>
      <c r="AR87" s="197"/>
      <c r="AS87" s="197"/>
      <c r="AT87" s="197"/>
      <c r="AU87" s="197"/>
      <c r="AV87" s="197"/>
      <c r="AW87" s="197"/>
      <c r="AX87" s="197"/>
      <c r="AY87" s="197"/>
      <c r="AZ87" s="197"/>
      <c r="BA87" s="197"/>
      <c r="BB87" s="197"/>
      <c r="BC87" s="197"/>
      <c r="BD87" s="197"/>
      <c r="BE87" s="197"/>
      <c r="BF87" s="197"/>
      <c r="BG87" s="197"/>
      <c r="BH87" s="197"/>
      <c r="BI87" s="197"/>
      <c r="BJ87" s="197"/>
      <c r="BK87" s="197"/>
      <c r="BL87" s="197"/>
      <c r="BM87" s="197"/>
      <c r="BN87" s="197"/>
      <c r="BO87" s="197"/>
      <c r="BP87" s="197"/>
      <c r="BQ87" s="197"/>
      <c r="BR87" s="197"/>
      <c r="BS87" s="197"/>
      <c r="BT87" s="197"/>
      <c r="BU87" s="197"/>
      <c r="BV87" s="197"/>
      <c r="BW87" s="197"/>
      <c r="BX87" s="197"/>
      <c r="BY87" s="197"/>
      <c r="BZ87" s="197"/>
      <c r="CA87" s="197"/>
      <c r="CB87" s="197"/>
      <c r="CC87" s="197"/>
      <c r="CD87" s="197"/>
      <c r="CE87" s="197"/>
      <c r="CF87" s="197"/>
      <c r="CG87" s="197"/>
      <c r="CH87" s="197"/>
      <c r="CI87" s="197"/>
      <c r="CJ87" s="197"/>
      <c r="CK87" s="197"/>
      <c r="CL87" s="197"/>
      <c r="CM87" s="197"/>
      <c r="CN87" s="197"/>
      <c r="CO87" s="197"/>
      <c r="CP87" s="197"/>
      <c r="CQ87" s="197"/>
      <c r="CR87" s="197"/>
      <c r="CS87" s="197"/>
      <c r="CT87" s="197"/>
      <c r="CU87" s="197"/>
      <c r="CV87" s="197"/>
      <c r="CW87" s="197"/>
      <c r="CX87" s="197"/>
      <c r="CY87" s="197"/>
      <c r="CZ87" s="197"/>
      <c r="DA87" s="197"/>
      <c r="DB87" s="197"/>
      <c r="DC87" s="197"/>
      <c r="DD87" s="197"/>
      <c r="DE87" s="197"/>
      <c r="DF87" s="197"/>
      <c r="DG87" s="197"/>
      <c r="DH87" s="197"/>
      <c r="DI87" s="197"/>
      <c r="DJ87" s="197"/>
      <c r="DK87" s="197"/>
      <c r="DL87" s="197"/>
      <c r="DM87" s="197"/>
      <c r="DN87" s="197"/>
      <c r="DO87" s="197"/>
      <c r="DP87" s="197"/>
      <c r="DQ87" s="197"/>
      <c r="DR87" s="197"/>
      <c r="DS87" s="197"/>
      <c r="DT87" s="197"/>
      <c r="DU87" s="197"/>
      <c r="DV87" s="197"/>
      <c r="DW87" s="197"/>
      <c r="DX87" s="197"/>
      <c r="DY87" s="197"/>
      <c r="DZ87" s="197"/>
      <c r="EA87" s="197"/>
      <c r="EB87" s="197"/>
      <c r="EC87" s="197"/>
      <c r="ED87" s="197"/>
      <c r="EE87" s="197"/>
      <c r="EF87" s="197"/>
      <c r="EG87" s="197"/>
      <c r="EH87" s="197"/>
      <c r="EI87" s="197"/>
      <c r="EJ87" s="197"/>
      <c r="EK87" s="197"/>
      <c r="EL87" s="197"/>
      <c r="EM87" s="197"/>
      <c r="EN87" s="197"/>
      <c r="EO87" s="197"/>
      <c r="EP87" s="197"/>
      <c r="EQ87" s="197"/>
      <c r="ER87" s="197"/>
      <c r="ES87" s="197"/>
      <c r="ET87" s="197"/>
      <c r="EU87" s="197"/>
      <c r="EV87" s="197"/>
      <c r="EW87" s="197"/>
      <c r="EX87" s="197"/>
      <c r="EY87" s="197"/>
      <c r="EZ87" s="197"/>
      <c r="FA87" s="197"/>
      <c r="FB87" s="197"/>
      <c r="FC87" s="197"/>
      <c r="FD87" s="197"/>
      <c r="FE87" s="197"/>
      <c r="FF87" s="197"/>
      <c r="FG87" s="197"/>
      <c r="FH87" s="197"/>
      <c r="FI87" s="197"/>
      <c r="FJ87" s="197"/>
      <c r="FK87" s="197"/>
      <c r="FL87" s="197"/>
      <c r="FM87" s="197"/>
      <c r="FN87" s="197"/>
      <c r="FO87" s="197"/>
      <c r="FP87" s="197"/>
      <c r="FQ87" s="197"/>
      <c r="FR87" s="197"/>
      <c r="FS87" s="197"/>
      <c r="FT87" s="197"/>
      <c r="FU87" s="197"/>
      <c r="FV87" s="197"/>
      <c r="FW87" s="197"/>
      <c r="FX87" s="197"/>
      <c r="FY87" s="197"/>
      <c r="FZ87" s="197"/>
      <c r="GA87" s="197"/>
      <c r="GB87" s="197"/>
      <c r="GC87" s="197"/>
      <c r="GD87" s="197"/>
      <c r="GE87" s="197"/>
      <c r="GF87" s="197"/>
      <c r="GG87" s="197"/>
      <c r="GH87" s="197"/>
      <c r="GI87" s="197"/>
      <c r="GJ87" s="197"/>
      <c r="GK87" s="197"/>
      <c r="GL87" s="197"/>
      <c r="GM87" s="197"/>
      <c r="GN87" s="197"/>
      <c r="GO87" s="197"/>
      <c r="GP87" s="197"/>
      <c r="GQ87" s="197"/>
      <c r="GR87" s="197"/>
      <c r="GS87" s="197"/>
      <c r="GT87" s="197"/>
      <c r="GU87" s="197"/>
      <c r="GV87" s="197"/>
      <c r="GW87" s="197"/>
      <c r="GX87" s="197"/>
      <c r="GY87" s="197"/>
    </row>
    <row r="88" spans="1:207" s="203" customFormat="1" x14ac:dyDescent="0.35">
      <c r="A88" s="192"/>
      <c r="B88" s="311" t="s">
        <v>384</v>
      </c>
      <c r="C88" s="312" t="str">
        <f>'CC detallado'!F143</f>
        <v>Expertos en procesamiento de imágenes satelitales</v>
      </c>
      <c r="D88" s="331"/>
      <c r="E88" s="332" t="s">
        <v>91</v>
      </c>
      <c r="F88" s="333">
        <f t="shared" si="3"/>
        <v>57</v>
      </c>
      <c r="G88" s="315">
        <f>'CC detallado'!N143</f>
        <v>26986.001011975037</v>
      </c>
      <c r="H88" s="316">
        <v>1</v>
      </c>
      <c r="I88" s="327">
        <v>0</v>
      </c>
      <c r="J88" s="334">
        <f>'CC detallado'!G143</f>
        <v>2</v>
      </c>
      <c r="K88" s="335" t="s">
        <v>321</v>
      </c>
      <c r="L88" s="335" t="s">
        <v>391</v>
      </c>
      <c r="M88" s="336" t="s">
        <v>523</v>
      </c>
      <c r="N88" s="336" t="s">
        <v>523</v>
      </c>
      <c r="O88" s="332"/>
      <c r="P88" s="192"/>
      <c r="Q88" s="197"/>
      <c r="R88" s="201"/>
      <c r="S88" s="201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7"/>
      <c r="AH88" s="197"/>
      <c r="AI88" s="197"/>
      <c r="AJ88" s="197"/>
      <c r="AK88" s="197"/>
      <c r="AL88" s="197"/>
      <c r="AM88" s="197"/>
      <c r="AN88" s="197"/>
      <c r="AO88" s="197"/>
      <c r="AP88" s="197"/>
      <c r="AQ88" s="197"/>
      <c r="AR88" s="197"/>
      <c r="AS88" s="197"/>
      <c r="AT88" s="197"/>
      <c r="AU88" s="197"/>
      <c r="AV88" s="197"/>
      <c r="AW88" s="197"/>
      <c r="AX88" s="197"/>
      <c r="AY88" s="197"/>
      <c r="AZ88" s="197"/>
      <c r="BA88" s="197"/>
      <c r="BB88" s="197"/>
      <c r="BC88" s="197"/>
      <c r="BD88" s="197"/>
      <c r="BE88" s="197"/>
      <c r="BF88" s="197"/>
      <c r="BG88" s="197"/>
      <c r="BH88" s="197"/>
      <c r="BI88" s="197"/>
      <c r="BJ88" s="197"/>
      <c r="BK88" s="197"/>
      <c r="BL88" s="197"/>
      <c r="BM88" s="197"/>
      <c r="BN88" s="197"/>
      <c r="BO88" s="197"/>
      <c r="BP88" s="197"/>
      <c r="BQ88" s="197"/>
      <c r="BR88" s="197"/>
      <c r="BS88" s="197"/>
      <c r="BT88" s="197"/>
      <c r="BU88" s="197"/>
      <c r="BV88" s="197"/>
      <c r="BW88" s="197"/>
      <c r="BX88" s="197"/>
      <c r="BY88" s="197"/>
      <c r="BZ88" s="197"/>
      <c r="CA88" s="197"/>
      <c r="CB88" s="197"/>
      <c r="CC88" s="197"/>
      <c r="CD88" s="197"/>
      <c r="CE88" s="197"/>
      <c r="CF88" s="197"/>
      <c r="CG88" s="197"/>
      <c r="CH88" s="197"/>
      <c r="CI88" s="197"/>
      <c r="CJ88" s="197"/>
      <c r="CK88" s="197"/>
      <c r="CL88" s="197"/>
      <c r="CM88" s="197"/>
      <c r="CN88" s="197"/>
      <c r="CO88" s="197"/>
      <c r="CP88" s="197"/>
      <c r="CQ88" s="197"/>
      <c r="CR88" s="197"/>
      <c r="CS88" s="197"/>
      <c r="CT88" s="197"/>
      <c r="CU88" s="197"/>
      <c r="CV88" s="197"/>
      <c r="CW88" s="197"/>
      <c r="CX88" s="197"/>
      <c r="CY88" s="197"/>
      <c r="CZ88" s="197"/>
      <c r="DA88" s="197"/>
      <c r="DB88" s="197"/>
      <c r="DC88" s="197"/>
      <c r="DD88" s="197"/>
      <c r="DE88" s="197"/>
      <c r="DF88" s="197"/>
      <c r="DG88" s="197"/>
      <c r="DH88" s="197"/>
      <c r="DI88" s="197"/>
      <c r="DJ88" s="197"/>
      <c r="DK88" s="197"/>
      <c r="DL88" s="197"/>
      <c r="DM88" s="197"/>
      <c r="DN88" s="197"/>
      <c r="DO88" s="197"/>
      <c r="DP88" s="197"/>
      <c r="DQ88" s="197"/>
      <c r="DR88" s="197"/>
      <c r="DS88" s="197"/>
      <c r="DT88" s="197"/>
      <c r="DU88" s="197"/>
      <c r="DV88" s="197"/>
      <c r="DW88" s="197"/>
      <c r="DX88" s="197"/>
      <c r="DY88" s="197"/>
      <c r="DZ88" s="197"/>
      <c r="EA88" s="197"/>
      <c r="EB88" s="197"/>
      <c r="EC88" s="197"/>
      <c r="ED88" s="197"/>
      <c r="EE88" s="197"/>
      <c r="EF88" s="197"/>
      <c r="EG88" s="197"/>
      <c r="EH88" s="197"/>
      <c r="EI88" s="197"/>
      <c r="EJ88" s="197"/>
      <c r="EK88" s="197"/>
      <c r="EL88" s="197"/>
      <c r="EM88" s="197"/>
      <c r="EN88" s="197"/>
      <c r="EO88" s="197"/>
      <c r="EP88" s="197"/>
      <c r="EQ88" s="197"/>
      <c r="ER88" s="197"/>
      <c r="ES88" s="197"/>
      <c r="ET88" s="197"/>
      <c r="EU88" s="197"/>
      <c r="EV88" s="197"/>
      <c r="EW88" s="197"/>
      <c r="EX88" s="197"/>
      <c r="EY88" s="197"/>
      <c r="EZ88" s="197"/>
      <c r="FA88" s="197"/>
      <c r="FB88" s="197"/>
      <c r="FC88" s="197"/>
      <c r="FD88" s="197"/>
      <c r="FE88" s="197"/>
      <c r="FF88" s="197"/>
      <c r="FG88" s="197"/>
      <c r="FH88" s="197"/>
      <c r="FI88" s="197"/>
      <c r="FJ88" s="197"/>
      <c r="FK88" s="197"/>
      <c r="FL88" s="197"/>
      <c r="FM88" s="197"/>
      <c r="FN88" s="197"/>
      <c r="FO88" s="197"/>
      <c r="FP88" s="197"/>
      <c r="FQ88" s="197"/>
      <c r="FR88" s="197"/>
      <c r="FS88" s="197"/>
      <c r="FT88" s="197"/>
      <c r="FU88" s="197"/>
      <c r="FV88" s="197"/>
      <c r="FW88" s="197"/>
      <c r="FX88" s="197"/>
      <c r="FY88" s="197"/>
      <c r="FZ88" s="197"/>
      <c r="GA88" s="197"/>
      <c r="GB88" s="197"/>
      <c r="GC88" s="197"/>
      <c r="GD88" s="197"/>
      <c r="GE88" s="197"/>
      <c r="GF88" s="197"/>
      <c r="GG88" s="197"/>
      <c r="GH88" s="197"/>
      <c r="GI88" s="197"/>
      <c r="GJ88" s="197"/>
      <c r="GK88" s="197"/>
      <c r="GL88" s="197"/>
      <c r="GM88" s="197"/>
      <c r="GN88" s="197"/>
      <c r="GO88" s="197"/>
      <c r="GP88" s="197"/>
      <c r="GQ88" s="197"/>
      <c r="GR88" s="197"/>
      <c r="GS88" s="197"/>
      <c r="GT88" s="197"/>
      <c r="GU88" s="197"/>
      <c r="GV88" s="197"/>
      <c r="GW88" s="197"/>
      <c r="GX88" s="197"/>
      <c r="GY88" s="197"/>
    </row>
    <row r="89" spans="1:207" s="203" customFormat="1" x14ac:dyDescent="0.35">
      <c r="A89" s="192"/>
      <c r="B89" s="311" t="s">
        <v>384</v>
      </c>
      <c r="C89" s="312" t="str">
        <f>'CC detallado'!F147</f>
        <v>Diseño del Marco Muestral Maestro</v>
      </c>
      <c r="D89" s="331"/>
      <c r="E89" s="332" t="s">
        <v>91</v>
      </c>
      <c r="F89" s="333">
        <f t="shared" si="3"/>
        <v>58</v>
      </c>
      <c r="G89" s="315">
        <f>'CC detallado'!N147</f>
        <v>24287.400910777535</v>
      </c>
      <c r="H89" s="316">
        <v>1</v>
      </c>
      <c r="I89" s="327">
        <v>0</v>
      </c>
      <c r="J89" s="334">
        <f>'CC detallado'!G147</f>
        <v>3</v>
      </c>
      <c r="K89" s="335" t="s">
        <v>321</v>
      </c>
      <c r="L89" s="335" t="s">
        <v>391</v>
      </c>
      <c r="M89" s="336" t="s">
        <v>528</v>
      </c>
      <c r="N89" s="336" t="s">
        <v>542</v>
      </c>
      <c r="O89" s="332"/>
      <c r="P89" s="192"/>
      <c r="Q89" s="197"/>
      <c r="R89" s="201"/>
      <c r="S89" s="201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97"/>
      <c r="AL89" s="197"/>
      <c r="AM89" s="197"/>
      <c r="AN89" s="197"/>
      <c r="AO89" s="197"/>
      <c r="AP89" s="197"/>
      <c r="AQ89" s="197"/>
      <c r="AR89" s="197"/>
      <c r="AS89" s="197"/>
      <c r="AT89" s="197"/>
      <c r="AU89" s="197"/>
      <c r="AV89" s="197"/>
      <c r="AW89" s="197"/>
      <c r="AX89" s="197"/>
      <c r="AY89" s="197"/>
      <c r="AZ89" s="197"/>
      <c r="BA89" s="197"/>
      <c r="BB89" s="197"/>
      <c r="BC89" s="197"/>
      <c r="BD89" s="197"/>
      <c r="BE89" s="197"/>
      <c r="BF89" s="197"/>
      <c r="BG89" s="197"/>
      <c r="BH89" s="197"/>
      <c r="BI89" s="197"/>
      <c r="BJ89" s="197"/>
      <c r="BK89" s="197"/>
      <c r="BL89" s="197"/>
      <c r="BM89" s="197"/>
      <c r="BN89" s="197"/>
      <c r="BO89" s="197"/>
      <c r="BP89" s="197"/>
      <c r="BQ89" s="197"/>
      <c r="BR89" s="197"/>
      <c r="BS89" s="197"/>
      <c r="BT89" s="197"/>
      <c r="BU89" s="197"/>
      <c r="BV89" s="197"/>
      <c r="BW89" s="197"/>
      <c r="BX89" s="197"/>
      <c r="BY89" s="197"/>
      <c r="BZ89" s="197"/>
      <c r="CA89" s="197"/>
      <c r="CB89" s="197"/>
      <c r="CC89" s="197"/>
      <c r="CD89" s="197"/>
      <c r="CE89" s="197"/>
      <c r="CF89" s="197"/>
      <c r="CG89" s="197"/>
      <c r="CH89" s="197"/>
      <c r="CI89" s="197"/>
      <c r="CJ89" s="197"/>
      <c r="CK89" s="197"/>
      <c r="CL89" s="197"/>
      <c r="CM89" s="197"/>
      <c r="CN89" s="197"/>
      <c r="CO89" s="197"/>
      <c r="CP89" s="197"/>
      <c r="CQ89" s="197"/>
      <c r="CR89" s="197"/>
      <c r="CS89" s="197"/>
      <c r="CT89" s="197"/>
      <c r="CU89" s="197"/>
      <c r="CV89" s="197"/>
      <c r="CW89" s="197"/>
      <c r="CX89" s="197"/>
      <c r="CY89" s="197"/>
      <c r="CZ89" s="197"/>
      <c r="DA89" s="197"/>
      <c r="DB89" s="197"/>
      <c r="DC89" s="197"/>
      <c r="DD89" s="197"/>
      <c r="DE89" s="197"/>
      <c r="DF89" s="197"/>
      <c r="DG89" s="197"/>
      <c r="DH89" s="197"/>
      <c r="DI89" s="197"/>
      <c r="DJ89" s="197"/>
      <c r="DK89" s="197"/>
      <c r="DL89" s="197"/>
      <c r="DM89" s="197"/>
      <c r="DN89" s="197"/>
      <c r="DO89" s="197"/>
      <c r="DP89" s="197"/>
      <c r="DQ89" s="197"/>
      <c r="DR89" s="197"/>
      <c r="DS89" s="197"/>
      <c r="DT89" s="197"/>
      <c r="DU89" s="197"/>
      <c r="DV89" s="197"/>
      <c r="DW89" s="197"/>
      <c r="DX89" s="197"/>
      <c r="DY89" s="197"/>
      <c r="DZ89" s="197"/>
      <c r="EA89" s="197"/>
      <c r="EB89" s="197"/>
      <c r="EC89" s="197"/>
      <c r="ED89" s="197"/>
      <c r="EE89" s="197"/>
      <c r="EF89" s="197"/>
      <c r="EG89" s="197"/>
      <c r="EH89" s="197"/>
      <c r="EI89" s="197"/>
      <c r="EJ89" s="197"/>
      <c r="EK89" s="197"/>
      <c r="EL89" s="197"/>
      <c r="EM89" s="197"/>
      <c r="EN89" s="197"/>
      <c r="EO89" s="197"/>
      <c r="EP89" s="197"/>
      <c r="EQ89" s="197"/>
      <c r="ER89" s="197"/>
      <c r="ES89" s="197"/>
      <c r="ET89" s="197"/>
      <c r="EU89" s="197"/>
      <c r="EV89" s="197"/>
      <c r="EW89" s="197"/>
      <c r="EX89" s="197"/>
      <c r="EY89" s="197"/>
      <c r="EZ89" s="197"/>
      <c r="FA89" s="197"/>
      <c r="FB89" s="197"/>
      <c r="FC89" s="197"/>
      <c r="FD89" s="197"/>
      <c r="FE89" s="197"/>
      <c r="FF89" s="197"/>
      <c r="FG89" s="197"/>
      <c r="FH89" s="197"/>
      <c r="FI89" s="197"/>
      <c r="FJ89" s="197"/>
      <c r="FK89" s="197"/>
      <c r="FL89" s="197"/>
      <c r="FM89" s="197"/>
      <c r="FN89" s="197"/>
      <c r="FO89" s="197"/>
      <c r="FP89" s="197"/>
      <c r="FQ89" s="197"/>
      <c r="FR89" s="197"/>
      <c r="FS89" s="197"/>
      <c r="FT89" s="197"/>
      <c r="FU89" s="197"/>
      <c r="FV89" s="197"/>
      <c r="FW89" s="197"/>
      <c r="FX89" s="197"/>
      <c r="FY89" s="197"/>
      <c r="FZ89" s="197"/>
      <c r="GA89" s="197"/>
      <c r="GB89" s="197"/>
      <c r="GC89" s="197"/>
      <c r="GD89" s="197"/>
      <c r="GE89" s="197"/>
      <c r="GF89" s="197"/>
      <c r="GG89" s="197"/>
      <c r="GH89" s="197"/>
      <c r="GI89" s="197"/>
      <c r="GJ89" s="197"/>
      <c r="GK89" s="197"/>
      <c r="GL89" s="197"/>
      <c r="GM89" s="197"/>
      <c r="GN89" s="197"/>
      <c r="GO89" s="197"/>
      <c r="GP89" s="197"/>
      <c r="GQ89" s="197"/>
      <c r="GR89" s="197"/>
      <c r="GS89" s="197"/>
      <c r="GT89" s="197"/>
      <c r="GU89" s="197"/>
      <c r="GV89" s="197"/>
      <c r="GW89" s="197"/>
      <c r="GX89" s="197"/>
      <c r="GY89" s="197"/>
    </row>
    <row r="90" spans="1:207" s="203" customFormat="1" x14ac:dyDescent="0.35">
      <c r="A90" s="192"/>
      <c r="B90" s="311" t="s">
        <v>384</v>
      </c>
      <c r="C90" s="312" t="str">
        <f>'CC detallado'!F148</f>
        <v>Validación del Marco Muestral Maestro</v>
      </c>
      <c r="D90" s="331"/>
      <c r="E90" s="332" t="s">
        <v>91</v>
      </c>
      <c r="F90" s="333">
        <f t="shared" si="3"/>
        <v>59</v>
      </c>
      <c r="G90" s="315">
        <f>'CC detallado'!N148</f>
        <v>10119.750379490639</v>
      </c>
      <c r="H90" s="316">
        <v>1</v>
      </c>
      <c r="I90" s="327">
        <v>0</v>
      </c>
      <c r="J90" s="334">
        <f>'CC detallado'!G148</f>
        <v>3</v>
      </c>
      <c r="K90" s="335" t="s">
        <v>321</v>
      </c>
      <c r="L90" s="335" t="s">
        <v>391</v>
      </c>
      <c r="M90" s="336" t="s">
        <v>529</v>
      </c>
      <c r="N90" s="336" t="s">
        <v>543</v>
      </c>
      <c r="O90" s="332"/>
      <c r="P90" s="192"/>
      <c r="Q90" s="197"/>
      <c r="R90" s="201"/>
      <c r="S90" s="201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197"/>
      <c r="AH90" s="197"/>
      <c r="AI90" s="197"/>
      <c r="AJ90" s="197"/>
      <c r="AK90" s="197"/>
      <c r="AL90" s="197"/>
      <c r="AM90" s="197"/>
      <c r="AN90" s="197"/>
      <c r="AO90" s="197"/>
      <c r="AP90" s="197"/>
      <c r="AQ90" s="197"/>
      <c r="AR90" s="197"/>
      <c r="AS90" s="197"/>
      <c r="AT90" s="197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197"/>
      <c r="BF90" s="197"/>
      <c r="BG90" s="197"/>
      <c r="BH90" s="197"/>
      <c r="BI90" s="197"/>
      <c r="BJ90" s="197"/>
      <c r="BK90" s="197"/>
      <c r="BL90" s="197"/>
      <c r="BM90" s="197"/>
      <c r="BN90" s="197"/>
      <c r="BO90" s="197"/>
      <c r="BP90" s="197"/>
      <c r="BQ90" s="197"/>
      <c r="BR90" s="197"/>
      <c r="BS90" s="197"/>
      <c r="BT90" s="197"/>
      <c r="BU90" s="197"/>
      <c r="BV90" s="197"/>
      <c r="BW90" s="197"/>
      <c r="BX90" s="197"/>
      <c r="BY90" s="197"/>
      <c r="BZ90" s="197"/>
      <c r="CA90" s="197"/>
      <c r="CB90" s="197"/>
      <c r="CC90" s="197"/>
      <c r="CD90" s="197"/>
      <c r="CE90" s="197"/>
      <c r="CF90" s="197"/>
      <c r="CG90" s="197"/>
      <c r="CH90" s="197"/>
      <c r="CI90" s="197"/>
      <c r="CJ90" s="197"/>
      <c r="CK90" s="197"/>
      <c r="CL90" s="197"/>
      <c r="CM90" s="197"/>
      <c r="CN90" s="197"/>
      <c r="CO90" s="197"/>
      <c r="CP90" s="197"/>
      <c r="CQ90" s="197"/>
      <c r="CR90" s="197"/>
      <c r="CS90" s="197"/>
      <c r="CT90" s="197"/>
      <c r="CU90" s="197"/>
      <c r="CV90" s="197"/>
      <c r="CW90" s="197"/>
      <c r="CX90" s="197"/>
      <c r="CY90" s="197"/>
      <c r="CZ90" s="197"/>
      <c r="DA90" s="197"/>
      <c r="DB90" s="197"/>
      <c r="DC90" s="197"/>
      <c r="DD90" s="197"/>
      <c r="DE90" s="197"/>
      <c r="DF90" s="197"/>
      <c r="DG90" s="197"/>
      <c r="DH90" s="197"/>
      <c r="DI90" s="197"/>
      <c r="DJ90" s="197"/>
      <c r="DK90" s="197"/>
      <c r="DL90" s="197"/>
      <c r="DM90" s="197"/>
      <c r="DN90" s="197"/>
      <c r="DO90" s="197"/>
      <c r="DP90" s="197"/>
      <c r="DQ90" s="197"/>
      <c r="DR90" s="197"/>
      <c r="DS90" s="197"/>
      <c r="DT90" s="197"/>
      <c r="DU90" s="197"/>
      <c r="DV90" s="197"/>
      <c r="DW90" s="197"/>
      <c r="DX90" s="197"/>
      <c r="DY90" s="197"/>
      <c r="DZ90" s="197"/>
      <c r="EA90" s="197"/>
      <c r="EB90" s="197"/>
      <c r="EC90" s="197"/>
      <c r="ED90" s="197"/>
      <c r="EE90" s="197"/>
      <c r="EF90" s="197"/>
      <c r="EG90" s="197"/>
      <c r="EH90" s="197"/>
      <c r="EI90" s="197"/>
      <c r="EJ90" s="197"/>
      <c r="EK90" s="197"/>
      <c r="EL90" s="197"/>
      <c r="EM90" s="197"/>
      <c r="EN90" s="197"/>
      <c r="EO90" s="197"/>
      <c r="EP90" s="197"/>
      <c r="EQ90" s="197"/>
      <c r="ER90" s="197"/>
      <c r="ES90" s="197"/>
      <c r="ET90" s="197"/>
      <c r="EU90" s="197"/>
      <c r="EV90" s="197"/>
      <c r="EW90" s="197"/>
      <c r="EX90" s="197"/>
      <c r="EY90" s="197"/>
      <c r="EZ90" s="197"/>
      <c r="FA90" s="197"/>
      <c r="FB90" s="197"/>
      <c r="FC90" s="197"/>
      <c r="FD90" s="197"/>
      <c r="FE90" s="197"/>
      <c r="FF90" s="197"/>
      <c r="FG90" s="197"/>
      <c r="FH90" s="197"/>
      <c r="FI90" s="197"/>
      <c r="FJ90" s="197"/>
      <c r="FK90" s="197"/>
      <c r="FL90" s="197"/>
      <c r="FM90" s="197"/>
      <c r="FN90" s="197"/>
      <c r="FO90" s="197"/>
      <c r="FP90" s="197"/>
      <c r="FQ90" s="197"/>
      <c r="FR90" s="197"/>
      <c r="FS90" s="197"/>
      <c r="FT90" s="197"/>
      <c r="FU90" s="197"/>
      <c r="FV90" s="197"/>
      <c r="FW90" s="197"/>
      <c r="FX90" s="197"/>
      <c r="FY90" s="197"/>
      <c r="FZ90" s="197"/>
      <c r="GA90" s="197"/>
      <c r="GB90" s="197"/>
      <c r="GC90" s="197"/>
      <c r="GD90" s="197"/>
      <c r="GE90" s="197"/>
      <c r="GF90" s="197"/>
      <c r="GG90" s="197"/>
      <c r="GH90" s="197"/>
      <c r="GI90" s="197"/>
      <c r="GJ90" s="197"/>
      <c r="GK90" s="197"/>
      <c r="GL90" s="197"/>
      <c r="GM90" s="197"/>
      <c r="GN90" s="197"/>
      <c r="GO90" s="197"/>
      <c r="GP90" s="197"/>
      <c r="GQ90" s="197"/>
      <c r="GR90" s="197"/>
      <c r="GS90" s="197"/>
      <c r="GT90" s="197"/>
      <c r="GU90" s="197"/>
      <c r="GV90" s="197"/>
      <c r="GW90" s="197"/>
      <c r="GX90" s="197"/>
      <c r="GY90" s="197"/>
    </row>
    <row r="91" spans="1:207" s="203" customFormat="1" x14ac:dyDescent="0.35">
      <c r="A91" s="192"/>
      <c r="B91" s="311" t="s">
        <v>384</v>
      </c>
      <c r="C91" s="312" t="str">
        <f>'CC detallado'!F149</f>
        <v>Proceso de Selección de las Muestras</v>
      </c>
      <c r="D91" s="331"/>
      <c r="E91" s="332" t="s">
        <v>91</v>
      </c>
      <c r="F91" s="333">
        <f t="shared" si="3"/>
        <v>60</v>
      </c>
      <c r="G91" s="315">
        <f>'CC detallado'!N149</f>
        <v>3373.2501264968796</v>
      </c>
      <c r="H91" s="316">
        <v>1</v>
      </c>
      <c r="I91" s="327">
        <v>0</v>
      </c>
      <c r="J91" s="334">
        <f>'CC detallado'!G149</f>
        <v>1</v>
      </c>
      <c r="K91" s="335" t="s">
        <v>321</v>
      </c>
      <c r="L91" s="335" t="s">
        <v>391</v>
      </c>
      <c r="M91" s="336" t="s">
        <v>529</v>
      </c>
      <c r="N91" s="336" t="s">
        <v>543</v>
      </c>
      <c r="O91" s="332"/>
      <c r="P91" s="192"/>
      <c r="Q91" s="197"/>
      <c r="R91" s="201"/>
      <c r="S91" s="201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7"/>
      <c r="AG91" s="197"/>
      <c r="AH91" s="197"/>
      <c r="AI91" s="197"/>
      <c r="AJ91" s="197"/>
      <c r="AK91" s="197"/>
      <c r="AL91" s="197"/>
      <c r="AM91" s="197"/>
      <c r="AN91" s="197"/>
      <c r="AO91" s="197"/>
      <c r="AP91" s="197"/>
      <c r="AQ91" s="197"/>
      <c r="AR91" s="197"/>
      <c r="AS91" s="197"/>
      <c r="AT91" s="197"/>
      <c r="AU91" s="197"/>
      <c r="AV91" s="197"/>
      <c r="AW91" s="197"/>
      <c r="AX91" s="197"/>
      <c r="AY91" s="197"/>
      <c r="AZ91" s="197"/>
      <c r="BA91" s="197"/>
      <c r="BB91" s="197"/>
      <c r="BC91" s="197"/>
      <c r="BD91" s="197"/>
      <c r="BE91" s="197"/>
      <c r="BF91" s="197"/>
      <c r="BG91" s="197"/>
      <c r="BH91" s="197"/>
      <c r="BI91" s="197"/>
      <c r="BJ91" s="197"/>
      <c r="BK91" s="197"/>
      <c r="BL91" s="197"/>
      <c r="BM91" s="197"/>
      <c r="BN91" s="197"/>
      <c r="BO91" s="197"/>
      <c r="BP91" s="197"/>
      <c r="BQ91" s="197"/>
      <c r="BR91" s="197"/>
      <c r="BS91" s="197"/>
      <c r="BT91" s="197"/>
      <c r="BU91" s="197"/>
      <c r="BV91" s="197"/>
      <c r="BW91" s="197"/>
      <c r="BX91" s="197"/>
      <c r="BY91" s="197"/>
      <c r="BZ91" s="197"/>
      <c r="CA91" s="197"/>
      <c r="CB91" s="197"/>
      <c r="CC91" s="197"/>
      <c r="CD91" s="197"/>
      <c r="CE91" s="197"/>
      <c r="CF91" s="197"/>
      <c r="CG91" s="197"/>
      <c r="CH91" s="197"/>
      <c r="CI91" s="197"/>
      <c r="CJ91" s="197"/>
      <c r="CK91" s="197"/>
      <c r="CL91" s="197"/>
      <c r="CM91" s="197"/>
      <c r="CN91" s="197"/>
      <c r="CO91" s="197"/>
      <c r="CP91" s="197"/>
      <c r="CQ91" s="197"/>
      <c r="CR91" s="197"/>
      <c r="CS91" s="197"/>
      <c r="CT91" s="197"/>
      <c r="CU91" s="197"/>
      <c r="CV91" s="197"/>
      <c r="CW91" s="197"/>
      <c r="CX91" s="197"/>
      <c r="CY91" s="197"/>
      <c r="CZ91" s="197"/>
      <c r="DA91" s="197"/>
      <c r="DB91" s="197"/>
      <c r="DC91" s="197"/>
      <c r="DD91" s="197"/>
      <c r="DE91" s="197"/>
      <c r="DF91" s="197"/>
      <c r="DG91" s="197"/>
      <c r="DH91" s="197"/>
      <c r="DI91" s="197"/>
      <c r="DJ91" s="197"/>
      <c r="DK91" s="197"/>
      <c r="DL91" s="197"/>
      <c r="DM91" s="197"/>
      <c r="DN91" s="197"/>
      <c r="DO91" s="197"/>
      <c r="DP91" s="197"/>
      <c r="DQ91" s="197"/>
      <c r="DR91" s="197"/>
      <c r="DS91" s="197"/>
      <c r="DT91" s="197"/>
      <c r="DU91" s="197"/>
      <c r="DV91" s="197"/>
      <c r="DW91" s="197"/>
      <c r="DX91" s="197"/>
      <c r="DY91" s="197"/>
      <c r="DZ91" s="197"/>
      <c r="EA91" s="197"/>
      <c r="EB91" s="197"/>
      <c r="EC91" s="197"/>
      <c r="ED91" s="197"/>
      <c r="EE91" s="197"/>
      <c r="EF91" s="197"/>
      <c r="EG91" s="197"/>
      <c r="EH91" s="197"/>
      <c r="EI91" s="197"/>
      <c r="EJ91" s="197"/>
      <c r="EK91" s="197"/>
      <c r="EL91" s="197"/>
      <c r="EM91" s="197"/>
      <c r="EN91" s="197"/>
      <c r="EO91" s="197"/>
      <c r="EP91" s="197"/>
      <c r="EQ91" s="197"/>
      <c r="ER91" s="197"/>
      <c r="ES91" s="197"/>
      <c r="ET91" s="197"/>
      <c r="EU91" s="197"/>
      <c r="EV91" s="197"/>
      <c r="EW91" s="197"/>
      <c r="EX91" s="197"/>
      <c r="EY91" s="197"/>
      <c r="EZ91" s="197"/>
      <c r="FA91" s="197"/>
      <c r="FB91" s="197"/>
      <c r="FC91" s="197"/>
      <c r="FD91" s="197"/>
      <c r="FE91" s="197"/>
      <c r="FF91" s="197"/>
      <c r="FG91" s="197"/>
      <c r="FH91" s="197"/>
      <c r="FI91" s="197"/>
      <c r="FJ91" s="197"/>
      <c r="FK91" s="197"/>
      <c r="FL91" s="197"/>
      <c r="FM91" s="197"/>
      <c r="FN91" s="197"/>
      <c r="FO91" s="197"/>
      <c r="FP91" s="197"/>
      <c r="FQ91" s="197"/>
      <c r="FR91" s="197"/>
      <c r="FS91" s="197"/>
      <c r="FT91" s="197"/>
      <c r="FU91" s="197"/>
      <c r="FV91" s="197"/>
      <c r="FW91" s="197"/>
      <c r="FX91" s="197"/>
      <c r="FY91" s="197"/>
      <c r="FZ91" s="197"/>
      <c r="GA91" s="197"/>
      <c r="GB91" s="197"/>
      <c r="GC91" s="197"/>
      <c r="GD91" s="197"/>
      <c r="GE91" s="197"/>
      <c r="GF91" s="197"/>
      <c r="GG91" s="197"/>
      <c r="GH91" s="197"/>
      <c r="GI91" s="197"/>
      <c r="GJ91" s="197"/>
      <c r="GK91" s="197"/>
      <c r="GL91" s="197"/>
      <c r="GM91" s="197"/>
      <c r="GN91" s="197"/>
      <c r="GO91" s="197"/>
      <c r="GP91" s="197"/>
      <c r="GQ91" s="197"/>
      <c r="GR91" s="197"/>
      <c r="GS91" s="197"/>
      <c r="GT91" s="197"/>
      <c r="GU91" s="197"/>
      <c r="GV91" s="197"/>
      <c r="GW91" s="197"/>
      <c r="GX91" s="197"/>
      <c r="GY91" s="197"/>
    </row>
    <row r="92" spans="1:207" s="203" customFormat="1" x14ac:dyDescent="0.35">
      <c r="A92" s="192"/>
      <c r="B92" s="311" t="s">
        <v>384</v>
      </c>
      <c r="C92" s="312" t="str">
        <f>'CC detallado'!F150</f>
        <v>Diseño de contenido conceptual de las encuestas</v>
      </c>
      <c r="D92" s="331"/>
      <c r="E92" s="332" t="s">
        <v>91</v>
      </c>
      <c r="F92" s="333">
        <f t="shared" si="3"/>
        <v>61</v>
      </c>
      <c r="G92" s="315">
        <f>'CC detallado'!N150</f>
        <v>3373.2501264968796</v>
      </c>
      <c r="H92" s="316">
        <v>1</v>
      </c>
      <c r="I92" s="327">
        <v>0</v>
      </c>
      <c r="J92" s="334">
        <f>'CC detallado'!G150</f>
        <v>1</v>
      </c>
      <c r="K92" s="335" t="s">
        <v>321</v>
      </c>
      <c r="L92" s="335" t="s">
        <v>391</v>
      </c>
      <c r="M92" s="336" t="s">
        <v>529</v>
      </c>
      <c r="N92" s="336" t="s">
        <v>543</v>
      </c>
      <c r="O92" s="332"/>
      <c r="P92" s="192"/>
      <c r="Q92" s="197"/>
      <c r="R92" s="201"/>
      <c r="S92" s="201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7"/>
      <c r="AH92" s="197"/>
      <c r="AI92" s="197"/>
      <c r="AJ92" s="197"/>
      <c r="AK92" s="197"/>
      <c r="AL92" s="197"/>
      <c r="AM92" s="197"/>
      <c r="AN92" s="197"/>
      <c r="AO92" s="197"/>
      <c r="AP92" s="197"/>
      <c r="AQ92" s="197"/>
      <c r="AR92" s="197"/>
      <c r="AS92" s="197"/>
      <c r="AT92" s="197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197"/>
      <c r="BF92" s="197"/>
      <c r="BG92" s="197"/>
      <c r="BH92" s="197"/>
      <c r="BI92" s="197"/>
      <c r="BJ92" s="197"/>
      <c r="BK92" s="197"/>
      <c r="BL92" s="197"/>
      <c r="BM92" s="197"/>
      <c r="BN92" s="197"/>
      <c r="BO92" s="197"/>
      <c r="BP92" s="197"/>
      <c r="BQ92" s="197"/>
      <c r="BR92" s="197"/>
      <c r="BS92" s="197"/>
      <c r="BT92" s="197"/>
      <c r="BU92" s="197"/>
      <c r="BV92" s="197"/>
      <c r="BW92" s="197"/>
      <c r="BX92" s="197"/>
      <c r="BY92" s="197"/>
      <c r="BZ92" s="197"/>
      <c r="CA92" s="197"/>
      <c r="CB92" s="197"/>
      <c r="CC92" s="197"/>
      <c r="CD92" s="197"/>
      <c r="CE92" s="197"/>
      <c r="CF92" s="197"/>
      <c r="CG92" s="197"/>
      <c r="CH92" s="197"/>
      <c r="CI92" s="197"/>
      <c r="CJ92" s="197"/>
      <c r="CK92" s="197"/>
      <c r="CL92" s="197"/>
      <c r="CM92" s="197"/>
      <c r="CN92" s="197"/>
      <c r="CO92" s="197"/>
      <c r="CP92" s="197"/>
      <c r="CQ92" s="197"/>
      <c r="CR92" s="197"/>
      <c r="CS92" s="197"/>
      <c r="CT92" s="197"/>
      <c r="CU92" s="197"/>
      <c r="CV92" s="197"/>
      <c r="CW92" s="197"/>
      <c r="CX92" s="197"/>
      <c r="CY92" s="197"/>
      <c r="CZ92" s="197"/>
      <c r="DA92" s="197"/>
      <c r="DB92" s="197"/>
      <c r="DC92" s="197"/>
      <c r="DD92" s="197"/>
      <c r="DE92" s="197"/>
      <c r="DF92" s="197"/>
      <c r="DG92" s="197"/>
      <c r="DH92" s="197"/>
      <c r="DI92" s="197"/>
      <c r="DJ92" s="197"/>
      <c r="DK92" s="197"/>
      <c r="DL92" s="197"/>
      <c r="DM92" s="197"/>
      <c r="DN92" s="197"/>
      <c r="DO92" s="197"/>
      <c r="DP92" s="197"/>
      <c r="DQ92" s="197"/>
      <c r="DR92" s="197"/>
      <c r="DS92" s="197"/>
      <c r="DT92" s="197"/>
      <c r="DU92" s="197"/>
      <c r="DV92" s="197"/>
      <c r="DW92" s="197"/>
      <c r="DX92" s="197"/>
      <c r="DY92" s="197"/>
      <c r="DZ92" s="197"/>
      <c r="EA92" s="197"/>
      <c r="EB92" s="197"/>
      <c r="EC92" s="197"/>
      <c r="ED92" s="197"/>
      <c r="EE92" s="197"/>
      <c r="EF92" s="197"/>
      <c r="EG92" s="197"/>
      <c r="EH92" s="197"/>
      <c r="EI92" s="197"/>
      <c r="EJ92" s="197"/>
      <c r="EK92" s="197"/>
      <c r="EL92" s="197"/>
      <c r="EM92" s="197"/>
      <c r="EN92" s="197"/>
      <c r="EO92" s="197"/>
      <c r="EP92" s="197"/>
      <c r="EQ92" s="197"/>
      <c r="ER92" s="197"/>
      <c r="ES92" s="197"/>
      <c r="ET92" s="197"/>
      <c r="EU92" s="197"/>
      <c r="EV92" s="197"/>
      <c r="EW92" s="197"/>
      <c r="EX92" s="197"/>
      <c r="EY92" s="197"/>
      <c r="EZ92" s="197"/>
      <c r="FA92" s="197"/>
      <c r="FB92" s="197"/>
      <c r="FC92" s="197"/>
      <c r="FD92" s="197"/>
      <c r="FE92" s="197"/>
      <c r="FF92" s="197"/>
      <c r="FG92" s="197"/>
      <c r="FH92" s="197"/>
      <c r="FI92" s="197"/>
      <c r="FJ92" s="197"/>
      <c r="FK92" s="197"/>
      <c r="FL92" s="197"/>
      <c r="FM92" s="197"/>
      <c r="FN92" s="197"/>
      <c r="FO92" s="197"/>
      <c r="FP92" s="197"/>
      <c r="FQ92" s="197"/>
      <c r="FR92" s="197"/>
      <c r="FS92" s="197"/>
      <c r="FT92" s="197"/>
      <c r="FU92" s="197"/>
      <c r="FV92" s="197"/>
      <c r="FW92" s="197"/>
      <c r="FX92" s="197"/>
      <c r="FY92" s="197"/>
      <c r="FZ92" s="197"/>
      <c r="GA92" s="197"/>
      <c r="GB92" s="197"/>
      <c r="GC92" s="197"/>
      <c r="GD92" s="197"/>
      <c r="GE92" s="197"/>
      <c r="GF92" s="197"/>
      <c r="GG92" s="197"/>
      <c r="GH92" s="197"/>
      <c r="GI92" s="197"/>
      <c r="GJ92" s="197"/>
      <c r="GK92" s="197"/>
      <c r="GL92" s="197"/>
      <c r="GM92" s="197"/>
      <c r="GN92" s="197"/>
      <c r="GO92" s="197"/>
      <c r="GP92" s="197"/>
      <c r="GQ92" s="197"/>
      <c r="GR92" s="197"/>
      <c r="GS92" s="197"/>
      <c r="GT92" s="197"/>
      <c r="GU92" s="197"/>
      <c r="GV92" s="197"/>
      <c r="GW92" s="197"/>
      <c r="GX92" s="197"/>
      <c r="GY92" s="197"/>
    </row>
    <row r="93" spans="1:207" s="203" customFormat="1" x14ac:dyDescent="0.35">
      <c r="A93" s="192"/>
      <c r="B93" s="311" t="s">
        <v>384</v>
      </c>
      <c r="C93" s="312" t="str">
        <f>'CC detallado'!F151</f>
        <v>Talleres con usuarios</v>
      </c>
      <c r="D93" s="331"/>
      <c r="E93" s="332" t="s">
        <v>91</v>
      </c>
      <c r="F93" s="333">
        <f t="shared" si="3"/>
        <v>62</v>
      </c>
      <c r="G93" s="315">
        <f>'CC detallado'!N151</f>
        <v>5059.8751897453194</v>
      </c>
      <c r="H93" s="316">
        <v>1</v>
      </c>
      <c r="I93" s="327">
        <v>0</v>
      </c>
      <c r="J93" s="334">
        <f>'CC detallado'!G151</f>
        <v>3</v>
      </c>
      <c r="K93" s="335" t="s">
        <v>321</v>
      </c>
      <c r="L93" s="335" t="s">
        <v>391</v>
      </c>
      <c r="M93" s="319" t="s">
        <v>544</v>
      </c>
      <c r="N93" s="319" t="s">
        <v>535</v>
      </c>
      <c r="O93" s="332"/>
      <c r="P93" s="192"/>
      <c r="Q93" s="197"/>
      <c r="R93" s="201"/>
      <c r="S93" s="201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7"/>
      <c r="AM93" s="197"/>
      <c r="AN93" s="197"/>
      <c r="AO93" s="197"/>
      <c r="AP93" s="197"/>
      <c r="AQ93" s="197"/>
      <c r="AR93" s="197"/>
      <c r="AS93" s="197"/>
      <c r="AT93" s="197"/>
      <c r="AU93" s="197"/>
      <c r="AV93" s="197"/>
      <c r="AW93" s="197"/>
      <c r="AX93" s="197"/>
      <c r="AY93" s="197"/>
      <c r="AZ93" s="197"/>
      <c r="BA93" s="197"/>
      <c r="BB93" s="197"/>
      <c r="BC93" s="197"/>
      <c r="BD93" s="197"/>
      <c r="BE93" s="197"/>
      <c r="BF93" s="197"/>
      <c r="BG93" s="197"/>
      <c r="BH93" s="197"/>
      <c r="BI93" s="197"/>
      <c r="BJ93" s="197"/>
      <c r="BK93" s="197"/>
      <c r="BL93" s="197"/>
      <c r="BM93" s="197"/>
      <c r="BN93" s="197"/>
      <c r="BO93" s="197"/>
      <c r="BP93" s="197"/>
      <c r="BQ93" s="197"/>
      <c r="BR93" s="197"/>
      <c r="BS93" s="197"/>
      <c r="BT93" s="197"/>
      <c r="BU93" s="197"/>
      <c r="BV93" s="197"/>
      <c r="BW93" s="197"/>
      <c r="BX93" s="197"/>
      <c r="BY93" s="197"/>
      <c r="BZ93" s="197"/>
      <c r="CA93" s="197"/>
      <c r="CB93" s="197"/>
      <c r="CC93" s="197"/>
      <c r="CD93" s="197"/>
      <c r="CE93" s="197"/>
      <c r="CF93" s="197"/>
      <c r="CG93" s="197"/>
      <c r="CH93" s="197"/>
      <c r="CI93" s="197"/>
      <c r="CJ93" s="197"/>
      <c r="CK93" s="197"/>
      <c r="CL93" s="197"/>
      <c r="CM93" s="197"/>
      <c r="CN93" s="197"/>
      <c r="CO93" s="197"/>
      <c r="CP93" s="197"/>
      <c r="CQ93" s="197"/>
      <c r="CR93" s="197"/>
      <c r="CS93" s="197"/>
      <c r="CT93" s="197"/>
      <c r="CU93" s="197"/>
      <c r="CV93" s="197"/>
      <c r="CW93" s="197"/>
      <c r="CX93" s="197"/>
      <c r="CY93" s="197"/>
      <c r="CZ93" s="197"/>
      <c r="DA93" s="197"/>
      <c r="DB93" s="197"/>
      <c r="DC93" s="197"/>
      <c r="DD93" s="197"/>
      <c r="DE93" s="197"/>
      <c r="DF93" s="197"/>
      <c r="DG93" s="197"/>
      <c r="DH93" s="197"/>
      <c r="DI93" s="197"/>
      <c r="DJ93" s="197"/>
      <c r="DK93" s="197"/>
      <c r="DL93" s="197"/>
      <c r="DM93" s="197"/>
      <c r="DN93" s="197"/>
      <c r="DO93" s="197"/>
      <c r="DP93" s="197"/>
      <c r="DQ93" s="197"/>
      <c r="DR93" s="197"/>
      <c r="DS93" s="197"/>
      <c r="DT93" s="197"/>
      <c r="DU93" s="197"/>
      <c r="DV93" s="197"/>
      <c r="DW93" s="197"/>
      <c r="DX93" s="197"/>
      <c r="DY93" s="197"/>
      <c r="DZ93" s="197"/>
      <c r="EA93" s="197"/>
      <c r="EB93" s="197"/>
      <c r="EC93" s="197"/>
      <c r="ED93" s="197"/>
      <c r="EE93" s="197"/>
      <c r="EF93" s="197"/>
      <c r="EG93" s="197"/>
      <c r="EH93" s="197"/>
      <c r="EI93" s="197"/>
      <c r="EJ93" s="197"/>
      <c r="EK93" s="197"/>
      <c r="EL93" s="197"/>
      <c r="EM93" s="197"/>
      <c r="EN93" s="197"/>
      <c r="EO93" s="197"/>
      <c r="EP93" s="197"/>
      <c r="EQ93" s="197"/>
      <c r="ER93" s="197"/>
      <c r="ES93" s="197"/>
      <c r="ET93" s="197"/>
      <c r="EU93" s="197"/>
      <c r="EV93" s="197"/>
      <c r="EW93" s="197"/>
      <c r="EX93" s="197"/>
      <c r="EY93" s="197"/>
      <c r="EZ93" s="197"/>
      <c r="FA93" s="197"/>
      <c r="FB93" s="197"/>
      <c r="FC93" s="197"/>
      <c r="FD93" s="197"/>
      <c r="FE93" s="197"/>
      <c r="FF93" s="197"/>
      <c r="FG93" s="197"/>
      <c r="FH93" s="197"/>
      <c r="FI93" s="197"/>
      <c r="FJ93" s="197"/>
      <c r="FK93" s="197"/>
      <c r="FL93" s="197"/>
      <c r="FM93" s="197"/>
      <c r="FN93" s="197"/>
      <c r="FO93" s="197"/>
      <c r="FP93" s="197"/>
      <c r="FQ93" s="197"/>
      <c r="FR93" s="197"/>
      <c r="FS93" s="197"/>
      <c r="FT93" s="197"/>
      <c r="FU93" s="197"/>
      <c r="FV93" s="197"/>
      <c r="FW93" s="197"/>
      <c r="FX93" s="197"/>
      <c r="FY93" s="197"/>
      <c r="FZ93" s="197"/>
      <c r="GA93" s="197"/>
      <c r="GB93" s="197"/>
      <c r="GC93" s="197"/>
      <c r="GD93" s="197"/>
      <c r="GE93" s="197"/>
      <c r="GF93" s="197"/>
      <c r="GG93" s="197"/>
      <c r="GH93" s="197"/>
      <c r="GI93" s="197"/>
      <c r="GJ93" s="197"/>
      <c r="GK93" s="197"/>
      <c r="GL93" s="197"/>
      <c r="GM93" s="197"/>
      <c r="GN93" s="197"/>
      <c r="GO93" s="197"/>
      <c r="GP93" s="197"/>
      <c r="GQ93" s="197"/>
      <c r="GR93" s="197"/>
      <c r="GS93" s="197"/>
      <c r="GT93" s="197"/>
      <c r="GU93" s="197"/>
      <c r="GV93" s="197"/>
      <c r="GW93" s="197"/>
      <c r="GX93" s="197"/>
      <c r="GY93" s="197"/>
    </row>
    <row r="94" spans="1:207" s="203" customFormat="1" x14ac:dyDescent="0.35">
      <c r="A94" s="192"/>
      <c r="B94" s="311" t="s">
        <v>384</v>
      </c>
      <c r="C94" s="312" t="str">
        <f>'CC detallado'!F152</f>
        <v>Preparación de la cartográfica</v>
      </c>
      <c r="D94" s="331"/>
      <c r="E94" s="332" t="s">
        <v>91</v>
      </c>
      <c r="F94" s="333">
        <f t="shared" si="3"/>
        <v>63</v>
      </c>
      <c r="G94" s="315">
        <f>'CC detallado'!N152</f>
        <v>3373.2501264968796</v>
      </c>
      <c r="H94" s="316">
        <v>1</v>
      </c>
      <c r="I94" s="327">
        <v>0</v>
      </c>
      <c r="J94" s="334">
        <f>'CC detallado'!G152</f>
        <v>1</v>
      </c>
      <c r="K94" s="335" t="s">
        <v>321</v>
      </c>
      <c r="L94" s="335" t="s">
        <v>391</v>
      </c>
      <c r="M94" s="319" t="s">
        <v>544</v>
      </c>
      <c r="N94" s="319" t="s">
        <v>535</v>
      </c>
      <c r="O94" s="332"/>
      <c r="P94" s="192"/>
      <c r="Q94" s="197"/>
      <c r="R94" s="201"/>
      <c r="S94" s="201"/>
      <c r="T94" s="197"/>
      <c r="U94" s="197"/>
      <c r="V94" s="197"/>
      <c r="W94" s="197"/>
      <c r="X94" s="197"/>
      <c r="Y94" s="197"/>
      <c r="Z94" s="197"/>
      <c r="AA94" s="197"/>
      <c r="AB94" s="197"/>
      <c r="AC94" s="197"/>
      <c r="AD94" s="197"/>
      <c r="AE94" s="197"/>
      <c r="AF94" s="197"/>
      <c r="AG94" s="197"/>
      <c r="AH94" s="197"/>
      <c r="AI94" s="197"/>
      <c r="AJ94" s="197"/>
      <c r="AK94" s="197"/>
      <c r="AL94" s="197"/>
      <c r="AM94" s="197"/>
      <c r="AN94" s="197"/>
      <c r="AO94" s="197"/>
      <c r="AP94" s="197"/>
      <c r="AQ94" s="197"/>
      <c r="AR94" s="197"/>
      <c r="AS94" s="197"/>
      <c r="AT94" s="197"/>
      <c r="AU94" s="197"/>
      <c r="AV94" s="197"/>
      <c r="AW94" s="197"/>
      <c r="AX94" s="197"/>
      <c r="AY94" s="197"/>
      <c r="AZ94" s="197"/>
      <c r="BA94" s="197"/>
      <c r="BB94" s="197"/>
      <c r="BC94" s="197"/>
      <c r="BD94" s="197"/>
      <c r="BE94" s="197"/>
      <c r="BF94" s="197"/>
      <c r="BG94" s="197"/>
      <c r="BH94" s="197"/>
      <c r="BI94" s="197"/>
      <c r="BJ94" s="197"/>
      <c r="BK94" s="197"/>
      <c r="BL94" s="197"/>
      <c r="BM94" s="197"/>
      <c r="BN94" s="197"/>
      <c r="BO94" s="197"/>
      <c r="BP94" s="197"/>
      <c r="BQ94" s="197"/>
      <c r="BR94" s="197"/>
      <c r="BS94" s="197"/>
      <c r="BT94" s="197"/>
      <c r="BU94" s="197"/>
      <c r="BV94" s="197"/>
      <c r="BW94" s="197"/>
      <c r="BX94" s="197"/>
      <c r="BY94" s="197"/>
      <c r="BZ94" s="197"/>
      <c r="CA94" s="197"/>
      <c r="CB94" s="197"/>
      <c r="CC94" s="197"/>
      <c r="CD94" s="197"/>
      <c r="CE94" s="197"/>
      <c r="CF94" s="197"/>
      <c r="CG94" s="197"/>
      <c r="CH94" s="197"/>
      <c r="CI94" s="197"/>
      <c r="CJ94" s="197"/>
      <c r="CK94" s="197"/>
      <c r="CL94" s="197"/>
      <c r="CM94" s="197"/>
      <c r="CN94" s="197"/>
      <c r="CO94" s="197"/>
      <c r="CP94" s="197"/>
      <c r="CQ94" s="197"/>
      <c r="CR94" s="197"/>
      <c r="CS94" s="197"/>
      <c r="CT94" s="197"/>
      <c r="CU94" s="197"/>
      <c r="CV94" s="197"/>
      <c r="CW94" s="197"/>
      <c r="CX94" s="197"/>
      <c r="CY94" s="197"/>
      <c r="CZ94" s="197"/>
      <c r="DA94" s="197"/>
      <c r="DB94" s="197"/>
      <c r="DC94" s="197"/>
      <c r="DD94" s="197"/>
      <c r="DE94" s="197"/>
      <c r="DF94" s="197"/>
      <c r="DG94" s="197"/>
      <c r="DH94" s="197"/>
      <c r="DI94" s="197"/>
      <c r="DJ94" s="197"/>
      <c r="DK94" s="197"/>
      <c r="DL94" s="197"/>
      <c r="DM94" s="197"/>
      <c r="DN94" s="197"/>
      <c r="DO94" s="197"/>
      <c r="DP94" s="197"/>
      <c r="DQ94" s="197"/>
      <c r="DR94" s="197"/>
      <c r="DS94" s="197"/>
      <c r="DT94" s="197"/>
      <c r="DU94" s="197"/>
      <c r="DV94" s="197"/>
      <c r="DW94" s="197"/>
      <c r="DX94" s="197"/>
      <c r="DY94" s="197"/>
      <c r="DZ94" s="197"/>
      <c r="EA94" s="197"/>
      <c r="EB94" s="197"/>
      <c r="EC94" s="197"/>
      <c r="ED94" s="197"/>
      <c r="EE94" s="197"/>
      <c r="EF94" s="197"/>
      <c r="EG94" s="197"/>
      <c r="EH94" s="197"/>
      <c r="EI94" s="197"/>
      <c r="EJ94" s="197"/>
      <c r="EK94" s="197"/>
      <c r="EL94" s="197"/>
      <c r="EM94" s="197"/>
      <c r="EN94" s="197"/>
      <c r="EO94" s="197"/>
      <c r="EP94" s="197"/>
      <c r="EQ94" s="197"/>
      <c r="ER94" s="197"/>
      <c r="ES94" s="197"/>
      <c r="ET94" s="197"/>
      <c r="EU94" s="197"/>
      <c r="EV94" s="197"/>
      <c r="EW94" s="197"/>
      <c r="EX94" s="197"/>
      <c r="EY94" s="197"/>
      <c r="EZ94" s="197"/>
      <c r="FA94" s="197"/>
      <c r="FB94" s="197"/>
      <c r="FC94" s="197"/>
      <c r="FD94" s="197"/>
      <c r="FE94" s="197"/>
      <c r="FF94" s="197"/>
      <c r="FG94" s="197"/>
      <c r="FH94" s="197"/>
      <c r="FI94" s="197"/>
      <c r="FJ94" s="197"/>
      <c r="FK94" s="197"/>
      <c r="FL94" s="197"/>
      <c r="FM94" s="197"/>
      <c r="FN94" s="197"/>
      <c r="FO94" s="197"/>
      <c r="FP94" s="197"/>
      <c r="FQ94" s="197"/>
      <c r="FR94" s="197"/>
      <c r="FS94" s="197"/>
      <c r="FT94" s="197"/>
      <c r="FU94" s="197"/>
      <c r="FV94" s="197"/>
      <c r="FW94" s="197"/>
      <c r="FX94" s="197"/>
      <c r="FY94" s="197"/>
      <c r="FZ94" s="197"/>
      <c r="GA94" s="197"/>
      <c r="GB94" s="197"/>
      <c r="GC94" s="197"/>
      <c r="GD94" s="197"/>
      <c r="GE94" s="197"/>
      <c r="GF94" s="197"/>
      <c r="GG94" s="197"/>
      <c r="GH94" s="197"/>
      <c r="GI94" s="197"/>
      <c r="GJ94" s="197"/>
      <c r="GK94" s="197"/>
      <c r="GL94" s="197"/>
      <c r="GM94" s="197"/>
      <c r="GN94" s="197"/>
      <c r="GO94" s="197"/>
      <c r="GP94" s="197"/>
      <c r="GQ94" s="197"/>
      <c r="GR94" s="197"/>
      <c r="GS94" s="197"/>
      <c r="GT94" s="197"/>
      <c r="GU94" s="197"/>
      <c r="GV94" s="197"/>
      <c r="GW94" s="197"/>
      <c r="GX94" s="197"/>
      <c r="GY94" s="197"/>
    </row>
    <row r="95" spans="1:207" s="203" customFormat="1" x14ac:dyDescent="0.35">
      <c r="A95" s="192"/>
      <c r="B95" s="311" t="s">
        <v>384</v>
      </c>
      <c r="C95" s="312" t="str">
        <f>'CC detallado'!F153</f>
        <v>Selección y Capacitación del Personal de la Encuesta</v>
      </c>
      <c r="D95" s="331"/>
      <c r="E95" s="332" t="s">
        <v>91</v>
      </c>
      <c r="F95" s="333">
        <f t="shared" si="3"/>
        <v>64</v>
      </c>
      <c r="G95" s="315">
        <f>'CC detallado'!N153</f>
        <v>5059.8751897453194</v>
      </c>
      <c r="H95" s="316">
        <v>1</v>
      </c>
      <c r="I95" s="327">
        <v>0</v>
      </c>
      <c r="J95" s="334">
        <f>'CC detallado'!G153</f>
        <v>1</v>
      </c>
      <c r="K95" s="335" t="s">
        <v>321</v>
      </c>
      <c r="L95" s="335" t="s">
        <v>391</v>
      </c>
      <c r="M95" s="319" t="s">
        <v>544</v>
      </c>
      <c r="N95" s="319" t="s">
        <v>535</v>
      </c>
      <c r="O95" s="332"/>
      <c r="P95" s="192"/>
      <c r="Q95" s="197"/>
      <c r="R95" s="201"/>
      <c r="S95" s="201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7"/>
      <c r="AH95" s="197"/>
      <c r="AI95" s="197"/>
      <c r="AJ95" s="197"/>
      <c r="AK95" s="197"/>
      <c r="AL95" s="197"/>
      <c r="AM95" s="197"/>
      <c r="AN95" s="197"/>
      <c r="AO95" s="197"/>
      <c r="AP95" s="197"/>
      <c r="AQ95" s="197"/>
      <c r="AR95" s="197"/>
      <c r="AS95" s="197"/>
      <c r="AT95" s="197"/>
      <c r="AU95" s="197"/>
      <c r="AV95" s="197"/>
      <c r="AW95" s="197"/>
      <c r="AX95" s="197"/>
      <c r="AY95" s="197"/>
      <c r="AZ95" s="197"/>
      <c r="BA95" s="197"/>
      <c r="BB95" s="197"/>
      <c r="BC95" s="197"/>
      <c r="BD95" s="197"/>
      <c r="BE95" s="197"/>
      <c r="BF95" s="197"/>
      <c r="BG95" s="197"/>
      <c r="BH95" s="197"/>
      <c r="BI95" s="197"/>
      <c r="BJ95" s="197"/>
      <c r="BK95" s="197"/>
      <c r="BL95" s="197"/>
      <c r="BM95" s="197"/>
      <c r="BN95" s="197"/>
      <c r="BO95" s="197"/>
      <c r="BP95" s="197"/>
      <c r="BQ95" s="197"/>
      <c r="BR95" s="197"/>
      <c r="BS95" s="197"/>
      <c r="BT95" s="197"/>
      <c r="BU95" s="197"/>
      <c r="BV95" s="197"/>
      <c r="BW95" s="197"/>
      <c r="BX95" s="197"/>
      <c r="BY95" s="197"/>
      <c r="BZ95" s="197"/>
      <c r="CA95" s="197"/>
      <c r="CB95" s="197"/>
      <c r="CC95" s="197"/>
      <c r="CD95" s="197"/>
      <c r="CE95" s="197"/>
      <c r="CF95" s="197"/>
      <c r="CG95" s="197"/>
      <c r="CH95" s="197"/>
      <c r="CI95" s="197"/>
      <c r="CJ95" s="197"/>
      <c r="CK95" s="197"/>
      <c r="CL95" s="197"/>
      <c r="CM95" s="197"/>
      <c r="CN95" s="197"/>
      <c r="CO95" s="197"/>
      <c r="CP95" s="197"/>
      <c r="CQ95" s="197"/>
      <c r="CR95" s="197"/>
      <c r="CS95" s="197"/>
      <c r="CT95" s="197"/>
      <c r="CU95" s="197"/>
      <c r="CV95" s="197"/>
      <c r="CW95" s="197"/>
      <c r="CX95" s="197"/>
      <c r="CY95" s="197"/>
      <c r="CZ95" s="197"/>
      <c r="DA95" s="197"/>
      <c r="DB95" s="197"/>
      <c r="DC95" s="197"/>
      <c r="DD95" s="197"/>
      <c r="DE95" s="197"/>
      <c r="DF95" s="197"/>
      <c r="DG95" s="197"/>
      <c r="DH95" s="197"/>
      <c r="DI95" s="197"/>
      <c r="DJ95" s="197"/>
      <c r="DK95" s="197"/>
      <c r="DL95" s="197"/>
      <c r="DM95" s="197"/>
      <c r="DN95" s="197"/>
      <c r="DO95" s="197"/>
      <c r="DP95" s="197"/>
      <c r="DQ95" s="197"/>
      <c r="DR95" s="197"/>
      <c r="DS95" s="197"/>
      <c r="DT95" s="197"/>
      <c r="DU95" s="197"/>
      <c r="DV95" s="197"/>
      <c r="DW95" s="197"/>
      <c r="DX95" s="197"/>
      <c r="DY95" s="197"/>
      <c r="DZ95" s="197"/>
      <c r="EA95" s="197"/>
      <c r="EB95" s="197"/>
      <c r="EC95" s="197"/>
      <c r="ED95" s="197"/>
      <c r="EE95" s="197"/>
      <c r="EF95" s="197"/>
      <c r="EG95" s="197"/>
      <c r="EH95" s="197"/>
      <c r="EI95" s="197"/>
      <c r="EJ95" s="197"/>
      <c r="EK95" s="197"/>
      <c r="EL95" s="197"/>
      <c r="EM95" s="197"/>
      <c r="EN95" s="197"/>
      <c r="EO95" s="197"/>
      <c r="EP95" s="197"/>
      <c r="EQ95" s="197"/>
      <c r="ER95" s="197"/>
      <c r="ES95" s="197"/>
      <c r="ET95" s="197"/>
      <c r="EU95" s="197"/>
      <c r="EV95" s="197"/>
      <c r="EW95" s="197"/>
      <c r="EX95" s="197"/>
      <c r="EY95" s="197"/>
      <c r="EZ95" s="197"/>
      <c r="FA95" s="197"/>
      <c r="FB95" s="197"/>
      <c r="FC95" s="197"/>
      <c r="FD95" s="197"/>
      <c r="FE95" s="197"/>
      <c r="FF95" s="197"/>
      <c r="FG95" s="197"/>
      <c r="FH95" s="197"/>
      <c r="FI95" s="197"/>
      <c r="FJ95" s="197"/>
      <c r="FK95" s="197"/>
      <c r="FL95" s="197"/>
      <c r="FM95" s="197"/>
      <c r="FN95" s="197"/>
      <c r="FO95" s="197"/>
      <c r="FP95" s="197"/>
      <c r="FQ95" s="197"/>
      <c r="FR95" s="197"/>
      <c r="FS95" s="197"/>
      <c r="FT95" s="197"/>
      <c r="FU95" s="197"/>
      <c r="FV95" s="197"/>
      <c r="FW95" s="197"/>
      <c r="FX95" s="197"/>
      <c r="FY95" s="197"/>
      <c r="FZ95" s="197"/>
      <c r="GA95" s="197"/>
      <c r="GB95" s="197"/>
      <c r="GC95" s="197"/>
      <c r="GD95" s="197"/>
      <c r="GE95" s="197"/>
      <c r="GF95" s="197"/>
      <c r="GG95" s="197"/>
      <c r="GH95" s="197"/>
      <c r="GI95" s="197"/>
      <c r="GJ95" s="197"/>
      <c r="GK95" s="197"/>
      <c r="GL95" s="197"/>
      <c r="GM95" s="197"/>
      <c r="GN95" s="197"/>
      <c r="GO95" s="197"/>
      <c r="GP95" s="197"/>
      <c r="GQ95" s="197"/>
      <c r="GR95" s="197"/>
      <c r="GS95" s="197"/>
      <c r="GT95" s="197"/>
      <c r="GU95" s="197"/>
      <c r="GV95" s="197"/>
      <c r="GW95" s="197"/>
      <c r="GX95" s="197"/>
      <c r="GY95" s="197"/>
    </row>
    <row r="96" spans="1:207" s="203" customFormat="1" x14ac:dyDescent="0.35">
      <c r="A96" s="192"/>
      <c r="B96" s="311" t="s">
        <v>384</v>
      </c>
      <c r="C96" s="312" t="str">
        <f>'CC detallado'!F154</f>
        <v>Prueba Piloto</v>
      </c>
      <c r="D96" s="331"/>
      <c r="E96" s="332" t="s">
        <v>91</v>
      </c>
      <c r="F96" s="333">
        <f t="shared" si="3"/>
        <v>65</v>
      </c>
      <c r="G96" s="315">
        <f>'CC detallado'!N154</f>
        <v>5059.8751897453194</v>
      </c>
      <c r="H96" s="316">
        <v>1</v>
      </c>
      <c r="I96" s="327">
        <v>0</v>
      </c>
      <c r="J96" s="334">
        <f>'CC detallado'!G154</f>
        <v>1</v>
      </c>
      <c r="K96" s="335" t="s">
        <v>321</v>
      </c>
      <c r="L96" s="335" t="s">
        <v>391</v>
      </c>
      <c r="M96" s="319" t="s">
        <v>544</v>
      </c>
      <c r="N96" s="319" t="s">
        <v>535</v>
      </c>
      <c r="O96" s="332"/>
      <c r="P96" s="192"/>
      <c r="Q96" s="197"/>
      <c r="R96" s="201"/>
      <c r="S96" s="201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7"/>
      <c r="AH96" s="197"/>
      <c r="AI96" s="197"/>
      <c r="AJ96" s="197"/>
      <c r="AK96" s="197"/>
      <c r="AL96" s="197"/>
      <c r="AM96" s="197"/>
      <c r="AN96" s="197"/>
      <c r="AO96" s="197"/>
      <c r="AP96" s="197"/>
      <c r="AQ96" s="197"/>
      <c r="AR96" s="197"/>
      <c r="AS96" s="197"/>
      <c r="AT96" s="197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197"/>
      <c r="BF96" s="197"/>
      <c r="BG96" s="197"/>
      <c r="BH96" s="197"/>
      <c r="BI96" s="197"/>
      <c r="BJ96" s="197"/>
      <c r="BK96" s="197"/>
      <c r="BL96" s="197"/>
      <c r="BM96" s="197"/>
      <c r="BN96" s="197"/>
      <c r="BO96" s="197"/>
      <c r="BP96" s="197"/>
      <c r="BQ96" s="197"/>
      <c r="BR96" s="197"/>
      <c r="BS96" s="197"/>
      <c r="BT96" s="197"/>
      <c r="BU96" s="197"/>
      <c r="BV96" s="197"/>
      <c r="BW96" s="197"/>
      <c r="BX96" s="197"/>
      <c r="BY96" s="197"/>
      <c r="BZ96" s="197"/>
      <c r="CA96" s="197"/>
      <c r="CB96" s="197"/>
      <c r="CC96" s="197"/>
      <c r="CD96" s="197"/>
      <c r="CE96" s="197"/>
      <c r="CF96" s="197"/>
      <c r="CG96" s="197"/>
      <c r="CH96" s="197"/>
      <c r="CI96" s="197"/>
      <c r="CJ96" s="197"/>
      <c r="CK96" s="197"/>
      <c r="CL96" s="197"/>
      <c r="CM96" s="197"/>
      <c r="CN96" s="197"/>
      <c r="CO96" s="197"/>
      <c r="CP96" s="197"/>
      <c r="CQ96" s="197"/>
      <c r="CR96" s="197"/>
      <c r="CS96" s="197"/>
      <c r="CT96" s="197"/>
      <c r="CU96" s="197"/>
      <c r="CV96" s="197"/>
      <c r="CW96" s="197"/>
      <c r="CX96" s="197"/>
      <c r="CY96" s="197"/>
      <c r="CZ96" s="197"/>
      <c r="DA96" s="197"/>
      <c r="DB96" s="197"/>
      <c r="DC96" s="197"/>
      <c r="DD96" s="197"/>
      <c r="DE96" s="197"/>
      <c r="DF96" s="197"/>
      <c r="DG96" s="197"/>
      <c r="DH96" s="197"/>
      <c r="DI96" s="197"/>
      <c r="DJ96" s="197"/>
      <c r="DK96" s="197"/>
      <c r="DL96" s="197"/>
      <c r="DM96" s="197"/>
      <c r="DN96" s="197"/>
      <c r="DO96" s="197"/>
      <c r="DP96" s="197"/>
      <c r="DQ96" s="197"/>
      <c r="DR96" s="197"/>
      <c r="DS96" s="197"/>
      <c r="DT96" s="197"/>
      <c r="DU96" s="197"/>
      <c r="DV96" s="197"/>
      <c r="DW96" s="197"/>
      <c r="DX96" s="197"/>
      <c r="DY96" s="197"/>
      <c r="DZ96" s="197"/>
      <c r="EA96" s="197"/>
      <c r="EB96" s="197"/>
      <c r="EC96" s="197"/>
      <c r="ED96" s="197"/>
      <c r="EE96" s="197"/>
      <c r="EF96" s="197"/>
      <c r="EG96" s="197"/>
      <c r="EH96" s="197"/>
      <c r="EI96" s="197"/>
      <c r="EJ96" s="197"/>
      <c r="EK96" s="197"/>
      <c r="EL96" s="197"/>
      <c r="EM96" s="197"/>
      <c r="EN96" s="197"/>
      <c r="EO96" s="197"/>
      <c r="EP96" s="197"/>
      <c r="EQ96" s="197"/>
      <c r="ER96" s="197"/>
      <c r="ES96" s="197"/>
      <c r="ET96" s="197"/>
      <c r="EU96" s="197"/>
      <c r="EV96" s="197"/>
      <c r="EW96" s="197"/>
      <c r="EX96" s="197"/>
      <c r="EY96" s="197"/>
      <c r="EZ96" s="197"/>
      <c r="FA96" s="197"/>
      <c r="FB96" s="197"/>
      <c r="FC96" s="197"/>
      <c r="FD96" s="197"/>
      <c r="FE96" s="197"/>
      <c r="FF96" s="197"/>
      <c r="FG96" s="197"/>
      <c r="FH96" s="197"/>
      <c r="FI96" s="197"/>
      <c r="FJ96" s="197"/>
      <c r="FK96" s="197"/>
      <c r="FL96" s="197"/>
      <c r="FM96" s="197"/>
      <c r="FN96" s="197"/>
      <c r="FO96" s="197"/>
      <c r="FP96" s="197"/>
      <c r="FQ96" s="197"/>
      <c r="FR96" s="197"/>
      <c r="FS96" s="197"/>
      <c r="FT96" s="197"/>
      <c r="FU96" s="197"/>
      <c r="FV96" s="197"/>
      <c r="FW96" s="197"/>
      <c r="FX96" s="197"/>
      <c r="FY96" s="197"/>
      <c r="FZ96" s="197"/>
      <c r="GA96" s="197"/>
      <c r="GB96" s="197"/>
      <c r="GC96" s="197"/>
      <c r="GD96" s="197"/>
      <c r="GE96" s="197"/>
      <c r="GF96" s="197"/>
      <c r="GG96" s="197"/>
      <c r="GH96" s="197"/>
      <c r="GI96" s="197"/>
      <c r="GJ96" s="197"/>
      <c r="GK96" s="197"/>
      <c r="GL96" s="197"/>
      <c r="GM96" s="197"/>
      <c r="GN96" s="197"/>
      <c r="GO96" s="197"/>
      <c r="GP96" s="197"/>
      <c r="GQ96" s="197"/>
      <c r="GR96" s="197"/>
      <c r="GS96" s="197"/>
      <c r="GT96" s="197"/>
      <c r="GU96" s="197"/>
      <c r="GV96" s="197"/>
      <c r="GW96" s="197"/>
      <c r="GX96" s="197"/>
      <c r="GY96" s="197"/>
    </row>
    <row r="97" spans="1:207" s="215" customFormat="1" x14ac:dyDescent="0.35">
      <c r="A97" s="192"/>
      <c r="B97" s="311" t="s">
        <v>384</v>
      </c>
      <c r="C97" s="312" t="str">
        <f>'CC detallado'!F155</f>
        <v>Manual de metodología de preparación de la encuesta.</v>
      </c>
      <c r="D97" s="331"/>
      <c r="E97" s="332" t="s">
        <v>91</v>
      </c>
      <c r="F97" s="333">
        <f t="shared" si="3"/>
        <v>66</v>
      </c>
      <c r="G97" s="315">
        <f>'CC detallado'!N155</f>
        <v>3373.2501264968796</v>
      </c>
      <c r="H97" s="316">
        <v>1</v>
      </c>
      <c r="I97" s="327">
        <v>0</v>
      </c>
      <c r="J97" s="334">
        <f>'CC detallado'!G155</f>
        <v>1</v>
      </c>
      <c r="K97" s="335" t="s">
        <v>321</v>
      </c>
      <c r="L97" s="335" t="s">
        <v>391</v>
      </c>
      <c r="M97" s="319" t="s">
        <v>544</v>
      </c>
      <c r="N97" s="319" t="s">
        <v>535</v>
      </c>
      <c r="O97" s="332"/>
      <c r="P97" s="192"/>
      <c r="Q97" s="197"/>
      <c r="R97" s="201"/>
      <c r="S97" s="201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97"/>
      <c r="AY97" s="197"/>
      <c r="AZ97" s="197"/>
      <c r="BA97" s="197"/>
      <c r="BB97" s="197"/>
      <c r="BC97" s="197"/>
      <c r="BD97" s="197"/>
      <c r="BE97" s="197"/>
      <c r="BF97" s="197"/>
      <c r="BG97" s="197"/>
      <c r="BH97" s="197"/>
      <c r="BI97" s="197"/>
      <c r="BJ97" s="197"/>
      <c r="BK97" s="197"/>
      <c r="BL97" s="197"/>
      <c r="BM97" s="197"/>
      <c r="BN97" s="197"/>
      <c r="BO97" s="197"/>
      <c r="BP97" s="197"/>
      <c r="BQ97" s="197"/>
      <c r="BR97" s="197"/>
      <c r="BS97" s="197"/>
      <c r="BT97" s="197"/>
      <c r="BU97" s="197"/>
      <c r="BV97" s="197"/>
      <c r="BW97" s="197"/>
      <c r="BX97" s="197"/>
      <c r="BY97" s="197"/>
      <c r="BZ97" s="197"/>
      <c r="CA97" s="197"/>
      <c r="CB97" s="197"/>
      <c r="CC97" s="197"/>
      <c r="CD97" s="197"/>
      <c r="CE97" s="197"/>
      <c r="CF97" s="197"/>
      <c r="CG97" s="197"/>
      <c r="CH97" s="197"/>
      <c r="CI97" s="197"/>
      <c r="CJ97" s="197"/>
      <c r="CK97" s="197"/>
      <c r="CL97" s="197"/>
      <c r="CM97" s="197"/>
      <c r="CN97" s="197"/>
      <c r="CO97" s="197"/>
      <c r="CP97" s="197"/>
      <c r="CQ97" s="197"/>
      <c r="CR97" s="197"/>
      <c r="CS97" s="197"/>
      <c r="CT97" s="197"/>
      <c r="CU97" s="197"/>
      <c r="CV97" s="197"/>
      <c r="CW97" s="197"/>
      <c r="CX97" s="197"/>
      <c r="CY97" s="197"/>
      <c r="CZ97" s="197"/>
      <c r="DA97" s="197"/>
      <c r="DB97" s="197"/>
      <c r="DC97" s="197"/>
      <c r="DD97" s="197"/>
      <c r="DE97" s="197"/>
      <c r="DF97" s="197"/>
      <c r="DG97" s="197"/>
      <c r="DH97" s="197"/>
      <c r="DI97" s="197"/>
      <c r="DJ97" s="197"/>
      <c r="DK97" s="197"/>
      <c r="DL97" s="197"/>
      <c r="DM97" s="197"/>
      <c r="DN97" s="197"/>
      <c r="DO97" s="197"/>
      <c r="DP97" s="197"/>
      <c r="DQ97" s="197"/>
      <c r="DR97" s="197"/>
      <c r="DS97" s="197"/>
      <c r="DT97" s="197"/>
      <c r="DU97" s="197"/>
      <c r="DV97" s="197"/>
      <c r="DW97" s="197"/>
      <c r="DX97" s="197"/>
      <c r="DY97" s="197"/>
      <c r="DZ97" s="197"/>
      <c r="EA97" s="197"/>
      <c r="EB97" s="197"/>
      <c r="EC97" s="197"/>
      <c r="ED97" s="197"/>
      <c r="EE97" s="197"/>
      <c r="EF97" s="197"/>
      <c r="EG97" s="197"/>
      <c r="EH97" s="197"/>
      <c r="EI97" s="197"/>
      <c r="EJ97" s="197"/>
      <c r="EK97" s="197"/>
      <c r="EL97" s="197"/>
      <c r="EM97" s="197"/>
      <c r="EN97" s="197"/>
      <c r="EO97" s="197"/>
      <c r="EP97" s="197"/>
      <c r="EQ97" s="197"/>
      <c r="ER97" s="197"/>
      <c r="ES97" s="197"/>
      <c r="ET97" s="197"/>
      <c r="EU97" s="197"/>
      <c r="EV97" s="197"/>
      <c r="EW97" s="197"/>
      <c r="EX97" s="197"/>
      <c r="EY97" s="197"/>
      <c r="EZ97" s="197"/>
      <c r="FA97" s="197"/>
      <c r="FB97" s="197"/>
      <c r="FC97" s="197"/>
      <c r="FD97" s="197"/>
      <c r="FE97" s="197"/>
      <c r="FF97" s="197"/>
      <c r="FG97" s="197"/>
      <c r="FH97" s="197"/>
      <c r="FI97" s="197"/>
      <c r="FJ97" s="197"/>
      <c r="FK97" s="197"/>
      <c r="FL97" s="197"/>
      <c r="FM97" s="197"/>
      <c r="FN97" s="197"/>
      <c r="FO97" s="197"/>
      <c r="FP97" s="197"/>
      <c r="FQ97" s="197"/>
      <c r="FR97" s="197"/>
      <c r="FS97" s="197"/>
      <c r="FT97" s="197"/>
      <c r="FU97" s="197"/>
      <c r="FV97" s="197"/>
      <c r="FW97" s="197"/>
      <c r="FX97" s="197"/>
      <c r="FY97" s="197"/>
      <c r="FZ97" s="197"/>
      <c r="GA97" s="197"/>
      <c r="GB97" s="197"/>
      <c r="GC97" s="197"/>
      <c r="GD97" s="197"/>
      <c r="GE97" s="197"/>
      <c r="GF97" s="197"/>
      <c r="GG97" s="197"/>
      <c r="GH97" s="197"/>
      <c r="GI97" s="197"/>
      <c r="GJ97" s="197"/>
      <c r="GK97" s="197"/>
      <c r="GL97" s="197"/>
      <c r="GM97" s="197"/>
      <c r="GN97" s="197"/>
      <c r="GO97" s="197"/>
      <c r="GP97" s="197"/>
      <c r="GQ97" s="197"/>
      <c r="GR97" s="197"/>
      <c r="GS97" s="197"/>
      <c r="GT97" s="197"/>
      <c r="GU97" s="197"/>
      <c r="GV97" s="197"/>
      <c r="GW97" s="197"/>
      <c r="GX97" s="197"/>
      <c r="GY97" s="197"/>
    </row>
    <row r="98" spans="1:207" s="203" customFormat="1" ht="26" x14ac:dyDescent="0.35">
      <c r="A98" s="192"/>
      <c r="B98" s="311" t="s">
        <v>384</v>
      </c>
      <c r="C98" s="312" t="str">
        <f>'CC detallado'!F159</f>
        <v>Análisis Temáticos (a definir) y Evaluación de los resultados del Censo</v>
      </c>
      <c r="D98" s="331"/>
      <c r="E98" s="332" t="s">
        <v>91</v>
      </c>
      <c r="F98" s="333">
        <f t="shared" si="3"/>
        <v>67</v>
      </c>
      <c r="G98" s="315">
        <f>'CC detallado'!N159</f>
        <v>80958.00303592511</v>
      </c>
      <c r="H98" s="316">
        <v>1</v>
      </c>
      <c r="I98" s="327">
        <v>0</v>
      </c>
      <c r="J98" s="334">
        <f>'CC detallado'!G159</f>
        <v>3</v>
      </c>
      <c r="K98" s="335" t="s">
        <v>321</v>
      </c>
      <c r="L98" s="335" t="s">
        <v>391</v>
      </c>
      <c r="M98" s="336" t="s">
        <v>528</v>
      </c>
      <c r="N98" s="336" t="s">
        <v>542</v>
      </c>
      <c r="O98" s="332"/>
      <c r="P98" s="192"/>
      <c r="Q98" s="197"/>
      <c r="R98" s="201"/>
      <c r="S98" s="201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7"/>
      <c r="BR98" s="197"/>
      <c r="BS98" s="197"/>
      <c r="BT98" s="197"/>
      <c r="BU98" s="197"/>
      <c r="BV98" s="197"/>
      <c r="BW98" s="197"/>
      <c r="BX98" s="197"/>
      <c r="BY98" s="197"/>
      <c r="BZ98" s="197"/>
      <c r="CA98" s="197"/>
      <c r="CB98" s="197"/>
      <c r="CC98" s="197"/>
      <c r="CD98" s="197"/>
      <c r="CE98" s="197"/>
      <c r="CF98" s="197"/>
      <c r="CG98" s="197"/>
      <c r="CH98" s="197"/>
      <c r="CI98" s="197"/>
      <c r="CJ98" s="197"/>
      <c r="CK98" s="197"/>
      <c r="CL98" s="197"/>
      <c r="CM98" s="197"/>
      <c r="CN98" s="197"/>
      <c r="CO98" s="197"/>
      <c r="CP98" s="197"/>
      <c r="CQ98" s="197"/>
      <c r="CR98" s="197"/>
      <c r="CS98" s="197"/>
      <c r="CT98" s="197"/>
      <c r="CU98" s="197"/>
      <c r="CV98" s="197"/>
      <c r="CW98" s="197"/>
      <c r="CX98" s="197"/>
      <c r="CY98" s="197"/>
      <c r="CZ98" s="197"/>
      <c r="DA98" s="197"/>
      <c r="DB98" s="197"/>
      <c r="DC98" s="197"/>
      <c r="DD98" s="197"/>
      <c r="DE98" s="197"/>
      <c r="DF98" s="197"/>
      <c r="DG98" s="197"/>
      <c r="DH98" s="197"/>
      <c r="DI98" s="197"/>
      <c r="DJ98" s="197"/>
      <c r="DK98" s="197"/>
      <c r="DL98" s="197"/>
      <c r="DM98" s="197"/>
      <c r="DN98" s="197"/>
      <c r="DO98" s="197"/>
      <c r="DP98" s="197"/>
      <c r="DQ98" s="197"/>
      <c r="DR98" s="197"/>
      <c r="DS98" s="197"/>
      <c r="DT98" s="197"/>
      <c r="DU98" s="197"/>
      <c r="DV98" s="197"/>
      <c r="DW98" s="197"/>
      <c r="DX98" s="197"/>
      <c r="DY98" s="197"/>
      <c r="DZ98" s="197"/>
      <c r="EA98" s="197"/>
      <c r="EB98" s="197"/>
      <c r="EC98" s="197"/>
      <c r="ED98" s="197"/>
      <c r="EE98" s="197"/>
      <c r="EF98" s="197"/>
      <c r="EG98" s="197"/>
      <c r="EH98" s="197"/>
      <c r="EI98" s="197"/>
      <c r="EJ98" s="197"/>
      <c r="EK98" s="197"/>
      <c r="EL98" s="197"/>
      <c r="EM98" s="197"/>
      <c r="EN98" s="197"/>
      <c r="EO98" s="197"/>
      <c r="EP98" s="197"/>
      <c r="EQ98" s="197"/>
      <c r="ER98" s="197"/>
      <c r="ES98" s="197"/>
      <c r="ET98" s="197"/>
      <c r="EU98" s="197"/>
      <c r="EV98" s="197"/>
      <c r="EW98" s="197"/>
      <c r="EX98" s="197"/>
      <c r="EY98" s="197"/>
      <c r="EZ98" s="197"/>
      <c r="FA98" s="197"/>
      <c r="FB98" s="197"/>
      <c r="FC98" s="197"/>
      <c r="FD98" s="197"/>
      <c r="FE98" s="197"/>
      <c r="FF98" s="197"/>
      <c r="FG98" s="197"/>
      <c r="FH98" s="197"/>
      <c r="FI98" s="197"/>
      <c r="FJ98" s="197"/>
      <c r="FK98" s="197"/>
      <c r="FL98" s="197"/>
      <c r="FM98" s="197"/>
      <c r="FN98" s="197"/>
      <c r="FO98" s="197"/>
      <c r="FP98" s="197"/>
      <c r="FQ98" s="197"/>
      <c r="FR98" s="197"/>
      <c r="FS98" s="197"/>
      <c r="FT98" s="197"/>
      <c r="FU98" s="197"/>
      <c r="FV98" s="197"/>
      <c r="FW98" s="197"/>
      <c r="FX98" s="197"/>
      <c r="FY98" s="197"/>
      <c r="FZ98" s="197"/>
      <c r="GA98" s="197"/>
      <c r="GB98" s="197"/>
      <c r="GC98" s="197"/>
      <c r="GD98" s="197"/>
      <c r="GE98" s="197"/>
      <c r="GF98" s="197"/>
      <c r="GG98" s="197"/>
      <c r="GH98" s="197"/>
      <c r="GI98" s="197"/>
      <c r="GJ98" s="197"/>
      <c r="GK98" s="197"/>
      <c r="GL98" s="197"/>
      <c r="GM98" s="197"/>
      <c r="GN98" s="197"/>
      <c r="GO98" s="197"/>
      <c r="GP98" s="197"/>
      <c r="GQ98" s="197"/>
      <c r="GR98" s="197"/>
      <c r="GS98" s="197"/>
      <c r="GT98" s="197"/>
      <c r="GU98" s="197"/>
      <c r="GV98" s="197"/>
      <c r="GW98" s="197"/>
      <c r="GX98" s="197"/>
      <c r="GY98" s="197"/>
    </row>
    <row r="99" spans="1:207" s="215" customFormat="1" x14ac:dyDescent="0.35">
      <c r="A99" s="192"/>
      <c r="B99" s="311" t="s">
        <v>384</v>
      </c>
      <c r="C99" s="312" t="str">
        <f>'CC detallado'!F162</f>
        <v>Coordinador General</v>
      </c>
      <c r="D99" s="331"/>
      <c r="E99" s="332" t="s">
        <v>91</v>
      </c>
      <c r="F99" s="333">
        <f t="shared" si="3"/>
        <v>68</v>
      </c>
      <c r="G99" s="315">
        <f>'CC detallado'!N162</f>
        <v>144206.44290774161</v>
      </c>
      <c r="H99" s="316">
        <v>1</v>
      </c>
      <c r="I99" s="327">
        <v>0</v>
      </c>
      <c r="J99" s="334">
        <f>'CC detallado'!G162</f>
        <v>1</v>
      </c>
      <c r="K99" s="335" t="s">
        <v>390</v>
      </c>
      <c r="L99" s="335" t="s">
        <v>391</v>
      </c>
      <c r="M99" s="319" t="s">
        <v>539</v>
      </c>
      <c r="N99" s="319" t="s">
        <v>540</v>
      </c>
      <c r="O99" s="332"/>
      <c r="P99" s="192"/>
      <c r="Q99" s="197"/>
      <c r="R99" s="201"/>
      <c r="S99" s="201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7"/>
      <c r="AH99" s="197"/>
      <c r="AI99" s="197"/>
      <c r="AJ99" s="197"/>
      <c r="AK99" s="197"/>
      <c r="AL99" s="197"/>
      <c r="AM99" s="197"/>
      <c r="AN99" s="197"/>
      <c r="AO99" s="197"/>
      <c r="AP99" s="197"/>
      <c r="AQ99" s="197"/>
      <c r="AR99" s="197"/>
      <c r="AS99" s="197"/>
      <c r="AT99" s="197"/>
      <c r="AU99" s="197"/>
      <c r="AV99" s="197"/>
      <c r="AW99" s="197"/>
      <c r="AX99" s="197"/>
      <c r="AY99" s="197"/>
      <c r="AZ99" s="197"/>
      <c r="BA99" s="197"/>
      <c r="BB99" s="197"/>
      <c r="BC99" s="197"/>
      <c r="BD99" s="197"/>
      <c r="BE99" s="197"/>
      <c r="BF99" s="197"/>
      <c r="BG99" s="197"/>
      <c r="BH99" s="197"/>
      <c r="BI99" s="197"/>
      <c r="BJ99" s="197"/>
      <c r="BK99" s="197"/>
      <c r="BL99" s="197"/>
      <c r="BM99" s="197"/>
      <c r="BN99" s="197"/>
      <c r="BO99" s="197"/>
      <c r="BP99" s="197"/>
      <c r="BQ99" s="197"/>
      <c r="BR99" s="197"/>
      <c r="BS99" s="197"/>
      <c r="BT99" s="197"/>
      <c r="BU99" s="197"/>
      <c r="BV99" s="197"/>
      <c r="BW99" s="197"/>
      <c r="BX99" s="197"/>
      <c r="BY99" s="197"/>
      <c r="BZ99" s="197"/>
      <c r="CA99" s="197"/>
      <c r="CB99" s="197"/>
      <c r="CC99" s="197"/>
      <c r="CD99" s="197"/>
      <c r="CE99" s="197"/>
      <c r="CF99" s="197"/>
      <c r="CG99" s="197"/>
      <c r="CH99" s="197"/>
      <c r="CI99" s="197"/>
      <c r="CJ99" s="197"/>
      <c r="CK99" s="197"/>
      <c r="CL99" s="197"/>
      <c r="CM99" s="197"/>
      <c r="CN99" s="197"/>
      <c r="CO99" s="197"/>
      <c r="CP99" s="197"/>
      <c r="CQ99" s="197"/>
      <c r="CR99" s="197"/>
      <c r="CS99" s="197"/>
      <c r="CT99" s="197"/>
      <c r="CU99" s="197"/>
      <c r="CV99" s="197"/>
      <c r="CW99" s="197"/>
      <c r="CX99" s="197"/>
      <c r="CY99" s="197"/>
      <c r="CZ99" s="197"/>
      <c r="DA99" s="197"/>
      <c r="DB99" s="197"/>
      <c r="DC99" s="197"/>
      <c r="DD99" s="197"/>
      <c r="DE99" s="197"/>
      <c r="DF99" s="197"/>
      <c r="DG99" s="197"/>
      <c r="DH99" s="197"/>
      <c r="DI99" s="197"/>
      <c r="DJ99" s="197"/>
      <c r="DK99" s="197"/>
      <c r="DL99" s="197"/>
      <c r="DM99" s="197"/>
      <c r="DN99" s="197"/>
      <c r="DO99" s="197"/>
      <c r="DP99" s="197"/>
      <c r="DQ99" s="197"/>
      <c r="DR99" s="197"/>
      <c r="DS99" s="197"/>
      <c r="DT99" s="197"/>
      <c r="DU99" s="197"/>
      <c r="DV99" s="197"/>
      <c r="DW99" s="197"/>
      <c r="DX99" s="197"/>
      <c r="DY99" s="197"/>
      <c r="DZ99" s="197"/>
      <c r="EA99" s="197"/>
      <c r="EB99" s="197"/>
      <c r="EC99" s="197"/>
      <c r="ED99" s="197"/>
      <c r="EE99" s="197"/>
      <c r="EF99" s="197"/>
      <c r="EG99" s="197"/>
      <c r="EH99" s="197"/>
      <c r="EI99" s="197"/>
      <c r="EJ99" s="197"/>
      <c r="EK99" s="197"/>
      <c r="EL99" s="197"/>
      <c r="EM99" s="197"/>
      <c r="EN99" s="197"/>
      <c r="EO99" s="197"/>
      <c r="EP99" s="197"/>
      <c r="EQ99" s="197"/>
      <c r="ER99" s="197"/>
      <c r="ES99" s="197"/>
      <c r="ET99" s="197"/>
      <c r="EU99" s="197"/>
      <c r="EV99" s="197"/>
      <c r="EW99" s="197"/>
      <c r="EX99" s="197"/>
      <c r="EY99" s="197"/>
      <c r="EZ99" s="197"/>
      <c r="FA99" s="197"/>
      <c r="FB99" s="197"/>
      <c r="FC99" s="197"/>
      <c r="FD99" s="197"/>
      <c r="FE99" s="197"/>
      <c r="FF99" s="197"/>
      <c r="FG99" s="197"/>
      <c r="FH99" s="197"/>
      <c r="FI99" s="197"/>
      <c r="FJ99" s="197"/>
      <c r="FK99" s="197"/>
      <c r="FL99" s="197"/>
      <c r="FM99" s="197"/>
      <c r="FN99" s="197"/>
      <c r="FO99" s="197"/>
      <c r="FP99" s="197"/>
      <c r="FQ99" s="197"/>
      <c r="FR99" s="197"/>
      <c r="FS99" s="197"/>
      <c r="FT99" s="197"/>
      <c r="FU99" s="197"/>
      <c r="FV99" s="197"/>
      <c r="FW99" s="197"/>
      <c r="FX99" s="197"/>
      <c r="FY99" s="197"/>
      <c r="FZ99" s="197"/>
      <c r="GA99" s="197"/>
      <c r="GB99" s="197"/>
      <c r="GC99" s="197"/>
      <c r="GD99" s="197"/>
      <c r="GE99" s="197"/>
      <c r="GF99" s="197"/>
      <c r="GG99" s="197"/>
      <c r="GH99" s="197"/>
      <c r="GI99" s="197"/>
      <c r="GJ99" s="197"/>
      <c r="GK99" s="197"/>
      <c r="GL99" s="197"/>
      <c r="GM99" s="197"/>
      <c r="GN99" s="197"/>
      <c r="GO99" s="197"/>
      <c r="GP99" s="197"/>
      <c r="GQ99" s="197"/>
      <c r="GR99" s="197"/>
      <c r="GS99" s="197"/>
      <c r="GT99" s="197"/>
      <c r="GU99" s="197"/>
      <c r="GV99" s="197"/>
      <c r="GW99" s="197"/>
      <c r="GX99" s="197"/>
      <c r="GY99" s="197"/>
    </row>
    <row r="100" spans="1:207" s="215" customFormat="1" x14ac:dyDescent="0.35">
      <c r="A100" s="192"/>
      <c r="B100" s="311" t="s">
        <v>384</v>
      </c>
      <c r="C100" s="312" t="str">
        <f>'CC detallado'!F163</f>
        <v>Especialista Planificación y Monitoreo del Programa</v>
      </c>
      <c r="D100" s="331"/>
      <c r="E100" s="332" t="s">
        <v>91</v>
      </c>
      <c r="F100" s="333">
        <f t="shared" si="3"/>
        <v>69</v>
      </c>
      <c r="G100" s="315">
        <f>'CC detallado'!N163</f>
        <v>97149.603643110138</v>
      </c>
      <c r="H100" s="316">
        <v>1</v>
      </c>
      <c r="I100" s="327">
        <v>0</v>
      </c>
      <c r="J100" s="334">
        <f>'CC detallado'!G163</f>
        <v>1</v>
      </c>
      <c r="K100" s="335" t="s">
        <v>390</v>
      </c>
      <c r="L100" s="335" t="s">
        <v>391</v>
      </c>
      <c r="M100" s="319" t="s">
        <v>539</v>
      </c>
      <c r="N100" s="319" t="s">
        <v>540</v>
      </c>
      <c r="O100" s="332"/>
      <c r="P100" s="192"/>
      <c r="Q100" s="197"/>
      <c r="R100" s="201"/>
      <c r="S100" s="201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197"/>
      <c r="AH100" s="197"/>
      <c r="AI100" s="197"/>
      <c r="AJ100" s="197"/>
      <c r="AK100" s="197"/>
      <c r="AL100" s="197"/>
      <c r="AM100" s="197"/>
      <c r="AN100" s="197"/>
      <c r="AO100" s="197"/>
      <c r="AP100" s="197"/>
      <c r="AQ100" s="197"/>
      <c r="AR100" s="197"/>
      <c r="AS100" s="197"/>
      <c r="AT100" s="197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197"/>
      <c r="BF100" s="197"/>
      <c r="BG100" s="197"/>
      <c r="BH100" s="197"/>
      <c r="BI100" s="197"/>
      <c r="BJ100" s="197"/>
      <c r="BK100" s="197"/>
      <c r="BL100" s="197"/>
      <c r="BM100" s="197"/>
      <c r="BN100" s="197"/>
      <c r="BO100" s="197"/>
      <c r="BP100" s="197"/>
      <c r="BQ100" s="197"/>
      <c r="BR100" s="197"/>
      <c r="BS100" s="197"/>
      <c r="BT100" s="197"/>
      <c r="BU100" s="197"/>
      <c r="BV100" s="197"/>
      <c r="BW100" s="197"/>
      <c r="BX100" s="197"/>
      <c r="BY100" s="197"/>
      <c r="BZ100" s="197"/>
      <c r="CA100" s="197"/>
      <c r="CB100" s="197"/>
      <c r="CC100" s="197"/>
      <c r="CD100" s="197"/>
      <c r="CE100" s="197"/>
      <c r="CF100" s="197"/>
      <c r="CG100" s="197"/>
      <c r="CH100" s="197"/>
      <c r="CI100" s="197"/>
      <c r="CJ100" s="197"/>
      <c r="CK100" s="197"/>
      <c r="CL100" s="197"/>
      <c r="CM100" s="197"/>
      <c r="CN100" s="197"/>
      <c r="CO100" s="197"/>
      <c r="CP100" s="197"/>
      <c r="CQ100" s="197"/>
      <c r="CR100" s="197"/>
      <c r="CS100" s="197"/>
      <c r="CT100" s="197"/>
      <c r="CU100" s="197"/>
      <c r="CV100" s="197"/>
      <c r="CW100" s="197"/>
      <c r="CX100" s="197"/>
      <c r="CY100" s="197"/>
      <c r="CZ100" s="197"/>
      <c r="DA100" s="197"/>
      <c r="DB100" s="197"/>
      <c r="DC100" s="197"/>
      <c r="DD100" s="197"/>
      <c r="DE100" s="197"/>
      <c r="DF100" s="197"/>
      <c r="DG100" s="197"/>
      <c r="DH100" s="197"/>
      <c r="DI100" s="197"/>
      <c r="DJ100" s="197"/>
      <c r="DK100" s="197"/>
      <c r="DL100" s="197"/>
      <c r="DM100" s="197"/>
      <c r="DN100" s="197"/>
      <c r="DO100" s="197"/>
      <c r="DP100" s="197"/>
      <c r="DQ100" s="197"/>
      <c r="DR100" s="197"/>
      <c r="DS100" s="197"/>
      <c r="DT100" s="197"/>
      <c r="DU100" s="197"/>
      <c r="DV100" s="197"/>
      <c r="DW100" s="197"/>
      <c r="DX100" s="197"/>
      <c r="DY100" s="197"/>
      <c r="DZ100" s="197"/>
      <c r="EA100" s="197"/>
      <c r="EB100" s="197"/>
      <c r="EC100" s="197"/>
      <c r="ED100" s="197"/>
      <c r="EE100" s="197"/>
      <c r="EF100" s="197"/>
      <c r="EG100" s="197"/>
      <c r="EH100" s="197"/>
      <c r="EI100" s="197"/>
      <c r="EJ100" s="197"/>
      <c r="EK100" s="197"/>
      <c r="EL100" s="197"/>
      <c r="EM100" s="197"/>
      <c r="EN100" s="197"/>
      <c r="EO100" s="197"/>
      <c r="EP100" s="197"/>
      <c r="EQ100" s="197"/>
      <c r="ER100" s="197"/>
      <c r="ES100" s="197"/>
      <c r="ET100" s="197"/>
      <c r="EU100" s="197"/>
      <c r="EV100" s="197"/>
      <c r="EW100" s="197"/>
      <c r="EX100" s="197"/>
      <c r="EY100" s="197"/>
      <c r="EZ100" s="197"/>
      <c r="FA100" s="197"/>
      <c r="FB100" s="197"/>
      <c r="FC100" s="197"/>
      <c r="FD100" s="197"/>
      <c r="FE100" s="197"/>
      <c r="FF100" s="197"/>
      <c r="FG100" s="197"/>
      <c r="FH100" s="197"/>
      <c r="FI100" s="197"/>
      <c r="FJ100" s="197"/>
      <c r="FK100" s="197"/>
      <c r="FL100" s="197"/>
      <c r="FM100" s="197"/>
      <c r="FN100" s="197"/>
      <c r="FO100" s="197"/>
      <c r="FP100" s="197"/>
      <c r="FQ100" s="197"/>
      <c r="FR100" s="197"/>
      <c r="FS100" s="197"/>
      <c r="FT100" s="197"/>
      <c r="FU100" s="197"/>
      <c r="FV100" s="197"/>
      <c r="FW100" s="197"/>
      <c r="FX100" s="197"/>
      <c r="FY100" s="197"/>
      <c r="FZ100" s="197"/>
      <c r="GA100" s="197"/>
      <c r="GB100" s="197"/>
      <c r="GC100" s="197"/>
      <c r="GD100" s="197"/>
      <c r="GE100" s="197"/>
      <c r="GF100" s="197"/>
      <c r="GG100" s="197"/>
      <c r="GH100" s="197"/>
      <c r="GI100" s="197"/>
      <c r="GJ100" s="197"/>
      <c r="GK100" s="197"/>
      <c r="GL100" s="197"/>
      <c r="GM100" s="197"/>
      <c r="GN100" s="197"/>
      <c r="GO100" s="197"/>
      <c r="GP100" s="197"/>
      <c r="GQ100" s="197"/>
      <c r="GR100" s="197"/>
      <c r="GS100" s="197"/>
      <c r="GT100" s="197"/>
      <c r="GU100" s="197"/>
      <c r="GV100" s="197"/>
      <c r="GW100" s="197"/>
      <c r="GX100" s="197"/>
      <c r="GY100" s="197"/>
    </row>
    <row r="101" spans="1:207" s="215" customFormat="1" x14ac:dyDescent="0.35">
      <c r="A101" s="192"/>
      <c r="B101" s="311" t="s">
        <v>384</v>
      </c>
      <c r="C101" s="312" t="str">
        <f>'CC detallado'!F164</f>
        <v>Especialista Financiero</v>
      </c>
      <c r="D101" s="331"/>
      <c r="E101" s="332" t="s">
        <v>91</v>
      </c>
      <c r="F101" s="333">
        <f t="shared" si="3"/>
        <v>70</v>
      </c>
      <c r="G101" s="315">
        <f>'CC detallado'!N164</f>
        <v>115365.15432619328</v>
      </c>
      <c r="H101" s="316">
        <v>1</v>
      </c>
      <c r="I101" s="327">
        <v>0</v>
      </c>
      <c r="J101" s="334">
        <f>'CC detallado'!G164</f>
        <v>1</v>
      </c>
      <c r="K101" s="335" t="s">
        <v>390</v>
      </c>
      <c r="L101" s="335" t="s">
        <v>391</v>
      </c>
      <c r="M101" s="319" t="s">
        <v>539</v>
      </c>
      <c r="N101" s="319" t="s">
        <v>540</v>
      </c>
      <c r="O101" s="332"/>
      <c r="P101" s="192"/>
      <c r="Q101" s="197"/>
      <c r="R101" s="201"/>
      <c r="S101" s="201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97"/>
      <c r="AH101" s="197"/>
      <c r="AI101" s="197"/>
      <c r="AJ101" s="197"/>
      <c r="AK101" s="197"/>
      <c r="AL101" s="197"/>
      <c r="AM101" s="197"/>
      <c r="AN101" s="197"/>
      <c r="AO101" s="197"/>
      <c r="AP101" s="197"/>
      <c r="AQ101" s="197"/>
      <c r="AR101" s="197"/>
      <c r="AS101" s="197"/>
      <c r="AT101" s="197"/>
      <c r="AU101" s="197"/>
      <c r="AV101" s="197"/>
      <c r="AW101" s="197"/>
      <c r="AX101" s="197"/>
      <c r="AY101" s="197"/>
      <c r="AZ101" s="197"/>
      <c r="BA101" s="197"/>
      <c r="BB101" s="197"/>
      <c r="BC101" s="197"/>
      <c r="BD101" s="197"/>
      <c r="BE101" s="197"/>
      <c r="BF101" s="197"/>
      <c r="BG101" s="197"/>
      <c r="BH101" s="197"/>
      <c r="BI101" s="197"/>
      <c r="BJ101" s="197"/>
      <c r="BK101" s="197"/>
      <c r="BL101" s="197"/>
      <c r="BM101" s="197"/>
      <c r="BN101" s="197"/>
      <c r="BO101" s="197"/>
      <c r="BP101" s="197"/>
      <c r="BQ101" s="197"/>
      <c r="BR101" s="197"/>
      <c r="BS101" s="197"/>
      <c r="BT101" s="197"/>
      <c r="BU101" s="197"/>
      <c r="BV101" s="197"/>
      <c r="BW101" s="197"/>
      <c r="BX101" s="197"/>
      <c r="BY101" s="197"/>
      <c r="BZ101" s="197"/>
      <c r="CA101" s="197"/>
      <c r="CB101" s="197"/>
      <c r="CC101" s="197"/>
      <c r="CD101" s="197"/>
      <c r="CE101" s="197"/>
      <c r="CF101" s="197"/>
      <c r="CG101" s="197"/>
      <c r="CH101" s="197"/>
      <c r="CI101" s="197"/>
      <c r="CJ101" s="197"/>
      <c r="CK101" s="197"/>
      <c r="CL101" s="197"/>
      <c r="CM101" s="197"/>
      <c r="CN101" s="197"/>
      <c r="CO101" s="197"/>
      <c r="CP101" s="197"/>
      <c r="CQ101" s="197"/>
      <c r="CR101" s="197"/>
      <c r="CS101" s="197"/>
      <c r="CT101" s="197"/>
      <c r="CU101" s="197"/>
      <c r="CV101" s="197"/>
      <c r="CW101" s="197"/>
      <c r="CX101" s="197"/>
      <c r="CY101" s="197"/>
      <c r="CZ101" s="197"/>
      <c r="DA101" s="197"/>
      <c r="DB101" s="197"/>
      <c r="DC101" s="197"/>
      <c r="DD101" s="197"/>
      <c r="DE101" s="197"/>
      <c r="DF101" s="197"/>
      <c r="DG101" s="197"/>
      <c r="DH101" s="197"/>
      <c r="DI101" s="197"/>
      <c r="DJ101" s="197"/>
      <c r="DK101" s="197"/>
      <c r="DL101" s="197"/>
      <c r="DM101" s="197"/>
      <c r="DN101" s="197"/>
      <c r="DO101" s="197"/>
      <c r="DP101" s="197"/>
      <c r="DQ101" s="197"/>
      <c r="DR101" s="197"/>
      <c r="DS101" s="197"/>
      <c r="DT101" s="197"/>
      <c r="DU101" s="197"/>
      <c r="DV101" s="197"/>
      <c r="DW101" s="197"/>
      <c r="DX101" s="197"/>
      <c r="DY101" s="197"/>
      <c r="DZ101" s="197"/>
      <c r="EA101" s="197"/>
      <c r="EB101" s="197"/>
      <c r="EC101" s="197"/>
      <c r="ED101" s="197"/>
      <c r="EE101" s="197"/>
      <c r="EF101" s="197"/>
      <c r="EG101" s="197"/>
      <c r="EH101" s="197"/>
      <c r="EI101" s="197"/>
      <c r="EJ101" s="197"/>
      <c r="EK101" s="197"/>
      <c r="EL101" s="197"/>
      <c r="EM101" s="197"/>
      <c r="EN101" s="197"/>
      <c r="EO101" s="197"/>
      <c r="EP101" s="197"/>
      <c r="EQ101" s="197"/>
      <c r="ER101" s="197"/>
      <c r="ES101" s="197"/>
      <c r="ET101" s="197"/>
      <c r="EU101" s="197"/>
      <c r="EV101" s="197"/>
      <c r="EW101" s="197"/>
      <c r="EX101" s="197"/>
      <c r="EY101" s="197"/>
      <c r="EZ101" s="197"/>
      <c r="FA101" s="197"/>
      <c r="FB101" s="197"/>
      <c r="FC101" s="197"/>
      <c r="FD101" s="197"/>
      <c r="FE101" s="197"/>
      <c r="FF101" s="197"/>
      <c r="FG101" s="197"/>
      <c r="FH101" s="197"/>
      <c r="FI101" s="197"/>
      <c r="FJ101" s="197"/>
      <c r="FK101" s="197"/>
      <c r="FL101" s="197"/>
      <c r="FM101" s="197"/>
      <c r="FN101" s="197"/>
      <c r="FO101" s="197"/>
      <c r="FP101" s="197"/>
      <c r="FQ101" s="197"/>
      <c r="FR101" s="197"/>
      <c r="FS101" s="197"/>
      <c r="FT101" s="197"/>
      <c r="FU101" s="197"/>
      <c r="FV101" s="197"/>
      <c r="FW101" s="197"/>
      <c r="FX101" s="197"/>
      <c r="FY101" s="197"/>
      <c r="FZ101" s="197"/>
      <c r="GA101" s="197"/>
      <c r="GB101" s="197"/>
      <c r="GC101" s="197"/>
      <c r="GD101" s="197"/>
      <c r="GE101" s="197"/>
      <c r="GF101" s="197"/>
      <c r="GG101" s="197"/>
      <c r="GH101" s="197"/>
      <c r="GI101" s="197"/>
      <c r="GJ101" s="197"/>
      <c r="GK101" s="197"/>
      <c r="GL101" s="197"/>
      <c r="GM101" s="197"/>
      <c r="GN101" s="197"/>
      <c r="GO101" s="197"/>
      <c r="GP101" s="197"/>
      <c r="GQ101" s="197"/>
      <c r="GR101" s="197"/>
      <c r="GS101" s="197"/>
      <c r="GT101" s="197"/>
      <c r="GU101" s="197"/>
      <c r="GV101" s="197"/>
      <c r="GW101" s="197"/>
      <c r="GX101" s="197"/>
      <c r="GY101" s="197"/>
    </row>
    <row r="102" spans="1:207" s="215" customFormat="1" x14ac:dyDescent="0.35">
      <c r="A102" s="192"/>
      <c r="B102" s="311" t="s">
        <v>384</v>
      </c>
      <c r="C102" s="312" t="str">
        <f>'CC detallado'!F165</f>
        <v>Especialista Adquisiciones</v>
      </c>
      <c r="D102" s="331"/>
      <c r="E102" s="332" t="s">
        <v>91</v>
      </c>
      <c r="F102" s="333">
        <f t="shared" si="3"/>
        <v>71</v>
      </c>
      <c r="G102" s="315">
        <f>'CC detallado'!N165</f>
        <v>194299.20728622028</v>
      </c>
      <c r="H102" s="316">
        <v>1</v>
      </c>
      <c r="I102" s="327">
        <v>0</v>
      </c>
      <c r="J102" s="334">
        <f>'CC detallado'!G165</f>
        <v>2</v>
      </c>
      <c r="K102" s="335" t="s">
        <v>390</v>
      </c>
      <c r="L102" s="335" t="s">
        <v>391</v>
      </c>
      <c r="M102" s="319" t="s">
        <v>539</v>
      </c>
      <c r="N102" s="319" t="s">
        <v>540</v>
      </c>
      <c r="O102" s="332"/>
      <c r="P102" s="192"/>
      <c r="Q102" s="197"/>
      <c r="R102" s="201"/>
      <c r="S102" s="201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7"/>
      <c r="AL102" s="197"/>
      <c r="AM102" s="197"/>
      <c r="AN102" s="197"/>
      <c r="AO102" s="197"/>
      <c r="AP102" s="197"/>
      <c r="AQ102" s="197"/>
      <c r="AR102" s="197"/>
      <c r="AS102" s="197"/>
      <c r="AT102" s="197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197"/>
      <c r="BF102" s="197"/>
      <c r="BG102" s="197"/>
      <c r="BH102" s="197"/>
      <c r="BI102" s="197"/>
      <c r="BJ102" s="197"/>
      <c r="BK102" s="197"/>
      <c r="BL102" s="197"/>
      <c r="BM102" s="197"/>
      <c r="BN102" s="197"/>
      <c r="BO102" s="197"/>
      <c r="BP102" s="197"/>
      <c r="BQ102" s="197"/>
      <c r="BR102" s="197"/>
      <c r="BS102" s="197"/>
      <c r="BT102" s="197"/>
      <c r="BU102" s="197"/>
      <c r="BV102" s="197"/>
      <c r="BW102" s="197"/>
      <c r="BX102" s="197"/>
      <c r="BY102" s="197"/>
      <c r="BZ102" s="197"/>
      <c r="CA102" s="197"/>
      <c r="CB102" s="197"/>
      <c r="CC102" s="197"/>
      <c r="CD102" s="197"/>
      <c r="CE102" s="197"/>
      <c r="CF102" s="197"/>
      <c r="CG102" s="197"/>
      <c r="CH102" s="197"/>
      <c r="CI102" s="197"/>
      <c r="CJ102" s="197"/>
      <c r="CK102" s="197"/>
      <c r="CL102" s="197"/>
      <c r="CM102" s="197"/>
      <c r="CN102" s="197"/>
      <c r="CO102" s="197"/>
      <c r="CP102" s="197"/>
      <c r="CQ102" s="197"/>
      <c r="CR102" s="197"/>
      <c r="CS102" s="197"/>
      <c r="CT102" s="197"/>
      <c r="CU102" s="197"/>
      <c r="CV102" s="197"/>
      <c r="CW102" s="197"/>
      <c r="CX102" s="197"/>
      <c r="CY102" s="197"/>
      <c r="CZ102" s="197"/>
      <c r="DA102" s="197"/>
      <c r="DB102" s="197"/>
      <c r="DC102" s="197"/>
      <c r="DD102" s="197"/>
      <c r="DE102" s="197"/>
      <c r="DF102" s="197"/>
      <c r="DG102" s="197"/>
      <c r="DH102" s="197"/>
      <c r="DI102" s="197"/>
      <c r="DJ102" s="197"/>
      <c r="DK102" s="197"/>
      <c r="DL102" s="197"/>
      <c r="DM102" s="197"/>
      <c r="DN102" s="197"/>
      <c r="DO102" s="197"/>
      <c r="DP102" s="197"/>
      <c r="DQ102" s="197"/>
      <c r="DR102" s="197"/>
      <c r="DS102" s="197"/>
      <c r="DT102" s="197"/>
      <c r="DU102" s="197"/>
      <c r="DV102" s="197"/>
      <c r="DW102" s="197"/>
      <c r="DX102" s="197"/>
      <c r="DY102" s="197"/>
      <c r="DZ102" s="197"/>
      <c r="EA102" s="197"/>
      <c r="EB102" s="197"/>
      <c r="EC102" s="197"/>
      <c r="ED102" s="197"/>
      <c r="EE102" s="197"/>
      <c r="EF102" s="197"/>
      <c r="EG102" s="197"/>
      <c r="EH102" s="197"/>
      <c r="EI102" s="197"/>
      <c r="EJ102" s="197"/>
      <c r="EK102" s="197"/>
      <c r="EL102" s="197"/>
      <c r="EM102" s="197"/>
      <c r="EN102" s="197"/>
      <c r="EO102" s="197"/>
      <c r="EP102" s="197"/>
      <c r="EQ102" s="197"/>
      <c r="ER102" s="197"/>
      <c r="ES102" s="197"/>
      <c r="ET102" s="197"/>
      <c r="EU102" s="197"/>
      <c r="EV102" s="197"/>
      <c r="EW102" s="197"/>
      <c r="EX102" s="197"/>
      <c r="EY102" s="197"/>
      <c r="EZ102" s="197"/>
      <c r="FA102" s="197"/>
      <c r="FB102" s="197"/>
      <c r="FC102" s="197"/>
      <c r="FD102" s="197"/>
      <c r="FE102" s="197"/>
      <c r="FF102" s="197"/>
      <c r="FG102" s="197"/>
      <c r="FH102" s="197"/>
      <c r="FI102" s="197"/>
      <c r="FJ102" s="197"/>
      <c r="FK102" s="197"/>
      <c r="FL102" s="197"/>
      <c r="FM102" s="197"/>
      <c r="FN102" s="197"/>
      <c r="FO102" s="197"/>
      <c r="FP102" s="197"/>
      <c r="FQ102" s="197"/>
      <c r="FR102" s="197"/>
      <c r="FS102" s="197"/>
      <c r="FT102" s="197"/>
      <c r="FU102" s="197"/>
      <c r="FV102" s="197"/>
      <c r="FW102" s="197"/>
      <c r="FX102" s="197"/>
      <c r="FY102" s="197"/>
      <c r="FZ102" s="197"/>
      <c r="GA102" s="197"/>
      <c r="GB102" s="197"/>
      <c r="GC102" s="197"/>
      <c r="GD102" s="197"/>
      <c r="GE102" s="197"/>
      <c r="GF102" s="197"/>
      <c r="GG102" s="197"/>
      <c r="GH102" s="197"/>
      <c r="GI102" s="197"/>
      <c r="GJ102" s="197"/>
      <c r="GK102" s="197"/>
      <c r="GL102" s="197"/>
      <c r="GM102" s="197"/>
      <c r="GN102" s="197"/>
      <c r="GO102" s="197"/>
      <c r="GP102" s="197"/>
      <c r="GQ102" s="197"/>
      <c r="GR102" s="197"/>
      <c r="GS102" s="197"/>
      <c r="GT102" s="197"/>
      <c r="GU102" s="197"/>
      <c r="GV102" s="197"/>
      <c r="GW102" s="197"/>
      <c r="GX102" s="197"/>
      <c r="GY102" s="197"/>
    </row>
    <row r="103" spans="1:207" x14ac:dyDescent="0.35">
      <c r="B103" s="738" t="s">
        <v>347</v>
      </c>
      <c r="C103" s="738"/>
      <c r="D103" s="738"/>
      <c r="E103" s="738"/>
      <c r="F103" s="738"/>
      <c r="G103" s="321">
        <f>SUM(G59:G102)</f>
        <v>1349647.4953617812</v>
      </c>
      <c r="H103" s="322"/>
      <c r="I103" s="322"/>
      <c r="J103" s="321">
        <f>SUM(J59:J102)</f>
        <v>108</v>
      </c>
      <c r="K103" s="322"/>
      <c r="L103" s="322"/>
      <c r="M103" s="323"/>
      <c r="N103" s="323"/>
      <c r="O103" s="323"/>
      <c r="R103" s="201" t="s">
        <v>348</v>
      </c>
      <c r="S103" s="201" t="s">
        <v>349</v>
      </c>
    </row>
    <row r="104" spans="1:207" x14ac:dyDescent="0.35">
      <c r="B104" s="214"/>
      <c r="C104" s="216"/>
      <c r="D104" s="217"/>
      <c r="E104" s="214"/>
      <c r="F104" s="214"/>
      <c r="G104" s="218"/>
      <c r="H104" s="214"/>
      <c r="I104" s="214"/>
      <c r="J104" s="214"/>
      <c r="K104" s="214"/>
      <c r="L104" s="214"/>
      <c r="M104" s="214"/>
      <c r="N104" s="214"/>
      <c r="O104" s="214"/>
      <c r="R104" s="201" t="s">
        <v>350</v>
      </c>
      <c r="S104" s="201" t="s">
        <v>351</v>
      </c>
    </row>
    <row r="105" spans="1:207" s="197" customFormat="1" x14ac:dyDescent="0.35">
      <c r="A105" s="192"/>
      <c r="B105" s="729" t="s">
        <v>352</v>
      </c>
      <c r="C105" s="729"/>
      <c r="D105" s="729"/>
      <c r="E105" s="729"/>
      <c r="F105" s="729"/>
      <c r="G105" s="729"/>
      <c r="H105" s="729"/>
      <c r="I105" s="729"/>
      <c r="J105" s="729"/>
      <c r="K105" s="729"/>
      <c r="L105" s="729"/>
      <c r="M105" s="729"/>
      <c r="N105" s="729"/>
      <c r="O105" s="729"/>
      <c r="P105" s="198"/>
      <c r="Q105" s="199"/>
      <c r="R105" s="200" t="s">
        <v>353</v>
      </c>
      <c r="S105" s="199" t="s">
        <v>351</v>
      </c>
      <c r="T105" s="199"/>
      <c r="U105" s="199"/>
    </row>
    <row r="106" spans="1:207" x14ac:dyDescent="0.35">
      <c r="B106" s="731" t="s">
        <v>295</v>
      </c>
      <c r="C106" s="732" t="s">
        <v>296</v>
      </c>
      <c r="D106" s="732" t="s">
        <v>297</v>
      </c>
      <c r="E106" s="731" t="s">
        <v>319</v>
      </c>
      <c r="F106" s="731" t="s">
        <v>300</v>
      </c>
      <c r="G106" s="734" t="s">
        <v>301</v>
      </c>
      <c r="H106" s="734"/>
      <c r="I106" s="734"/>
      <c r="J106" s="731" t="s">
        <v>302</v>
      </c>
      <c r="K106" s="731" t="s">
        <v>303</v>
      </c>
      <c r="L106" s="731" t="s">
        <v>304</v>
      </c>
      <c r="M106" s="731"/>
      <c r="N106" s="731" t="s">
        <v>305</v>
      </c>
      <c r="O106" s="731"/>
      <c r="R106" s="201"/>
      <c r="S106" s="201" t="s">
        <v>354</v>
      </c>
    </row>
    <row r="107" spans="1:207" ht="39" x14ac:dyDescent="0.35">
      <c r="B107" s="731"/>
      <c r="C107" s="732"/>
      <c r="D107" s="732"/>
      <c r="E107" s="734"/>
      <c r="F107" s="731"/>
      <c r="G107" s="309" t="s">
        <v>307</v>
      </c>
      <c r="H107" s="308" t="s">
        <v>308</v>
      </c>
      <c r="I107" s="308" t="s">
        <v>309</v>
      </c>
      <c r="J107" s="731"/>
      <c r="K107" s="739"/>
      <c r="L107" s="310" t="s">
        <v>355</v>
      </c>
      <c r="M107" s="310" t="s">
        <v>356</v>
      </c>
      <c r="N107" s="731"/>
      <c r="O107" s="731"/>
      <c r="R107" s="201"/>
      <c r="S107" s="201" t="s">
        <v>354</v>
      </c>
    </row>
    <row r="108" spans="1:207" s="197" customFormat="1" x14ac:dyDescent="0.35">
      <c r="A108" s="219"/>
      <c r="B108" s="311"/>
      <c r="C108" s="312"/>
      <c r="D108" s="324"/>
      <c r="E108" s="318"/>
      <c r="F108" s="314"/>
      <c r="G108" s="325"/>
      <c r="H108" s="326"/>
      <c r="I108" s="327"/>
      <c r="J108" s="328"/>
      <c r="K108" s="311"/>
      <c r="L108" s="319"/>
      <c r="M108" s="319"/>
      <c r="N108" s="318"/>
      <c r="O108" s="318"/>
      <c r="P108" s="205"/>
      <c r="R108" s="201"/>
      <c r="S108" s="201"/>
    </row>
    <row r="109" spans="1:207" x14ac:dyDescent="0.35">
      <c r="A109" s="220"/>
      <c r="B109" s="738" t="s">
        <v>357</v>
      </c>
      <c r="C109" s="738"/>
      <c r="D109" s="738"/>
      <c r="E109" s="738"/>
      <c r="F109" s="738"/>
      <c r="G109" s="329">
        <f>SUM(G108)</f>
        <v>0</v>
      </c>
      <c r="H109" s="322"/>
      <c r="I109" s="322"/>
      <c r="J109" s="322"/>
      <c r="K109" s="322"/>
      <c r="L109" s="322"/>
      <c r="M109" s="323"/>
      <c r="N109" s="740"/>
      <c r="O109" s="740"/>
      <c r="R109" s="201" t="s">
        <v>358</v>
      </c>
      <c r="S109" s="201" t="s">
        <v>340</v>
      </c>
    </row>
    <row r="110" spans="1:207" x14ac:dyDescent="0.35">
      <c r="B110" s="214"/>
      <c r="C110" s="216"/>
      <c r="D110" s="217"/>
      <c r="E110" s="214"/>
      <c r="F110" s="214"/>
      <c r="G110" s="218"/>
      <c r="H110" s="214"/>
      <c r="I110" s="214"/>
      <c r="J110" s="214"/>
      <c r="K110" s="214"/>
      <c r="L110" s="214"/>
      <c r="M110" s="214"/>
      <c r="N110" s="214"/>
      <c r="O110" s="214"/>
      <c r="P110" s="214"/>
      <c r="R110" s="201" t="s">
        <v>359</v>
      </c>
      <c r="S110" s="201" t="s">
        <v>340</v>
      </c>
    </row>
    <row r="111" spans="1:207" s="197" customFormat="1" x14ac:dyDescent="0.35">
      <c r="A111" s="192"/>
      <c r="B111" s="729" t="s">
        <v>360</v>
      </c>
      <c r="C111" s="729"/>
      <c r="D111" s="729"/>
      <c r="E111" s="729"/>
      <c r="F111" s="729"/>
      <c r="G111" s="729"/>
      <c r="H111" s="729"/>
      <c r="I111" s="729"/>
      <c r="J111" s="729"/>
      <c r="K111" s="729"/>
      <c r="L111" s="729"/>
      <c r="M111" s="729"/>
      <c r="N111" s="729"/>
      <c r="O111" s="729"/>
      <c r="P111" s="198"/>
      <c r="Q111" s="199"/>
      <c r="R111" s="200" t="s">
        <v>361</v>
      </c>
      <c r="S111" s="199" t="s">
        <v>340</v>
      </c>
      <c r="T111" s="199"/>
      <c r="U111" s="199"/>
    </row>
    <row r="112" spans="1:207" ht="26" x14ac:dyDescent="0.35">
      <c r="A112" s="244"/>
      <c r="B112" s="731" t="s">
        <v>295</v>
      </c>
      <c r="C112" s="732" t="s">
        <v>362</v>
      </c>
      <c r="D112" s="732" t="s">
        <v>297</v>
      </c>
      <c r="E112" s="731" t="s">
        <v>300</v>
      </c>
      <c r="F112" s="731"/>
      <c r="G112" s="734" t="s">
        <v>301</v>
      </c>
      <c r="H112" s="734"/>
      <c r="I112" s="734"/>
      <c r="J112" s="731" t="s">
        <v>302</v>
      </c>
      <c r="K112" s="308" t="s">
        <v>363</v>
      </c>
      <c r="L112" s="731" t="s">
        <v>304</v>
      </c>
      <c r="M112" s="731"/>
      <c r="N112" s="735" t="s">
        <v>305</v>
      </c>
      <c r="O112" s="735"/>
      <c r="R112" s="201" t="s">
        <v>364</v>
      </c>
      <c r="S112" s="201" t="s">
        <v>340</v>
      </c>
    </row>
    <row r="113" spans="1:207" s="221" customFormat="1" ht="52" x14ac:dyDescent="0.35">
      <c r="A113" s="244"/>
      <c r="B113" s="731"/>
      <c r="C113" s="732"/>
      <c r="D113" s="732"/>
      <c r="E113" s="731"/>
      <c r="F113" s="731"/>
      <c r="G113" s="308" t="s">
        <v>307</v>
      </c>
      <c r="H113" s="309" t="s">
        <v>308</v>
      </c>
      <c r="I113" s="308" t="s">
        <v>309</v>
      </c>
      <c r="J113" s="731"/>
      <c r="K113" s="308"/>
      <c r="L113" s="308" t="s">
        <v>365</v>
      </c>
      <c r="M113" s="310" t="s">
        <v>366</v>
      </c>
      <c r="N113" s="735"/>
      <c r="O113" s="735"/>
      <c r="Q113" s="197"/>
      <c r="R113" s="200"/>
      <c r="S113" s="200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7"/>
      <c r="AG113" s="197"/>
      <c r="AH113" s="197"/>
      <c r="AI113" s="197"/>
      <c r="AJ113" s="197"/>
      <c r="AK113" s="197"/>
      <c r="AL113" s="197"/>
      <c r="AM113" s="197"/>
      <c r="AN113" s="197"/>
      <c r="AO113" s="197"/>
      <c r="AP113" s="197"/>
      <c r="AQ113" s="197"/>
      <c r="AR113" s="197"/>
      <c r="AS113" s="197"/>
      <c r="AT113" s="197"/>
      <c r="AU113" s="197"/>
      <c r="AV113" s="197"/>
      <c r="AW113" s="197"/>
      <c r="AX113" s="197"/>
      <c r="AY113" s="197"/>
      <c r="AZ113" s="197"/>
      <c r="BA113" s="197"/>
      <c r="BB113" s="197"/>
      <c r="BC113" s="197"/>
      <c r="BD113" s="197"/>
      <c r="BE113" s="197"/>
      <c r="BF113" s="197"/>
      <c r="BG113" s="197"/>
      <c r="BH113" s="197"/>
      <c r="BI113" s="197"/>
      <c r="BJ113" s="197"/>
      <c r="BK113" s="197"/>
      <c r="BL113" s="197"/>
      <c r="BM113" s="197"/>
      <c r="BN113" s="197"/>
      <c r="BO113" s="197"/>
      <c r="BP113" s="197"/>
      <c r="BQ113" s="197"/>
      <c r="BR113" s="197"/>
      <c r="BS113" s="197"/>
      <c r="BT113" s="197"/>
      <c r="BU113" s="197"/>
      <c r="BV113" s="197"/>
      <c r="BW113" s="197"/>
      <c r="BX113" s="197"/>
      <c r="BY113" s="197"/>
      <c r="BZ113" s="197"/>
      <c r="CA113" s="197"/>
      <c r="CB113" s="197"/>
      <c r="CC113" s="197"/>
      <c r="CD113" s="197"/>
      <c r="CE113" s="197"/>
      <c r="CF113" s="197"/>
      <c r="CG113" s="197"/>
      <c r="CH113" s="197"/>
      <c r="CI113" s="197"/>
      <c r="CJ113" s="197"/>
      <c r="CK113" s="197"/>
      <c r="CL113" s="197"/>
      <c r="CM113" s="197"/>
      <c r="CN113" s="197"/>
      <c r="CO113" s="197"/>
      <c r="CP113" s="197"/>
      <c r="CQ113" s="197"/>
      <c r="CR113" s="197"/>
      <c r="CS113" s="197"/>
      <c r="CT113" s="197"/>
      <c r="CU113" s="197"/>
      <c r="CV113" s="197"/>
      <c r="CW113" s="197"/>
      <c r="CX113" s="197"/>
      <c r="CY113" s="197"/>
      <c r="CZ113" s="197"/>
      <c r="DA113" s="197"/>
      <c r="DB113" s="197"/>
      <c r="DC113" s="197"/>
      <c r="DD113" s="197"/>
      <c r="DE113" s="197"/>
      <c r="DF113" s="197"/>
      <c r="DG113" s="197"/>
      <c r="DH113" s="197"/>
      <c r="DI113" s="197"/>
      <c r="DJ113" s="197"/>
      <c r="DK113" s="197"/>
      <c r="DL113" s="197"/>
      <c r="DM113" s="197"/>
      <c r="DN113" s="197"/>
      <c r="DO113" s="197"/>
      <c r="DP113" s="197"/>
      <c r="DQ113" s="197"/>
      <c r="DR113" s="197"/>
      <c r="DS113" s="197"/>
      <c r="DT113" s="197"/>
      <c r="DU113" s="197"/>
      <c r="DV113" s="197"/>
      <c r="DW113" s="197"/>
      <c r="DX113" s="197"/>
      <c r="DY113" s="197"/>
      <c r="DZ113" s="197"/>
      <c r="EA113" s="197"/>
      <c r="EB113" s="197"/>
      <c r="EC113" s="197"/>
      <c r="ED113" s="197"/>
      <c r="EE113" s="197"/>
      <c r="EF113" s="197"/>
      <c r="EG113" s="197"/>
      <c r="EH113" s="197"/>
      <c r="EI113" s="197"/>
      <c r="EJ113" s="197"/>
      <c r="EK113" s="197"/>
      <c r="EL113" s="197"/>
      <c r="EM113" s="197"/>
      <c r="EN113" s="197"/>
      <c r="EO113" s="197"/>
      <c r="EP113" s="197"/>
      <c r="EQ113" s="197"/>
      <c r="ER113" s="197"/>
      <c r="ES113" s="197"/>
      <c r="ET113" s="197"/>
      <c r="EU113" s="197"/>
      <c r="EV113" s="197"/>
      <c r="EW113" s="197"/>
      <c r="EX113" s="197"/>
      <c r="EY113" s="197"/>
      <c r="EZ113" s="197"/>
      <c r="FA113" s="197"/>
      <c r="FB113" s="197"/>
      <c r="FC113" s="197"/>
      <c r="FD113" s="197"/>
      <c r="FE113" s="197"/>
      <c r="FF113" s="197"/>
      <c r="FG113" s="197"/>
      <c r="FH113" s="197"/>
      <c r="FI113" s="197"/>
      <c r="FJ113" s="197"/>
      <c r="FK113" s="197"/>
      <c r="FL113" s="197"/>
      <c r="FM113" s="197"/>
      <c r="FN113" s="197"/>
      <c r="FO113" s="197"/>
      <c r="FP113" s="197"/>
      <c r="FQ113" s="197"/>
      <c r="FR113" s="197"/>
      <c r="FS113" s="197"/>
      <c r="FT113" s="197"/>
      <c r="FU113" s="197"/>
      <c r="FV113" s="197"/>
      <c r="FW113" s="197"/>
      <c r="FX113" s="197"/>
      <c r="FY113" s="197"/>
      <c r="FZ113" s="197"/>
      <c r="GA113" s="197"/>
      <c r="GB113" s="197"/>
      <c r="GC113" s="197"/>
      <c r="GD113" s="197"/>
      <c r="GE113" s="197"/>
      <c r="GF113" s="197"/>
      <c r="GG113" s="197"/>
      <c r="GH113" s="197"/>
      <c r="GI113" s="197"/>
      <c r="GJ113" s="197"/>
      <c r="GK113" s="197"/>
      <c r="GL113" s="197"/>
      <c r="GM113" s="197"/>
      <c r="GN113" s="197"/>
      <c r="GO113" s="197"/>
      <c r="GP113" s="197"/>
      <c r="GQ113" s="197"/>
      <c r="GR113" s="197"/>
      <c r="GS113" s="197"/>
      <c r="GT113" s="197"/>
      <c r="GU113" s="197"/>
      <c r="GV113" s="197"/>
      <c r="GW113" s="197"/>
      <c r="GX113" s="197"/>
      <c r="GY113" s="197"/>
    </row>
    <row r="114" spans="1:207" s="205" customFormat="1" x14ac:dyDescent="0.35">
      <c r="B114" s="311"/>
      <c r="C114" s="312"/>
      <c r="D114" s="313"/>
      <c r="E114" s="314"/>
      <c r="F114" s="314"/>
      <c r="G114" s="315"/>
      <c r="H114" s="316"/>
      <c r="I114" s="316"/>
      <c r="J114" s="317"/>
      <c r="K114" s="318"/>
      <c r="L114" s="319"/>
      <c r="M114" s="320"/>
      <c r="N114" s="737"/>
      <c r="O114" s="737"/>
      <c r="P114" s="197"/>
      <c r="Q114" s="197"/>
      <c r="R114" s="201"/>
      <c r="S114" s="201"/>
      <c r="T114" s="197"/>
      <c r="U114" s="197"/>
      <c r="V114" s="197"/>
      <c r="W114" s="197"/>
      <c r="X114" s="197"/>
      <c r="Y114" s="197"/>
      <c r="Z114" s="197"/>
      <c r="AA114" s="197"/>
      <c r="AB114" s="197"/>
      <c r="AC114" s="197"/>
      <c r="AD114" s="197"/>
      <c r="AE114" s="197"/>
      <c r="AF114" s="197"/>
      <c r="AG114" s="197"/>
      <c r="AH114" s="197"/>
      <c r="AI114" s="197"/>
      <c r="AJ114" s="197"/>
      <c r="AK114" s="197"/>
      <c r="AL114" s="197"/>
      <c r="AM114" s="197"/>
      <c r="AN114" s="197"/>
      <c r="AO114" s="197"/>
      <c r="AP114" s="197"/>
      <c r="AQ114" s="197"/>
      <c r="AR114" s="197"/>
      <c r="AS114" s="197"/>
      <c r="AT114" s="197"/>
      <c r="AU114" s="197"/>
      <c r="AV114" s="197"/>
      <c r="AW114" s="197"/>
      <c r="AX114" s="197"/>
      <c r="AY114" s="197"/>
      <c r="AZ114" s="197"/>
      <c r="BA114" s="197"/>
      <c r="BB114" s="197"/>
      <c r="BC114" s="197"/>
      <c r="BD114" s="197"/>
      <c r="BE114" s="197"/>
      <c r="BF114" s="197"/>
      <c r="BG114" s="197"/>
      <c r="BH114" s="197"/>
      <c r="BI114" s="197"/>
      <c r="BJ114" s="197"/>
      <c r="BK114" s="197"/>
      <c r="BL114" s="197"/>
      <c r="BM114" s="197"/>
      <c r="BN114" s="197"/>
      <c r="BO114" s="197"/>
      <c r="BP114" s="197"/>
      <c r="BQ114" s="197"/>
      <c r="BR114" s="197"/>
      <c r="BS114" s="197"/>
      <c r="BT114" s="197"/>
      <c r="BU114" s="197"/>
      <c r="BV114" s="197"/>
      <c r="BW114" s="197"/>
      <c r="BX114" s="197"/>
      <c r="BY114" s="197"/>
      <c r="BZ114" s="197"/>
      <c r="CA114" s="197"/>
      <c r="CB114" s="197"/>
      <c r="CC114" s="197"/>
      <c r="CD114" s="197"/>
      <c r="CE114" s="197"/>
      <c r="CF114" s="197"/>
      <c r="CG114" s="197"/>
      <c r="CH114" s="197"/>
      <c r="CI114" s="197"/>
      <c r="CJ114" s="197"/>
      <c r="CK114" s="197"/>
      <c r="CL114" s="197"/>
      <c r="CM114" s="197"/>
      <c r="CN114" s="197"/>
      <c r="CO114" s="197"/>
      <c r="CP114" s="197"/>
      <c r="CQ114" s="197"/>
      <c r="CR114" s="197"/>
      <c r="CS114" s="197"/>
      <c r="CT114" s="197"/>
      <c r="CU114" s="197"/>
      <c r="CV114" s="197"/>
      <c r="CW114" s="197"/>
      <c r="CX114" s="197"/>
      <c r="CY114" s="197"/>
      <c r="CZ114" s="197"/>
      <c r="DA114" s="197"/>
      <c r="DB114" s="197"/>
      <c r="DC114" s="197"/>
      <c r="DD114" s="197"/>
      <c r="DE114" s="197"/>
      <c r="DF114" s="197"/>
      <c r="DG114" s="197"/>
      <c r="DH114" s="197"/>
      <c r="DI114" s="197"/>
      <c r="DJ114" s="197"/>
      <c r="DK114" s="197"/>
      <c r="DL114" s="197"/>
      <c r="DM114" s="197"/>
      <c r="DN114" s="197"/>
      <c r="DO114" s="197"/>
      <c r="DP114" s="197"/>
      <c r="DQ114" s="197"/>
      <c r="DR114" s="197"/>
      <c r="DS114" s="197"/>
      <c r="DT114" s="197"/>
      <c r="DU114" s="197"/>
      <c r="DV114" s="197"/>
      <c r="DW114" s="197"/>
      <c r="DX114" s="197"/>
      <c r="DY114" s="197"/>
      <c r="DZ114" s="197"/>
      <c r="EA114" s="197"/>
      <c r="EB114" s="197"/>
      <c r="EC114" s="197"/>
      <c r="ED114" s="197"/>
      <c r="EE114" s="197"/>
      <c r="EF114" s="197"/>
      <c r="EG114" s="197"/>
      <c r="EH114" s="197"/>
      <c r="EI114" s="197"/>
      <c r="EJ114" s="197"/>
      <c r="EK114" s="197"/>
      <c r="EL114" s="197"/>
      <c r="EM114" s="197"/>
      <c r="EN114" s="197"/>
      <c r="EO114" s="197"/>
      <c r="EP114" s="197"/>
      <c r="EQ114" s="197"/>
      <c r="ER114" s="197"/>
      <c r="ES114" s="197"/>
      <c r="ET114" s="197"/>
      <c r="EU114" s="197"/>
      <c r="EV114" s="197"/>
      <c r="EW114" s="197"/>
      <c r="EX114" s="197"/>
      <c r="EY114" s="197"/>
      <c r="EZ114" s="197"/>
      <c r="FA114" s="197"/>
      <c r="FB114" s="197"/>
      <c r="FC114" s="197"/>
      <c r="FD114" s="197"/>
      <c r="FE114" s="197"/>
      <c r="FF114" s="197"/>
      <c r="FG114" s="197"/>
      <c r="FH114" s="197"/>
      <c r="FI114" s="197"/>
      <c r="FJ114" s="197"/>
      <c r="FK114" s="197"/>
      <c r="FL114" s="197"/>
      <c r="FM114" s="197"/>
      <c r="FN114" s="197"/>
      <c r="FO114" s="197"/>
      <c r="FP114" s="197"/>
      <c r="FQ114" s="197"/>
      <c r="FR114" s="197"/>
      <c r="FS114" s="197"/>
      <c r="FT114" s="197"/>
      <c r="FU114" s="197"/>
      <c r="FV114" s="197"/>
      <c r="FW114" s="197"/>
      <c r="FX114" s="197"/>
      <c r="FY114" s="197"/>
      <c r="FZ114" s="197"/>
      <c r="GA114" s="197"/>
      <c r="GB114" s="197"/>
      <c r="GC114" s="197"/>
      <c r="GD114" s="197"/>
      <c r="GE114" s="197"/>
      <c r="GF114" s="197"/>
      <c r="GG114" s="197"/>
      <c r="GH114" s="197"/>
      <c r="GI114" s="197"/>
      <c r="GJ114" s="197"/>
      <c r="GK114" s="197"/>
      <c r="GL114" s="197"/>
      <c r="GM114" s="197"/>
      <c r="GN114" s="197"/>
      <c r="GO114" s="197"/>
      <c r="GP114" s="197"/>
      <c r="GQ114" s="197"/>
      <c r="GR114" s="197"/>
      <c r="GS114" s="197"/>
      <c r="GT114" s="197"/>
      <c r="GU114" s="197"/>
      <c r="GV114" s="197"/>
      <c r="GW114" s="197"/>
      <c r="GX114" s="197"/>
      <c r="GY114" s="197"/>
    </row>
    <row r="115" spans="1:207" x14ac:dyDescent="0.35">
      <c r="B115" s="738" t="s">
        <v>367</v>
      </c>
      <c r="C115" s="738"/>
      <c r="D115" s="738"/>
      <c r="E115" s="738"/>
      <c r="F115" s="738"/>
      <c r="G115" s="321">
        <f>SUM(G114:G114)</f>
        <v>0</v>
      </c>
      <c r="H115" s="322"/>
      <c r="I115" s="322"/>
      <c r="J115" s="322"/>
      <c r="K115" s="322"/>
      <c r="L115" s="323"/>
      <c r="M115" s="323"/>
      <c r="N115" s="742"/>
      <c r="O115" s="742"/>
      <c r="R115" s="200"/>
      <c r="S115" s="201"/>
    </row>
    <row r="116" spans="1:207" x14ac:dyDescent="0.35">
      <c r="R116" s="200"/>
      <c r="S116" s="200"/>
    </row>
    <row r="117" spans="1:207" x14ac:dyDescent="0.35">
      <c r="L117" s="192"/>
      <c r="M117" s="192"/>
      <c r="N117" s="192"/>
      <c r="Q117" s="192"/>
      <c r="R117" s="192"/>
      <c r="S117" s="192"/>
      <c r="T117" s="192"/>
      <c r="U117" s="192"/>
      <c r="V117" s="192"/>
      <c r="W117" s="192"/>
      <c r="X117" s="192"/>
      <c r="Y117" s="192"/>
    </row>
    <row r="118" spans="1:207" ht="13.5" thickBot="1" x14ac:dyDescent="0.4">
      <c r="L118" s="192"/>
      <c r="M118" s="192"/>
      <c r="N118" s="192"/>
      <c r="Q118" s="192"/>
      <c r="R118" s="192"/>
      <c r="S118" s="192"/>
      <c r="T118" s="192"/>
      <c r="U118" s="192"/>
      <c r="V118" s="192"/>
      <c r="W118" s="192"/>
      <c r="X118" s="192"/>
      <c r="Y118" s="192"/>
    </row>
    <row r="119" spans="1:207" s="197" customFormat="1" ht="14" thickTop="1" thickBot="1" x14ac:dyDescent="0.4">
      <c r="A119" s="192"/>
      <c r="B119" s="741" t="s">
        <v>314</v>
      </c>
      <c r="C119" s="741"/>
      <c r="D119" s="741"/>
      <c r="E119" s="741"/>
      <c r="F119" s="741"/>
      <c r="G119" s="306">
        <f>H13</f>
        <v>35587.78883454208</v>
      </c>
      <c r="H119" s="222">
        <f>G119/$G$124</f>
        <v>5.404847663341943E-3</v>
      </c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  <c r="X119" s="192"/>
      <c r="Y119" s="192"/>
    </row>
    <row r="120" spans="1:207" s="197" customFormat="1" ht="14" thickTop="1" thickBot="1" x14ac:dyDescent="0.4">
      <c r="A120" s="192"/>
      <c r="B120" s="741" t="s">
        <v>323</v>
      </c>
      <c r="C120" s="741"/>
      <c r="D120" s="741"/>
      <c r="E120" s="741"/>
      <c r="F120" s="741"/>
      <c r="G120" s="306">
        <f>H24</f>
        <v>2578683.167481869</v>
      </c>
      <c r="H120" s="222">
        <f t="shared" ref="H120:H123" si="4">G120/$G$124</f>
        <v>0.39163404495464815</v>
      </c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  <c r="X120" s="192"/>
      <c r="Y120" s="192"/>
    </row>
    <row r="121" spans="1:207" s="197" customFormat="1" ht="14" thickTop="1" thickBot="1" x14ac:dyDescent="0.4">
      <c r="A121" s="192"/>
      <c r="B121" s="741" t="s">
        <v>329</v>
      </c>
      <c r="C121" s="741"/>
      <c r="D121" s="741"/>
      <c r="E121" s="741"/>
      <c r="F121" s="741"/>
      <c r="G121" s="306">
        <f>H43</f>
        <v>1339536.5997638726</v>
      </c>
      <c r="H121" s="222">
        <f t="shared" si="4"/>
        <v>0.20344032316409402</v>
      </c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2"/>
      <c r="Y121" s="192"/>
    </row>
    <row r="122" spans="1:207" s="197" customFormat="1" ht="14" thickTop="1" thickBot="1" x14ac:dyDescent="0.4">
      <c r="A122" s="192"/>
      <c r="B122" s="727" t="s">
        <v>337</v>
      </c>
      <c r="C122" s="727"/>
      <c r="D122" s="727"/>
      <c r="E122" s="727"/>
      <c r="F122" s="727"/>
      <c r="G122" s="306">
        <f>G54</f>
        <v>1280965.2784617981</v>
      </c>
      <c r="H122" s="222">
        <f t="shared" si="4"/>
        <v>0.19454488235572606</v>
      </c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  <c r="X122" s="192"/>
      <c r="Y122" s="192"/>
    </row>
    <row r="123" spans="1:207" ht="14" thickTop="1" thickBot="1" x14ac:dyDescent="0.4">
      <c r="B123" s="727" t="s">
        <v>347</v>
      </c>
      <c r="C123" s="727"/>
      <c r="D123" s="727"/>
      <c r="E123" s="727"/>
      <c r="F123" s="727"/>
      <c r="G123" s="306">
        <f>G103</f>
        <v>1349647.4953617812</v>
      </c>
      <c r="H123" s="222">
        <f t="shared" si="4"/>
        <v>0.20497590186218972</v>
      </c>
      <c r="L123" s="192"/>
      <c r="M123" s="192"/>
      <c r="N123" s="192"/>
      <c r="Q123" s="192"/>
      <c r="R123" s="192"/>
      <c r="S123" s="192"/>
      <c r="T123" s="192"/>
      <c r="U123" s="192"/>
      <c r="V123" s="192"/>
      <c r="W123" s="192"/>
      <c r="X123" s="192"/>
      <c r="Y123" s="192"/>
    </row>
    <row r="124" spans="1:207" ht="14" thickTop="1" thickBot="1" x14ac:dyDescent="0.4">
      <c r="B124" s="728" t="s">
        <v>403</v>
      </c>
      <c r="C124" s="728"/>
      <c r="D124" s="728"/>
      <c r="E124" s="728"/>
      <c r="F124" s="728"/>
      <c r="G124" s="307">
        <f>SUM(G119:G123)</f>
        <v>6584420.3299038634</v>
      </c>
      <c r="H124" s="222"/>
      <c r="L124" s="192"/>
      <c r="M124" s="192"/>
      <c r="N124" s="192"/>
      <c r="Q124" s="192"/>
      <c r="R124" s="192"/>
      <c r="S124" s="192"/>
      <c r="T124" s="192"/>
      <c r="U124" s="192"/>
      <c r="V124" s="192"/>
      <c r="W124" s="192"/>
      <c r="X124" s="192"/>
      <c r="Y124" s="192"/>
    </row>
    <row r="125" spans="1:207" ht="14" thickTop="1" thickBot="1" x14ac:dyDescent="0.4">
      <c r="A125" s="220"/>
      <c r="B125" s="727" t="s">
        <v>400</v>
      </c>
      <c r="C125" s="727"/>
      <c r="D125" s="727"/>
      <c r="E125" s="727"/>
      <c r="F125" s="727"/>
      <c r="G125" s="306">
        <f>'CC detallado'!N144</f>
        <v>33732.5012649688</v>
      </c>
      <c r="H125" s="222">
        <f>G125/$G$129</f>
        <v>4.2317610131682344E-3</v>
      </c>
      <c r="L125" s="192"/>
      <c r="M125" s="192"/>
      <c r="N125" s="192"/>
      <c r="Q125" s="192"/>
      <c r="R125" s="192"/>
      <c r="S125" s="192"/>
      <c r="T125" s="192"/>
      <c r="U125" s="192"/>
      <c r="V125" s="192"/>
      <c r="W125" s="192"/>
      <c r="X125" s="192"/>
      <c r="Y125" s="192"/>
    </row>
    <row r="126" spans="1:207" ht="14" thickTop="1" thickBot="1" x14ac:dyDescent="0.4">
      <c r="A126" s="220"/>
      <c r="B126" s="727" t="s">
        <v>404</v>
      </c>
      <c r="C126" s="727"/>
      <c r="D126" s="727"/>
      <c r="E126" s="727"/>
      <c r="F126" s="727" t="s">
        <v>402</v>
      </c>
      <c r="G126" s="306">
        <f>'CC detallado'!N22+'CC detallado'!N23+'CC detallado'!N34</f>
        <v>443919.71664698934</v>
      </c>
      <c r="H126" s="222">
        <f t="shared" ref="H126:H128" si="5">G126/$G$129</f>
        <v>5.5689974933293959E-2</v>
      </c>
      <c r="L126" s="192"/>
      <c r="M126" s="192"/>
      <c r="N126" s="192"/>
      <c r="Q126" s="192"/>
      <c r="R126" s="192"/>
      <c r="S126" s="192"/>
      <c r="T126" s="192"/>
      <c r="U126" s="192"/>
      <c r="V126" s="192"/>
      <c r="W126" s="192"/>
      <c r="X126" s="192"/>
      <c r="Y126" s="192"/>
    </row>
    <row r="127" spans="1:207" ht="14" thickTop="1" thickBot="1" x14ac:dyDescent="0.4">
      <c r="A127" s="220"/>
      <c r="B127" s="727" t="s">
        <v>405</v>
      </c>
      <c r="C127" s="727"/>
      <c r="D127" s="727"/>
      <c r="E127" s="727"/>
      <c r="F127" s="727" t="s">
        <v>50</v>
      </c>
      <c r="G127" s="306">
        <f>'CC detallado'!N37+'CC detallado'!N38+'CC detallado'!N39</f>
        <v>609195.47984483046</v>
      </c>
      <c r="H127" s="222">
        <f t="shared" si="5"/>
        <v>7.6423911193413047E-2</v>
      </c>
      <c r="L127" s="192"/>
      <c r="M127" s="192"/>
      <c r="N127" s="192"/>
      <c r="Q127" s="192"/>
      <c r="R127" s="192" t="s">
        <v>369</v>
      </c>
      <c r="S127" s="192"/>
      <c r="T127" s="192"/>
      <c r="U127" s="192"/>
      <c r="V127" s="192"/>
      <c r="W127" s="192"/>
      <c r="X127" s="192"/>
      <c r="Y127" s="192"/>
    </row>
    <row r="128" spans="1:207" ht="14" thickTop="1" thickBot="1" x14ac:dyDescent="0.4">
      <c r="A128" s="220"/>
      <c r="B128" s="727" t="s">
        <v>406</v>
      </c>
      <c r="C128" s="727"/>
      <c r="D128" s="727"/>
      <c r="E128" s="727"/>
      <c r="F128" s="727" t="s">
        <v>69</v>
      </c>
      <c r="G128" s="306">
        <f>'CC detallado'!N166+'CC detallado'!N172</f>
        <v>300000</v>
      </c>
      <c r="H128" s="222">
        <f t="shared" si="5"/>
        <v>3.7635166570611694E-2</v>
      </c>
      <c r="L128" s="192"/>
      <c r="M128" s="192"/>
      <c r="N128" s="192"/>
      <c r="Q128" s="192"/>
      <c r="R128" s="192" t="s">
        <v>368</v>
      </c>
      <c r="S128" s="192"/>
      <c r="T128" s="192"/>
      <c r="U128" s="192"/>
      <c r="V128" s="192"/>
      <c r="W128" s="192"/>
      <c r="X128" s="192"/>
      <c r="Y128" s="192"/>
    </row>
    <row r="129" spans="1:25" ht="14" thickTop="1" thickBot="1" x14ac:dyDescent="0.4">
      <c r="B129" s="728" t="s">
        <v>214</v>
      </c>
      <c r="C129" s="728"/>
      <c r="D129" s="728"/>
      <c r="E129" s="728"/>
      <c r="F129" s="728" t="s">
        <v>401</v>
      </c>
      <c r="G129" s="307">
        <f>SUM(G124:G128)</f>
        <v>7971268.027660653</v>
      </c>
      <c r="H129" s="223"/>
      <c r="L129" s="192"/>
      <c r="M129" s="192"/>
      <c r="N129" s="192"/>
      <c r="Q129" s="192"/>
      <c r="R129" s="192"/>
      <c r="S129" s="192"/>
      <c r="T129" s="192"/>
      <c r="U129" s="192"/>
      <c r="V129" s="192"/>
      <c r="W129" s="192"/>
      <c r="X129" s="192"/>
      <c r="Y129" s="192"/>
    </row>
    <row r="130" spans="1:25" s="197" customFormat="1" ht="13.5" thickTop="1" x14ac:dyDescent="0.35">
      <c r="A130" s="192"/>
      <c r="B130" s="192"/>
      <c r="C130" s="193"/>
      <c r="D130" s="194"/>
      <c r="E130" s="192"/>
      <c r="F130" s="192"/>
      <c r="G130" s="224">
        <f>15000000-G129</f>
        <v>7028731.972339347</v>
      </c>
      <c r="H130" s="192"/>
      <c r="I130" s="192"/>
      <c r="J130" s="192"/>
      <c r="K130" s="192"/>
      <c r="L130" s="196"/>
      <c r="M130" s="196"/>
      <c r="N130" s="194"/>
      <c r="O130" s="192"/>
      <c r="P130" s="192"/>
      <c r="R130" s="201" t="s">
        <v>91</v>
      </c>
      <c r="S130" s="200"/>
    </row>
  </sheetData>
  <autoFilter ref="B10:O115" xr:uid="{00000000-0009-0000-0000-000009000000}">
    <filterColumn colId="6" showButton="0"/>
    <filterColumn colId="7" showButton="0"/>
    <filterColumn colId="11" showButton="0"/>
  </autoFilter>
  <mergeCells count="103">
    <mergeCell ref="B120:F120"/>
    <mergeCell ref="B121:F121"/>
    <mergeCell ref="B122:F122"/>
    <mergeCell ref="B123:F123"/>
    <mergeCell ref="B125:F125"/>
    <mergeCell ref="B124:F124"/>
    <mergeCell ref="L112:M112"/>
    <mergeCell ref="N112:O113"/>
    <mergeCell ref="N114:O114"/>
    <mergeCell ref="B115:F115"/>
    <mergeCell ref="N115:O115"/>
    <mergeCell ref="B119:F119"/>
    <mergeCell ref="B109:F109"/>
    <mergeCell ref="N109:O109"/>
    <mergeCell ref="B111:O111"/>
    <mergeCell ref="B112:B113"/>
    <mergeCell ref="C112:C113"/>
    <mergeCell ref="D112:D113"/>
    <mergeCell ref="E112:F113"/>
    <mergeCell ref="G112:I112"/>
    <mergeCell ref="J112:J113"/>
    <mergeCell ref="B103:F103"/>
    <mergeCell ref="B57:B58"/>
    <mergeCell ref="C57:C58"/>
    <mergeCell ref="D57:D58"/>
    <mergeCell ref="E57:E58"/>
    <mergeCell ref="F57:F58"/>
    <mergeCell ref="G57:I57"/>
    <mergeCell ref="B105:O105"/>
    <mergeCell ref="B106:B107"/>
    <mergeCell ref="C106:C107"/>
    <mergeCell ref="D106:D107"/>
    <mergeCell ref="E106:E107"/>
    <mergeCell ref="F106:F107"/>
    <mergeCell ref="G106:I106"/>
    <mergeCell ref="J106:J107"/>
    <mergeCell ref="K106:K107"/>
    <mergeCell ref="L106:M106"/>
    <mergeCell ref="N106:O107"/>
    <mergeCell ref="B43:G43"/>
    <mergeCell ref="B45:O45"/>
    <mergeCell ref="B46:B47"/>
    <mergeCell ref="C46:C47"/>
    <mergeCell ref="D46:D47"/>
    <mergeCell ref="E46:E47"/>
    <mergeCell ref="F46:F47"/>
    <mergeCell ref="N48:O48"/>
    <mergeCell ref="B54:F54"/>
    <mergeCell ref="B56:O56"/>
    <mergeCell ref="G46:I46"/>
    <mergeCell ref="J46:J47"/>
    <mergeCell ref="K46:K47"/>
    <mergeCell ref="L46:M46"/>
    <mergeCell ref="N46:O47"/>
    <mergeCell ref="N50:O50"/>
    <mergeCell ref="J57:J58"/>
    <mergeCell ref="K57:K58"/>
    <mergeCell ref="L57:L58"/>
    <mergeCell ref="M57:N57"/>
    <mergeCell ref="O57:O58"/>
    <mergeCell ref="B15:O15"/>
    <mergeCell ref="B16:B17"/>
    <mergeCell ref="C16:C17"/>
    <mergeCell ref="D16:D17"/>
    <mergeCell ref="E16:E17"/>
    <mergeCell ref="F16:F17"/>
    <mergeCell ref="B24:G24"/>
    <mergeCell ref="B26:O26"/>
    <mergeCell ref="B27:B28"/>
    <mergeCell ref="C27:C28"/>
    <mergeCell ref="D27:D28"/>
    <mergeCell ref="E27:E28"/>
    <mergeCell ref="F27:F28"/>
    <mergeCell ref="G27:G28"/>
    <mergeCell ref="H27:J27"/>
    <mergeCell ref="K27:K28"/>
    <mergeCell ref="L27:L28"/>
    <mergeCell ref="M27:N27"/>
    <mergeCell ref="O27:O28"/>
    <mergeCell ref="B126:F126"/>
    <mergeCell ref="B127:F127"/>
    <mergeCell ref="B128:F128"/>
    <mergeCell ref="B129:F129"/>
    <mergeCell ref="B8:O8"/>
    <mergeCell ref="B9:O9"/>
    <mergeCell ref="B10:B11"/>
    <mergeCell ref="C10:C11"/>
    <mergeCell ref="D10:D11"/>
    <mergeCell ref="E10:E11"/>
    <mergeCell ref="F10:F11"/>
    <mergeCell ref="G10:G11"/>
    <mergeCell ref="H10:J10"/>
    <mergeCell ref="K10:K11"/>
    <mergeCell ref="G16:G17"/>
    <mergeCell ref="H16:J16"/>
    <mergeCell ref="K16:K17"/>
    <mergeCell ref="L16:L17"/>
    <mergeCell ref="M16:N16"/>
    <mergeCell ref="O16:O17"/>
    <mergeCell ref="L10:L11"/>
    <mergeCell ref="M10:N10"/>
    <mergeCell ref="O10:O11"/>
    <mergeCell ref="B13:G13"/>
  </mergeCells>
  <dataValidations count="2">
    <dataValidation type="list" allowBlank="1" showInputMessage="1" showErrorMessage="1" sqref="E44" xr:uid="{00000000-0002-0000-0900-000000000000}">
      <formula1>$R$18:$R$28</formula1>
    </dataValidation>
    <dataValidation type="list" allowBlank="1" showInputMessage="1" showErrorMessage="1" sqref="E59:E102" xr:uid="{00000000-0002-0000-0900-000001000000}">
      <formula1>$R$128:$R$130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115" min="1" max="14" man="1"/>
  </rowBreaks>
  <colBreaks count="1" manualBreakCount="1">
    <brk id="15" min="7" max="15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04"/>
  <sheetViews>
    <sheetView showGridLines="0" topLeftCell="A34" zoomScale="90" zoomScaleNormal="90" zoomScaleSheetLayoutView="100" workbookViewId="0">
      <selection activeCell="G11" sqref="G11"/>
    </sheetView>
  </sheetViews>
  <sheetFormatPr defaultColWidth="9.08984375" defaultRowHeight="11.5" x14ac:dyDescent="0.35"/>
  <cols>
    <col min="1" max="1" width="52.6328125" style="180" customWidth="1"/>
    <col min="2" max="2" width="14.36328125" style="179" customWidth="1"/>
    <col min="3" max="3" width="14.36328125" style="180" customWidth="1"/>
    <col min="4" max="4" width="14.36328125" style="181" customWidth="1"/>
    <col min="5" max="5" width="16.54296875" style="182" customWidth="1"/>
    <col min="6" max="6" width="12.90625" style="182" customWidth="1"/>
    <col min="7" max="7" width="14.453125" style="182" customWidth="1"/>
    <col min="8" max="16384" width="9.08984375" style="182"/>
  </cols>
  <sheetData>
    <row r="1" spans="1:5" ht="13" x14ac:dyDescent="0.3">
      <c r="A1" s="178" t="s">
        <v>370</v>
      </c>
    </row>
    <row r="2" spans="1:5" ht="13" x14ac:dyDescent="0.3">
      <c r="A2" s="178" t="s">
        <v>291</v>
      </c>
    </row>
    <row r="3" spans="1:5" ht="13" x14ac:dyDescent="0.3">
      <c r="A3" s="183"/>
    </row>
    <row r="4" spans="1:5" ht="13" x14ac:dyDescent="0.3">
      <c r="A4" s="178" t="str">
        <f>PA!B4</f>
        <v>Operación: Proyecto de Implementación del Sistema del Censo y Encuestas Agropecuarias PR-L1147</v>
      </c>
    </row>
    <row r="5" spans="1:5" ht="13" x14ac:dyDescent="0.3">
      <c r="A5" s="183"/>
    </row>
    <row r="6" spans="1:5" ht="13" x14ac:dyDescent="0.3">
      <c r="A6" s="178" t="s">
        <v>292</v>
      </c>
    </row>
    <row r="8" spans="1:5" s="184" customFormat="1" x14ac:dyDescent="0.35">
      <c r="A8" s="351" t="s">
        <v>371</v>
      </c>
      <c r="B8" s="351" t="s">
        <v>372</v>
      </c>
      <c r="C8" s="351" t="s">
        <v>373</v>
      </c>
      <c r="D8" s="352" t="s">
        <v>374</v>
      </c>
    </row>
    <row r="9" spans="1:5" x14ac:dyDescent="0.35">
      <c r="A9" s="353" t="s">
        <v>375</v>
      </c>
      <c r="B9" s="354"/>
      <c r="C9" s="355"/>
      <c r="D9" s="356">
        <f>SUM(D10:D15)</f>
        <v>2578683.167481869</v>
      </c>
      <c r="E9" s="185"/>
    </row>
    <row r="10" spans="1:5" x14ac:dyDescent="0.35">
      <c r="A10" s="232" t="str">
        <f>PA!C18</f>
        <v>Adquisición de Combustible</v>
      </c>
      <c r="B10" s="233" t="str">
        <f>PA!E18</f>
        <v>SD</v>
      </c>
      <c r="C10" s="233" t="str">
        <f>PA!M18</f>
        <v>2T - AÑO 1</v>
      </c>
      <c r="D10" s="234">
        <f>PA!H18</f>
        <v>283353.01062573789</v>
      </c>
      <c r="E10" s="185"/>
    </row>
    <row r="11" spans="1:5" x14ac:dyDescent="0.35">
      <c r="A11" s="232" t="str">
        <f>PA!C19</f>
        <v>Adquisición de mobiliarios de oficinas</v>
      </c>
      <c r="B11" s="233" t="str">
        <f>PA!E19</f>
        <v>SBE</v>
      </c>
      <c r="C11" s="233" t="str">
        <f>PA!M23</f>
        <v>2T - AÑO 1</v>
      </c>
      <c r="D11" s="234">
        <f>PA!H19</f>
        <v>32383.201214370049</v>
      </c>
      <c r="E11" s="185"/>
    </row>
    <row r="12" spans="1:5" x14ac:dyDescent="0.35">
      <c r="A12" s="232" t="str">
        <f>PA!C20</f>
        <v>Equipos Informaticos y Tablets</v>
      </c>
      <c r="B12" s="233" t="str">
        <f>PA!E20</f>
        <v>LPI</v>
      </c>
      <c r="C12" s="233" t="str">
        <f>PA!M19</f>
        <v>2T - AÑO 1</v>
      </c>
      <c r="D12" s="234">
        <f>PA!H20</f>
        <v>1382013.8303255187</v>
      </c>
      <c r="E12" s="185"/>
    </row>
    <row r="13" spans="1:5" x14ac:dyDescent="0.35">
      <c r="A13" s="232" t="str">
        <f>PA!C21</f>
        <v>Adquisicion de vehiculos</v>
      </c>
      <c r="B13" s="233" t="str">
        <f>PA!E21</f>
        <v>LPI</v>
      </c>
      <c r="C13" s="233" t="str">
        <f>PA!M20</f>
        <v>2T - AÑO 1</v>
      </c>
      <c r="D13" s="234">
        <f>PA!H21</f>
        <v>617500</v>
      </c>
      <c r="E13" s="185"/>
    </row>
    <row r="14" spans="1:5" x14ac:dyDescent="0.35">
      <c r="A14" s="232" t="str">
        <f>PA!C22</f>
        <v>Software y licencias</v>
      </c>
      <c r="B14" s="233" t="str">
        <f>PA!E22</f>
        <v>SBE</v>
      </c>
      <c r="C14" s="233" t="str">
        <f>PA!M21</f>
        <v>2T - AÑO 1</v>
      </c>
      <c r="D14" s="234">
        <f>PA!H22</f>
        <v>239433.12531624219</v>
      </c>
      <c r="E14" s="185"/>
    </row>
    <row r="15" spans="1:5" x14ac:dyDescent="0.35">
      <c r="A15" s="232" t="str">
        <f>PA!C23</f>
        <v>Imágenes Satelitales de alta resolución</v>
      </c>
      <c r="B15" s="233" t="str">
        <f>PA!E23</f>
        <v>SBE</v>
      </c>
      <c r="C15" s="233" t="str">
        <f>PA!M22</f>
        <v>2T - AÑO 1</v>
      </c>
      <c r="D15" s="234">
        <f>PA!H23</f>
        <v>24000</v>
      </c>
      <c r="E15" s="185"/>
    </row>
    <row r="16" spans="1:5" x14ac:dyDescent="0.35">
      <c r="A16" s="232"/>
      <c r="B16" s="233"/>
      <c r="C16" s="233"/>
      <c r="D16" s="234"/>
      <c r="E16" s="185"/>
    </row>
    <row r="17" spans="1:5" x14ac:dyDescent="0.35">
      <c r="A17" s="232"/>
      <c r="B17" s="233"/>
      <c r="C17" s="233"/>
      <c r="D17" s="234"/>
      <c r="E17" s="185"/>
    </row>
    <row r="18" spans="1:5" x14ac:dyDescent="0.35">
      <c r="A18" s="353" t="s">
        <v>376</v>
      </c>
      <c r="B18" s="354"/>
      <c r="C18" s="354"/>
      <c r="D18" s="357">
        <f>D19</f>
        <v>35587.78883454208</v>
      </c>
      <c r="E18" s="185"/>
    </row>
    <row r="19" spans="1:5" x14ac:dyDescent="0.35">
      <c r="A19" s="235" t="str">
        <f>PA!C12</f>
        <v>Adecuaciones edilicias</v>
      </c>
      <c r="B19" s="233" t="str">
        <f>PA!E12</f>
        <v>CP</v>
      </c>
      <c r="C19" s="236" t="str">
        <f>PA!M12</f>
        <v>2T - AÑO 1</v>
      </c>
      <c r="D19" s="234">
        <f>PA!H12</f>
        <v>35587.78883454208</v>
      </c>
    </row>
    <row r="20" spans="1:5" x14ac:dyDescent="0.35">
      <c r="A20" s="235"/>
      <c r="B20" s="233"/>
      <c r="C20" s="236"/>
      <c r="D20" s="234"/>
    </row>
    <row r="21" spans="1:5" x14ac:dyDescent="0.35">
      <c r="A21" s="353" t="s">
        <v>377</v>
      </c>
      <c r="B21" s="354"/>
      <c r="C21" s="354"/>
      <c r="D21" s="357">
        <f>SUM(D22:D35)</f>
        <v>1339536.5997638726</v>
      </c>
      <c r="E21" s="185"/>
    </row>
    <row r="22" spans="1:5" x14ac:dyDescent="0.35">
      <c r="A22" s="237" t="str">
        <f>PA!C29</f>
        <v>Mantenimiento de vehículos</v>
      </c>
      <c r="B22" s="236" t="str">
        <f>PA!E29</f>
        <v>SBE</v>
      </c>
      <c r="C22" s="236" t="str">
        <f>PA!M29</f>
        <v>2T - AÑO 1</v>
      </c>
      <c r="D22" s="234">
        <f>PA!H29</f>
        <v>53128.689492325851</v>
      </c>
      <c r="E22" s="185"/>
    </row>
    <row r="23" spans="1:5" x14ac:dyDescent="0.35">
      <c r="A23" s="237" t="str">
        <f>PA!C30</f>
        <v>Servicio de Logística para la Prueba Piloto del Censo</v>
      </c>
      <c r="B23" s="236" t="str">
        <f>PA!E30</f>
        <v>SBE</v>
      </c>
      <c r="C23" s="236" t="str">
        <f>PA!M30</f>
        <v>1T - AÑO 2</v>
      </c>
      <c r="D23" s="234">
        <f>PA!H30</f>
        <v>75898.127846179792</v>
      </c>
      <c r="E23" s="185"/>
    </row>
    <row r="24" spans="1:5" ht="23" x14ac:dyDescent="0.35">
      <c r="A24" s="237" t="str">
        <f>PA!C31</f>
        <v>Firma para contratación y gestión del personal para el trabajo de campo</v>
      </c>
      <c r="B24" s="236" t="str">
        <f>PA!E31</f>
        <v>LPI</v>
      </c>
      <c r="C24" s="236" t="str">
        <f>PA!M31</f>
        <v>3T - AÑO 1</v>
      </c>
      <c r="D24" s="234">
        <f>PA!H31</f>
        <v>335894.75459605327</v>
      </c>
      <c r="E24" s="185"/>
    </row>
    <row r="25" spans="1:5" ht="23" x14ac:dyDescent="0.35">
      <c r="A25" s="237" t="str">
        <f>PA!C32</f>
        <v>Apoyo Logístico para Censo (Alquiler y mantenimiento de subcentros operativos)</v>
      </c>
      <c r="B25" s="236" t="str">
        <f>PA!E32</f>
        <v>SBE</v>
      </c>
      <c r="C25" s="236" t="str">
        <f>PA!M32</f>
        <v>1T - AÑO 2</v>
      </c>
      <c r="D25" s="234">
        <f>PA!H32</f>
        <v>80958.00303592511</v>
      </c>
      <c r="E25" s="185"/>
    </row>
    <row r="26" spans="1:5" x14ac:dyDescent="0.35">
      <c r="A26" s="237" t="str">
        <f>PA!C33</f>
        <v>Materiales para las capacitaciones y catering</v>
      </c>
      <c r="B26" s="236" t="str">
        <f>PA!E33</f>
        <v>SBE</v>
      </c>
      <c r="C26" s="236" t="str">
        <f>PA!M33</f>
        <v>2T - AÑO 1</v>
      </c>
      <c r="D26" s="234">
        <f>PA!H33</f>
        <v>168662.506324844</v>
      </c>
      <c r="E26" s="185"/>
    </row>
    <row r="27" spans="1:5" x14ac:dyDescent="0.35">
      <c r="A27" s="237" t="str">
        <f>PA!C34</f>
        <v>Diseño e Impresión de cuestionarios censales</v>
      </c>
      <c r="B27" s="236" t="str">
        <f>PA!E34</f>
        <v>SBE</v>
      </c>
      <c r="C27" s="236" t="str">
        <f>PA!M34</f>
        <v>2T - AÑO 1</v>
      </c>
      <c r="D27" s="234">
        <f>PA!H34</f>
        <v>20239.500758981278</v>
      </c>
      <c r="E27" s="185"/>
    </row>
    <row r="28" spans="1:5" x14ac:dyDescent="0.35">
      <c r="A28" s="237" t="str">
        <f>PA!C35</f>
        <v>Identificador Personal(chalecos, quepis, porta nombre)</v>
      </c>
      <c r="B28" s="236" t="str">
        <f>PA!E35</f>
        <v>SBE</v>
      </c>
      <c r="C28" s="236" t="str">
        <f>PA!M35</f>
        <v>2T - AÑO 1</v>
      </c>
      <c r="D28" s="234">
        <f>PA!H35</f>
        <v>55658.627087198518</v>
      </c>
      <c r="E28" s="185"/>
    </row>
    <row r="29" spans="1:5" x14ac:dyDescent="0.35">
      <c r="A29" s="237" t="str">
        <f>PA!C36</f>
        <v>Contratación de agencia publicitaria (Radio y TV)</v>
      </c>
      <c r="B29" s="236" t="str">
        <f>PA!E36</f>
        <v>SBE</v>
      </c>
      <c r="C29" s="236" t="str">
        <f>PA!M36</f>
        <v>1T - AÑO 2</v>
      </c>
      <c r="D29" s="234">
        <f>PA!H36</f>
        <v>236127.5088547816</v>
      </c>
      <c r="E29" s="185"/>
    </row>
    <row r="30" spans="1:5" x14ac:dyDescent="0.35">
      <c r="A30" s="237" t="str">
        <f>PA!C37</f>
        <v>Publicaciones de resultados censales</v>
      </c>
      <c r="B30" s="236" t="str">
        <f>PA!E37</f>
        <v>SBE</v>
      </c>
      <c r="C30" s="236" t="str">
        <f>PA!M37</f>
        <v>1T - AÑO 3</v>
      </c>
      <c r="D30" s="234">
        <f>PA!H37</f>
        <v>84331.253162421999</v>
      </c>
      <c r="E30" s="185"/>
    </row>
    <row r="31" spans="1:5" x14ac:dyDescent="0.35">
      <c r="A31" s="237" t="str">
        <f>PA!C38</f>
        <v>Pasajes aereos</v>
      </c>
      <c r="B31" s="236" t="str">
        <f>PA!E38</f>
        <v>CP</v>
      </c>
      <c r="C31" s="236" t="str">
        <f>PA!M38</f>
        <v>2T - AÑO 1</v>
      </c>
      <c r="D31" s="234">
        <f>PA!H38</f>
        <v>35419.126328217237</v>
      </c>
      <c r="E31" s="185"/>
    </row>
    <row r="32" spans="1:5" x14ac:dyDescent="0.35">
      <c r="A32" s="237" t="str">
        <f>PA!C39</f>
        <v>Seguros de vehiculos</v>
      </c>
      <c r="B32" s="236" t="str">
        <f>PA!E39</f>
        <v>SBE</v>
      </c>
      <c r="C32" s="236" t="str">
        <f>PA!M39</f>
        <v>2T - AÑO 1</v>
      </c>
      <c r="D32" s="234">
        <f>PA!H39</f>
        <v>32500</v>
      </c>
      <c r="E32" s="185"/>
    </row>
    <row r="33" spans="1:5" x14ac:dyDescent="0.35">
      <c r="A33" s="237" t="str">
        <f>PA!C40</f>
        <v>Transmisión de datos (Internet corporativo-soporte)</v>
      </c>
      <c r="B33" s="236" t="str">
        <f>PA!E40</f>
        <v>SBE</v>
      </c>
      <c r="C33" s="236" t="str">
        <f>PA!M40</f>
        <v>2T - AÑO 2</v>
      </c>
      <c r="D33" s="234">
        <f>PA!H40</f>
        <v>10119.750379490639</v>
      </c>
      <c r="E33" s="185"/>
    </row>
    <row r="34" spans="1:5" x14ac:dyDescent="0.35">
      <c r="A34" s="237" t="str">
        <f>PA!C41</f>
        <v>Mantenimiento de equipos informáticos</v>
      </c>
      <c r="B34" s="236" t="str">
        <f>PA!E41</f>
        <v>SBE</v>
      </c>
      <c r="C34" s="236" t="str">
        <f>PA!M41</f>
        <v>2T - AÑO 1</v>
      </c>
      <c r="D34" s="234">
        <f>PA!H41</f>
        <v>50598.751897453199</v>
      </c>
      <c r="E34" s="185"/>
    </row>
    <row r="35" spans="1:5" x14ac:dyDescent="0.35">
      <c r="A35" s="237" t="str">
        <f>PA!C42</f>
        <v>Publicación y difusión de resultados</v>
      </c>
      <c r="B35" s="236" t="str">
        <f>PA!E42</f>
        <v>SBE</v>
      </c>
      <c r="C35" s="236" t="str">
        <f>PA!M42</f>
        <v>3T - AÑO 4</v>
      </c>
      <c r="D35" s="234">
        <f>PA!H42</f>
        <v>100000</v>
      </c>
      <c r="E35" s="185"/>
    </row>
    <row r="36" spans="1:5" x14ac:dyDescent="0.35">
      <c r="A36" s="237"/>
      <c r="B36" s="236"/>
      <c r="C36" s="236"/>
      <c r="D36" s="234"/>
      <c r="E36" s="185"/>
    </row>
    <row r="37" spans="1:5" x14ac:dyDescent="0.35">
      <c r="A37" s="353" t="s">
        <v>378</v>
      </c>
      <c r="B37" s="354"/>
      <c r="C37" s="355"/>
      <c r="D37" s="358">
        <f>SUM(D38:D43)</f>
        <v>1280965.2784617981</v>
      </c>
      <c r="E37" s="185"/>
    </row>
    <row r="38" spans="1:5" x14ac:dyDescent="0.35">
      <c r="A38" s="232" t="str">
        <f>PA!C48</f>
        <v>Evaluación por muestreo de la calidad de los datos</v>
      </c>
      <c r="B38" s="233" t="str">
        <f>PA!E48</f>
        <v>SBCC</v>
      </c>
      <c r="C38" s="233" t="str">
        <f>PA!L48</f>
        <v>3T - AÑO 2</v>
      </c>
      <c r="D38" s="234">
        <f>PA!G48</f>
        <v>315857</v>
      </c>
      <c r="E38" s="185"/>
    </row>
    <row r="39" spans="1:5" x14ac:dyDescent="0.35">
      <c r="A39" s="232" t="str">
        <f>PA!C49</f>
        <v>Asistencia Tecnica en TIC</v>
      </c>
      <c r="B39" s="233" t="str">
        <f>PA!E49</f>
        <v>SCC</v>
      </c>
      <c r="C39" s="233" t="str">
        <f>PA!L49</f>
        <v>1T - AÑO 1</v>
      </c>
      <c r="D39" s="234">
        <f>PA!G49</f>
        <v>46127</v>
      </c>
      <c r="E39" s="185"/>
    </row>
    <row r="40" spans="1:5" x14ac:dyDescent="0.35">
      <c r="A40" s="232" t="str">
        <f>PA!C50</f>
        <v>Operativo de Campo (7500 encuestas en 2 ondas)</v>
      </c>
      <c r="B40" s="233" t="str">
        <f>PA!E50</f>
        <v>SBCC</v>
      </c>
      <c r="C40" s="233" t="str">
        <f>PA!L50</f>
        <v>2T - AÑO 4</v>
      </c>
      <c r="D40" s="234">
        <f>PA!G50</f>
        <v>758981.27846179798</v>
      </c>
      <c r="E40" s="185"/>
    </row>
    <row r="41" spans="1:5" x14ac:dyDescent="0.35">
      <c r="A41" s="232" t="str">
        <f>PA!C51</f>
        <v xml:space="preserve">Evaluación Intermedia </v>
      </c>
      <c r="B41" s="233" t="str">
        <f>PA!E51</f>
        <v>SCC</v>
      </c>
      <c r="C41" s="233" t="str">
        <f>PA!L51</f>
        <v>4T - AÑO 2</v>
      </c>
      <c r="D41" s="234">
        <f>PA!G51</f>
        <v>30000</v>
      </c>
      <c r="E41" s="185"/>
    </row>
    <row r="42" spans="1:5" x14ac:dyDescent="0.35">
      <c r="A42" s="232" t="str">
        <f>PA!C52</f>
        <v>Evaluación Final</v>
      </c>
      <c r="B42" s="233" t="str">
        <f>PA!E52</f>
        <v>SCC</v>
      </c>
      <c r="C42" s="233" t="str">
        <f>PA!L52</f>
        <v>1T - AÑO 5</v>
      </c>
      <c r="D42" s="234">
        <f>PA!G52</f>
        <v>30000</v>
      </c>
      <c r="E42" s="185"/>
    </row>
    <row r="43" spans="1:5" x14ac:dyDescent="0.35">
      <c r="A43" s="232" t="str">
        <f>PA!C53</f>
        <v>Auditoria Externa</v>
      </c>
      <c r="B43" s="233" t="str">
        <f>PA!E53</f>
        <v>SBCC</v>
      </c>
      <c r="C43" s="233" t="str">
        <f>PA!L53</f>
        <v>2T - AÑO 1</v>
      </c>
      <c r="D43" s="234">
        <f>PA!G53</f>
        <v>100000</v>
      </c>
      <c r="E43" s="185"/>
    </row>
    <row r="44" spans="1:5" x14ac:dyDescent="0.35">
      <c r="A44" s="232"/>
      <c r="B44" s="233"/>
      <c r="C44" s="233"/>
      <c r="D44" s="238"/>
      <c r="E44" s="185"/>
    </row>
    <row r="45" spans="1:5" x14ac:dyDescent="0.35">
      <c r="A45" s="353" t="s">
        <v>379</v>
      </c>
      <c r="B45" s="354"/>
      <c r="C45" s="355"/>
      <c r="D45" s="358">
        <f>SUM(D46:D89)</f>
        <v>1349647.4953617812</v>
      </c>
      <c r="E45" s="185"/>
    </row>
    <row r="46" spans="1:5" x14ac:dyDescent="0.35">
      <c r="A46" s="239" t="str">
        <f>PA!C59</f>
        <v>Técnico en SIG - Coordinador de Campo</v>
      </c>
      <c r="B46" s="236" t="str">
        <f>PA!E59</f>
        <v>3CV</v>
      </c>
      <c r="C46" s="236" t="str">
        <f>PA!M59</f>
        <v>2T - AÑO 1</v>
      </c>
      <c r="D46" s="234">
        <f>PA!G59</f>
        <v>16191.600607185022</v>
      </c>
    </row>
    <row r="47" spans="1:5" x14ac:dyDescent="0.35">
      <c r="A47" s="239" t="str">
        <f>PA!C60</f>
        <v>Técnico en SIG - Supervisor de Campo</v>
      </c>
      <c r="B47" s="236" t="str">
        <f>PA!E60</f>
        <v>3CV</v>
      </c>
      <c r="C47" s="236" t="str">
        <f>PA!M60</f>
        <v>2T - AÑO 1</v>
      </c>
      <c r="D47" s="234">
        <f>PA!G60</f>
        <v>20239.500758981278</v>
      </c>
    </row>
    <row r="48" spans="1:5" x14ac:dyDescent="0.35">
      <c r="A48" s="239" t="str">
        <f>PA!C61</f>
        <v>Técnico en SIG - Supervisor en Gabinete</v>
      </c>
      <c r="B48" s="236" t="str">
        <f>PA!E61</f>
        <v>3CV</v>
      </c>
      <c r="C48" s="236" t="str">
        <f>PA!M61</f>
        <v>3T - AÑO 1</v>
      </c>
      <c r="D48" s="234">
        <f>PA!G61</f>
        <v>20239.500758981278</v>
      </c>
    </row>
    <row r="49" spans="1:4" x14ac:dyDescent="0.35">
      <c r="A49" s="239" t="str">
        <f>PA!C62</f>
        <v>Técnicos en SIG - Gabinete</v>
      </c>
      <c r="B49" s="236" t="str">
        <f>PA!E62</f>
        <v>3CV</v>
      </c>
      <c r="C49" s="236" t="str">
        <f>PA!M62</f>
        <v>3T - AÑO 1</v>
      </c>
      <c r="D49" s="234">
        <f>PA!G62</f>
        <v>48574.801821555069</v>
      </c>
    </row>
    <row r="50" spans="1:4" x14ac:dyDescent="0.35">
      <c r="A50" s="239" t="str">
        <f>PA!C63</f>
        <v>Programador principal</v>
      </c>
      <c r="B50" s="236" t="str">
        <f>PA!E63</f>
        <v>3CV</v>
      </c>
      <c r="C50" s="236" t="str">
        <f>PA!M63</f>
        <v>2T - AÑO 1</v>
      </c>
      <c r="D50" s="234">
        <f>PA!G63</f>
        <v>66115.702479338841</v>
      </c>
    </row>
    <row r="51" spans="1:4" x14ac:dyDescent="0.35">
      <c r="A51" s="239" t="str">
        <f>PA!C64</f>
        <v>Programador asistente</v>
      </c>
      <c r="B51" s="236" t="str">
        <f>PA!E64</f>
        <v>3CV</v>
      </c>
      <c r="C51" s="236" t="str">
        <f>PA!M64</f>
        <v>2T - AÑO 1</v>
      </c>
      <c r="D51" s="234">
        <f>PA!G64</f>
        <v>20239.500758981278</v>
      </c>
    </row>
    <row r="52" spans="1:4" x14ac:dyDescent="0.35">
      <c r="A52" s="239" t="str">
        <f>PA!C65</f>
        <v>Administrador de Sistema</v>
      </c>
      <c r="B52" s="236" t="str">
        <f>PA!E65</f>
        <v>3CV</v>
      </c>
      <c r="C52" s="236" t="str">
        <f>PA!M65</f>
        <v>3T - AÑO 1</v>
      </c>
      <c r="D52" s="234">
        <f>PA!G65</f>
        <v>15179.625569235959</v>
      </c>
    </row>
    <row r="53" spans="1:4" x14ac:dyDescent="0.35">
      <c r="A53" s="239" t="str">
        <f>PA!C66</f>
        <v>Administrador de red</v>
      </c>
      <c r="B53" s="236" t="str">
        <f>PA!E66</f>
        <v>3CV</v>
      </c>
      <c r="C53" s="236" t="str">
        <f>PA!M66</f>
        <v>3T - AÑO 1</v>
      </c>
      <c r="D53" s="234">
        <f>PA!G66</f>
        <v>15179.625569235959</v>
      </c>
    </row>
    <row r="54" spans="1:4" x14ac:dyDescent="0.35">
      <c r="A54" s="239" t="str">
        <f>PA!C67</f>
        <v>Experto en aplicaciones web</v>
      </c>
      <c r="B54" s="236" t="str">
        <f>PA!E67</f>
        <v>3CV</v>
      </c>
      <c r="C54" s="236" t="str">
        <f>PA!M67</f>
        <v>3T - AÑO 1</v>
      </c>
      <c r="D54" s="234">
        <f>PA!G67</f>
        <v>18215.550683083151</v>
      </c>
    </row>
    <row r="55" spans="1:4" ht="23" x14ac:dyDescent="0.35">
      <c r="A55" s="239" t="str">
        <f>PA!C68</f>
        <v>Consultoría para desarrollo de las especificaciones técnicas para la contratación de RRHH para el Censo</v>
      </c>
      <c r="B55" s="236" t="str">
        <f>PA!E68</f>
        <v>3CV</v>
      </c>
      <c r="C55" s="236" t="str">
        <f>PA!M68</f>
        <v>1T- AÑO 1</v>
      </c>
      <c r="D55" s="234">
        <f>PA!G68</f>
        <v>25299.3759487266</v>
      </c>
    </row>
    <row r="56" spans="1:4" x14ac:dyDescent="0.35">
      <c r="A56" s="239" t="str">
        <f>PA!C69</f>
        <v>Administrador de Sistema</v>
      </c>
      <c r="B56" s="236" t="str">
        <f>PA!E69</f>
        <v>3CV</v>
      </c>
      <c r="C56" s="236" t="str">
        <f>PA!M69</f>
        <v>1T - AÑO 2</v>
      </c>
      <c r="D56" s="234">
        <f>PA!G69</f>
        <v>18215.550683083151</v>
      </c>
    </row>
    <row r="57" spans="1:4" x14ac:dyDescent="0.35">
      <c r="A57" s="239" t="str">
        <f>PA!C70</f>
        <v>Administrador de red</v>
      </c>
      <c r="B57" s="236" t="str">
        <f>PA!E70</f>
        <v>3CV</v>
      </c>
      <c r="C57" s="236" t="str">
        <f>PA!M70</f>
        <v>1T - AÑO 2</v>
      </c>
      <c r="D57" s="234">
        <f>PA!G70</f>
        <v>18215.550683083151</v>
      </c>
    </row>
    <row r="58" spans="1:4" x14ac:dyDescent="0.35">
      <c r="A58" s="239" t="str">
        <f>PA!C71</f>
        <v>Experto en web</v>
      </c>
      <c r="B58" s="236" t="str">
        <f>PA!E71</f>
        <v>3CV</v>
      </c>
      <c r="C58" s="236" t="str">
        <f>PA!M71</f>
        <v>1T - AÑO 2</v>
      </c>
      <c r="D58" s="234">
        <f>PA!G71</f>
        <v>18215.550683083151</v>
      </c>
    </row>
    <row r="59" spans="1:4" x14ac:dyDescent="0.35">
      <c r="A59" s="239" t="str">
        <f>PA!C72</f>
        <v>Programadores</v>
      </c>
      <c r="B59" s="236" t="str">
        <f>PA!E72</f>
        <v>3CV</v>
      </c>
      <c r="C59" s="236" t="str">
        <f>PA!M72</f>
        <v>2T - AÑO 2</v>
      </c>
      <c r="D59" s="234">
        <f>PA!G72</f>
        <v>10119.750379490639</v>
      </c>
    </row>
    <row r="60" spans="1:4" x14ac:dyDescent="0.35">
      <c r="A60" s="239" t="str">
        <f>PA!C73</f>
        <v>Soporte técnico (puesto de captura y gabinete)</v>
      </c>
      <c r="B60" s="236" t="str">
        <f>PA!E73</f>
        <v>3CV</v>
      </c>
      <c r="C60" s="236" t="str">
        <f>PA!M73</f>
        <v>2T - AÑO 2</v>
      </c>
      <c r="D60" s="234">
        <f>PA!G73</f>
        <v>16191.600607185022</v>
      </c>
    </row>
    <row r="61" spans="1:4" x14ac:dyDescent="0.35">
      <c r="A61" s="239" t="str">
        <f>PA!C74</f>
        <v>Digitadores y supervisores (de contingencia)</v>
      </c>
      <c r="B61" s="236" t="str">
        <f>PA!E74</f>
        <v>3CV</v>
      </c>
      <c r="C61" s="236" t="str">
        <f>PA!M74</f>
        <v>2T - AÑO 2</v>
      </c>
      <c r="D61" s="234">
        <f>PA!G74</f>
        <v>26986.001011975037</v>
      </c>
    </row>
    <row r="62" spans="1:4" x14ac:dyDescent="0.35">
      <c r="A62" s="239" t="str">
        <f>PA!C75</f>
        <v>Analistas de datos</v>
      </c>
      <c r="B62" s="236" t="str">
        <f>PA!E75</f>
        <v>3CV</v>
      </c>
      <c r="C62" s="236" t="str">
        <f>PA!M75</f>
        <v>2T - AÑO 2</v>
      </c>
      <c r="D62" s="234">
        <f>PA!G75</f>
        <v>24793.388429752067</v>
      </c>
    </row>
    <row r="63" spans="1:4" x14ac:dyDescent="0.35">
      <c r="A63" s="239" t="str">
        <f>PA!C76</f>
        <v>Críticos y supervisores</v>
      </c>
      <c r="B63" s="236" t="str">
        <f>PA!E76</f>
        <v>3CV</v>
      </c>
      <c r="C63" s="236" t="str">
        <f>PA!M76</f>
        <v>2T - AÑO 2</v>
      </c>
      <c r="D63" s="234">
        <f>PA!G76</f>
        <v>53972.002023950074</v>
      </c>
    </row>
    <row r="64" spans="1:4" x14ac:dyDescent="0.35">
      <c r="A64" s="239" t="str">
        <f>PA!C77</f>
        <v>Análisis y evaluación de la cobertura censal</v>
      </c>
      <c r="B64" s="236" t="str">
        <f>PA!E77</f>
        <v>3CV</v>
      </c>
      <c r="C64" s="236" t="str">
        <f>PA!M77</f>
        <v>3T - AÑO 2</v>
      </c>
      <c r="D64" s="234">
        <f>PA!G77</f>
        <v>20000</v>
      </c>
    </row>
    <row r="65" spans="1:4" x14ac:dyDescent="0.35">
      <c r="A65" s="239" t="str">
        <f>PA!C78</f>
        <v>Evaluación y documentación del Operativo Censal</v>
      </c>
      <c r="B65" s="236" t="str">
        <f>PA!E78</f>
        <v>3CV</v>
      </c>
      <c r="C65" s="236" t="str">
        <f>PA!M78</f>
        <v>3T - AÑO 2</v>
      </c>
      <c r="D65" s="234">
        <f>PA!G78</f>
        <v>20000</v>
      </c>
    </row>
    <row r="66" spans="1:4" x14ac:dyDescent="0.35">
      <c r="A66" s="239" t="str">
        <f>PA!C79</f>
        <v>Sistematización y Análisis</v>
      </c>
      <c r="B66" s="236" t="str">
        <f>PA!E79</f>
        <v>3CV</v>
      </c>
      <c r="C66" s="236" t="str">
        <f>PA!M79</f>
        <v>2T - AÑO 2</v>
      </c>
      <c r="D66" s="234">
        <f>PA!G79</f>
        <v>14167.650531286896</v>
      </c>
    </row>
    <row r="67" spans="1:4" x14ac:dyDescent="0.35">
      <c r="A67" s="239" t="str">
        <f>PA!C80</f>
        <v>Experto en comunicación de resultados censales</v>
      </c>
      <c r="B67" s="236" t="str">
        <f>PA!E80</f>
        <v>3CV</v>
      </c>
      <c r="C67" s="236" t="str">
        <f>PA!M80</f>
        <v>1T - AÑO 3</v>
      </c>
      <c r="D67" s="234">
        <f>PA!G80</f>
        <v>10119.750379490639</v>
      </c>
    </row>
    <row r="68" spans="1:4" x14ac:dyDescent="0.35">
      <c r="A68" s="239" t="str">
        <f>PA!C81</f>
        <v>Experto en diseño e implementación de la base de datos</v>
      </c>
      <c r="B68" s="236" t="str">
        <f>PA!E81</f>
        <v>3CV</v>
      </c>
      <c r="C68" s="236" t="str">
        <f>PA!M81</f>
        <v>1T - AÑO 3</v>
      </c>
      <c r="D68" s="234">
        <f>PA!G81</f>
        <v>7083.8252656434479</v>
      </c>
    </row>
    <row r="69" spans="1:4" x14ac:dyDescent="0.35">
      <c r="A69" s="239" t="str">
        <f>PA!C82</f>
        <v>Asistente para Diseño e implementación de la base de datos</v>
      </c>
      <c r="B69" s="236" t="str">
        <f>PA!E82</f>
        <v>3CV</v>
      </c>
      <c r="C69" s="236" t="str">
        <f>PA!M82</f>
        <v>1T - AÑO 3</v>
      </c>
      <c r="D69" s="234">
        <f>PA!G82</f>
        <v>4047.9001517962556</v>
      </c>
    </row>
    <row r="70" spans="1:4" x14ac:dyDescent="0.35">
      <c r="A70" s="239" t="str">
        <f>PA!C83</f>
        <v>Experto en programación en plataforma CSpro con aplicación a Tablet</v>
      </c>
      <c r="B70" s="236" t="str">
        <f>PA!E83</f>
        <v>3CV</v>
      </c>
      <c r="C70" s="236" t="str">
        <f>PA!M83</f>
        <v>2T - AÑO 1</v>
      </c>
      <c r="D70" s="234">
        <f>PA!G83</f>
        <v>25000</v>
      </c>
    </row>
    <row r="71" spans="1:4" x14ac:dyDescent="0.35">
      <c r="A71" s="239" t="str">
        <f>PA!C84</f>
        <v>DCEA capacitada y equipada para producción de estadísticas</v>
      </c>
      <c r="B71" s="236" t="str">
        <f>PA!E84</f>
        <v>3CV</v>
      </c>
      <c r="C71" s="236" t="str">
        <f>PA!M84</f>
        <v>2T - AÑO 1</v>
      </c>
      <c r="D71" s="234">
        <f>PA!G84</f>
        <v>15000</v>
      </c>
    </row>
    <row r="72" spans="1:4" ht="23" x14ac:dyDescent="0.35">
      <c r="A72" s="239" t="str">
        <f>PA!C85</f>
        <v>Experto en transmisión de datos vía web y monitoreo informático de cobertura censal</v>
      </c>
      <c r="B72" s="236" t="str">
        <f>PA!E85</f>
        <v>3CV</v>
      </c>
      <c r="C72" s="236" t="str">
        <f>PA!M85</f>
        <v>4T - AÑO 1</v>
      </c>
      <c r="D72" s="234">
        <f>PA!G85</f>
        <v>15000</v>
      </c>
    </row>
    <row r="73" spans="1:4" x14ac:dyDescent="0.35">
      <c r="A73" s="239" t="str">
        <f>PA!C86</f>
        <v>Experto en gestión de base de datos</v>
      </c>
      <c r="B73" s="236" t="str">
        <f>PA!E86</f>
        <v>3CV</v>
      </c>
      <c r="C73" s="236" t="str">
        <f>PA!M86</f>
        <v>4T - AÑO 1</v>
      </c>
      <c r="D73" s="234">
        <f>PA!G86</f>
        <v>15000</v>
      </c>
    </row>
    <row r="74" spans="1:4" ht="23" x14ac:dyDescent="0.35">
      <c r="A74" s="239" t="str">
        <f>PA!C87</f>
        <v>Experto en áreas temáticas de censos agropecuarios con aplicación de dispositivos móviles de captura (Tablet)</v>
      </c>
      <c r="B74" s="236" t="str">
        <f>PA!E87</f>
        <v>3CV</v>
      </c>
      <c r="C74" s="236" t="str">
        <f>PA!M87</f>
        <v>3T - AÑO 1</v>
      </c>
      <c r="D74" s="234">
        <f>PA!G87</f>
        <v>30000</v>
      </c>
    </row>
    <row r="75" spans="1:4" x14ac:dyDescent="0.35">
      <c r="A75" s="239" t="str">
        <f>PA!C88</f>
        <v>Expertos en procesamiento de imágenes satelitales</v>
      </c>
      <c r="B75" s="236" t="str">
        <f>PA!E88</f>
        <v>3CV</v>
      </c>
      <c r="C75" s="236" t="str">
        <f>PA!M88</f>
        <v>3T - AÑO 1</v>
      </c>
      <c r="D75" s="234">
        <f>PA!G88</f>
        <v>26986.001011975037</v>
      </c>
    </row>
    <row r="76" spans="1:4" x14ac:dyDescent="0.35">
      <c r="A76" s="239" t="str">
        <f>PA!C98</f>
        <v>Análisis Temáticos (a definir) y Evaluación de los resultados del Censo</v>
      </c>
      <c r="B76" s="236" t="str">
        <f>PA!E98</f>
        <v>3CV</v>
      </c>
      <c r="C76" s="236" t="str">
        <f>PA!M98</f>
        <v>1T - AÑO 3</v>
      </c>
      <c r="D76" s="234">
        <f>PA!G98</f>
        <v>80958.00303592511</v>
      </c>
    </row>
    <row r="77" spans="1:4" x14ac:dyDescent="0.35">
      <c r="A77" s="239" t="str">
        <f>PA!C89</f>
        <v>Diseño del Marco Muestral Maestro</v>
      </c>
      <c r="B77" s="236" t="str">
        <f>PA!E89</f>
        <v>3CV</v>
      </c>
      <c r="C77" s="236" t="str">
        <f>PA!M89</f>
        <v>1T - AÑO 3</v>
      </c>
      <c r="D77" s="234">
        <f>PA!G89</f>
        <v>24287.400910777535</v>
      </c>
    </row>
    <row r="78" spans="1:4" x14ac:dyDescent="0.35">
      <c r="A78" s="239" t="str">
        <f>PA!C90</f>
        <v>Validación del Marco Muestral Maestro</v>
      </c>
      <c r="B78" s="236" t="str">
        <f>PA!E90</f>
        <v>3CV</v>
      </c>
      <c r="C78" s="236" t="str">
        <f>PA!M90</f>
        <v>3T - AÑO 3</v>
      </c>
      <c r="D78" s="234">
        <f>PA!G90</f>
        <v>10119.750379490639</v>
      </c>
    </row>
    <row r="79" spans="1:4" x14ac:dyDescent="0.35">
      <c r="A79" s="239" t="str">
        <f>PA!C91</f>
        <v>Proceso de Selección de las Muestras</v>
      </c>
      <c r="B79" s="236" t="str">
        <f>PA!E91</f>
        <v>3CV</v>
      </c>
      <c r="C79" s="236" t="str">
        <f>PA!M91</f>
        <v>3T - AÑO 3</v>
      </c>
      <c r="D79" s="234">
        <f>PA!G91</f>
        <v>3373.2501264968796</v>
      </c>
    </row>
    <row r="80" spans="1:4" x14ac:dyDescent="0.35">
      <c r="A80" s="239" t="str">
        <f>PA!C92</f>
        <v>Diseño de contenido conceptual de las encuestas</v>
      </c>
      <c r="B80" s="236" t="str">
        <f>PA!E92</f>
        <v>3CV</v>
      </c>
      <c r="C80" s="236" t="str">
        <f>PA!M92</f>
        <v>3T - AÑO 3</v>
      </c>
      <c r="D80" s="234">
        <f>PA!G92</f>
        <v>3373.2501264968796</v>
      </c>
    </row>
    <row r="81" spans="1:5" x14ac:dyDescent="0.35">
      <c r="A81" s="239" t="str">
        <f>PA!C93</f>
        <v>Talleres con usuarios</v>
      </c>
      <c r="B81" s="236" t="str">
        <f>PA!E93</f>
        <v>3CV</v>
      </c>
      <c r="C81" s="236" t="str">
        <f>PA!M93</f>
        <v>1T - AÑO 4</v>
      </c>
      <c r="D81" s="234">
        <f>PA!G93</f>
        <v>5059.8751897453194</v>
      </c>
    </row>
    <row r="82" spans="1:5" x14ac:dyDescent="0.35">
      <c r="A82" s="239" t="str">
        <f>PA!C94</f>
        <v>Preparación de la cartográfica</v>
      </c>
      <c r="B82" s="236" t="str">
        <f>PA!E94</f>
        <v>3CV</v>
      </c>
      <c r="C82" s="236" t="str">
        <f>PA!M94</f>
        <v>1T - AÑO 4</v>
      </c>
      <c r="D82" s="234">
        <f>PA!G94</f>
        <v>3373.2501264968796</v>
      </c>
    </row>
    <row r="83" spans="1:5" x14ac:dyDescent="0.35">
      <c r="A83" s="239" t="str">
        <f>PA!C95</f>
        <v>Selección y Capacitación del Personal de la Encuesta</v>
      </c>
      <c r="B83" s="236" t="str">
        <f>PA!E95</f>
        <v>3CV</v>
      </c>
      <c r="C83" s="236" t="str">
        <f>PA!M95</f>
        <v>1T - AÑO 4</v>
      </c>
      <c r="D83" s="234">
        <f>PA!G95</f>
        <v>5059.8751897453194</v>
      </c>
    </row>
    <row r="84" spans="1:5" x14ac:dyDescent="0.35">
      <c r="A84" s="239" t="str">
        <f>PA!C96</f>
        <v>Prueba Piloto</v>
      </c>
      <c r="B84" s="236" t="str">
        <f>PA!E96</f>
        <v>3CV</v>
      </c>
      <c r="C84" s="236" t="str">
        <f>PA!M96</f>
        <v>1T - AÑO 4</v>
      </c>
      <c r="D84" s="234">
        <f>PA!G96</f>
        <v>5059.8751897453194</v>
      </c>
    </row>
    <row r="85" spans="1:5" x14ac:dyDescent="0.35">
      <c r="A85" s="239" t="str">
        <f>PA!C97</f>
        <v>Manual de metodología de preparación de la encuesta.</v>
      </c>
      <c r="B85" s="236" t="str">
        <f>PA!E97</f>
        <v>3CV</v>
      </c>
      <c r="C85" s="236" t="str">
        <f>PA!M97</f>
        <v>1T - AÑO 4</v>
      </c>
      <c r="D85" s="234">
        <f>PA!G97</f>
        <v>3373.2501264968796</v>
      </c>
    </row>
    <row r="86" spans="1:5" x14ac:dyDescent="0.35">
      <c r="A86" s="239" t="str">
        <f>PA!C99</f>
        <v>Coordinador General</v>
      </c>
      <c r="B86" s="236" t="str">
        <f>PA!E99</f>
        <v>3CV</v>
      </c>
      <c r="C86" s="236" t="str">
        <f>PA!M99</f>
        <v>1T- AÑO 1</v>
      </c>
      <c r="D86" s="234">
        <f>PA!G99</f>
        <v>144206.44290774161</v>
      </c>
    </row>
    <row r="87" spans="1:5" x14ac:dyDescent="0.35">
      <c r="A87" s="239" t="str">
        <f>PA!C100</f>
        <v>Especialista Planificación y Monitoreo del Programa</v>
      </c>
      <c r="B87" s="236" t="str">
        <f>PA!E100</f>
        <v>3CV</v>
      </c>
      <c r="C87" s="236" t="str">
        <f>PA!M100</f>
        <v>1T- AÑO 1</v>
      </c>
      <c r="D87" s="234">
        <f>PA!G100</f>
        <v>97149.603643110138</v>
      </c>
    </row>
    <row r="88" spans="1:5" x14ac:dyDescent="0.35">
      <c r="A88" s="239" t="str">
        <f>PA!C101</f>
        <v>Especialista Financiero</v>
      </c>
      <c r="B88" s="236" t="str">
        <f>PA!E101</f>
        <v>3CV</v>
      </c>
      <c r="C88" s="236" t="str">
        <f>PA!M101</f>
        <v>1T- AÑO 1</v>
      </c>
      <c r="D88" s="234">
        <f>PA!G101</f>
        <v>115365.15432619328</v>
      </c>
    </row>
    <row r="89" spans="1:5" x14ac:dyDescent="0.35">
      <c r="A89" s="239" t="str">
        <f>PA!C102</f>
        <v>Especialista Adquisiciones</v>
      </c>
      <c r="B89" s="236" t="str">
        <f>PA!E102</f>
        <v>3CV</v>
      </c>
      <c r="C89" s="236" t="str">
        <f>PA!M102</f>
        <v>1T- AÑO 1</v>
      </c>
      <c r="D89" s="234">
        <f>PA!G102</f>
        <v>194299.20728622028</v>
      </c>
    </row>
    <row r="90" spans="1:5" x14ac:dyDescent="0.35">
      <c r="A90" s="239"/>
      <c r="B90" s="236"/>
      <c r="C90" s="233"/>
      <c r="D90" s="238"/>
    </row>
    <row r="91" spans="1:5" x14ac:dyDescent="0.35">
      <c r="A91" s="239"/>
      <c r="B91" s="236"/>
      <c r="C91" s="233"/>
      <c r="D91" s="238"/>
    </row>
    <row r="92" spans="1:5" x14ac:dyDescent="0.35">
      <c r="A92" s="239"/>
      <c r="B92" s="236"/>
      <c r="C92" s="233"/>
      <c r="D92" s="238"/>
    </row>
    <row r="93" spans="1:5" x14ac:dyDescent="0.35">
      <c r="A93" s="359" t="s">
        <v>380</v>
      </c>
      <c r="B93" s="360"/>
      <c r="C93" s="359"/>
      <c r="D93" s="361">
        <f>SUM(D94:D95)</f>
        <v>0</v>
      </c>
      <c r="E93" s="186"/>
    </row>
    <row r="94" spans="1:5" x14ac:dyDescent="0.35">
      <c r="A94" s="240"/>
      <c r="B94" s="236"/>
      <c r="C94" s="233"/>
      <c r="D94" s="241"/>
      <c r="E94" s="186"/>
    </row>
    <row r="95" spans="1:5" x14ac:dyDescent="0.35">
      <c r="A95" s="240"/>
      <c r="B95" s="236"/>
      <c r="C95" s="233"/>
      <c r="D95" s="241"/>
      <c r="E95" s="186"/>
    </row>
    <row r="96" spans="1:5" x14ac:dyDescent="0.35">
      <c r="A96" s="240"/>
      <c r="B96" s="236"/>
      <c r="C96" s="233"/>
      <c r="D96" s="241"/>
      <c r="E96" s="186"/>
    </row>
    <row r="97" spans="1:5" x14ac:dyDescent="0.35">
      <c r="A97" s="359" t="s">
        <v>381</v>
      </c>
      <c r="B97" s="360"/>
      <c r="C97" s="359"/>
      <c r="D97" s="361">
        <f>SUM(D98:D99)</f>
        <v>0</v>
      </c>
      <c r="E97" s="186"/>
    </row>
    <row r="98" spans="1:5" s="187" customFormat="1" x14ac:dyDescent="0.35">
      <c r="A98" s="232"/>
      <c r="B98" s="242"/>
      <c r="C98" s="242"/>
      <c r="D98" s="243"/>
      <c r="E98" s="186"/>
    </row>
    <row r="99" spans="1:5" x14ac:dyDescent="0.35">
      <c r="A99" s="232"/>
      <c r="B99" s="236"/>
      <c r="C99" s="242"/>
      <c r="D99" s="243"/>
      <c r="E99" s="186"/>
    </row>
    <row r="100" spans="1:5" x14ac:dyDescent="0.35">
      <c r="A100" s="188"/>
      <c r="B100" s="189"/>
      <c r="C100" s="189"/>
      <c r="D100" s="190"/>
      <c r="E100" s="186"/>
    </row>
    <row r="101" spans="1:5" x14ac:dyDescent="0.35">
      <c r="A101" s="188"/>
      <c r="B101" s="189"/>
      <c r="C101" s="189"/>
      <c r="D101" s="190"/>
      <c r="E101" s="186"/>
    </row>
    <row r="102" spans="1:5" x14ac:dyDescent="0.35">
      <c r="C102" s="180" t="s">
        <v>407</v>
      </c>
      <c r="D102" s="181">
        <f>D97+D45+D37+D21+D18+D9+D93</f>
        <v>6584420.3299038634</v>
      </c>
    </row>
    <row r="103" spans="1:5" ht="14" x14ac:dyDescent="0.35">
      <c r="A103" s="191"/>
      <c r="C103" s="180" t="s">
        <v>408</v>
      </c>
      <c r="D103" s="181">
        <f>PA!G125+PA!G126+PA!G127+PA!G128</f>
        <v>1386847.6977567887</v>
      </c>
    </row>
    <row r="104" spans="1:5" x14ac:dyDescent="0.35">
      <c r="C104" s="180" t="s">
        <v>409</v>
      </c>
      <c r="D104" s="181">
        <f>SUM(D102:D103)</f>
        <v>7971268.0276606521</v>
      </c>
    </row>
  </sheetData>
  <hyperlinks>
    <hyperlink ref="A37" location="_ftn1" display="_ftn1" xr:uid="{00000000-0004-0000-0A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1" manualBreakCount="1">
    <brk id="100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K128"/>
  <sheetViews>
    <sheetView showGridLines="0" topLeftCell="A96" zoomScale="70" zoomScaleNormal="70" workbookViewId="0">
      <selection activeCell="A126" sqref="A126"/>
    </sheetView>
  </sheetViews>
  <sheetFormatPr defaultColWidth="11.6328125" defaultRowHeight="14.5" x14ac:dyDescent="0.35"/>
  <cols>
    <col min="2" max="10" width="11.6328125" style="246"/>
    <col min="11" max="11" width="15.36328125" style="246" bestFit="1" customWidth="1"/>
    <col min="12" max="13" width="11.6328125" style="246"/>
    <col min="62" max="62" width="19" customWidth="1"/>
    <col min="63" max="63" width="19.36328125" customWidth="1"/>
  </cols>
  <sheetData>
    <row r="1" spans="1:15" x14ac:dyDescent="0.35">
      <c r="F1" s="246">
        <f>E6/30</f>
        <v>925333.33333333337</v>
      </c>
    </row>
    <row r="2" spans="1:15" ht="15.5" x14ac:dyDescent="0.35">
      <c r="A2" s="247" t="s">
        <v>71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9"/>
      <c r="N2">
        <v>5929</v>
      </c>
    </row>
    <row r="3" spans="1:15" ht="15.5" x14ac:dyDescent="0.35">
      <c r="A3" s="250" t="s">
        <v>72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9"/>
    </row>
    <row r="4" spans="1:15" ht="15.75" customHeight="1" x14ac:dyDescent="0.35">
      <c r="A4" s="251" t="s">
        <v>73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3"/>
    </row>
    <row r="5" spans="1:15" x14ac:dyDescent="0.35">
      <c r="A5" s="254" t="s">
        <v>74</v>
      </c>
      <c r="B5" s="255" t="s">
        <v>75</v>
      </c>
      <c r="C5" s="255" t="s">
        <v>76</v>
      </c>
      <c r="D5" s="255" t="s">
        <v>77</v>
      </c>
      <c r="E5" s="255" t="s">
        <v>78</v>
      </c>
      <c r="F5" s="255" t="s">
        <v>79</v>
      </c>
      <c r="G5" s="255" t="s">
        <v>80</v>
      </c>
      <c r="H5" s="255" t="s">
        <v>81</v>
      </c>
      <c r="I5" s="255" t="s">
        <v>82</v>
      </c>
      <c r="J5" s="255" t="s">
        <v>83</v>
      </c>
      <c r="K5" s="255" t="s">
        <v>84</v>
      </c>
      <c r="L5" s="255" t="s">
        <v>85</v>
      </c>
      <c r="M5" s="255" t="s">
        <v>86</v>
      </c>
    </row>
    <row r="6" spans="1:15" x14ac:dyDescent="0.35">
      <c r="A6" s="256">
        <f t="shared" ref="A6:K6" si="0">$J$72</f>
        <v>27760000</v>
      </c>
      <c r="B6" s="256">
        <f t="shared" si="0"/>
        <v>27760000</v>
      </c>
      <c r="C6" s="256">
        <f t="shared" si="0"/>
        <v>27760000</v>
      </c>
      <c r="D6" s="256">
        <f t="shared" si="0"/>
        <v>27760000</v>
      </c>
      <c r="E6" s="256">
        <f t="shared" si="0"/>
        <v>27760000</v>
      </c>
      <c r="F6" s="256">
        <f t="shared" si="0"/>
        <v>27760000</v>
      </c>
      <c r="G6" s="256">
        <f t="shared" si="0"/>
        <v>27760000</v>
      </c>
      <c r="H6" s="256">
        <f t="shared" si="0"/>
        <v>27760000</v>
      </c>
      <c r="I6" s="256">
        <f t="shared" si="0"/>
        <v>27760000</v>
      </c>
      <c r="J6" s="256">
        <f t="shared" si="0"/>
        <v>27760000</v>
      </c>
      <c r="K6" s="256">
        <f t="shared" si="0"/>
        <v>27760000</v>
      </c>
      <c r="L6" s="257">
        <f>$K$6*2</f>
        <v>55520000</v>
      </c>
      <c r="M6" s="258">
        <f>SUM(A6:L6)</f>
        <v>360880000</v>
      </c>
      <c r="O6" s="259"/>
    </row>
    <row r="7" spans="1:15" x14ac:dyDescent="0.35">
      <c r="A7" s="257">
        <f>A6/$N$2</f>
        <v>4682.0711755776692</v>
      </c>
      <c r="B7" s="257">
        <f>B6/$N$2</f>
        <v>4682.0711755776692</v>
      </c>
      <c r="C7" s="257">
        <f t="shared" ref="C7:M7" si="1">C6/$N$2</f>
        <v>4682.0711755776692</v>
      </c>
      <c r="D7" s="257">
        <f t="shared" si="1"/>
        <v>4682.0711755776692</v>
      </c>
      <c r="E7" s="257">
        <f t="shared" si="1"/>
        <v>4682.0711755776692</v>
      </c>
      <c r="F7" s="257">
        <f t="shared" si="1"/>
        <v>4682.0711755776692</v>
      </c>
      <c r="G7" s="257">
        <f t="shared" si="1"/>
        <v>4682.0711755776692</v>
      </c>
      <c r="H7" s="257">
        <f t="shared" si="1"/>
        <v>4682.0711755776692</v>
      </c>
      <c r="I7" s="257">
        <f t="shared" si="1"/>
        <v>4682.0711755776692</v>
      </c>
      <c r="J7" s="257">
        <f t="shared" si="1"/>
        <v>4682.0711755776692</v>
      </c>
      <c r="K7" s="257">
        <f t="shared" si="1"/>
        <v>4682.0711755776692</v>
      </c>
      <c r="L7" s="257">
        <f t="shared" si="1"/>
        <v>9364.1423511553385</v>
      </c>
      <c r="M7" s="257">
        <f t="shared" si="1"/>
        <v>60866.925282509699</v>
      </c>
    </row>
    <row r="8" spans="1:15" x14ac:dyDescent="0.35">
      <c r="A8" s="260" t="s">
        <v>257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2"/>
    </row>
    <row r="9" spans="1:15" x14ac:dyDescent="0.35">
      <c r="A9" s="263"/>
      <c r="B9" s="264"/>
      <c r="C9" s="264"/>
      <c r="D9" s="264"/>
      <c r="E9" s="264"/>
      <c r="F9" s="264"/>
      <c r="G9" s="264"/>
      <c r="H9" s="264">
        <v>6900000</v>
      </c>
      <c r="I9" s="264">
        <f>((H9/30)/8)</f>
        <v>28750</v>
      </c>
      <c r="J9" s="264">
        <f>I9*0.5</f>
        <v>14375</v>
      </c>
      <c r="K9" s="264">
        <f>I9+J9</f>
        <v>43125</v>
      </c>
      <c r="L9" s="264">
        <f>K9*32</f>
        <v>1380000</v>
      </c>
      <c r="M9" s="265"/>
    </row>
    <row r="10" spans="1:15" ht="15.5" x14ac:dyDescent="0.35">
      <c r="A10" s="250" t="s">
        <v>72</v>
      </c>
      <c r="B10" s="248"/>
      <c r="C10" s="248"/>
      <c r="D10" s="248"/>
      <c r="E10" s="248"/>
      <c r="F10" s="248"/>
      <c r="G10" s="248"/>
      <c r="H10" s="248">
        <f>L9*30</f>
        <v>41400000</v>
      </c>
      <c r="I10" s="248"/>
      <c r="J10" s="248">
        <f>L10/2</f>
        <v>41400000</v>
      </c>
      <c r="K10" s="248"/>
      <c r="L10" s="248">
        <f>L9*60</f>
        <v>82800000</v>
      </c>
      <c r="M10" s="249"/>
    </row>
    <row r="11" spans="1:15" x14ac:dyDescent="0.35">
      <c r="A11" s="251" t="s">
        <v>87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3"/>
    </row>
    <row r="12" spans="1:15" x14ac:dyDescent="0.35">
      <c r="A12" s="254" t="s">
        <v>74</v>
      </c>
      <c r="B12" s="255" t="s">
        <v>75</v>
      </c>
      <c r="C12" s="255" t="s">
        <v>76</v>
      </c>
      <c r="D12" s="255" t="s">
        <v>77</v>
      </c>
      <c r="E12" s="255" t="s">
        <v>78</v>
      </c>
      <c r="F12" s="255" t="s">
        <v>79</v>
      </c>
      <c r="G12" s="255" t="s">
        <v>80</v>
      </c>
      <c r="H12" s="255" t="s">
        <v>81</v>
      </c>
      <c r="I12" s="255" t="s">
        <v>82</v>
      </c>
      <c r="J12" s="255" t="s">
        <v>83</v>
      </c>
      <c r="K12" s="255" t="s">
        <v>84</v>
      </c>
      <c r="L12" s="255" t="s">
        <v>85</v>
      </c>
      <c r="M12" s="255" t="s">
        <v>86</v>
      </c>
    </row>
    <row r="13" spans="1:15" x14ac:dyDescent="0.35">
      <c r="A13" s="256">
        <f t="shared" ref="A13:K13" si="2">$J$72</f>
        <v>27760000</v>
      </c>
      <c r="B13" s="256">
        <f t="shared" si="2"/>
        <v>27760000</v>
      </c>
      <c r="C13" s="256">
        <f t="shared" si="2"/>
        <v>27760000</v>
      </c>
      <c r="D13" s="256">
        <f t="shared" si="2"/>
        <v>27760000</v>
      </c>
      <c r="E13" s="256">
        <f t="shared" si="2"/>
        <v>27760000</v>
      </c>
      <c r="F13" s="256">
        <f t="shared" si="2"/>
        <v>27760000</v>
      </c>
      <c r="G13" s="256">
        <f t="shared" si="2"/>
        <v>27760000</v>
      </c>
      <c r="H13" s="256">
        <f t="shared" si="2"/>
        <v>27760000</v>
      </c>
      <c r="I13" s="256">
        <f t="shared" si="2"/>
        <v>27760000</v>
      </c>
      <c r="J13" s="256">
        <f t="shared" si="2"/>
        <v>27760000</v>
      </c>
      <c r="K13" s="256">
        <f t="shared" si="2"/>
        <v>27760000</v>
      </c>
      <c r="L13" s="257">
        <f>$K$13*2</f>
        <v>55520000</v>
      </c>
      <c r="M13" s="258">
        <f>SUM(A13:L13)</f>
        <v>360880000</v>
      </c>
      <c r="N13" s="259"/>
    </row>
    <row r="14" spans="1:15" x14ac:dyDescent="0.35">
      <c r="A14" s="257">
        <f>A13/$N$2</f>
        <v>4682.0711755776692</v>
      </c>
      <c r="B14" s="257">
        <f>B13/$N$2</f>
        <v>4682.0711755776692</v>
      </c>
      <c r="C14" s="257">
        <f t="shared" ref="C14:M14" si="3">C13/$N$2</f>
        <v>4682.0711755776692</v>
      </c>
      <c r="D14" s="257">
        <f t="shared" si="3"/>
        <v>4682.0711755776692</v>
      </c>
      <c r="E14" s="257">
        <f t="shared" si="3"/>
        <v>4682.0711755776692</v>
      </c>
      <c r="F14" s="257">
        <f t="shared" si="3"/>
        <v>4682.0711755776692</v>
      </c>
      <c r="G14" s="257">
        <f t="shared" si="3"/>
        <v>4682.0711755776692</v>
      </c>
      <c r="H14" s="257">
        <f t="shared" si="3"/>
        <v>4682.0711755776692</v>
      </c>
      <c r="I14" s="257">
        <f t="shared" si="3"/>
        <v>4682.0711755776692</v>
      </c>
      <c r="J14" s="257">
        <f t="shared" si="3"/>
        <v>4682.0711755776692</v>
      </c>
      <c r="K14" s="257">
        <f t="shared" si="3"/>
        <v>4682.0711755776692</v>
      </c>
      <c r="L14" s="257">
        <f t="shared" si="3"/>
        <v>9364.1423511553385</v>
      </c>
      <c r="M14" s="257">
        <f t="shared" si="3"/>
        <v>60866.925282509699</v>
      </c>
      <c r="N14" s="259"/>
      <c r="O14" s="259"/>
    </row>
    <row r="15" spans="1:15" x14ac:dyDescent="0.35">
      <c r="A15" s="260" t="s">
        <v>257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2"/>
    </row>
    <row r="16" spans="1:15" x14ac:dyDescent="0.35">
      <c r="A16" s="263"/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5"/>
    </row>
    <row r="17" spans="1:15" ht="15.5" x14ac:dyDescent="0.35">
      <c r="A17" s="250" t="s">
        <v>72</v>
      </c>
      <c r="B17" s="248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9"/>
    </row>
    <row r="18" spans="1:15" x14ac:dyDescent="0.35">
      <c r="A18" s="251" t="s">
        <v>88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3"/>
      <c r="O18" s="266"/>
    </row>
    <row r="19" spans="1:15" x14ac:dyDescent="0.35">
      <c r="A19" s="254" t="s">
        <v>74</v>
      </c>
      <c r="B19" s="255" t="s">
        <v>75</v>
      </c>
      <c r="C19" s="255" t="s">
        <v>76</v>
      </c>
      <c r="D19" s="255" t="s">
        <v>77</v>
      </c>
      <c r="E19" s="255" t="s">
        <v>78</v>
      </c>
      <c r="F19" s="255" t="s">
        <v>79</v>
      </c>
      <c r="G19" s="255" t="s">
        <v>80</v>
      </c>
      <c r="H19" s="255" t="s">
        <v>81</v>
      </c>
      <c r="I19" s="255" t="s">
        <v>82</v>
      </c>
      <c r="J19" s="255" t="s">
        <v>83</v>
      </c>
      <c r="K19" s="255" t="s">
        <v>84</v>
      </c>
      <c r="L19" s="255" t="s">
        <v>85</v>
      </c>
      <c r="M19" s="255" t="s">
        <v>86</v>
      </c>
    </row>
    <row r="20" spans="1:15" x14ac:dyDescent="0.35">
      <c r="A20" s="256">
        <f t="shared" ref="A20:K20" si="4">$J$81*3</f>
        <v>18000000</v>
      </c>
      <c r="B20" s="256">
        <f t="shared" si="4"/>
        <v>18000000</v>
      </c>
      <c r="C20" s="256">
        <f t="shared" si="4"/>
        <v>18000000</v>
      </c>
      <c r="D20" s="256">
        <f t="shared" si="4"/>
        <v>18000000</v>
      </c>
      <c r="E20" s="256">
        <f t="shared" si="4"/>
        <v>18000000</v>
      </c>
      <c r="F20" s="256">
        <f t="shared" si="4"/>
        <v>18000000</v>
      </c>
      <c r="G20" s="256">
        <f t="shared" si="4"/>
        <v>18000000</v>
      </c>
      <c r="H20" s="256">
        <f t="shared" si="4"/>
        <v>18000000</v>
      </c>
      <c r="I20" s="256">
        <f t="shared" si="4"/>
        <v>18000000</v>
      </c>
      <c r="J20" s="256">
        <f t="shared" si="4"/>
        <v>18000000</v>
      </c>
      <c r="K20" s="256">
        <f t="shared" si="4"/>
        <v>18000000</v>
      </c>
      <c r="L20" s="257">
        <f>$K$20*2</f>
        <v>36000000</v>
      </c>
      <c r="M20" s="257">
        <f>SUM(A20:L20)</f>
        <v>234000000</v>
      </c>
    </row>
    <row r="21" spans="1:15" x14ac:dyDescent="0.35">
      <c r="A21" s="257">
        <f>A20/$N$2</f>
        <v>3035.9251138471918</v>
      </c>
      <c r="B21" s="257">
        <f>B20/$N$2</f>
        <v>3035.9251138471918</v>
      </c>
      <c r="C21" s="257">
        <f t="shared" ref="C21:L21" si="5">C20/$N$2</f>
        <v>3035.9251138471918</v>
      </c>
      <c r="D21" s="257">
        <f t="shared" si="5"/>
        <v>3035.9251138471918</v>
      </c>
      <c r="E21" s="257">
        <f t="shared" si="5"/>
        <v>3035.9251138471918</v>
      </c>
      <c r="F21" s="257">
        <f t="shared" si="5"/>
        <v>3035.9251138471918</v>
      </c>
      <c r="G21" s="257">
        <f t="shared" si="5"/>
        <v>3035.9251138471918</v>
      </c>
      <c r="H21" s="257">
        <f t="shared" si="5"/>
        <v>3035.9251138471918</v>
      </c>
      <c r="I21" s="257">
        <f t="shared" si="5"/>
        <v>3035.9251138471918</v>
      </c>
      <c r="J21" s="257">
        <f t="shared" si="5"/>
        <v>3035.9251138471918</v>
      </c>
      <c r="K21" s="257">
        <f t="shared" si="5"/>
        <v>3035.9251138471918</v>
      </c>
      <c r="L21" s="257">
        <f t="shared" si="5"/>
        <v>6071.8502276943836</v>
      </c>
      <c r="M21" s="257">
        <f>M20/$N$2</f>
        <v>39467.02648001349</v>
      </c>
      <c r="O21" s="259"/>
    </row>
    <row r="22" spans="1:15" x14ac:dyDescent="0.35">
      <c r="A22" s="260" t="s">
        <v>449</v>
      </c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2"/>
    </row>
    <row r="23" spans="1:15" x14ac:dyDescent="0.35">
      <c r="A23" s="263"/>
      <c r="B23" s="264"/>
      <c r="C23" s="264"/>
      <c r="D23" s="264"/>
      <c r="E23" s="264"/>
      <c r="F23" s="264"/>
      <c r="G23" s="264"/>
      <c r="H23" s="264">
        <f>E20/L9</f>
        <v>13.043478260869565</v>
      </c>
      <c r="I23" s="264"/>
      <c r="J23" s="264"/>
      <c r="K23" s="264"/>
      <c r="L23" s="264"/>
      <c r="M23" s="265"/>
      <c r="N23" s="259"/>
      <c r="O23" s="259"/>
    </row>
    <row r="24" spans="1:15" ht="15.5" x14ac:dyDescent="0.35">
      <c r="A24" s="250" t="s">
        <v>89</v>
      </c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9"/>
    </row>
    <row r="25" spans="1:15" x14ac:dyDescent="0.35">
      <c r="A25" s="251" t="s">
        <v>73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3"/>
    </row>
    <row r="26" spans="1:15" x14ac:dyDescent="0.35">
      <c r="A26" s="254" t="s">
        <v>74</v>
      </c>
      <c r="B26" s="255" t="s">
        <v>75</v>
      </c>
      <c r="C26" s="255" t="s">
        <v>76</v>
      </c>
      <c r="D26" s="255" t="s">
        <v>77</v>
      </c>
      <c r="E26" s="255" t="s">
        <v>78</v>
      </c>
      <c r="F26" s="255" t="s">
        <v>79</v>
      </c>
      <c r="G26" s="255" t="s">
        <v>80</v>
      </c>
      <c r="H26" s="255" t="s">
        <v>81</v>
      </c>
      <c r="I26" s="255" t="s">
        <v>82</v>
      </c>
      <c r="J26" s="255" t="s">
        <v>83</v>
      </c>
      <c r="K26" s="255" t="s">
        <v>84</v>
      </c>
      <c r="L26" s="255" t="s">
        <v>85</v>
      </c>
      <c r="M26" s="255" t="s">
        <v>86</v>
      </c>
    </row>
    <row r="27" spans="1:15" x14ac:dyDescent="0.35">
      <c r="A27" s="256">
        <f t="shared" ref="A27:K27" si="6">$J$100</f>
        <v>27760000</v>
      </c>
      <c r="B27" s="256">
        <f t="shared" si="6"/>
        <v>27760000</v>
      </c>
      <c r="C27" s="256">
        <f t="shared" si="6"/>
        <v>27760000</v>
      </c>
      <c r="D27" s="256">
        <f t="shared" si="6"/>
        <v>27760000</v>
      </c>
      <c r="E27" s="256">
        <f t="shared" si="6"/>
        <v>27760000</v>
      </c>
      <c r="F27" s="256">
        <f t="shared" si="6"/>
        <v>27760000</v>
      </c>
      <c r="G27" s="256">
        <f t="shared" si="6"/>
        <v>27760000</v>
      </c>
      <c r="H27" s="256">
        <f t="shared" si="6"/>
        <v>27760000</v>
      </c>
      <c r="I27" s="256">
        <f t="shared" si="6"/>
        <v>27760000</v>
      </c>
      <c r="J27" s="256">
        <f t="shared" si="6"/>
        <v>27760000</v>
      </c>
      <c r="K27" s="256">
        <f t="shared" si="6"/>
        <v>27760000</v>
      </c>
      <c r="L27" s="257">
        <f>K27*2</f>
        <v>55520000</v>
      </c>
      <c r="M27" s="257">
        <f>SUM(A27:L27)</f>
        <v>360880000</v>
      </c>
    </row>
    <row r="28" spans="1:15" x14ac:dyDescent="0.35">
      <c r="A28" s="257">
        <f>A27/$N$2</f>
        <v>4682.0711755776692</v>
      </c>
      <c r="B28" s="257">
        <f>B27/$N$2</f>
        <v>4682.0711755776692</v>
      </c>
      <c r="C28" s="257">
        <f t="shared" ref="C28:M28" si="7">C27/$N$2</f>
        <v>4682.0711755776692</v>
      </c>
      <c r="D28" s="257">
        <f t="shared" si="7"/>
        <v>4682.0711755776692</v>
      </c>
      <c r="E28" s="257">
        <f t="shared" si="7"/>
        <v>4682.0711755776692</v>
      </c>
      <c r="F28" s="257">
        <f t="shared" si="7"/>
        <v>4682.0711755776692</v>
      </c>
      <c r="G28" s="257">
        <f t="shared" si="7"/>
        <v>4682.0711755776692</v>
      </c>
      <c r="H28" s="257">
        <f t="shared" si="7"/>
        <v>4682.0711755776692</v>
      </c>
      <c r="I28" s="257">
        <f t="shared" si="7"/>
        <v>4682.0711755776692</v>
      </c>
      <c r="J28" s="257">
        <f t="shared" si="7"/>
        <v>4682.0711755776692</v>
      </c>
      <c r="K28" s="257">
        <f t="shared" si="7"/>
        <v>4682.0711755776692</v>
      </c>
      <c r="L28" s="257">
        <f t="shared" si="7"/>
        <v>9364.1423511553385</v>
      </c>
      <c r="M28" s="257">
        <f t="shared" si="7"/>
        <v>60866.925282509699</v>
      </c>
    </row>
    <row r="29" spans="1:15" x14ac:dyDescent="0.35">
      <c r="A29" s="260" t="s">
        <v>450</v>
      </c>
      <c r="B29" s="261"/>
      <c r="C29" s="261"/>
      <c r="D29" s="261"/>
      <c r="E29" s="261"/>
      <c r="F29" s="261"/>
      <c r="G29" s="261"/>
      <c r="H29" s="261"/>
      <c r="I29" s="261"/>
      <c r="J29" s="261"/>
      <c r="K29" s="261"/>
      <c r="L29" s="261"/>
      <c r="M29" s="262"/>
    </row>
    <row r="30" spans="1:15" x14ac:dyDescent="0.3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9"/>
    </row>
    <row r="31" spans="1:15" ht="15.5" x14ac:dyDescent="0.35">
      <c r="A31" s="250" t="s">
        <v>89</v>
      </c>
      <c r="B31" s="248"/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9"/>
    </row>
    <row r="32" spans="1:15" x14ac:dyDescent="0.35">
      <c r="A32" s="251" t="s">
        <v>87</v>
      </c>
      <c r="B32" s="252"/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3"/>
    </row>
    <row r="33" spans="1:13" x14ac:dyDescent="0.35">
      <c r="A33" s="254" t="s">
        <v>74</v>
      </c>
      <c r="B33" s="255" t="s">
        <v>75</v>
      </c>
      <c r="C33" s="255" t="s">
        <v>76</v>
      </c>
      <c r="D33" s="255" t="s">
        <v>77</v>
      </c>
      <c r="E33" s="255" t="s">
        <v>78</v>
      </c>
      <c r="F33" s="255" t="s">
        <v>79</v>
      </c>
      <c r="G33" s="255" t="s">
        <v>80</v>
      </c>
      <c r="H33" s="255" t="s">
        <v>81</v>
      </c>
      <c r="I33" s="255" t="s">
        <v>82</v>
      </c>
      <c r="J33" s="255" t="s">
        <v>83</v>
      </c>
      <c r="K33" s="255" t="s">
        <v>84</v>
      </c>
      <c r="L33" s="255" t="s">
        <v>85</v>
      </c>
      <c r="M33" s="255" t="s">
        <v>86</v>
      </c>
    </row>
    <row r="34" spans="1:13" x14ac:dyDescent="0.35">
      <c r="A34" s="256">
        <f t="shared" ref="A34:K34" si="8">$J$100</f>
        <v>27760000</v>
      </c>
      <c r="B34" s="256">
        <f t="shared" si="8"/>
        <v>27760000</v>
      </c>
      <c r="C34" s="256">
        <f t="shared" si="8"/>
        <v>27760000</v>
      </c>
      <c r="D34" s="256">
        <f t="shared" si="8"/>
        <v>27760000</v>
      </c>
      <c r="E34" s="256">
        <f t="shared" si="8"/>
        <v>27760000</v>
      </c>
      <c r="F34" s="256">
        <f t="shared" si="8"/>
        <v>27760000</v>
      </c>
      <c r="G34" s="256">
        <f t="shared" si="8"/>
        <v>27760000</v>
      </c>
      <c r="H34" s="256">
        <f t="shared" si="8"/>
        <v>27760000</v>
      </c>
      <c r="I34" s="256">
        <f t="shared" si="8"/>
        <v>27760000</v>
      </c>
      <c r="J34" s="256">
        <f t="shared" si="8"/>
        <v>27760000</v>
      </c>
      <c r="K34" s="256">
        <f t="shared" si="8"/>
        <v>27760000</v>
      </c>
      <c r="L34" s="257">
        <f>$K$34*2</f>
        <v>55520000</v>
      </c>
      <c r="M34" s="257">
        <f>SUM(A34:L34)</f>
        <v>360880000</v>
      </c>
    </row>
    <row r="35" spans="1:13" x14ac:dyDescent="0.35">
      <c r="A35" s="257">
        <f>A34/$N$2</f>
        <v>4682.0711755776692</v>
      </c>
      <c r="B35" s="257">
        <f>B34/$N$2</f>
        <v>4682.0711755776692</v>
      </c>
      <c r="C35" s="257">
        <f t="shared" ref="C35:M35" si="9">C34/$N$2</f>
        <v>4682.0711755776692</v>
      </c>
      <c r="D35" s="257">
        <f t="shared" si="9"/>
        <v>4682.0711755776692</v>
      </c>
      <c r="E35" s="257">
        <f t="shared" si="9"/>
        <v>4682.0711755776692</v>
      </c>
      <c r="F35" s="257">
        <f t="shared" si="9"/>
        <v>4682.0711755776692</v>
      </c>
      <c r="G35" s="257">
        <f t="shared" si="9"/>
        <v>4682.0711755776692</v>
      </c>
      <c r="H35" s="257">
        <f t="shared" si="9"/>
        <v>4682.0711755776692</v>
      </c>
      <c r="I35" s="257">
        <f t="shared" si="9"/>
        <v>4682.0711755776692</v>
      </c>
      <c r="J35" s="257">
        <f t="shared" si="9"/>
        <v>4682.0711755776692</v>
      </c>
      <c r="K35" s="257">
        <f t="shared" si="9"/>
        <v>4682.0711755776692</v>
      </c>
      <c r="L35" s="257">
        <f t="shared" si="9"/>
        <v>9364.1423511553385</v>
      </c>
      <c r="M35" s="257">
        <f t="shared" si="9"/>
        <v>60866.925282509699</v>
      </c>
    </row>
    <row r="36" spans="1:13" x14ac:dyDescent="0.35">
      <c r="A36" s="260" t="s">
        <v>450</v>
      </c>
      <c r="B36" s="261"/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262"/>
    </row>
    <row r="37" spans="1:13" x14ac:dyDescent="0.35">
      <c r="A37" s="267"/>
      <c r="B37" s="268"/>
      <c r="C37" s="268"/>
      <c r="D37" s="268"/>
      <c r="E37" s="268"/>
      <c r="F37" s="268"/>
      <c r="G37" s="268"/>
      <c r="H37" s="268"/>
      <c r="I37" s="268"/>
      <c r="J37" s="268"/>
      <c r="K37" s="268"/>
      <c r="L37" s="268"/>
      <c r="M37" s="269"/>
    </row>
    <row r="39" spans="1:13" ht="15.5" x14ac:dyDescent="0.35">
      <c r="A39" s="743" t="s">
        <v>466</v>
      </c>
      <c r="B39" s="744"/>
      <c r="C39" s="744"/>
      <c r="D39" s="744"/>
      <c r="E39" s="744"/>
      <c r="F39" s="744"/>
      <c r="G39" s="744"/>
      <c r="H39" s="744"/>
      <c r="I39" s="744"/>
      <c r="J39" s="744"/>
      <c r="K39" s="744"/>
      <c r="L39" s="744"/>
      <c r="M39" s="745"/>
    </row>
    <row r="40" spans="1:13" x14ac:dyDescent="0.35">
      <c r="A40" s="746" t="s">
        <v>418</v>
      </c>
      <c r="B40" s="747"/>
      <c r="C40" s="747"/>
      <c r="D40" s="747"/>
      <c r="E40" s="747"/>
      <c r="F40" s="747"/>
      <c r="G40" s="747"/>
      <c r="H40" s="747"/>
      <c r="I40" s="747"/>
      <c r="J40" s="747"/>
      <c r="K40" s="747"/>
      <c r="L40" s="747"/>
      <c r="M40" s="748"/>
    </row>
    <row r="41" spans="1:13" x14ac:dyDescent="0.35">
      <c r="A41" s="254" t="s">
        <v>74</v>
      </c>
      <c r="B41" s="254" t="s">
        <v>75</v>
      </c>
      <c r="C41" s="254" t="s">
        <v>76</v>
      </c>
      <c r="D41" s="254" t="s">
        <v>77</v>
      </c>
      <c r="E41" s="254" t="s">
        <v>78</v>
      </c>
      <c r="F41" s="254" t="s">
        <v>79</v>
      </c>
      <c r="G41" s="254" t="s">
        <v>80</v>
      </c>
      <c r="H41" s="254" t="s">
        <v>81</v>
      </c>
      <c r="I41" s="254" t="s">
        <v>82</v>
      </c>
      <c r="J41" s="254" t="s">
        <v>83</v>
      </c>
      <c r="K41" s="254" t="s">
        <v>84</v>
      </c>
      <c r="L41" s="254" t="s">
        <v>85</v>
      </c>
      <c r="M41" s="254" t="s">
        <v>86</v>
      </c>
    </row>
    <row r="42" spans="1:13" x14ac:dyDescent="0.35">
      <c r="A42" s="256">
        <f t="shared" ref="A42:K42" si="10">$J$110</f>
        <v>52800000</v>
      </c>
      <c r="B42" s="256">
        <f t="shared" si="10"/>
        <v>52800000</v>
      </c>
      <c r="C42" s="256">
        <f t="shared" si="10"/>
        <v>52800000</v>
      </c>
      <c r="D42" s="256">
        <f t="shared" si="10"/>
        <v>52800000</v>
      </c>
      <c r="E42" s="256">
        <f t="shared" si="10"/>
        <v>52800000</v>
      </c>
      <c r="F42" s="256">
        <f t="shared" si="10"/>
        <v>52800000</v>
      </c>
      <c r="G42" s="256">
        <f t="shared" si="10"/>
        <v>52800000</v>
      </c>
      <c r="H42" s="256">
        <f t="shared" si="10"/>
        <v>52800000</v>
      </c>
      <c r="I42" s="256">
        <f t="shared" si="10"/>
        <v>52800000</v>
      </c>
      <c r="J42" s="256">
        <f t="shared" si="10"/>
        <v>52800000</v>
      </c>
      <c r="K42" s="256">
        <f t="shared" si="10"/>
        <v>52800000</v>
      </c>
      <c r="L42" s="256">
        <f>$K$42*4</f>
        <v>211200000</v>
      </c>
      <c r="M42" s="256">
        <f>SUM(B42:L42)</f>
        <v>739200000</v>
      </c>
    </row>
    <row r="43" spans="1:13" x14ac:dyDescent="0.35">
      <c r="A43" s="257">
        <f>A42/$N$2</f>
        <v>8905.3803339517617</v>
      </c>
      <c r="B43" s="257">
        <f>B42/$N$2</f>
        <v>8905.3803339517617</v>
      </c>
      <c r="C43" s="257">
        <f>C42/$N$2</f>
        <v>8905.3803339517617</v>
      </c>
      <c r="D43" s="257">
        <f t="shared" ref="D43:M43" si="11">D42/$N$2</f>
        <v>8905.3803339517617</v>
      </c>
      <c r="E43" s="257">
        <f t="shared" si="11"/>
        <v>8905.3803339517617</v>
      </c>
      <c r="F43" s="257">
        <f t="shared" si="11"/>
        <v>8905.3803339517617</v>
      </c>
      <c r="G43" s="257">
        <f t="shared" si="11"/>
        <v>8905.3803339517617</v>
      </c>
      <c r="H43" s="257">
        <f t="shared" si="11"/>
        <v>8905.3803339517617</v>
      </c>
      <c r="I43" s="257">
        <f t="shared" si="11"/>
        <v>8905.3803339517617</v>
      </c>
      <c r="J43" s="257">
        <f t="shared" si="11"/>
        <v>8905.3803339517617</v>
      </c>
      <c r="K43" s="257">
        <f t="shared" si="11"/>
        <v>8905.3803339517617</v>
      </c>
      <c r="L43" s="257">
        <f t="shared" si="11"/>
        <v>35621.521335807047</v>
      </c>
      <c r="M43" s="257">
        <f t="shared" si="11"/>
        <v>124675.32467532468</v>
      </c>
    </row>
    <row r="44" spans="1:13" x14ac:dyDescent="0.35">
      <c r="A44" s="267"/>
      <c r="B44" s="270"/>
      <c r="C44" s="270"/>
      <c r="D44" s="270"/>
      <c r="E44" s="270"/>
      <c r="F44" s="270"/>
      <c r="G44" s="270"/>
      <c r="H44" s="270"/>
      <c r="I44" s="270"/>
      <c r="J44" s="270"/>
      <c r="K44" s="270"/>
      <c r="L44" s="270"/>
      <c r="M44" s="271"/>
    </row>
    <row r="45" spans="1:13" ht="15.5" x14ac:dyDescent="0.35">
      <c r="A45" s="743" t="s">
        <v>467</v>
      </c>
      <c r="B45" s="744"/>
      <c r="C45" s="744"/>
      <c r="D45" s="744"/>
      <c r="E45" s="744"/>
      <c r="F45" s="744"/>
      <c r="G45" s="744"/>
      <c r="H45" s="744"/>
      <c r="I45" s="744"/>
      <c r="J45" s="744"/>
      <c r="K45" s="744"/>
      <c r="L45" s="744"/>
      <c r="M45" s="745"/>
    </row>
    <row r="46" spans="1:13" x14ac:dyDescent="0.35">
      <c r="A46" s="746" t="s">
        <v>88</v>
      </c>
      <c r="B46" s="747"/>
      <c r="C46" s="747"/>
      <c r="D46" s="747"/>
      <c r="E46" s="747"/>
      <c r="F46" s="747"/>
      <c r="G46" s="747"/>
      <c r="H46" s="747"/>
      <c r="I46" s="747"/>
      <c r="J46" s="747"/>
      <c r="K46" s="747"/>
      <c r="L46" s="747"/>
      <c r="M46" s="748"/>
    </row>
    <row r="47" spans="1:13" x14ac:dyDescent="0.35">
      <c r="A47" s="254" t="s">
        <v>74</v>
      </c>
      <c r="B47" s="254" t="s">
        <v>75</v>
      </c>
      <c r="C47" s="254" t="s">
        <v>76</v>
      </c>
      <c r="D47" s="254" t="s">
        <v>77</v>
      </c>
      <c r="E47" s="254" t="s">
        <v>78</v>
      </c>
      <c r="F47" s="254" t="s">
        <v>79</v>
      </c>
      <c r="G47" s="254" t="s">
        <v>80</v>
      </c>
      <c r="H47" s="254" t="s">
        <v>81</v>
      </c>
      <c r="I47" s="254" t="s">
        <v>82</v>
      </c>
      <c r="J47" s="254" t="s">
        <v>83</v>
      </c>
      <c r="K47" s="254" t="s">
        <v>84</v>
      </c>
      <c r="L47" s="254" t="s">
        <v>85</v>
      </c>
      <c r="M47" s="254" t="s">
        <v>86</v>
      </c>
    </row>
    <row r="48" spans="1:13" x14ac:dyDescent="0.35">
      <c r="A48" s="256">
        <f t="shared" ref="A48:K48" si="12">$J$116</f>
        <v>14400000</v>
      </c>
      <c r="B48" s="256">
        <f t="shared" si="12"/>
        <v>14400000</v>
      </c>
      <c r="C48" s="256">
        <f t="shared" si="12"/>
        <v>14400000</v>
      </c>
      <c r="D48" s="256">
        <f t="shared" si="12"/>
        <v>14400000</v>
      </c>
      <c r="E48" s="256">
        <f t="shared" si="12"/>
        <v>14400000</v>
      </c>
      <c r="F48" s="256">
        <f t="shared" si="12"/>
        <v>14400000</v>
      </c>
      <c r="G48" s="256">
        <f t="shared" si="12"/>
        <v>14400000</v>
      </c>
      <c r="H48" s="256">
        <f t="shared" si="12"/>
        <v>14400000</v>
      </c>
      <c r="I48" s="256">
        <f t="shared" si="12"/>
        <v>14400000</v>
      </c>
      <c r="J48" s="256">
        <f t="shared" si="12"/>
        <v>14400000</v>
      </c>
      <c r="K48" s="256">
        <f t="shared" si="12"/>
        <v>14400000</v>
      </c>
      <c r="L48" s="256">
        <f>$K$48*6</f>
        <v>86400000</v>
      </c>
      <c r="M48" s="256">
        <f>SUM(B48:L48)</f>
        <v>230400000</v>
      </c>
    </row>
    <row r="49" spans="1:15" x14ac:dyDescent="0.35">
      <c r="A49" s="257">
        <f>A48/$N$2</f>
        <v>2428.7400910777533</v>
      </c>
      <c r="B49" s="257">
        <f>B48/$N$2</f>
        <v>2428.7400910777533</v>
      </c>
      <c r="C49" s="257">
        <f t="shared" ref="C49:K49" si="13">C48/$N$2</f>
        <v>2428.7400910777533</v>
      </c>
      <c r="D49" s="257">
        <f t="shared" si="13"/>
        <v>2428.7400910777533</v>
      </c>
      <c r="E49" s="257">
        <f t="shared" si="13"/>
        <v>2428.7400910777533</v>
      </c>
      <c r="F49" s="257">
        <f t="shared" si="13"/>
        <v>2428.7400910777533</v>
      </c>
      <c r="G49" s="257">
        <f t="shared" si="13"/>
        <v>2428.7400910777533</v>
      </c>
      <c r="H49" s="257">
        <f t="shared" si="13"/>
        <v>2428.7400910777533</v>
      </c>
      <c r="I49" s="257">
        <f t="shared" si="13"/>
        <v>2428.7400910777533</v>
      </c>
      <c r="J49" s="257">
        <f t="shared" si="13"/>
        <v>2428.7400910777533</v>
      </c>
      <c r="K49" s="257">
        <f t="shared" si="13"/>
        <v>2428.7400910777533</v>
      </c>
      <c r="L49" s="257">
        <f>L48/$N$2</f>
        <v>14572.44054646652</v>
      </c>
      <c r="M49" s="257">
        <f>M48/5800</f>
        <v>39724.137931034486</v>
      </c>
      <c r="N49" s="259"/>
    </row>
    <row r="53" spans="1:15" x14ac:dyDescent="0.35">
      <c r="A53" s="272">
        <f>A7+A14+A21</f>
        <v>12400.06746500253</v>
      </c>
      <c r="B53" s="272">
        <f>B7+B14+B21</f>
        <v>12400.06746500253</v>
      </c>
      <c r="C53" s="272">
        <f t="shared" ref="C53:K53" si="14">C7+C14+C21</f>
        <v>12400.06746500253</v>
      </c>
      <c r="D53" s="272">
        <f t="shared" si="14"/>
        <v>12400.06746500253</v>
      </c>
      <c r="E53" s="272">
        <f>E7+E14+E21</f>
        <v>12400.06746500253</v>
      </c>
      <c r="F53" s="272">
        <f t="shared" si="14"/>
        <v>12400.06746500253</v>
      </c>
      <c r="G53" s="272">
        <f t="shared" si="14"/>
        <v>12400.06746500253</v>
      </c>
      <c r="H53" s="272">
        <f t="shared" si="14"/>
        <v>12400.06746500253</v>
      </c>
      <c r="I53" s="272">
        <f t="shared" si="14"/>
        <v>12400.06746500253</v>
      </c>
      <c r="J53" s="272">
        <f t="shared" si="14"/>
        <v>12400.06746500253</v>
      </c>
      <c r="K53" s="272">
        <f t="shared" si="14"/>
        <v>12400.06746500253</v>
      </c>
      <c r="L53" s="272">
        <f>L7+L14+L21</f>
        <v>24800.134930005061</v>
      </c>
      <c r="M53" s="272">
        <f>SUM(A53:L53)</f>
        <v>161200.87704503289</v>
      </c>
      <c r="N53" s="259">
        <f>K73+K82</f>
        <v>161200.87704503289</v>
      </c>
    </row>
    <row r="54" spans="1:15" x14ac:dyDescent="0.35">
      <c r="A54" s="272">
        <f>A28+A35</f>
        <v>9364.1423511553385</v>
      </c>
      <c r="B54" s="272">
        <f t="shared" ref="B54:K54" si="15">B28+B35</f>
        <v>9364.1423511553385</v>
      </c>
      <c r="C54" s="272">
        <f t="shared" si="15"/>
        <v>9364.1423511553385</v>
      </c>
      <c r="D54" s="272">
        <f t="shared" si="15"/>
        <v>9364.1423511553385</v>
      </c>
      <c r="E54" s="272">
        <f t="shared" si="15"/>
        <v>9364.1423511553385</v>
      </c>
      <c r="F54" s="272">
        <f t="shared" si="15"/>
        <v>9364.1423511553385</v>
      </c>
      <c r="G54" s="272">
        <f t="shared" si="15"/>
        <v>9364.1423511553385</v>
      </c>
      <c r="H54" s="272">
        <f t="shared" si="15"/>
        <v>9364.1423511553385</v>
      </c>
      <c r="I54" s="272">
        <f t="shared" si="15"/>
        <v>9364.1423511553385</v>
      </c>
      <c r="J54" s="272">
        <f t="shared" si="15"/>
        <v>9364.1423511553385</v>
      </c>
      <c r="K54" s="272">
        <f t="shared" si="15"/>
        <v>9364.1423511553385</v>
      </c>
      <c r="L54" s="272">
        <f>L28+L35</f>
        <v>18728.284702310677</v>
      </c>
      <c r="M54" s="272">
        <f>SUM(A54:L54)</f>
        <v>121733.85056501941</v>
      </c>
      <c r="N54" s="259">
        <f>K101</f>
        <v>121733.8505650194</v>
      </c>
    </row>
    <row r="55" spans="1:15" x14ac:dyDescent="0.35">
      <c r="A55" s="272">
        <f>(A43*2)+(A49*3)</f>
        <v>25096.980941136782</v>
      </c>
      <c r="B55" s="272">
        <f>(B43*2)+(B49*3)</f>
        <v>25096.980941136782</v>
      </c>
      <c r="C55" s="272">
        <f>(C43*2)+(C49*3)</f>
        <v>25096.980941136782</v>
      </c>
      <c r="D55" s="272">
        <f t="shared" ref="D55:J55" si="16">(D43*2)+(D49*3)</f>
        <v>25096.980941136782</v>
      </c>
      <c r="E55" s="272">
        <f t="shared" si="16"/>
        <v>25096.980941136782</v>
      </c>
      <c r="F55" s="272">
        <f t="shared" si="16"/>
        <v>25096.980941136782</v>
      </c>
      <c r="G55" s="272">
        <f t="shared" si="16"/>
        <v>25096.980941136782</v>
      </c>
      <c r="H55" s="272">
        <f t="shared" si="16"/>
        <v>25096.980941136782</v>
      </c>
      <c r="I55" s="272">
        <f t="shared" si="16"/>
        <v>25096.980941136782</v>
      </c>
      <c r="J55" s="272">
        <f t="shared" si="16"/>
        <v>25096.980941136782</v>
      </c>
      <c r="K55" s="272">
        <f>(K43*2)+(K49*3)</f>
        <v>25096.980941136782</v>
      </c>
      <c r="L55" s="272">
        <f>L43+L49</f>
        <v>50193.961882273565</v>
      </c>
      <c r="M55" s="272">
        <f>SUM(A55:L55)</f>
        <v>326260.75223477813</v>
      </c>
      <c r="N55" s="259">
        <f>K111+K117</f>
        <v>326260.75223477825</v>
      </c>
      <c r="O55" s="246"/>
    </row>
    <row r="56" spans="1:15" x14ac:dyDescent="0.35">
      <c r="M56" s="246">
        <f>SUM(M53:M55)</f>
        <v>609195.47984483046</v>
      </c>
      <c r="N56" s="259">
        <f>SUM(N53:N55)</f>
        <v>609195.47984483046</v>
      </c>
    </row>
    <row r="57" spans="1:15" x14ac:dyDescent="0.35">
      <c r="A57" s="273" t="s">
        <v>468</v>
      </c>
    </row>
    <row r="58" spans="1:15" x14ac:dyDescent="0.35">
      <c r="A58" t="s">
        <v>469</v>
      </c>
      <c r="B58" s="246" t="s">
        <v>470</v>
      </c>
      <c r="C58" s="246" t="s">
        <v>471</v>
      </c>
      <c r="D58" s="246" t="s">
        <v>451</v>
      </c>
      <c r="E58" s="246" t="s">
        <v>472</v>
      </c>
      <c r="F58" s="246" t="s">
        <v>473</v>
      </c>
      <c r="G58" s="246" t="s">
        <v>474</v>
      </c>
      <c r="H58" s="246" t="s">
        <v>475</v>
      </c>
      <c r="I58" s="246" t="s">
        <v>476</v>
      </c>
      <c r="J58" s="246" t="s">
        <v>477</v>
      </c>
      <c r="K58" s="246" t="s">
        <v>69</v>
      </c>
      <c r="N58" s="259"/>
    </row>
    <row r="59" spans="1:15" x14ac:dyDescent="0.35">
      <c r="A59" t="s">
        <v>452</v>
      </c>
      <c r="B59" s="246">
        <v>1</v>
      </c>
      <c r="C59" s="246" t="s">
        <v>478</v>
      </c>
      <c r="D59" s="246">
        <v>6000000</v>
      </c>
      <c r="E59" s="246">
        <v>100</v>
      </c>
      <c r="F59" s="246" t="s">
        <v>479</v>
      </c>
      <c r="G59" s="246">
        <v>26</v>
      </c>
      <c r="H59" s="246">
        <v>123</v>
      </c>
      <c r="I59" s="274">
        <f t="shared" ref="I59:I71" si="17">(D59/30)/8</f>
        <v>25000</v>
      </c>
      <c r="J59" s="246">
        <f>((I59*1.5)*32)*B59</f>
        <v>1200000</v>
      </c>
      <c r="K59" s="246">
        <f>G59*J59</f>
        <v>31200000</v>
      </c>
    </row>
    <row r="60" spans="1:15" x14ac:dyDescent="0.35">
      <c r="A60" t="s">
        <v>480</v>
      </c>
      <c r="B60" s="246">
        <v>2</v>
      </c>
      <c r="C60" s="246" t="s">
        <v>481</v>
      </c>
      <c r="D60" s="246">
        <v>5000000</v>
      </c>
      <c r="E60" s="246">
        <v>100</v>
      </c>
      <c r="F60" s="246" t="s">
        <v>479</v>
      </c>
      <c r="G60" s="246">
        <v>26</v>
      </c>
      <c r="H60" s="246">
        <v>123</v>
      </c>
      <c r="I60" s="274">
        <f t="shared" si="17"/>
        <v>20833.333333333332</v>
      </c>
      <c r="J60" s="246">
        <f t="shared" ref="J60:J71" si="18">((I60*1.5)*32)*B60</f>
        <v>2000000</v>
      </c>
      <c r="K60" s="246">
        <f t="shared" ref="K60:K71" si="19">G60*J60</f>
        <v>52000000</v>
      </c>
    </row>
    <row r="61" spans="1:15" x14ac:dyDescent="0.35">
      <c r="A61" t="s">
        <v>452</v>
      </c>
      <c r="B61" s="246">
        <v>1</v>
      </c>
      <c r="C61" s="246" t="s">
        <v>482</v>
      </c>
      <c r="D61" s="246">
        <v>4200000</v>
      </c>
      <c r="E61" s="246">
        <v>100</v>
      </c>
      <c r="F61" s="246" t="s">
        <v>483</v>
      </c>
      <c r="G61" s="246">
        <v>26</v>
      </c>
      <c r="H61" s="275" t="s">
        <v>484</v>
      </c>
      <c r="I61" s="274">
        <f t="shared" si="17"/>
        <v>17500</v>
      </c>
      <c r="J61" s="246">
        <f t="shared" si="18"/>
        <v>840000</v>
      </c>
      <c r="K61" s="246">
        <f t="shared" si="19"/>
        <v>21840000</v>
      </c>
    </row>
    <row r="62" spans="1:15" x14ac:dyDescent="0.35">
      <c r="A62" t="s">
        <v>480</v>
      </c>
      <c r="B62" s="246">
        <v>4</v>
      </c>
      <c r="C62" s="246" t="s">
        <v>482</v>
      </c>
      <c r="D62" s="246">
        <v>4200000</v>
      </c>
      <c r="E62" s="246">
        <v>100</v>
      </c>
      <c r="F62" s="246" t="s">
        <v>483</v>
      </c>
      <c r="G62" s="246">
        <v>26</v>
      </c>
      <c r="H62" s="246">
        <v>123</v>
      </c>
      <c r="I62" s="274">
        <f t="shared" si="17"/>
        <v>17500</v>
      </c>
      <c r="J62" s="246">
        <f t="shared" si="18"/>
        <v>3360000</v>
      </c>
      <c r="K62" s="246">
        <f t="shared" si="19"/>
        <v>87360000</v>
      </c>
    </row>
    <row r="63" spans="1:15" x14ac:dyDescent="0.35">
      <c r="A63" t="s">
        <v>452</v>
      </c>
      <c r="B63" s="246">
        <v>1</v>
      </c>
      <c r="C63" s="246" t="s">
        <v>485</v>
      </c>
      <c r="D63" s="246">
        <v>6000000</v>
      </c>
      <c r="E63" s="246">
        <v>100</v>
      </c>
      <c r="F63" s="246" t="s">
        <v>486</v>
      </c>
      <c r="G63" s="246">
        <v>26</v>
      </c>
      <c r="H63" s="246">
        <v>123</v>
      </c>
      <c r="I63" s="274">
        <f t="shared" si="17"/>
        <v>25000</v>
      </c>
      <c r="J63" s="246">
        <f t="shared" si="18"/>
        <v>1200000</v>
      </c>
      <c r="K63" s="246">
        <f t="shared" si="19"/>
        <v>31200000</v>
      </c>
    </row>
    <row r="64" spans="1:15" x14ac:dyDescent="0.35">
      <c r="A64" t="s">
        <v>480</v>
      </c>
      <c r="B64" s="246">
        <v>2</v>
      </c>
      <c r="C64" s="246" t="s">
        <v>487</v>
      </c>
      <c r="D64" s="246">
        <v>5000000</v>
      </c>
      <c r="E64" s="246">
        <v>100</v>
      </c>
      <c r="F64" s="246" t="s">
        <v>486</v>
      </c>
      <c r="G64" s="246">
        <v>26</v>
      </c>
      <c r="H64" s="246">
        <v>123</v>
      </c>
      <c r="I64" s="274">
        <f t="shared" si="17"/>
        <v>20833.333333333332</v>
      </c>
      <c r="J64" s="246">
        <f t="shared" si="18"/>
        <v>2000000</v>
      </c>
      <c r="K64" s="246">
        <f t="shared" si="19"/>
        <v>52000000</v>
      </c>
    </row>
    <row r="65" spans="1:12" x14ac:dyDescent="0.35">
      <c r="A65" t="s">
        <v>488</v>
      </c>
      <c r="B65" s="246">
        <v>4</v>
      </c>
      <c r="C65" s="246" t="s">
        <v>489</v>
      </c>
      <c r="D65" s="246">
        <v>4200000</v>
      </c>
      <c r="E65" s="246">
        <v>100</v>
      </c>
      <c r="F65" s="246" t="s">
        <v>490</v>
      </c>
      <c r="G65" s="246">
        <v>26</v>
      </c>
      <c r="H65" s="246">
        <v>123</v>
      </c>
      <c r="I65" s="274">
        <f t="shared" si="17"/>
        <v>17500</v>
      </c>
      <c r="J65" s="246">
        <f t="shared" si="18"/>
        <v>3360000</v>
      </c>
      <c r="K65" s="246">
        <f t="shared" si="19"/>
        <v>87360000</v>
      </c>
    </row>
    <row r="66" spans="1:12" x14ac:dyDescent="0.35">
      <c r="A66" t="s">
        <v>480</v>
      </c>
      <c r="B66" s="246">
        <v>3</v>
      </c>
      <c r="C66" s="246" t="s">
        <v>489</v>
      </c>
      <c r="D66" s="246">
        <v>4200000</v>
      </c>
      <c r="E66" s="246">
        <v>100</v>
      </c>
      <c r="F66" s="246" t="s">
        <v>490</v>
      </c>
      <c r="G66" s="246">
        <v>26</v>
      </c>
      <c r="H66" s="246">
        <v>123</v>
      </c>
      <c r="I66" s="274">
        <f t="shared" si="17"/>
        <v>17500</v>
      </c>
      <c r="J66" s="246">
        <f t="shared" si="18"/>
        <v>2520000</v>
      </c>
      <c r="K66" s="246">
        <f t="shared" si="19"/>
        <v>65520000</v>
      </c>
    </row>
    <row r="67" spans="1:12" x14ac:dyDescent="0.35">
      <c r="A67" t="s">
        <v>452</v>
      </c>
      <c r="B67" s="246">
        <v>1</v>
      </c>
      <c r="C67" s="246" t="s">
        <v>491</v>
      </c>
      <c r="D67" s="246">
        <v>6000000</v>
      </c>
      <c r="E67" s="246">
        <v>100</v>
      </c>
      <c r="F67" s="246" t="s">
        <v>492</v>
      </c>
      <c r="G67" s="246">
        <v>26</v>
      </c>
      <c r="H67" s="246">
        <v>123</v>
      </c>
      <c r="I67" s="274">
        <f t="shared" si="17"/>
        <v>25000</v>
      </c>
      <c r="J67" s="246">
        <f t="shared" si="18"/>
        <v>1200000</v>
      </c>
      <c r="K67" s="246">
        <f t="shared" si="19"/>
        <v>31200000</v>
      </c>
    </row>
    <row r="68" spans="1:12" x14ac:dyDescent="0.35">
      <c r="A68" t="s">
        <v>493</v>
      </c>
      <c r="B68" s="246">
        <v>3</v>
      </c>
      <c r="C68" s="246" t="s">
        <v>494</v>
      </c>
      <c r="D68" s="246">
        <v>4200000</v>
      </c>
      <c r="E68" s="246">
        <v>100</v>
      </c>
      <c r="F68" s="246" t="s">
        <v>492</v>
      </c>
      <c r="G68" s="246">
        <v>26</v>
      </c>
      <c r="H68" s="246">
        <v>123</v>
      </c>
      <c r="I68" s="274">
        <f t="shared" si="17"/>
        <v>17500</v>
      </c>
      <c r="J68" s="246">
        <f t="shared" si="18"/>
        <v>2520000</v>
      </c>
      <c r="K68" s="246">
        <f t="shared" si="19"/>
        <v>65520000</v>
      </c>
    </row>
    <row r="69" spans="1:12" x14ac:dyDescent="0.35">
      <c r="A69" t="s">
        <v>495</v>
      </c>
      <c r="B69" s="246">
        <v>1</v>
      </c>
      <c r="C69" s="246" t="s">
        <v>496</v>
      </c>
      <c r="D69" s="246">
        <v>6000000</v>
      </c>
      <c r="E69" s="246">
        <v>100</v>
      </c>
      <c r="F69" s="246" t="s">
        <v>497</v>
      </c>
      <c r="G69" s="246">
        <v>26</v>
      </c>
      <c r="H69" s="246">
        <v>123</v>
      </c>
      <c r="I69" s="274">
        <f t="shared" si="17"/>
        <v>25000</v>
      </c>
      <c r="J69" s="246">
        <f t="shared" si="18"/>
        <v>1200000</v>
      </c>
      <c r="K69" s="246">
        <f t="shared" si="19"/>
        <v>31200000</v>
      </c>
    </row>
    <row r="70" spans="1:12" x14ac:dyDescent="0.35">
      <c r="A70" t="s">
        <v>498</v>
      </c>
      <c r="B70" s="246">
        <v>4</v>
      </c>
      <c r="C70" s="246" t="s">
        <v>499</v>
      </c>
      <c r="D70" s="246">
        <v>4200000</v>
      </c>
      <c r="E70" s="246">
        <v>100</v>
      </c>
      <c r="F70" s="246" t="s">
        <v>497</v>
      </c>
      <c r="G70" s="246">
        <v>26</v>
      </c>
      <c r="H70" s="275" t="s">
        <v>484</v>
      </c>
      <c r="I70" s="274">
        <f t="shared" si="17"/>
        <v>17500</v>
      </c>
      <c r="J70" s="246">
        <f>((I70*1.5)*32)*B70</f>
        <v>3360000</v>
      </c>
      <c r="K70" s="246">
        <f t="shared" si="19"/>
        <v>87360000</v>
      </c>
    </row>
    <row r="71" spans="1:12" x14ac:dyDescent="0.35">
      <c r="A71" t="s">
        <v>493</v>
      </c>
      <c r="B71" s="246">
        <v>3</v>
      </c>
      <c r="C71" s="246" t="s">
        <v>500</v>
      </c>
      <c r="D71" s="246">
        <v>5000000</v>
      </c>
      <c r="E71" s="246">
        <v>100</v>
      </c>
      <c r="F71" s="246" t="s">
        <v>501</v>
      </c>
      <c r="G71" s="246">
        <v>26</v>
      </c>
      <c r="H71" s="275" t="s">
        <v>484</v>
      </c>
      <c r="I71" s="274">
        <f t="shared" si="17"/>
        <v>20833.333333333332</v>
      </c>
      <c r="J71" s="246">
        <f t="shared" si="18"/>
        <v>3000000</v>
      </c>
      <c r="K71" s="246">
        <f t="shared" si="19"/>
        <v>78000000</v>
      </c>
    </row>
    <row r="72" spans="1:12" x14ac:dyDescent="0.35">
      <c r="B72" s="246">
        <f>SUM(B59:B71)</f>
        <v>30</v>
      </c>
      <c r="J72" s="246">
        <f>SUM(J59:J71)</f>
        <v>27760000</v>
      </c>
      <c r="K72" s="246">
        <f>SUM(K59:K71)</f>
        <v>721760000</v>
      </c>
    </row>
    <row r="73" spans="1:12" x14ac:dyDescent="0.35">
      <c r="J73" s="276" t="s">
        <v>69</v>
      </c>
      <c r="K73" s="276">
        <f>K72/N2</f>
        <v>121733.8505650194</v>
      </c>
      <c r="L73" s="246">
        <f>K73/11</f>
        <v>11066.713687729036</v>
      </c>
    </row>
    <row r="74" spans="1:12" x14ac:dyDescent="0.35">
      <c r="A74" s="273" t="s">
        <v>502</v>
      </c>
    </row>
    <row r="75" spans="1:12" x14ac:dyDescent="0.35">
      <c r="A75" t="s">
        <v>469</v>
      </c>
      <c r="B75" s="246" t="s">
        <v>470</v>
      </c>
      <c r="C75" s="246" t="s">
        <v>471</v>
      </c>
      <c r="D75" s="246" t="s">
        <v>451</v>
      </c>
      <c r="E75" s="246" t="s">
        <v>472</v>
      </c>
      <c r="F75" s="246" t="s">
        <v>473</v>
      </c>
      <c r="G75" s="246" t="s">
        <v>474</v>
      </c>
      <c r="H75" s="246" t="s">
        <v>475</v>
      </c>
      <c r="I75" s="246" t="s">
        <v>476</v>
      </c>
      <c r="J75" s="246" t="s">
        <v>477</v>
      </c>
      <c r="K75" s="246" t="s">
        <v>69</v>
      </c>
    </row>
    <row r="77" spans="1:12" x14ac:dyDescent="0.35">
      <c r="A77" t="s">
        <v>452</v>
      </c>
      <c r="B77" s="246">
        <v>1</v>
      </c>
      <c r="C77" s="246" t="s">
        <v>503</v>
      </c>
      <c r="D77" s="246">
        <v>5000000</v>
      </c>
      <c r="E77" s="246">
        <v>100</v>
      </c>
      <c r="F77" s="246" t="s">
        <v>504</v>
      </c>
      <c r="G77" s="246">
        <v>39</v>
      </c>
      <c r="H77" s="275" t="s">
        <v>484</v>
      </c>
      <c r="I77" s="274">
        <f>(D77/30)/8</f>
        <v>20833.333333333332</v>
      </c>
      <c r="J77" s="246">
        <f>((I77*1.5)*32)*B77</f>
        <v>1000000</v>
      </c>
      <c r="K77" s="246">
        <f>G77*J77</f>
        <v>39000000</v>
      </c>
    </row>
    <row r="78" spans="1:12" x14ac:dyDescent="0.35">
      <c r="A78" t="s">
        <v>452</v>
      </c>
      <c r="B78" s="246">
        <v>2</v>
      </c>
      <c r="C78" s="246" t="s">
        <v>505</v>
      </c>
      <c r="D78" s="246">
        <v>5000000</v>
      </c>
      <c r="E78" s="246">
        <v>100</v>
      </c>
      <c r="F78" s="246" t="s">
        <v>504</v>
      </c>
      <c r="G78" s="246">
        <v>39</v>
      </c>
      <c r="H78" s="246">
        <v>123</v>
      </c>
      <c r="I78" s="274">
        <f>(D78/30)/8</f>
        <v>20833.333333333332</v>
      </c>
      <c r="J78" s="246">
        <f>((I78*1.5)*32)*B78</f>
        <v>2000000</v>
      </c>
      <c r="K78" s="246">
        <f>G78*J78</f>
        <v>78000000</v>
      </c>
    </row>
    <row r="79" spans="1:12" x14ac:dyDescent="0.35">
      <c r="A79" t="s">
        <v>452</v>
      </c>
      <c r="B79" s="246">
        <v>2</v>
      </c>
      <c r="C79" s="246" t="s">
        <v>506</v>
      </c>
      <c r="D79" s="246">
        <v>5000000</v>
      </c>
      <c r="E79" s="246">
        <v>100</v>
      </c>
      <c r="F79" s="246" t="s">
        <v>504</v>
      </c>
      <c r="G79" s="246">
        <v>39</v>
      </c>
      <c r="H79" s="275" t="s">
        <v>484</v>
      </c>
      <c r="I79" s="274">
        <f>(D79/30)/8</f>
        <v>20833.333333333332</v>
      </c>
      <c r="J79" s="246">
        <f>((I79*1.5)*32)*B79</f>
        <v>2000000</v>
      </c>
      <c r="K79" s="246">
        <f>G79*J79</f>
        <v>78000000</v>
      </c>
    </row>
    <row r="80" spans="1:12" x14ac:dyDescent="0.35">
      <c r="A80" t="s">
        <v>452</v>
      </c>
      <c r="B80" s="246">
        <v>1</v>
      </c>
      <c r="C80" s="246" t="s">
        <v>494</v>
      </c>
      <c r="D80" s="246">
        <v>5000000</v>
      </c>
      <c r="E80" s="246">
        <v>100</v>
      </c>
      <c r="F80" s="246" t="s">
        <v>504</v>
      </c>
      <c r="G80" s="246">
        <v>39</v>
      </c>
      <c r="H80" s="246">
        <v>123</v>
      </c>
      <c r="I80" s="274">
        <f>(D80/30)/8</f>
        <v>20833.333333333332</v>
      </c>
      <c r="J80" s="246">
        <f>((I80*1.5)*32)*B80</f>
        <v>1000000</v>
      </c>
      <c r="K80" s="246">
        <f>G80*J80</f>
        <v>39000000</v>
      </c>
    </row>
    <row r="81" spans="1:12" x14ac:dyDescent="0.35">
      <c r="J81" s="246">
        <f>SUM(J77:J80)</f>
        <v>6000000</v>
      </c>
      <c r="K81" s="246">
        <f>SUM(K77:K80)</f>
        <v>234000000</v>
      </c>
    </row>
    <row r="82" spans="1:12" x14ac:dyDescent="0.35">
      <c r="J82" s="276" t="s">
        <v>69</v>
      </c>
      <c r="K82" s="276">
        <f>K81/N2</f>
        <v>39467.02648001349</v>
      </c>
      <c r="L82" s="246">
        <f>K82/11</f>
        <v>3587.9114981830444</v>
      </c>
    </row>
    <row r="85" spans="1:12" x14ac:dyDescent="0.35">
      <c r="A85" s="273" t="s">
        <v>507</v>
      </c>
    </row>
    <row r="86" spans="1:12" x14ac:dyDescent="0.35">
      <c r="A86" t="s">
        <v>469</v>
      </c>
      <c r="B86" s="246" t="s">
        <v>470</v>
      </c>
      <c r="C86" s="246" t="s">
        <v>471</v>
      </c>
      <c r="D86" s="246" t="s">
        <v>451</v>
      </c>
      <c r="E86" s="246" t="s">
        <v>472</v>
      </c>
      <c r="F86" s="246" t="s">
        <v>473</v>
      </c>
      <c r="G86" s="246" t="s">
        <v>474</v>
      </c>
      <c r="H86" s="246" t="s">
        <v>475</v>
      </c>
      <c r="I86" s="246" t="s">
        <v>476</v>
      </c>
      <c r="J86" s="246" t="s">
        <v>477</v>
      </c>
      <c r="K86" s="246" t="s">
        <v>69</v>
      </c>
    </row>
    <row r="87" spans="1:12" x14ac:dyDescent="0.35">
      <c r="A87" t="s">
        <v>452</v>
      </c>
      <c r="B87" s="246">
        <v>1</v>
      </c>
      <c r="C87" s="246" t="s">
        <v>478</v>
      </c>
      <c r="D87" s="246">
        <v>6000000</v>
      </c>
      <c r="E87" s="246">
        <v>100</v>
      </c>
      <c r="F87" s="246" t="s">
        <v>479</v>
      </c>
      <c r="G87" s="246">
        <v>26</v>
      </c>
      <c r="H87" s="246">
        <v>123</v>
      </c>
      <c r="I87" s="274">
        <f t="shared" ref="I87:I99" si="20">(D87/30)/8</f>
        <v>25000</v>
      </c>
      <c r="J87" s="246">
        <f>((I87*1.5)*32)*B87</f>
        <v>1200000</v>
      </c>
      <c r="K87" s="246">
        <f>G87*J87</f>
        <v>31200000</v>
      </c>
    </row>
    <row r="88" spans="1:12" x14ac:dyDescent="0.35">
      <c r="A88" t="s">
        <v>480</v>
      </c>
      <c r="B88" s="246">
        <v>2</v>
      </c>
      <c r="C88" s="246" t="s">
        <v>481</v>
      </c>
      <c r="D88" s="246">
        <v>5000000</v>
      </c>
      <c r="E88" s="246">
        <v>100</v>
      </c>
      <c r="F88" s="246" t="s">
        <v>479</v>
      </c>
      <c r="G88" s="246">
        <v>26</v>
      </c>
      <c r="H88" s="246">
        <v>123</v>
      </c>
      <c r="I88" s="274">
        <f t="shared" si="20"/>
        <v>20833.333333333332</v>
      </c>
      <c r="J88" s="246">
        <f t="shared" ref="J88:J99" si="21">((I88*1.5)*32)*B88</f>
        <v>2000000</v>
      </c>
      <c r="K88" s="246">
        <f t="shared" ref="K88:K99" si="22">G88*J88</f>
        <v>52000000</v>
      </c>
    </row>
    <row r="89" spans="1:12" x14ac:dyDescent="0.35">
      <c r="A89" t="s">
        <v>452</v>
      </c>
      <c r="B89" s="246">
        <v>1</v>
      </c>
      <c r="C89" s="246" t="s">
        <v>482</v>
      </c>
      <c r="D89" s="246">
        <v>4200000</v>
      </c>
      <c r="E89" s="246">
        <v>100</v>
      </c>
      <c r="F89" s="246" t="s">
        <v>483</v>
      </c>
      <c r="G89" s="246">
        <v>26</v>
      </c>
      <c r="H89" s="275" t="s">
        <v>484</v>
      </c>
      <c r="I89" s="274">
        <f t="shared" si="20"/>
        <v>17500</v>
      </c>
      <c r="J89" s="246">
        <f t="shared" si="21"/>
        <v>840000</v>
      </c>
      <c r="K89" s="246">
        <f t="shared" si="22"/>
        <v>21840000</v>
      </c>
    </row>
    <row r="90" spans="1:12" x14ac:dyDescent="0.35">
      <c r="A90" t="s">
        <v>480</v>
      </c>
      <c r="B90" s="246">
        <v>4</v>
      </c>
      <c r="C90" s="246" t="s">
        <v>482</v>
      </c>
      <c r="D90" s="246">
        <v>4200000</v>
      </c>
      <c r="E90" s="246">
        <v>100</v>
      </c>
      <c r="F90" s="246" t="s">
        <v>483</v>
      </c>
      <c r="G90" s="246">
        <v>26</v>
      </c>
      <c r="H90" s="246">
        <v>123</v>
      </c>
      <c r="I90" s="274">
        <f t="shared" si="20"/>
        <v>17500</v>
      </c>
      <c r="J90" s="246">
        <f t="shared" si="21"/>
        <v>3360000</v>
      </c>
      <c r="K90" s="246">
        <f t="shared" si="22"/>
        <v>87360000</v>
      </c>
    </row>
    <row r="91" spans="1:12" x14ac:dyDescent="0.35">
      <c r="A91" t="s">
        <v>452</v>
      </c>
      <c r="B91" s="246">
        <v>1</v>
      </c>
      <c r="C91" s="246" t="s">
        <v>485</v>
      </c>
      <c r="D91" s="246">
        <v>6000000</v>
      </c>
      <c r="E91" s="246">
        <v>100</v>
      </c>
      <c r="F91" s="246" t="s">
        <v>486</v>
      </c>
      <c r="G91" s="246">
        <v>26</v>
      </c>
      <c r="H91" s="246">
        <v>123</v>
      </c>
      <c r="I91" s="274">
        <f t="shared" si="20"/>
        <v>25000</v>
      </c>
      <c r="J91" s="246">
        <f t="shared" si="21"/>
        <v>1200000</v>
      </c>
      <c r="K91" s="246">
        <f t="shared" si="22"/>
        <v>31200000</v>
      </c>
    </row>
    <row r="92" spans="1:12" x14ac:dyDescent="0.35">
      <c r="A92" t="s">
        <v>480</v>
      </c>
      <c r="B92" s="246">
        <v>2</v>
      </c>
      <c r="C92" s="246" t="s">
        <v>487</v>
      </c>
      <c r="D92" s="246">
        <v>5000000</v>
      </c>
      <c r="E92" s="246">
        <v>100</v>
      </c>
      <c r="F92" s="246" t="s">
        <v>486</v>
      </c>
      <c r="G92" s="246">
        <v>26</v>
      </c>
      <c r="H92" s="246">
        <v>123</v>
      </c>
      <c r="I92" s="274">
        <f t="shared" si="20"/>
        <v>20833.333333333332</v>
      </c>
      <c r="J92" s="246">
        <f t="shared" si="21"/>
        <v>2000000</v>
      </c>
      <c r="K92" s="246">
        <f t="shared" si="22"/>
        <v>52000000</v>
      </c>
    </row>
    <row r="93" spans="1:12" x14ac:dyDescent="0.35">
      <c r="A93" t="s">
        <v>488</v>
      </c>
      <c r="B93" s="246">
        <v>4</v>
      </c>
      <c r="C93" s="246" t="s">
        <v>489</v>
      </c>
      <c r="D93" s="246">
        <v>4200000</v>
      </c>
      <c r="E93" s="246">
        <v>100</v>
      </c>
      <c r="F93" s="246" t="s">
        <v>490</v>
      </c>
      <c r="G93" s="246">
        <v>26</v>
      </c>
      <c r="H93" s="246">
        <v>123</v>
      </c>
      <c r="I93" s="274">
        <f t="shared" si="20"/>
        <v>17500</v>
      </c>
      <c r="J93" s="246">
        <f t="shared" si="21"/>
        <v>3360000</v>
      </c>
      <c r="K93" s="246">
        <f t="shared" si="22"/>
        <v>87360000</v>
      </c>
    </row>
    <row r="94" spans="1:12" x14ac:dyDescent="0.35">
      <c r="A94" t="s">
        <v>480</v>
      </c>
      <c r="B94" s="246">
        <v>3</v>
      </c>
      <c r="C94" s="246" t="s">
        <v>489</v>
      </c>
      <c r="D94" s="246">
        <v>4200000</v>
      </c>
      <c r="E94" s="246">
        <v>100</v>
      </c>
      <c r="F94" s="246" t="s">
        <v>490</v>
      </c>
      <c r="G94" s="246">
        <v>26</v>
      </c>
      <c r="H94" s="246">
        <v>123</v>
      </c>
      <c r="I94" s="274">
        <f t="shared" si="20"/>
        <v>17500</v>
      </c>
      <c r="J94" s="246">
        <f t="shared" si="21"/>
        <v>2520000</v>
      </c>
      <c r="K94" s="246">
        <f t="shared" si="22"/>
        <v>65520000</v>
      </c>
    </row>
    <row r="95" spans="1:12" x14ac:dyDescent="0.35">
      <c r="A95" t="s">
        <v>452</v>
      </c>
      <c r="B95" s="246">
        <v>1</v>
      </c>
      <c r="C95" s="246" t="s">
        <v>491</v>
      </c>
      <c r="D95" s="246">
        <v>6000000</v>
      </c>
      <c r="E95" s="246">
        <v>100</v>
      </c>
      <c r="F95" s="246" t="s">
        <v>492</v>
      </c>
      <c r="G95" s="246">
        <v>26</v>
      </c>
      <c r="H95" s="246">
        <v>123</v>
      </c>
      <c r="I95" s="274">
        <f t="shared" si="20"/>
        <v>25000</v>
      </c>
      <c r="J95" s="246">
        <f t="shared" si="21"/>
        <v>1200000</v>
      </c>
      <c r="K95" s="246">
        <f t="shared" si="22"/>
        <v>31200000</v>
      </c>
    </row>
    <row r="96" spans="1:12" x14ac:dyDescent="0.35">
      <c r="A96" t="s">
        <v>493</v>
      </c>
      <c r="B96" s="246">
        <v>3</v>
      </c>
      <c r="C96" s="246" t="s">
        <v>494</v>
      </c>
      <c r="D96" s="246">
        <v>4200000</v>
      </c>
      <c r="E96" s="246">
        <v>100</v>
      </c>
      <c r="F96" s="246" t="s">
        <v>492</v>
      </c>
      <c r="G96" s="246">
        <v>26</v>
      </c>
      <c r="H96" s="246">
        <v>123</v>
      </c>
      <c r="I96" s="274">
        <f t="shared" si="20"/>
        <v>17500</v>
      </c>
      <c r="J96" s="246">
        <f t="shared" si="21"/>
        <v>2520000</v>
      </c>
      <c r="K96" s="246">
        <f t="shared" si="22"/>
        <v>65520000</v>
      </c>
    </row>
    <row r="97" spans="1:14" x14ac:dyDescent="0.35">
      <c r="A97" t="s">
        <v>495</v>
      </c>
      <c r="B97" s="246">
        <v>1</v>
      </c>
      <c r="C97" s="246" t="s">
        <v>496</v>
      </c>
      <c r="D97" s="246">
        <v>6000000</v>
      </c>
      <c r="E97" s="246">
        <v>100</v>
      </c>
      <c r="F97" s="246" t="s">
        <v>497</v>
      </c>
      <c r="G97" s="246">
        <v>26</v>
      </c>
      <c r="H97" s="246">
        <v>123</v>
      </c>
      <c r="I97" s="274">
        <f t="shared" si="20"/>
        <v>25000</v>
      </c>
      <c r="J97" s="246">
        <f t="shared" si="21"/>
        <v>1200000</v>
      </c>
      <c r="K97" s="246">
        <f t="shared" si="22"/>
        <v>31200000</v>
      </c>
    </row>
    <row r="98" spans="1:14" x14ac:dyDescent="0.35">
      <c r="A98" t="s">
        <v>498</v>
      </c>
      <c r="B98" s="246">
        <v>4</v>
      </c>
      <c r="C98" s="246" t="s">
        <v>499</v>
      </c>
      <c r="D98" s="246">
        <v>4200000</v>
      </c>
      <c r="E98" s="246">
        <v>100</v>
      </c>
      <c r="F98" s="246" t="s">
        <v>497</v>
      </c>
      <c r="G98" s="246">
        <v>26</v>
      </c>
      <c r="H98" s="275" t="s">
        <v>484</v>
      </c>
      <c r="I98" s="274">
        <f t="shared" si="20"/>
        <v>17500</v>
      </c>
      <c r="J98" s="246">
        <f t="shared" si="21"/>
        <v>3360000</v>
      </c>
      <c r="K98" s="246">
        <f t="shared" si="22"/>
        <v>87360000</v>
      </c>
    </row>
    <row r="99" spans="1:14" x14ac:dyDescent="0.35">
      <c r="A99" t="s">
        <v>493</v>
      </c>
      <c r="B99" s="246">
        <v>3</v>
      </c>
      <c r="C99" s="246" t="s">
        <v>500</v>
      </c>
      <c r="D99" s="246">
        <v>5000000</v>
      </c>
      <c r="E99" s="246">
        <v>100</v>
      </c>
      <c r="F99" s="246" t="s">
        <v>501</v>
      </c>
      <c r="G99" s="246">
        <v>26</v>
      </c>
      <c r="H99" s="275" t="s">
        <v>484</v>
      </c>
      <c r="I99" s="274">
        <f t="shared" si="20"/>
        <v>20833.333333333332</v>
      </c>
      <c r="J99" s="246">
        <f t="shared" si="21"/>
        <v>3000000</v>
      </c>
      <c r="K99" s="246">
        <f t="shared" si="22"/>
        <v>78000000</v>
      </c>
    </row>
    <row r="100" spans="1:14" x14ac:dyDescent="0.35">
      <c r="B100" s="246">
        <f>SUM(B87:B99)</f>
        <v>30</v>
      </c>
      <c r="J100" s="246">
        <f>SUM(J87:J99)</f>
        <v>27760000</v>
      </c>
      <c r="K100" s="246">
        <f>SUM(K87:K99)</f>
        <v>721760000</v>
      </c>
    </row>
    <row r="101" spans="1:14" x14ac:dyDescent="0.35">
      <c r="J101" s="276" t="s">
        <v>69</v>
      </c>
      <c r="K101" s="276">
        <f>K100/N2</f>
        <v>121733.8505650194</v>
      </c>
    </row>
    <row r="103" spans="1:14" x14ac:dyDescent="0.35">
      <c r="A103" s="273" t="s">
        <v>508</v>
      </c>
    </row>
    <row r="104" spans="1:14" x14ac:dyDescent="0.35">
      <c r="A104" t="s">
        <v>469</v>
      </c>
      <c r="B104" s="246" t="s">
        <v>470</v>
      </c>
      <c r="C104" s="246" t="s">
        <v>471</v>
      </c>
      <c r="D104" s="246" t="s">
        <v>451</v>
      </c>
      <c r="E104" s="246" t="s">
        <v>472</v>
      </c>
      <c r="F104" s="246" t="s">
        <v>473</v>
      </c>
      <c r="G104" s="246" t="s">
        <v>474</v>
      </c>
      <c r="H104" s="246" t="s">
        <v>475</v>
      </c>
      <c r="I104" s="246" t="s">
        <v>476</v>
      </c>
      <c r="J104" s="246" t="s">
        <v>477</v>
      </c>
      <c r="K104" s="246" t="s">
        <v>69</v>
      </c>
    </row>
    <row r="105" spans="1:14" x14ac:dyDescent="0.35">
      <c r="A105" t="s">
        <v>509</v>
      </c>
      <c r="B105" s="246">
        <v>1</v>
      </c>
      <c r="C105" s="246" t="s">
        <v>510</v>
      </c>
      <c r="D105" s="246">
        <v>12000000</v>
      </c>
      <c r="E105" s="246">
        <v>100</v>
      </c>
      <c r="F105" s="246" t="s">
        <v>511</v>
      </c>
      <c r="G105" s="246">
        <v>26</v>
      </c>
      <c r="H105" s="246">
        <v>137</v>
      </c>
      <c r="J105" s="246">
        <f>(D105*0.8)*B105</f>
        <v>9600000</v>
      </c>
      <c r="K105" s="246">
        <f>J105*G105</f>
        <v>249600000</v>
      </c>
    </row>
    <row r="106" spans="1:14" x14ac:dyDescent="0.35">
      <c r="A106" t="s">
        <v>509</v>
      </c>
      <c r="B106" s="246">
        <v>2</v>
      </c>
      <c r="C106" s="246" t="s">
        <v>512</v>
      </c>
      <c r="D106" s="246">
        <v>8000000</v>
      </c>
      <c r="E106" s="246">
        <v>100</v>
      </c>
      <c r="F106" s="246" t="s">
        <v>513</v>
      </c>
      <c r="G106" s="246">
        <v>26</v>
      </c>
      <c r="H106" s="246">
        <v>137</v>
      </c>
      <c r="J106" s="246">
        <f>(D106*0.6)*B106</f>
        <v>9600000</v>
      </c>
      <c r="K106" s="246">
        <f>J106*G106</f>
        <v>249600000</v>
      </c>
    </row>
    <row r="107" spans="1:14" x14ac:dyDescent="0.35">
      <c r="A107" t="s">
        <v>509</v>
      </c>
      <c r="B107" s="246">
        <v>2</v>
      </c>
      <c r="C107" s="246" t="s">
        <v>514</v>
      </c>
      <c r="D107" s="246">
        <v>8000000</v>
      </c>
      <c r="E107" s="246">
        <v>100</v>
      </c>
      <c r="F107" s="246" t="s">
        <v>515</v>
      </c>
      <c r="G107" s="246">
        <v>26</v>
      </c>
      <c r="H107" s="246">
        <v>137</v>
      </c>
      <c r="J107" s="246">
        <f>(D107*0.6)*B107</f>
        <v>9600000</v>
      </c>
      <c r="K107" s="246">
        <f>J107*G107</f>
        <v>249600000</v>
      </c>
    </row>
    <row r="108" spans="1:14" x14ac:dyDescent="0.35">
      <c r="A108" t="s">
        <v>509</v>
      </c>
      <c r="B108" s="246">
        <v>2</v>
      </c>
      <c r="C108" s="246" t="s">
        <v>516</v>
      </c>
      <c r="D108" s="246">
        <v>8000000</v>
      </c>
      <c r="E108" s="246">
        <v>100</v>
      </c>
      <c r="F108" s="246" t="s">
        <v>517</v>
      </c>
      <c r="G108" s="246">
        <v>26</v>
      </c>
      <c r="H108" s="246">
        <v>137</v>
      </c>
      <c r="J108" s="246">
        <f>(D108*0.6)*B108</f>
        <v>9600000</v>
      </c>
      <c r="K108" s="246">
        <f>J108*G108</f>
        <v>249600000</v>
      </c>
    </row>
    <row r="109" spans="1:14" x14ac:dyDescent="0.35">
      <c r="A109" t="s">
        <v>509</v>
      </c>
      <c r="B109" s="246">
        <v>3</v>
      </c>
      <c r="C109" s="246" t="s">
        <v>518</v>
      </c>
      <c r="D109" s="246">
        <v>8000000</v>
      </c>
      <c r="E109" s="246">
        <v>100</v>
      </c>
      <c r="G109" s="246">
        <v>26</v>
      </c>
      <c r="H109" s="246">
        <v>137</v>
      </c>
      <c r="J109" s="246">
        <f>(D109*0.6)*B109</f>
        <v>14400000</v>
      </c>
      <c r="K109" s="246">
        <f>J109*G109</f>
        <v>374400000</v>
      </c>
    </row>
    <row r="110" spans="1:14" x14ac:dyDescent="0.35">
      <c r="B110" s="246">
        <f>SUM(B105:B109)</f>
        <v>10</v>
      </c>
      <c r="J110" s="246">
        <f>SUM(J105:J109)</f>
        <v>52800000</v>
      </c>
      <c r="K110" s="246">
        <f>SUM(K105:K109)</f>
        <v>1372800000</v>
      </c>
    </row>
    <row r="111" spans="1:14" x14ac:dyDescent="0.35">
      <c r="J111" s="276" t="s">
        <v>69</v>
      </c>
      <c r="K111" s="276">
        <f>K110/N2</f>
        <v>231539.88868274583</v>
      </c>
      <c r="N111" s="259"/>
    </row>
    <row r="112" spans="1:14" x14ac:dyDescent="0.35">
      <c r="A112" s="273" t="s">
        <v>519</v>
      </c>
    </row>
    <row r="113" spans="1:63" x14ac:dyDescent="0.35">
      <c r="A113" t="s">
        <v>469</v>
      </c>
      <c r="B113" s="246" t="s">
        <v>470</v>
      </c>
      <c r="C113" s="246" t="s">
        <v>471</v>
      </c>
      <c r="D113" s="246" t="s">
        <v>451</v>
      </c>
      <c r="E113" s="246" t="s">
        <v>472</v>
      </c>
      <c r="F113" s="246" t="s">
        <v>473</v>
      </c>
      <c r="G113" s="246" t="s">
        <v>474</v>
      </c>
      <c r="H113" s="246" t="s">
        <v>475</v>
      </c>
      <c r="I113" s="246" t="s">
        <v>476</v>
      </c>
      <c r="J113" s="246" t="s">
        <v>477</v>
      </c>
      <c r="K113" s="246" t="s">
        <v>69</v>
      </c>
    </row>
    <row r="114" spans="1:63" x14ac:dyDescent="0.35">
      <c r="A114" t="s">
        <v>509</v>
      </c>
      <c r="B114" s="246">
        <v>1</v>
      </c>
      <c r="C114" s="246" t="s">
        <v>510</v>
      </c>
      <c r="D114" s="246">
        <v>12000000</v>
      </c>
      <c r="E114" s="246">
        <v>100</v>
      </c>
      <c r="F114" s="246" t="s">
        <v>511</v>
      </c>
      <c r="G114" s="246">
        <v>39</v>
      </c>
      <c r="H114" s="246">
        <v>137</v>
      </c>
      <c r="J114" s="246">
        <f>(D114*0.8)*B114</f>
        <v>9600000</v>
      </c>
      <c r="K114" s="246">
        <f>J114*G114</f>
        <v>374400000</v>
      </c>
    </row>
    <row r="115" spans="1:63" x14ac:dyDescent="0.35">
      <c r="A115" t="s">
        <v>509</v>
      </c>
      <c r="B115" s="246">
        <v>1</v>
      </c>
      <c r="C115" s="246" t="s">
        <v>518</v>
      </c>
      <c r="D115" s="246">
        <v>8000000</v>
      </c>
      <c r="E115" s="246">
        <v>100</v>
      </c>
      <c r="G115" s="246">
        <v>39</v>
      </c>
      <c r="H115" s="246">
        <v>137</v>
      </c>
      <c r="J115" s="246">
        <f>(D115*0.6)*B115</f>
        <v>4800000</v>
      </c>
      <c r="K115" s="246">
        <f>J115*G115</f>
        <v>187200000</v>
      </c>
    </row>
    <row r="116" spans="1:63" x14ac:dyDescent="0.35">
      <c r="J116" s="246">
        <f>SUM(J114:J115)</f>
        <v>14400000</v>
      </c>
      <c r="K116" s="276">
        <f>SUM(K114:K115)</f>
        <v>561600000</v>
      </c>
    </row>
    <row r="117" spans="1:63" x14ac:dyDescent="0.35">
      <c r="J117" s="276" t="s">
        <v>69</v>
      </c>
      <c r="K117" s="276">
        <f>K116/N2</f>
        <v>94720.863552032388</v>
      </c>
      <c r="L117" s="246">
        <f>K111+K117</f>
        <v>326260.75223477825</v>
      </c>
    </row>
    <row r="119" spans="1:63" x14ac:dyDescent="0.35">
      <c r="B119" s="749" t="s">
        <v>204</v>
      </c>
      <c r="C119" s="750"/>
      <c r="D119" s="750"/>
      <c r="E119" s="750"/>
      <c r="F119" s="750"/>
      <c r="G119" s="750"/>
      <c r="H119" s="750"/>
      <c r="I119" s="750"/>
      <c r="J119" s="750"/>
      <c r="K119" s="750"/>
      <c r="L119" s="750"/>
      <c r="M119" s="751"/>
      <c r="N119" s="752" t="s">
        <v>205</v>
      </c>
      <c r="O119" s="753"/>
      <c r="P119" s="753"/>
      <c r="Q119" s="753"/>
      <c r="R119" s="753"/>
      <c r="S119" s="753"/>
      <c r="T119" s="753"/>
      <c r="U119" s="753"/>
      <c r="V119" s="753"/>
      <c r="W119" s="753"/>
      <c r="X119" s="753"/>
      <c r="Y119" s="754"/>
      <c r="Z119" s="752" t="s">
        <v>206</v>
      </c>
      <c r="AA119" s="753"/>
      <c r="AB119" s="753"/>
      <c r="AC119" s="753"/>
      <c r="AD119" s="753"/>
      <c r="AE119" s="753"/>
      <c r="AF119" s="753"/>
      <c r="AG119" s="753"/>
      <c r="AH119" s="753"/>
      <c r="AI119" s="753"/>
      <c r="AJ119" s="753"/>
      <c r="AK119" s="754"/>
      <c r="AL119" s="752" t="s">
        <v>207</v>
      </c>
      <c r="AM119" s="753"/>
      <c r="AN119" s="753"/>
      <c r="AO119" s="753"/>
      <c r="AP119" s="753"/>
      <c r="AQ119" s="753"/>
      <c r="AR119" s="753"/>
      <c r="AS119" s="753"/>
      <c r="AT119" s="753"/>
      <c r="AU119" s="753"/>
      <c r="AV119" s="753"/>
      <c r="AW119" s="754"/>
      <c r="AX119" s="752" t="s">
        <v>208</v>
      </c>
      <c r="AY119" s="753"/>
      <c r="AZ119" s="753"/>
      <c r="BA119" s="753"/>
      <c r="BB119" s="753"/>
      <c r="BC119" s="753"/>
      <c r="BD119" s="753"/>
      <c r="BE119" s="753"/>
      <c r="BF119" s="753"/>
      <c r="BG119" s="753"/>
      <c r="BH119" s="753"/>
      <c r="BI119" s="754"/>
      <c r="BJ119" s="69"/>
    </row>
    <row r="120" spans="1:63" x14ac:dyDescent="0.35">
      <c r="B120" s="755" t="s">
        <v>37</v>
      </c>
      <c r="C120" s="756"/>
      <c r="D120" s="757"/>
      <c r="E120" s="755" t="s">
        <v>38</v>
      </c>
      <c r="F120" s="756"/>
      <c r="G120" s="757"/>
      <c r="H120" s="755" t="s">
        <v>39</v>
      </c>
      <c r="I120" s="756"/>
      <c r="J120" s="757"/>
      <c r="K120" s="755" t="s">
        <v>40</v>
      </c>
      <c r="L120" s="756"/>
      <c r="M120" s="757"/>
      <c r="N120" s="755" t="s">
        <v>37</v>
      </c>
      <c r="O120" s="756"/>
      <c r="P120" s="757"/>
      <c r="Q120" s="755" t="s">
        <v>38</v>
      </c>
      <c r="R120" s="756"/>
      <c r="S120" s="757"/>
      <c r="T120" s="755" t="s">
        <v>39</v>
      </c>
      <c r="U120" s="756"/>
      <c r="V120" s="757"/>
      <c r="W120" s="755" t="s">
        <v>40</v>
      </c>
      <c r="X120" s="756"/>
      <c r="Y120" s="757"/>
      <c r="Z120" s="755" t="s">
        <v>37</v>
      </c>
      <c r="AA120" s="756"/>
      <c r="AB120" s="757"/>
      <c r="AC120" s="755" t="s">
        <v>38</v>
      </c>
      <c r="AD120" s="756"/>
      <c r="AE120" s="757"/>
      <c r="AF120" s="755" t="s">
        <v>39</v>
      </c>
      <c r="AG120" s="756"/>
      <c r="AH120" s="757"/>
      <c r="AI120" s="755" t="s">
        <v>40</v>
      </c>
      <c r="AJ120" s="756"/>
      <c r="AK120" s="757"/>
      <c r="AL120" s="755" t="s">
        <v>37</v>
      </c>
      <c r="AM120" s="756"/>
      <c r="AN120" s="757"/>
      <c r="AO120" s="755" t="s">
        <v>38</v>
      </c>
      <c r="AP120" s="756"/>
      <c r="AQ120" s="757"/>
      <c r="AR120" s="755" t="s">
        <v>39</v>
      </c>
      <c r="AS120" s="756"/>
      <c r="AT120" s="757"/>
      <c r="AU120" s="755" t="s">
        <v>40</v>
      </c>
      <c r="AV120" s="756"/>
      <c r="AW120" s="757"/>
      <c r="AX120" s="755" t="s">
        <v>37</v>
      </c>
      <c r="AY120" s="756"/>
      <c r="AZ120" s="757"/>
      <c r="BA120" s="755" t="s">
        <v>38</v>
      </c>
      <c r="BB120" s="756"/>
      <c r="BC120" s="757"/>
      <c r="BD120" s="755" t="s">
        <v>39</v>
      </c>
      <c r="BE120" s="756"/>
      <c r="BF120" s="757"/>
      <c r="BG120" s="755" t="s">
        <v>40</v>
      </c>
      <c r="BH120" s="756"/>
      <c r="BI120" s="757"/>
      <c r="BJ120" s="69"/>
    </row>
    <row r="121" spans="1:63" x14ac:dyDescent="0.35">
      <c r="B121" s="229" t="s">
        <v>236</v>
      </c>
      <c r="C121" s="229" t="s">
        <v>237</v>
      </c>
      <c r="D121" s="229" t="s">
        <v>238</v>
      </c>
      <c r="E121" s="229" t="s">
        <v>239</v>
      </c>
      <c r="F121" s="230" t="s">
        <v>240</v>
      </c>
      <c r="G121" s="231" t="s">
        <v>241</v>
      </c>
      <c r="H121" s="229" t="s">
        <v>242</v>
      </c>
      <c r="I121" s="230" t="s">
        <v>243</v>
      </c>
      <c r="J121" s="231" t="s">
        <v>244</v>
      </c>
      <c r="K121" s="229" t="s">
        <v>245</v>
      </c>
      <c r="L121" s="230" t="s">
        <v>246</v>
      </c>
      <c r="M121" s="231" t="s">
        <v>247</v>
      </c>
      <c r="N121" s="229" t="s">
        <v>236</v>
      </c>
      <c r="O121" s="229" t="s">
        <v>237</v>
      </c>
      <c r="P121" s="229" t="s">
        <v>238</v>
      </c>
      <c r="Q121" s="229" t="s">
        <v>239</v>
      </c>
      <c r="R121" s="230" t="s">
        <v>240</v>
      </c>
      <c r="S121" s="231" t="s">
        <v>241</v>
      </c>
      <c r="T121" s="229" t="s">
        <v>242</v>
      </c>
      <c r="U121" s="70" t="s">
        <v>243</v>
      </c>
      <c r="V121" s="71" t="s">
        <v>244</v>
      </c>
      <c r="W121" s="72" t="s">
        <v>245</v>
      </c>
      <c r="X121" s="72" t="s">
        <v>246</v>
      </c>
      <c r="Y121" s="72" t="s">
        <v>247</v>
      </c>
      <c r="Z121" s="229" t="s">
        <v>236</v>
      </c>
      <c r="AA121" s="229" t="s">
        <v>237</v>
      </c>
      <c r="AB121" s="229" t="s">
        <v>238</v>
      </c>
      <c r="AC121" s="229" t="s">
        <v>239</v>
      </c>
      <c r="AD121" s="230" t="s">
        <v>240</v>
      </c>
      <c r="AE121" s="231" t="s">
        <v>241</v>
      </c>
      <c r="AF121" s="229" t="s">
        <v>242</v>
      </c>
      <c r="AG121" s="230" t="s">
        <v>243</v>
      </c>
      <c r="AH121" s="231" t="s">
        <v>244</v>
      </c>
      <c r="AI121" s="229" t="s">
        <v>245</v>
      </c>
      <c r="AJ121" s="230" t="s">
        <v>246</v>
      </c>
      <c r="AK121" s="231" t="s">
        <v>247</v>
      </c>
      <c r="AL121" s="229" t="s">
        <v>236</v>
      </c>
      <c r="AM121" s="229" t="s">
        <v>237</v>
      </c>
      <c r="AN121" s="229" t="s">
        <v>238</v>
      </c>
      <c r="AO121" s="229" t="s">
        <v>239</v>
      </c>
      <c r="AP121" s="230" t="s">
        <v>240</v>
      </c>
      <c r="AQ121" s="231" t="s">
        <v>241</v>
      </c>
      <c r="AR121" s="229" t="s">
        <v>242</v>
      </c>
      <c r="AS121" s="230" t="s">
        <v>243</v>
      </c>
      <c r="AT121" s="71" t="s">
        <v>244</v>
      </c>
      <c r="AU121" s="72" t="s">
        <v>245</v>
      </c>
      <c r="AV121" s="230" t="s">
        <v>246</v>
      </c>
      <c r="AW121" s="231" t="s">
        <v>247</v>
      </c>
      <c r="AX121" s="229" t="s">
        <v>236</v>
      </c>
      <c r="AY121" s="229" t="s">
        <v>237</v>
      </c>
      <c r="AZ121" s="229" t="s">
        <v>238</v>
      </c>
      <c r="BA121" s="229" t="s">
        <v>239</v>
      </c>
      <c r="BB121" s="230" t="s">
        <v>240</v>
      </c>
      <c r="BC121" s="231" t="s">
        <v>241</v>
      </c>
      <c r="BD121" s="71" t="s">
        <v>242</v>
      </c>
      <c r="BE121" s="72" t="s">
        <v>243</v>
      </c>
      <c r="BF121" s="231" t="s">
        <v>244</v>
      </c>
      <c r="BG121" s="229" t="s">
        <v>245</v>
      </c>
      <c r="BH121" s="230" t="s">
        <v>246</v>
      </c>
      <c r="BI121" s="231" t="s">
        <v>247</v>
      </c>
      <c r="BJ121" s="69"/>
    </row>
    <row r="122" spans="1:63" x14ac:dyDescent="0.35">
      <c r="B122" s="73" t="s">
        <v>18</v>
      </c>
      <c r="C122" s="73" t="s">
        <v>19</v>
      </c>
      <c r="D122" s="73" t="s">
        <v>20</v>
      </c>
      <c r="E122" s="73" t="s">
        <v>21</v>
      </c>
      <c r="F122" s="73" t="s">
        <v>22</v>
      </c>
      <c r="G122" s="73" t="s">
        <v>23</v>
      </c>
      <c r="H122" s="73" t="s">
        <v>24</v>
      </c>
      <c r="I122" s="73" t="s">
        <v>25</v>
      </c>
      <c r="J122" s="73" t="s">
        <v>26</v>
      </c>
      <c r="K122" s="73" t="s">
        <v>27</v>
      </c>
      <c r="L122" s="73" t="s">
        <v>28</v>
      </c>
      <c r="M122" s="73" t="s">
        <v>29</v>
      </c>
      <c r="N122" s="73" t="s">
        <v>30</v>
      </c>
      <c r="O122" s="73" t="s">
        <v>31</v>
      </c>
      <c r="P122" s="73" t="s">
        <v>33</v>
      </c>
      <c r="Q122" s="73" t="s">
        <v>34</v>
      </c>
      <c r="R122" s="73" t="s">
        <v>35</v>
      </c>
      <c r="S122" s="73" t="s">
        <v>36</v>
      </c>
      <c r="T122" s="73" t="s">
        <v>162</v>
      </c>
      <c r="U122" s="73" t="s">
        <v>163</v>
      </c>
      <c r="V122" s="73" t="s">
        <v>164</v>
      </c>
      <c r="W122" s="73" t="s">
        <v>165</v>
      </c>
      <c r="X122" s="73" t="s">
        <v>166</v>
      </c>
      <c r="Y122" s="73" t="s">
        <v>167</v>
      </c>
      <c r="Z122" s="73" t="s">
        <v>168</v>
      </c>
      <c r="AA122" s="73" t="s">
        <v>169</v>
      </c>
      <c r="AB122" s="73" t="s">
        <v>170</v>
      </c>
      <c r="AC122" s="73" t="s">
        <v>171</v>
      </c>
      <c r="AD122" s="73" t="s">
        <v>172</v>
      </c>
      <c r="AE122" s="73" t="s">
        <v>173</v>
      </c>
      <c r="AF122" s="73" t="s">
        <v>174</v>
      </c>
      <c r="AG122" s="73" t="s">
        <v>175</v>
      </c>
      <c r="AH122" s="73" t="s">
        <v>176</v>
      </c>
      <c r="AI122" s="73" t="s">
        <v>177</v>
      </c>
      <c r="AJ122" s="73" t="s">
        <v>178</v>
      </c>
      <c r="AK122" s="73" t="s">
        <v>179</v>
      </c>
      <c r="AL122" s="73" t="s">
        <v>180</v>
      </c>
      <c r="AM122" s="73" t="s">
        <v>181</v>
      </c>
      <c r="AN122" s="73" t="s">
        <v>182</v>
      </c>
      <c r="AO122" s="73" t="s">
        <v>183</v>
      </c>
      <c r="AP122" s="73" t="s">
        <v>184</v>
      </c>
      <c r="AQ122" s="73" t="s">
        <v>185</v>
      </c>
      <c r="AR122" s="73" t="s">
        <v>186</v>
      </c>
      <c r="AS122" s="73" t="s">
        <v>187</v>
      </c>
      <c r="AT122" s="73" t="s">
        <v>188</v>
      </c>
      <c r="AU122" s="73" t="s">
        <v>189</v>
      </c>
      <c r="AV122" s="73" t="s">
        <v>190</v>
      </c>
      <c r="AW122" s="73" t="s">
        <v>191</v>
      </c>
      <c r="AX122" s="73" t="s">
        <v>192</v>
      </c>
      <c r="AY122" s="73" t="s">
        <v>193</v>
      </c>
      <c r="AZ122" s="73" t="s">
        <v>194</v>
      </c>
      <c r="BA122" s="73" t="s">
        <v>195</v>
      </c>
      <c r="BB122" s="73" t="s">
        <v>196</v>
      </c>
      <c r="BC122" s="73" t="s">
        <v>197</v>
      </c>
      <c r="BD122" s="74" t="s">
        <v>198</v>
      </c>
      <c r="BE122" s="74" t="s">
        <v>199</v>
      </c>
      <c r="BF122" s="73" t="s">
        <v>200</v>
      </c>
      <c r="BG122" s="73" t="s">
        <v>201</v>
      </c>
      <c r="BH122" s="73" t="s">
        <v>202</v>
      </c>
      <c r="BI122" s="73" t="s">
        <v>203</v>
      </c>
      <c r="BJ122" s="75" t="s">
        <v>69</v>
      </c>
    </row>
    <row r="123" spans="1:63" x14ac:dyDescent="0.35">
      <c r="A123" t="s">
        <v>521</v>
      </c>
      <c r="B123" s="246">
        <f>K73/24</f>
        <v>5072.2437735424746</v>
      </c>
      <c r="C123" s="246">
        <f>B123</f>
        <v>5072.2437735424746</v>
      </c>
      <c r="D123" s="246">
        <f t="shared" ref="D123:Y125" si="23">C123</f>
        <v>5072.2437735424746</v>
      </c>
      <c r="E123" s="246">
        <f t="shared" si="23"/>
        <v>5072.2437735424746</v>
      </c>
      <c r="F123" s="246">
        <f t="shared" si="23"/>
        <v>5072.2437735424746</v>
      </c>
      <c r="G123" s="246">
        <f t="shared" si="23"/>
        <v>5072.2437735424746</v>
      </c>
      <c r="H123" s="246">
        <f t="shared" si="23"/>
        <v>5072.2437735424746</v>
      </c>
      <c r="I123" s="246">
        <f t="shared" si="23"/>
        <v>5072.2437735424746</v>
      </c>
      <c r="J123" s="246">
        <f t="shared" si="23"/>
        <v>5072.2437735424746</v>
      </c>
      <c r="K123" s="246">
        <f t="shared" si="23"/>
        <v>5072.2437735424746</v>
      </c>
      <c r="L123" s="246">
        <f t="shared" si="23"/>
        <v>5072.2437735424746</v>
      </c>
      <c r="M123" s="246">
        <f t="shared" si="23"/>
        <v>5072.2437735424746</v>
      </c>
      <c r="N123" s="246">
        <f t="shared" si="23"/>
        <v>5072.2437735424746</v>
      </c>
      <c r="O123" s="246">
        <f t="shared" si="23"/>
        <v>5072.2437735424746</v>
      </c>
      <c r="P123" s="246">
        <f t="shared" si="23"/>
        <v>5072.2437735424746</v>
      </c>
      <c r="Q123" s="246">
        <f t="shared" si="23"/>
        <v>5072.2437735424746</v>
      </c>
      <c r="R123" s="246">
        <f t="shared" si="23"/>
        <v>5072.2437735424746</v>
      </c>
      <c r="S123" s="246">
        <f t="shared" si="23"/>
        <v>5072.2437735424746</v>
      </c>
      <c r="T123" s="246">
        <f t="shared" si="23"/>
        <v>5072.2437735424746</v>
      </c>
      <c r="U123" s="246">
        <f t="shared" si="23"/>
        <v>5072.2437735424746</v>
      </c>
      <c r="V123" s="246">
        <f t="shared" si="23"/>
        <v>5072.2437735424746</v>
      </c>
      <c r="W123" s="246">
        <f t="shared" si="23"/>
        <v>5072.2437735424746</v>
      </c>
      <c r="X123" s="246">
        <f t="shared" si="23"/>
        <v>5072.2437735424746</v>
      </c>
      <c r="Y123" s="246">
        <f t="shared" si="23"/>
        <v>5072.2437735424746</v>
      </c>
      <c r="Z123" s="259">
        <f>K82/36</f>
        <v>1096.3062911114857</v>
      </c>
      <c r="AA123" s="259">
        <f>Z123</f>
        <v>1096.3062911114857</v>
      </c>
      <c r="AB123" s="259">
        <f t="shared" ref="AB123:BI125" si="24">AA123</f>
        <v>1096.3062911114857</v>
      </c>
      <c r="AC123" s="259">
        <f t="shared" si="24"/>
        <v>1096.3062911114857</v>
      </c>
      <c r="AD123" s="259">
        <f t="shared" si="24"/>
        <v>1096.3062911114857</v>
      </c>
      <c r="AE123" s="259">
        <f t="shared" si="24"/>
        <v>1096.3062911114857</v>
      </c>
      <c r="AF123" s="259">
        <f t="shared" si="24"/>
        <v>1096.3062911114857</v>
      </c>
      <c r="AG123" s="259">
        <f t="shared" si="24"/>
        <v>1096.3062911114857</v>
      </c>
      <c r="AH123" s="259">
        <f t="shared" si="24"/>
        <v>1096.3062911114857</v>
      </c>
      <c r="AI123" s="259">
        <f t="shared" si="24"/>
        <v>1096.3062911114857</v>
      </c>
      <c r="AJ123" s="259">
        <f t="shared" si="24"/>
        <v>1096.3062911114857</v>
      </c>
      <c r="AK123" s="259">
        <f t="shared" si="24"/>
        <v>1096.3062911114857</v>
      </c>
      <c r="AL123" s="259">
        <f t="shared" si="24"/>
        <v>1096.3062911114857</v>
      </c>
      <c r="AM123" s="259">
        <f t="shared" si="24"/>
        <v>1096.3062911114857</v>
      </c>
      <c r="AN123" s="259">
        <f t="shared" si="24"/>
        <v>1096.3062911114857</v>
      </c>
      <c r="AO123" s="259">
        <f t="shared" si="24"/>
        <v>1096.3062911114857</v>
      </c>
      <c r="AP123" s="259">
        <f t="shared" si="24"/>
        <v>1096.3062911114857</v>
      </c>
      <c r="AQ123" s="259">
        <f t="shared" si="24"/>
        <v>1096.3062911114857</v>
      </c>
      <c r="AR123" s="259">
        <f t="shared" si="24"/>
        <v>1096.3062911114857</v>
      </c>
      <c r="AS123" s="259">
        <f t="shared" si="24"/>
        <v>1096.3062911114857</v>
      </c>
      <c r="AT123" s="259">
        <f t="shared" si="24"/>
        <v>1096.3062911114857</v>
      </c>
      <c r="AU123" s="259">
        <f t="shared" si="24"/>
        <v>1096.3062911114857</v>
      </c>
      <c r="AV123" s="259">
        <f t="shared" si="24"/>
        <v>1096.3062911114857</v>
      </c>
      <c r="AW123" s="259">
        <f t="shared" si="24"/>
        <v>1096.3062911114857</v>
      </c>
      <c r="AX123" s="259">
        <f t="shared" si="24"/>
        <v>1096.3062911114857</v>
      </c>
      <c r="AY123" s="259">
        <f t="shared" si="24"/>
        <v>1096.3062911114857</v>
      </c>
      <c r="AZ123" s="259">
        <f t="shared" si="24"/>
        <v>1096.3062911114857</v>
      </c>
      <c r="BA123" s="259">
        <f t="shared" si="24"/>
        <v>1096.3062911114857</v>
      </c>
      <c r="BB123" s="259">
        <f t="shared" si="24"/>
        <v>1096.3062911114857</v>
      </c>
      <c r="BC123" s="259">
        <f t="shared" si="24"/>
        <v>1096.3062911114857</v>
      </c>
      <c r="BD123" s="259">
        <f t="shared" si="24"/>
        <v>1096.3062911114857</v>
      </c>
      <c r="BE123" s="259">
        <f t="shared" si="24"/>
        <v>1096.3062911114857</v>
      </c>
      <c r="BF123" s="259">
        <f t="shared" si="24"/>
        <v>1096.3062911114857</v>
      </c>
      <c r="BG123" s="259">
        <f t="shared" si="24"/>
        <v>1096.3062911114857</v>
      </c>
      <c r="BH123" s="259">
        <f t="shared" si="24"/>
        <v>1096.3062911114857</v>
      </c>
      <c r="BI123" s="259">
        <f t="shared" si="24"/>
        <v>1096.3062911114857</v>
      </c>
      <c r="BJ123" s="259">
        <f>SUM(B123:BI123)</f>
        <v>161200.8770450328</v>
      </c>
      <c r="BK123" s="259">
        <f>N53</f>
        <v>161200.87704503289</v>
      </c>
    </row>
    <row r="124" spans="1:63" x14ac:dyDescent="0.35">
      <c r="A124" t="s">
        <v>520</v>
      </c>
      <c r="B124" s="246">
        <f>K101/24</f>
        <v>5072.2437735424746</v>
      </c>
      <c r="C124" s="246">
        <f>B124</f>
        <v>5072.2437735424746</v>
      </c>
      <c r="D124" s="246">
        <f t="shared" si="23"/>
        <v>5072.2437735424746</v>
      </c>
      <c r="E124" s="246">
        <f t="shared" si="23"/>
        <v>5072.2437735424746</v>
      </c>
      <c r="F124" s="246">
        <f t="shared" si="23"/>
        <v>5072.2437735424746</v>
      </c>
      <c r="G124" s="246">
        <f t="shared" si="23"/>
        <v>5072.2437735424746</v>
      </c>
      <c r="H124" s="246">
        <f t="shared" si="23"/>
        <v>5072.2437735424746</v>
      </c>
      <c r="I124" s="246">
        <f t="shared" si="23"/>
        <v>5072.2437735424746</v>
      </c>
      <c r="J124" s="246">
        <f t="shared" si="23"/>
        <v>5072.2437735424746</v>
      </c>
      <c r="K124" s="246">
        <f t="shared" si="23"/>
        <v>5072.2437735424746</v>
      </c>
      <c r="L124" s="246">
        <f t="shared" si="23"/>
        <v>5072.2437735424746</v>
      </c>
      <c r="M124" s="246">
        <f t="shared" si="23"/>
        <v>5072.2437735424746</v>
      </c>
      <c r="N124" s="246">
        <f t="shared" si="23"/>
        <v>5072.2437735424746</v>
      </c>
      <c r="O124" s="246">
        <f t="shared" si="23"/>
        <v>5072.2437735424746</v>
      </c>
      <c r="P124" s="246">
        <f t="shared" si="23"/>
        <v>5072.2437735424746</v>
      </c>
      <c r="Q124" s="246">
        <f t="shared" si="23"/>
        <v>5072.2437735424746</v>
      </c>
      <c r="R124" s="246">
        <f t="shared" si="23"/>
        <v>5072.2437735424746</v>
      </c>
      <c r="S124" s="246">
        <f t="shared" si="23"/>
        <v>5072.2437735424746</v>
      </c>
      <c r="T124" s="246">
        <f t="shared" si="23"/>
        <v>5072.2437735424746</v>
      </c>
      <c r="U124" s="246">
        <f t="shared" si="23"/>
        <v>5072.2437735424746</v>
      </c>
      <c r="V124" s="246">
        <f t="shared" si="23"/>
        <v>5072.2437735424746</v>
      </c>
      <c r="W124" s="246">
        <f t="shared" si="23"/>
        <v>5072.2437735424746</v>
      </c>
      <c r="X124" s="246">
        <f t="shared" si="23"/>
        <v>5072.2437735424746</v>
      </c>
      <c r="Y124" s="246">
        <f t="shared" si="23"/>
        <v>5072.2437735424746</v>
      </c>
      <c r="Z124" s="259">
        <v>0</v>
      </c>
      <c r="AA124" s="259">
        <f>Z124</f>
        <v>0</v>
      </c>
      <c r="AB124" s="259">
        <f t="shared" si="24"/>
        <v>0</v>
      </c>
      <c r="AC124" s="259">
        <f t="shared" si="24"/>
        <v>0</v>
      </c>
      <c r="AD124" s="259">
        <f t="shared" si="24"/>
        <v>0</v>
      </c>
      <c r="AE124" s="259">
        <f t="shared" si="24"/>
        <v>0</v>
      </c>
      <c r="AF124" s="259">
        <f t="shared" si="24"/>
        <v>0</v>
      </c>
      <c r="AG124" s="259">
        <f t="shared" si="24"/>
        <v>0</v>
      </c>
      <c r="AH124" s="259">
        <f t="shared" si="24"/>
        <v>0</v>
      </c>
      <c r="AI124" s="259">
        <f t="shared" si="24"/>
        <v>0</v>
      </c>
      <c r="AJ124" s="259">
        <f t="shared" si="24"/>
        <v>0</v>
      </c>
      <c r="AK124" s="259">
        <f t="shared" si="24"/>
        <v>0</v>
      </c>
      <c r="AL124" s="259">
        <f t="shared" si="24"/>
        <v>0</v>
      </c>
      <c r="AM124" s="259">
        <f t="shared" si="24"/>
        <v>0</v>
      </c>
      <c r="AN124" s="259">
        <f t="shared" si="24"/>
        <v>0</v>
      </c>
      <c r="AO124" s="259">
        <f t="shared" si="24"/>
        <v>0</v>
      </c>
      <c r="AP124" s="259">
        <f t="shared" si="24"/>
        <v>0</v>
      </c>
      <c r="AQ124" s="259">
        <f t="shared" si="24"/>
        <v>0</v>
      </c>
      <c r="AR124" s="259">
        <f t="shared" si="24"/>
        <v>0</v>
      </c>
      <c r="AS124" s="259">
        <f t="shared" si="24"/>
        <v>0</v>
      </c>
      <c r="AT124" s="259">
        <f t="shared" si="24"/>
        <v>0</v>
      </c>
      <c r="AU124" s="259">
        <f t="shared" si="24"/>
        <v>0</v>
      </c>
      <c r="AV124" s="259">
        <f t="shared" si="24"/>
        <v>0</v>
      </c>
      <c r="AW124" s="259">
        <f t="shared" si="24"/>
        <v>0</v>
      </c>
      <c r="AX124" s="259">
        <f t="shared" si="24"/>
        <v>0</v>
      </c>
      <c r="AY124" s="259">
        <f t="shared" si="24"/>
        <v>0</v>
      </c>
      <c r="AZ124" s="259">
        <f t="shared" si="24"/>
        <v>0</v>
      </c>
      <c r="BA124" s="259">
        <f t="shared" si="24"/>
        <v>0</v>
      </c>
      <c r="BB124" s="259">
        <f t="shared" si="24"/>
        <v>0</v>
      </c>
      <c r="BC124" s="259">
        <f t="shared" si="24"/>
        <v>0</v>
      </c>
      <c r="BD124" s="259">
        <f t="shared" si="24"/>
        <v>0</v>
      </c>
      <c r="BE124" s="259">
        <f t="shared" si="24"/>
        <v>0</v>
      </c>
      <c r="BF124" s="259">
        <f t="shared" si="24"/>
        <v>0</v>
      </c>
      <c r="BG124" s="259">
        <f t="shared" si="24"/>
        <v>0</v>
      </c>
      <c r="BH124" s="259">
        <f t="shared" si="24"/>
        <v>0</v>
      </c>
      <c r="BI124" s="259">
        <f t="shared" si="24"/>
        <v>0</v>
      </c>
      <c r="BJ124" s="259">
        <f>SUM(B124:BI124)</f>
        <v>121733.8505650194</v>
      </c>
      <c r="BK124" s="259">
        <f t="shared" ref="BK124:BK126" si="25">N54</f>
        <v>121733.8505650194</v>
      </c>
    </row>
    <row r="125" spans="1:63" x14ac:dyDescent="0.35">
      <c r="A125" t="s">
        <v>520</v>
      </c>
      <c r="B125" s="246">
        <f>K111/24</f>
        <v>9647.495361781077</v>
      </c>
      <c r="C125" s="246">
        <f>B125</f>
        <v>9647.495361781077</v>
      </c>
      <c r="D125" s="246">
        <f t="shared" si="23"/>
        <v>9647.495361781077</v>
      </c>
      <c r="E125" s="246">
        <f t="shared" si="23"/>
        <v>9647.495361781077</v>
      </c>
      <c r="F125" s="246">
        <f t="shared" si="23"/>
        <v>9647.495361781077</v>
      </c>
      <c r="G125" s="246">
        <f t="shared" si="23"/>
        <v>9647.495361781077</v>
      </c>
      <c r="H125" s="246">
        <f t="shared" si="23"/>
        <v>9647.495361781077</v>
      </c>
      <c r="I125" s="246">
        <f t="shared" si="23"/>
        <v>9647.495361781077</v>
      </c>
      <c r="J125" s="246">
        <f t="shared" si="23"/>
        <v>9647.495361781077</v>
      </c>
      <c r="K125" s="246">
        <f t="shared" si="23"/>
        <v>9647.495361781077</v>
      </c>
      <c r="L125" s="246">
        <f t="shared" si="23"/>
        <v>9647.495361781077</v>
      </c>
      <c r="M125" s="246">
        <f t="shared" si="23"/>
        <v>9647.495361781077</v>
      </c>
      <c r="N125" s="246">
        <f t="shared" si="23"/>
        <v>9647.495361781077</v>
      </c>
      <c r="O125" s="246">
        <f t="shared" si="23"/>
        <v>9647.495361781077</v>
      </c>
      <c r="P125" s="246">
        <f t="shared" si="23"/>
        <v>9647.495361781077</v>
      </c>
      <c r="Q125" s="246">
        <f t="shared" si="23"/>
        <v>9647.495361781077</v>
      </c>
      <c r="R125" s="246">
        <f t="shared" si="23"/>
        <v>9647.495361781077</v>
      </c>
      <c r="S125" s="246">
        <f t="shared" si="23"/>
        <v>9647.495361781077</v>
      </c>
      <c r="T125" s="246">
        <f t="shared" si="23"/>
        <v>9647.495361781077</v>
      </c>
      <c r="U125" s="246">
        <f t="shared" si="23"/>
        <v>9647.495361781077</v>
      </c>
      <c r="V125" s="246">
        <f t="shared" si="23"/>
        <v>9647.495361781077</v>
      </c>
      <c r="W125" s="246">
        <f t="shared" si="23"/>
        <v>9647.495361781077</v>
      </c>
      <c r="X125" s="246">
        <f t="shared" si="23"/>
        <v>9647.495361781077</v>
      </c>
      <c r="Y125" s="246">
        <f t="shared" si="23"/>
        <v>9647.495361781077</v>
      </c>
      <c r="Z125" s="259">
        <f>K117/36</f>
        <v>2631.1350986675661</v>
      </c>
      <c r="AA125" s="259">
        <f>Z125</f>
        <v>2631.1350986675661</v>
      </c>
      <c r="AB125" s="259">
        <f t="shared" si="24"/>
        <v>2631.1350986675661</v>
      </c>
      <c r="AC125" s="259">
        <f t="shared" si="24"/>
        <v>2631.1350986675661</v>
      </c>
      <c r="AD125" s="259">
        <f t="shared" si="24"/>
        <v>2631.1350986675661</v>
      </c>
      <c r="AE125" s="259">
        <f t="shared" si="24"/>
        <v>2631.1350986675661</v>
      </c>
      <c r="AF125" s="259">
        <f t="shared" si="24"/>
        <v>2631.1350986675661</v>
      </c>
      <c r="AG125" s="259">
        <f t="shared" si="24"/>
        <v>2631.1350986675661</v>
      </c>
      <c r="AH125" s="259">
        <f t="shared" si="24"/>
        <v>2631.1350986675661</v>
      </c>
      <c r="AI125" s="259">
        <f t="shared" si="24"/>
        <v>2631.1350986675661</v>
      </c>
      <c r="AJ125" s="259">
        <f t="shared" si="24"/>
        <v>2631.1350986675661</v>
      </c>
      <c r="AK125" s="259">
        <f t="shared" si="24"/>
        <v>2631.1350986675661</v>
      </c>
      <c r="AL125" s="259">
        <f t="shared" si="24"/>
        <v>2631.1350986675661</v>
      </c>
      <c r="AM125" s="259">
        <f t="shared" si="24"/>
        <v>2631.1350986675661</v>
      </c>
      <c r="AN125" s="259">
        <f t="shared" si="24"/>
        <v>2631.1350986675661</v>
      </c>
      <c r="AO125" s="259">
        <f t="shared" si="24"/>
        <v>2631.1350986675661</v>
      </c>
      <c r="AP125" s="259">
        <f t="shared" si="24"/>
        <v>2631.1350986675661</v>
      </c>
      <c r="AQ125" s="259">
        <f t="shared" si="24"/>
        <v>2631.1350986675661</v>
      </c>
      <c r="AR125" s="259">
        <f t="shared" si="24"/>
        <v>2631.1350986675661</v>
      </c>
      <c r="AS125" s="259">
        <f t="shared" si="24"/>
        <v>2631.1350986675661</v>
      </c>
      <c r="AT125" s="259">
        <f t="shared" si="24"/>
        <v>2631.1350986675661</v>
      </c>
      <c r="AU125" s="259">
        <f t="shared" si="24"/>
        <v>2631.1350986675661</v>
      </c>
      <c r="AV125" s="259">
        <f t="shared" si="24"/>
        <v>2631.1350986675661</v>
      </c>
      <c r="AW125" s="259">
        <f t="shared" si="24"/>
        <v>2631.1350986675661</v>
      </c>
      <c r="AX125" s="259">
        <f t="shared" si="24"/>
        <v>2631.1350986675661</v>
      </c>
      <c r="AY125" s="259">
        <f t="shared" si="24"/>
        <v>2631.1350986675661</v>
      </c>
      <c r="AZ125" s="259">
        <f t="shared" si="24"/>
        <v>2631.1350986675661</v>
      </c>
      <c r="BA125" s="259">
        <f t="shared" si="24"/>
        <v>2631.1350986675661</v>
      </c>
      <c r="BB125" s="259">
        <f t="shared" si="24"/>
        <v>2631.1350986675661</v>
      </c>
      <c r="BC125" s="259">
        <f t="shared" si="24"/>
        <v>2631.1350986675661</v>
      </c>
      <c r="BD125" s="259">
        <f t="shared" si="24"/>
        <v>2631.1350986675661</v>
      </c>
      <c r="BE125" s="259">
        <f t="shared" si="24"/>
        <v>2631.1350986675661</v>
      </c>
      <c r="BF125" s="259">
        <f t="shared" si="24"/>
        <v>2631.1350986675661</v>
      </c>
      <c r="BG125" s="259">
        <f t="shared" si="24"/>
        <v>2631.1350986675661</v>
      </c>
      <c r="BH125" s="259">
        <f t="shared" si="24"/>
        <v>2631.1350986675661</v>
      </c>
      <c r="BI125" s="259">
        <f t="shared" si="24"/>
        <v>2631.1350986675661</v>
      </c>
      <c r="BJ125" s="259">
        <f>SUM(B125:BI125)</f>
        <v>326260.75223477843</v>
      </c>
      <c r="BK125" s="259">
        <f t="shared" si="25"/>
        <v>326260.75223477825</v>
      </c>
    </row>
    <row r="126" spans="1:63" x14ac:dyDescent="0.35">
      <c r="BJ126" s="259">
        <f>SUM(BJ123:BJ125)</f>
        <v>609195.4798448307</v>
      </c>
      <c r="BK126" s="259">
        <f t="shared" si="25"/>
        <v>609195.47984483046</v>
      </c>
    </row>
    <row r="128" spans="1:63" x14ac:dyDescent="0.35">
      <c r="N128" t="s">
        <v>427</v>
      </c>
    </row>
  </sheetData>
  <mergeCells count="29">
    <mergeCell ref="BA120:BC120"/>
    <mergeCell ref="BD120:BF120"/>
    <mergeCell ref="BG120:BI120"/>
    <mergeCell ref="AL120:AN120"/>
    <mergeCell ref="AO120:AQ120"/>
    <mergeCell ref="AR120:AT120"/>
    <mergeCell ref="AU120:AW120"/>
    <mergeCell ref="AX120:AZ120"/>
    <mergeCell ref="N119:Y119"/>
    <mergeCell ref="Z119:AK119"/>
    <mergeCell ref="AL119:AW119"/>
    <mergeCell ref="AX119:BI119"/>
    <mergeCell ref="B120:D120"/>
    <mergeCell ref="E120:G120"/>
    <mergeCell ref="H120:J120"/>
    <mergeCell ref="K120:M120"/>
    <mergeCell ref="N120:P120"/>
    <mergeCell ref="Q120:S120"/>
    <mergeCell ref="T120:V120"/>
    <mergeCell ref="W120:Y120"/>
    <mergeCell ref="Z120:AB120"/>
    <mergeCell ref="AC120:AE120"/>
    <mergeCell ref="AF120:AH120"/>
    <mergeCell ref="AI120:AK120"/>
    <mergeCell ref="A39:M39"/>
    <mergeCell ref="A40:M40"/>
    <mergeCell ref="A45:M45"/>
    <mergeCell ref="A46:M46"/>
    <mergeCell ref="B119:M119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topLeftCell="A7" zoomScale="90" zoomScaleNormal="90" workbookViewId="0">
      <selection activeCell="O10" sqref="O10"/>
    </sheetView>
  </sheetViews>
  <sheetFormatPr defaultColWidth="11.08984375" defaultRowHeight="14.5" x14ac:dyDescent="0.35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Visio.Drawing.15" shapeId="7177" r:id="rId3">
          <object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14</xdr:col>
                <xdr:colOff>387350</xdr:colOff>
                <xdr:row>32</xdr:row>
                <xdr:rowOff>88900</xdr:rowOff>
              </to>
            </anchor>
          </objectPr>
        </oleObject>
      </mc:Choice>
      <mc:Fallback>
        <oleObject progId="Visio.Drawing.15" shapeId="7177" r:id="rId3"/>
      </mc:Fallback>
    </mc:AlternateContent>
    <mc:AlternateContent xmlns:mc="http://schemas.openxmlformats.org/markup-compatibility/2006">
      <mc:Choice Requires="x14">
        <oleObject progId="Visio.Drawing.15" shapeId="7178" r:id="rId5">
          <object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11</xdr:col>
                <xdr:colOff>533400</xdr:colOff>
                <xdr:row>32</xdr:row>
                <xdr:rowOff>88900</xdr:rowOff>
              </to>
            </anchor>
          </objectPr>
        </oleObject>
      </mc:Choice>
      <mc:Fallback>
        <oleObject progId="Visio.Drawing.15" shapeId="7178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4"/>
  <sheetViews>
    <sheetView showGridLines="0" topLeftCell="A35" zoomScale="90" zoomScaleNormal="90" workbookViewId="0">
      <selection activeCell="F43" sqref="F43"/>
    </sheetView>
  </sheetViews>
  <sheetFormatPr defaultColWidth="8.90625" defaultRowHeight="13" x14ac:dyDescent="0.35"/>
  <cols>
    <col min="1" max="1" width="30.1796875" style="369" customWidth="1"/>
    <col min="2" max="2" width="14.08984375" style="369" customWidth="1"/>
    <col min="3" max="3" width="17" style="369" customWidth="1"/>
    <col min="4" max="10" width="11.90625" style="369" customWidth="1"/>
    <col min="11" max="11" width="52.81640625" style="369" customWidth="1"/>
    <col min="12" max="16384" width="8.90625" style="369"/>
  </cols>
  <sheetData>
    <row r="1" spans="1:11" s="398" customFormat="1" ht="14" x14ac:dyDescent="0.35">
      <c r="A1" s="662" t="s">
        <v>661</v>
      </c>
      <c r="B1" s="662"/>
      <c r="C1" s="662"/>
      <c r="D1" s="662"/>
      <c r="E1" s="662"/>
      <c r="F1" s="662"/>
      <c r="G1" s="662"/>
      <c r="H1" s="662"/>
      <c r="I1" s="662"/>
      <c r="J1" s="662"/>
      <c r="K1" s="662"/>
    </row>
    <row r="2" spans="1:11" s="409" customFormat="1" ht="18" x14ac:dyDescent="0.35">
      <c r="A2" s="408"/>
      <c r="B2" s="408"/>
      <c r="C2" s="408"/>
      <c r="D2" s="408"/>
      <c r="E2" s="408"/>
      <c r="F2" s="408"/>
      <c r="G2" s="408"/>
      <c r="H2" s="408"/>
      <c r="I2" s="408"/>
      <c r="J2" s="408"/>
      <c r="K2" s="408"/>
    </row>
    <row r="3" spans="1:11" ht="14" x14ac:dyDescent="0.35">
      <c r="A3" s="662" t="s">
        <v>568</v>
      </c>
      <c r="B3" s="662"/>
      <c r="C3" s="662"/>
      <c r="D3" s="662"/>
      <c r="E3" s="662"/>
      <c r="F3" s="662"/>
      <c r="G3" s="662"/>
      <c r="H3" s="662"/>
      <c r="I3" s="662"/>
      <c r="J3" s="662"/>
      <c r="K3" s="662"/>
    </row>
    <row r="4" spans="1:11" ht="13.5" thickBot="1" x14ac:dyDescent="0.4"/>
    <row r="5" spans="1:11" ht="22.25" customHeight="1" thickTop="1" thickBot="1" x14ac:dyDescent="0.4">
      <c r="A5" s="378" t="s">
        <v>632</v>
      </c>
      <c r="B5" s="666" t="s">
        <v>633</v>
      </c>
      <c r="C5" s="666"/>
      <c r="D5" s="666"/>
      <c r="E5" s="666"/>
      <c r="F5" s="666"/>
      <c r="G5" s="666"/>
      <c r="H5" s="666"/>
      <c r="I5" s="666"/>
      <c r="J5" s="666"/>
      <c r="K5" s="666"/>
    </row>
    <row r="6" spans="1:11" ht="13.5" thickTop="1" x14ac:dyDescent="0.35"/>
    <row r="7" spans="1:11" ht="13.5" thickBot="1" x14ac:dyDescent="0.4">
      <c r="A7" s="667" t="s">
        <v>646</v>
      </c>
      <c r="B7" s="668"/>
      <c r="C7" s="668"/>
      <c r="D7" s="668"/>
      <c r="E7" s="668"/>
      <c r="F7" s="668"/>
      <c r="G7" s="668"/>
      <c r="H7" s="668"/>
      <c r="I7" s="668"/>
      <c r="J7" s="668"/>
      <c r="K7" s="669"/>
    </row>
    <row r="8" spans="1:11" ht="14" thickTop="1" thickBot="1" x14ac:dyDescent="0.4">
      <c r="A8" s="665" t="s">
        <v>634</v>
      </c>
      <c r="B8" s="665" t="s">
        <v>635</v>
      </c>
      <c r="C8" s="665" t="s">
        <v>571</v>
      </c>
      <c r="D8" s="665"/>
      <c r="E8" s="665" t="s">
        <v>573</v>
      </c>
      <c r="F8" s="665"/>
      <c r="G8" s="665" t="s">
        <v>574</v>
      </c>
      <c r="H8" s="665"/>
      <c r="I8" s="665" t="s">
        <v>575</v>
      </c>
      <c r="J8" s="665"/>
      <c r="K8" s="665"/>
    </row>
    <row r="9" spans="1:11" ht="14" thickTop="1" thickBot="1" x14ac:dyDescent="0.4">
      <c r="A9" s="665"/>
      <c r="B9" s="665"/>
      <c r="C9" s="377" t="s">
        <v>576</v>
      </c>
      <c r="D9" s="377" t="s">
        <v>577</v>
      </c>
      <c r="E9" s="377" t="s">
        <v>576</v>
      </c>
      <c r="F9" s="377" t="s">
        <v>577</v>
      </c>
      <c r="G9" s="665"/>
      <c r="H9" s="665"/>
      <c r="I9" s="665"/>
      <c r="J9" s="665"/>
      <c r="K9" s="665"/>
    </row>
    <row r="10" spans="1:11" ht="14" thickTop="1" thickBot="1" x14ac:dyDescent="0.4">
      <c r="A10" s="677" t="s">
        <v>636</v>
      </c>
      <c r="B10" s="678"/>
      <c r="C10" s="678"/>
      <c r="D10" s="678"/>
      <c r="E10" s="678"/>
      <c r="F10" s="678"/>
      <c r="G10" s="678"/>
      <c r="H10" s="678"/>
      <c r="I10" s="678"/>
      <c r="J10" s="678"/>
      <c r="K10" s="679"/>
    </row>
    <row r="11" spans="1:11" ht="40" thickTop="1" thickBot="1" x14ac:dyDescent="0.4">
      <c r="A11" s="406" t="s">
        <v>637</v>
      </c>
      <c r="B11" s="373" t="s">
        <v>638</v>
      </c>
      <c r="C11" s="374">
        <v>110</v>
      </c>
      <c r="D11" s="370">
        <v>2009</v>
      </c>
      <c r="E11" s="370">
        <v>200</v>
      </c>
      <c r="F11" s="370">
        <v>2020</v>
      </c>
      <c r="G11" s="663" t="s">
        <v>639</v>
      </c>
      <c r="H11" s="664"/>
      <c r="I11" s="674" t="s">
        <v>640</v>
      </c>
      <c r="J11" s="675"/>
      <c r="K11" s="676"/>
    </row>
    <row r="12" spans="1:11" ht="40" thickTop="1" thickBot="1" x14ac:dyDescent="0.4">
      <c r="A12" s="406" t="s">
        <v>641</v>
      </c>
      <c r="B12" s="373" t="s">
        <v>642</v>
      </c>
      <c r="C12" s="374" t="s">
        <v>598</v>
      </c>
      <c r="D12" s="370">
        <v>2017</v>
      </c>
      <c r="E12" s="370" t="s">
        <v>643</v>
      </c>
      <c r="F12" s="370">
        <v>2022</v>
      </c>
      <c r="G12" s="663" t="s">
        <v>644</v>
      </c>
      <c r="H12" s="664"/>
      <c r="I12" s="674" t="s">
        <v>647</v>
      </c>
      <c r="J12" s="675"/>
      <c r="K12" s="676"/>
    </row>
    <row r="13" spans="1:11" ht="13.5" thickTop="1" x14ac:dyDescent="0.35"/>
    <row r="14" spans="1:11" ht="13.5" thickBot="1" x14ac:dyDescent="0.4">
      <c r="A14" s="670" t="s">
        <v>569</v>
      </c>
      <c r="B14" s="670"/>
      <c r="C14" s="670"/>
      <c r="D14" s="670"/>
      <c r="E14" s="670"/>
      <c r="F14" s="670"/>
      <c r="G14" s="670"/>
      <c r="H14" s="670"/>
      <c r="I14" s="670"/>
      <c r="J14" s="670"/>
      <c r="K14" s="670"/>
    </row>
    <row r="15" spans="1:11" ht="14" thickTop="1" thickBot="1" x14ac:dyDescent="0.4">
      <c r="A15" s="665" t="s">
        <v>569</v>
      </c>
      <c r="B15" s="665" t="s">
        <v>570</v>
      </c>
      <c r="C15" s="665" t="s">
        <v>571</v>
      </c>
      <c r="D15" s="665"/>
      <c r="E15" s="665" t="s">
        <v>572</v>
      </c>
      <c r="F15" s="665"/>
      <c r="G15" s="665" t="s">
        <v>573</v>
      </c>
      <c r="H15" s="665"/>
      <c r="I15" s="665" t="s">
        <v>574</v>
      </c>
      <c r="J15" s="665"/>
      <c r="K15" s="665" t="s">
        <v>575</v>
      </c>
    </row>
    <row r="16" spans="1:11" ht="14" thickTop="1" thickBot="1" x14ac:dyDescent="0.4">
      <c r="A16" s="665"/>
      <c r="B16" s="665"/>
      <c r="C16" s="377" t="s">
        <v>576</v>
      </c>
      <c r="D16" s="377" t="s">
        <v>577</v>
      </c>
      <c r="E16" s="377" t="s">
        <v>576</v>
      </c>
      <c r="F16" s="377" t="s">
        <v>577</v>
      </c>
      <c r="G16" s="665" t="s">
        <v>576</v>
      </c>
      <c r="H16" s="665" t="s">
        <v>577</v>
      </c>
      <c r="I16" s="665"/>
      <c r="J16" s="665"/>
      <c r="K16" s="665"/>
    </row>
    <row r="17" spans="1:11" ht="14" thickTop="1" thickBot="1" x14ac:dyDescent="0.4">
      <c r="A17" s="671" t="s">
        <v>578</v>
      </c>
      <c r="B17" s="672"/>
      <c r="C17" s="672"/>
      <c r="D17" s="672"/>
      <c r="E17" s="672"/>
      <c r="F17" s="672"/>
      <c r="G17" s="672"/>
      <c r="H17" s="672"/>
      <c r="I17" s="672"/>
      <c r="J17" s="672"/>
      <c r="K17" s="673"/>
    </row>
    <row r="18" spans="1:11" ht="27" thickTop="1" thickBot="1" x14ac:dyDescent="0.4">
      <c r="A18" s="406" t="s">
        <v>579</v>
      </c>
      <c r="B18" s="373" t="s">
        <v>580</v>
      </c>
      <c r="C18" s="374" t="s">
        <v>92</v>
      </c>
      <c r="D18" s="370" t="s">
        <v>92</v>
      </c>
      <c r="E18" s="370" t="s">
        <v>92</v>
      </c>
      <c r="F18" s="370" t="s">
        <v>92</v>
      </c>
      <c r="G18" s="370" t="s">
        <v>581</v>
      </c>
      <c r="H18" s="370">
        <v>2020</v>
      </c>
      <c r="I18" s="663" t="s">
        <v>582</v>
      </c>
      <c r="J18" s="664"/>
      <c r="K18" s="371" t="s">
        <v>583</v>
      </c>
    </row>
    <row r="19" spans="1:11" ht="14" thickTop="1" thickBot="1" x14ac:dyDescent="0.4">
      <c r="A19" s="406" t="s">
        <v>872</v>
      </c>
      <c r="B19" s="373" t="s">
        <v>580</v>
      </c>
      <c r="C19" s="374" t="s">
        <v>92</v>
      </c>
      <c r="D19" s="370" t="s">
        <v>92</v>
      </c>
      <c r="E19" s="370" t="s">
        <v>92</v>
      </c>
      <c r="F19" s="370" t="s">
        <v>92</v>
      </c>
      <c r="G19" s="370" t="s">
        <v>581</v>
      </c>
      <c r="H19" s="370">
        <v>2020</v>
      </c>
      <c r="I19" s="663" t="s">
        <v>584</v>
      </c>
      <c r="J19" s="664"/>
      <c r="K19" s="371" t="s">
        <v>585</v>
      </c>
    </row>
    <row r="20" spans="1:11" ht="14" thickTop="1" thickBot="1" x14ac:dyDescent="0.4">
      <c r="A20" s="406" t="s">
        <v>586</v>
      </c>
      <c r="B20" s="373" t="s">
        <v>580</v>
      </c>
      <c r="C20" s="374" t="s">
        <v>92</v>
      </c>
      <c r="D20" s="370" t="s">
        <v>92</v>
      </c>
      <c r="E20" s="370" t="s">
        <v>92</v>
      </c>
      <c r="F20" s="370" t="s">
        <v>92</v>
      </c>
      <c r="G20" s="370">
        <v>0.01</v>
      </c>
      <c r="H20" s="370">
        <v>2020</v>
      </c>
      <c r="I20" s="663" t="s">
        <v>587</v>
      </c>
      <c r="J20" s="664"/>
      <c r="K20" s="371" t="s">
        <v>585</v>
      </c>
    </row>
    <row r="21" spans="1:11" ht="66" thickTop="1" thickBot="1" x14ac:dyDescent="0.4">
      <c r="A21" s="658" t="s">
        <v>611</v>
      </c>
      <c r="B21" s="659" t="s">
        <v>873</v>
      </c>
      <c r="C21" s="660">
        <v>0</v>
      </c>
      <c r="D21" s="657">
        <v>2009</v>
      </c>
      <c r="E21" s="657" t="s">
        <v>92</v>
      </c>
      <c r="F21" s="657" t="s">
        <v>92</v>
      </c>
      <c r="G21" s="657">
        <v>1</v>
      </c>
      <c r="H21" s="657">
        <v>2020</v>
      </c>
      <c r="I21" s="663" t="s">
        <v>874</v>
      </c>
      <c r="J21" s="664"/>
      <c r="K21" s="371" t="s">
        <v>609</v>
      </c>
    </row>
    <row r="22" spans="1:11" ht="53" thickTop="1" thickBot="1" x14ac:dyDescent="0.4">
      <c r="A22" s="658" t="s">
        <v>612</v>
      </c>
      <c r="B22" s="659" t="s">
        <v>873</v>
      </c>
      <c r="C22" s="660">
        <v>0</v>
      </c>
      <c r="D22" s="657">
        <v>2009</v>
      </c>
      <c r="E22" s="657" t="s">
        <v>92</v>
      </c>
      <c r="F22" s="657" t="s">
        <v>92</v>
      </c>
      <c r="G22" s="657">
        <v>1</v>
      </c>
      <c r="H22" s="657">
        <v>2020</v>
      </c>
      <c r="I22" s="663" t="s">
        <v>874</v>
      </c>
      <c r="J22" s="664"/>
      <c r="K22" s="371" t="s">
        <v>610</v>
      </c>
    </row>
    <row r="23" spans="1:11" ht="14" thickTop="1" thickBot="1" x14ac:dyDescent="0.4">
      <c r="A23" s="671" t="s">
        <v>588</v>
      </c>
      <c r="B23" s="672"/>
      <c r="C23" s="672"/>
      <c r="D23" s="672"/>
      <c r="E23" s="672"/>
      <c r="F23" s="672"/>
      <c r="G23" s="672"/>
      <c r="H23" s="672"/>
      <c r="I23" s="672"/>
      <c r="J23" s="672"/>
      <c r="K23" s="673"/>
    </row>
    <row r="24" spans="1:11" ht="40" thickTop="1" thickBot="1" x14ac:dyDescent="0.4">
      <c r="A24" s="406" t="s">
        <v>589</v>
      </c>
      <c r="B24" s="373" t="s">
        <v>590</v>
      </c>
      <c r="C24" s="374">
        <v>12</v>
      </c>
      <c r="D24" s="370">
        <v>2009</v>
      </c>
      <c r="E24" s="370" t="s">
        <v>92</v>
      </c>
      <c r="F24" s="370" t="s">
        <v>92</v>
      </c>
      <c r="G24" s="370">
        <v>6</v>
      </c>
      <c r="H24" s="370">
        <v>2020</v>
      </c>
      <c r="I24" s="663" t="s">
        <v>591</v>
      </c>
      <c r="J24" s="664"/>
      <c r="K24" s="371" t="s">
        <v>592</v>
      </c>
    </row>
    <row r="25" spans="1:11" ht="14" thickTop="1" thickBot="1" x14ac:dyDescent="0.4">
      <c r="A25" s="406" t="s">
        <v>593</v>
      </c>
      <c r="B25" s="373" t="s">
        <v>590</v>
      </c>
      <c r="C25" s="374">
        <v>9</v>
      </c>
      <c r="D25" s="370">
        <v>2008</v>
      </c>
      <c r="E25" s="370" t="s">
        <v>92</v>
      </c>
      <c r="F25" s="370" t="s">
        <v>92</v>
      </c>
      <c r="G25" s="370">
        <v>4</v>
      </c>
      <c r="H25" s="370">
        <v>2019</v>
      </c>
      <c r="I25" s="663" t="s">
        <v>584</v>
      </c>
      <c r="J25" s="664"/>
      <c r="K25" s="371" t="s">
        <v>594</v>
      </c>
    </row>
    <row r="26" spans="1:11" ht="14" thickTop="1" thickBot="1" x14ac:dyDescent="0.4">
      <c r="A26" s="671" t="s">
        <v>595</v>
      </c>
      <c r="B26" s="672"/>
      <c r="C26" s="672"/>
      <c r="D26" s="672"/>
      <c r="E26" s="672"/>
      <c r="F26" s="672"/>
      <c r="G26" s="672"/>
      <c r="H26" s="672"/>
      <c r="I26" s="672"/>
      <c r="J26" s="672"/>
      <c r="K26" s="673"/>
    </row>
    <row r="27" spans="1:11" ht="66" thickTop="1" thickBot="1" x14ac:dyDescent="0.4">
      <c r="A27" s="407" t="s">
        <v>596</v>
      </c>
      <c r="B27" s="376" t="s">
        <v>597</v>
      </c>
      <c r="C27" s="375" t="s">
        <v>598</v>
      </c>
      <c r="D27" s="372">
        <v>2017</v>
      </c>
      <c r="E27" s="372" t="s">
        <v>599</v>
      </c>
      <c r="F27" s="372">
        <v>2019</v>
      </c>
      <c r="G27" s="372" t="s">
        <v>598</v>
      </c>
      <c r="H27" s="372">
        <v>2022</v>
      </c>
      <c r="I27" s="684" t="s">
        <v>600</v>
      </c>
      <c r="J27" s="685"/>
      <c r="K27" s="371" t="s">
        <v>648</v>
      </c>
    </row>
    <row r="28" spans="1:11" ht="13.5" thickTop="1" x14ac:dyDescent="0.35"/>
    <row r="29" spans="1:11" ht="13.5" thickBot="1" x14ac:dyDescent="0.4">
      <c r="A29" s="670" t="s">
        <v>601</v>
      </c>
      <c r="B29" s="670"/>
      <c r="C29" s="670"/>
      <c r="D29" s="670"/>
      <c r="E29" s="670"/>
      <c r="F29" s="670"/>
      <c r="G29" s="670"/>
      <c r="H29" s="670"/>
      <c r="I29" s="670"/>
      <c r="J29" s="670"/>
      <c r="K29" s="670"/>
    </row>
    <row r="30" spans="1:11" ht="27" thickTop="1" thickBot="1" x14ac:dyDescent="0.4">
      <c r="A30" s="377" t="s">
        <v>601</v>
      </c>
      <c r="B30" s="377" t="s">
        <v>645</v>
      </c>
      <c r="C30" s="377" t="s">
        <v>570</v>
      </c>
      <c r="D30" s="377" t="s">
        <v>571</v>
      </c>
      <c r="E30" s="377" t="s">
        <v>6</v>
      </c>
      <c r="F30" s="377" t="s">
        <v>209</v>
      </c>
      <c r="G30" s="377" t="s">
        <v>210</v>
      </c>
      <c r="H30" s="377" t="s">
        <v>211</v>
      </c>
      <c r="I30" s="377" t="s">
        <v>212</v>
      </c>
      <c r="J30" s="377" t="s">
        <v>602</v>
      </c>
      <c r="K30" s="377" t="s">
        <v>574</v>
      </c>
    </row>
    <row r="31" spans="1:11" ht="14" thickTop="1" thickBot="1" x14ac:dyDescent="0.4">
      <c r="A31" s="671" t="s">
        <v>603</v>
      </c>
      <c r="B31" s="672"/>
      <c r="C31" s="672"/>
      <c r="D31" s="672"/>
      <c r="E31" s="672"/>
      <c r="F31" s="672"/>
      <c r="G31" s="672"/>
      <c r="H31" s="672"/>
      <c r="I31" s="672"/>
      <c r="J31" s="672"/>
      <c r="K31" s="673"/>
    </row>
    <row r="32" spans="1:11" ht="40" thickTop="1" thickBot="1" x14ac:dyDescent="0.4">
      <c r="A32" s="406" t="s">
        <v>604</v>
      </c>
      <c r="B32" s="373">
        <v>596897</v>
      </c>
      <c r="C32" s="374" t="s">
        <v>605</v>
      </c>
      <c r="D32" s="370">
        <v>0</v>
      </c>
      <c r="E32" s="370">
        <v>0</v>
      </c>
      <c r="F32" s="370">
        <v>17</v>
      </c>
      <c r="G32" s="370">
        <v>0</v>
      </c>
      <c r="H32" s="370">
        <v>0</v>
      </c>
      <c r="I32" s="370">
        <v>0</v>
      </c>
      <c r="J32" s="370">
        <v>1</v>
      </c>
      <c r="K32" s="371" t="s">
        <v>606</v>
      </c>
    </row>
    <row r="33" spans="1:11" ht="14" thickTop="1" thickBot="1" x14ac:dyDescent="0.4">
      <c r="A33" s="658" t="s">
        <v>607</v>
      </c>
      <c r="B33" s="659">
        <v>9247055</v>
      </c>
      <c r="C33" s="374" t="s">
        <v>421</v>
      </c>
      <c r="D33" s="370">
        <v>0</v>
      </c>
      <c r="E33" s="370"/>
      <c r="F33" s="370">
        <v>1</v>
      </c>
      <c r="G33" s="370"/>
      <c r="H33" s="370"/>
      <c r="I33" s="370"/>
      <c r="J33" s="370">
        <v>1</v>
      </c>
      <c r="K33" s="371" t="s">
        <v>608</v>
      </c>
    </row>
    <row r="34" spans="1:11" ht="14" thickTop="1" thickBot="1" x14ac:dyDescent="0.4">
      <c r="A34" s="681" t="s">
        <v>613</v>
      </c>
      <c r="B34" s="682">
        <v>355857</v>
      </c>
      <c r="C34" s="683" t="s">
        <v>614</v>
      </c>
      <c r="D34" s="680">
        <v>0</v>
      </c>
      <c r="E34" s="680"/>
      <c r="F34" s="680"/>
      <c r="G34" s="680">
        <v>1</v>
      </c>
      <c r="H34" s="680"/>
      <c r="I34" s="680"/>
      <c r="J34" s="680">
        <v>1</v>
      </c>
      <c r="K34" s="371" t="s">
        <v>615</v>
      </c>
    </row>
    <row r="35" spans="1:11" ht="27" thickTop="1" thickBot="1" x14ac:dyDescent="0.4">
      <c r="A35" s="681"/>
      <c r="B35" s="682"/>
      <c r="C35" s="683"/>
      <c r="D35" s="680"/>
      <c r="E35" s="680"/>
      <c r="F35" s="680"/>
      <c r="G35" s="680"/>
      <c r="H35" s="680"/>
      <c r="I35" s="680"/>
      <c r="J35" s="680"/>
      <c r="K35" s="371" t="s">
        <v>616</v>
      </c>
    </row>
    <row r="36" spans="1:11" ht="40" thickTop="1" thickBot="1" x14ac:dyDescent="0.4">
      <c r="A36" s="406" t="s">
        <v>617</v>
      </c>
      <c r="B36" s="373">
        <v>119750</v>
      </c>
      <c r="C36" s="374" t="s">
        <v>618</v>
      </c>
      <c r="D36" s="370" t="s">
        <v>92</v>
      </c>
      <c r="E36" s="370"/>
      <c r="F36" s="370"/>
      <c r="G36" s="370">
        <v>1</v>
      </c>
      <c r="H36" s="370"/>
      <c r="I36" s="370"/>
      <c r="J36" s="370">
        <v>1</v>
      </c>
      <c r="K36" s="371" t="s">
        <v>619</v>
      </c>
    </row>
    <row r="37" spans="1:11" ht="14" thickTop="1" thickBot="1" x14ac:dyDescent="0.4">
      <c r="A37" s="671" t="s">
        <v>620</v>
      </c>
      <c r="B37" s="672"/>
      <c r="C37" s="672"/>
      <c r="D37" s="672"/>
      <c r="E37" s="672"/>
      <c r="F37" s="672"/>
      <c r="G37" s="672"/>
      <c r="H37" s="672"/>
      <c r="I37" s="672"/>
      <c r="J37" s="672"/>
      <c r="K37" s="673"/>
    </row>
    <row r="38" spans="1:11" ht="40" thickTop="1" thickBot="1" x14ac:dyDescent="0.4">
      <c r="A38" s="406" t="s">
        <v>621</v>
      </c>
      <c r="B38" s="373">
        <v>2581683</v>
      </c>
      <c r="C38" s="374" t="s">
        <v>622</v>
      </c>
      <c r="D38" s="370">
        <v>0</v>
      </c>
      <c r="E38" s="370"/>
      <c r="F38" s="370">
        <v>15</v>
      </c>
      <c r="G38" s="370"/>
      <c r="H38" s="370"/>
      <c r="I38" s="370"/>
      <c r="J38" s="370">
        <v>15</v>
      </c>
      <c r="K38" s="371" t="s">
        <v>623</v>
      </c>
    </row>
    <row r="39" spans="1:11" ht="40" thickTop="1" thickBot="1" x14ac:dyDescent="0.4">
      <c r="A39" s="406" t="s">
        <v>624</v>
      </c>
      <c r="B39" s="373">
        <v>84719</v>
      </c>
      <c r="C39" s="374" t="s">
        <v>625</v>
      </c>
      <c r="D39" s="370">
        <v>0</v>
      </c>
      <c r="E39" s="370">
        <v>0</v>
      </c>
      <c r="F39" s="370">
        <v>0</v>
      </c>
      <c r="G39" s="370">
        <v>0</v>
      </c>
      <c r="H39" s="370">
        <v>1</v>
      </c>
      <c r="I39" s="370">
        <v>0</v>
      </c>
      <c r="J39" s="370">
        <v>1</v>
      </c>
      <c r="K39" s="371" t="s">
        <v>626</v>
      </c>
    </row>
    <row r="40" spans="1:11" ht="27" thickTop="1" thickBot="1" x14ac:dyDescent="0.4">
      <c r="A40" s="406" t="s">
        <v>627</v>
      </c>
      <c r="B40" s="373">
        <v>922061</v>
      </c>
      <c r="C40" s="374" t="s">
        <v>65</v>
      </c>
      <c r="D40" s="370">
        <v>0</v>
      </c>
      <c r="E40" s="370">
        <v>0</v>
      </c>
      <c r="F40" s="370">
        <v>0</v>
      </c>
      <c r="G40" s="370">
        <v>0</v>
      </c>
      <c r="H40" s="370">
        <v>1</v>
      </c>
      <c r="I40" s="370">
        <v>1</v>
      </c>
      <c r="J40" s="370">
        <v>2</v>
      </c>
      <c r="K40" s="371" t="s">
        <v>628</v>
      </c>
    </row>
    <row r="41" spans="1:11" ht="40" thickTop="1" thickBot="1" x14ac:dyDescent="0.4">
      <c r="A41" s="406" t="s">
        <v>629</v>
      </c>
      <c r="B41" s="373">
        <v>80958</v>
      </c>
      <c r="C41" s="374" t="s">
        <v>630</v>
      </c>
      <c r="D41" s="370">
        <v>0</v>
      </c>
      <c r="E41" s="370"/>
      <c r="F41" s="370"/>
      <c r="G41" s="370"/>
      <c r="H41" s="370">
        <v>1</v>
      </c>
      <c r="I41" s="370">
        <v>2</v>
      </c>
      <c r="J41" s="370">
        <v>3</v>
      </c>
      <c r="K41" s="371" t="s">
        <v>631</v>
      </c>
    </row>
    <row r="42" spans="1:11" ht="13.5" thickTop="1" x14ac:dyDescent="0.35"/>
    <row r="43" spans="1:11" x14ac:dyDescent="0.35">
      <c r="B43" s="758"/>
    </row>
    <row r="44" spans="1:11" x14ac:dyDescent="0.35">
      <c r="A44" s="368"/>
    </row>
  </sheetData>
  <mergeCells count="46">
    <mergeCell ref="G34:G35"/>
    <mergeCell ref="A31:K31"/>
    <mergeCell ref="A15:A16"/>
    <mergeCell ref="B15:B16"/>
    <mergeCell ref="C15:D15"/>
    <mergeCell ref="E15:F15"/>
    <mergeCell ref="A29:K29"/>
    <mergeCell ref="I24:J24"/>
    <mergeCell ref="I25:J25"/>
    <mergeCell ref="I27:J27"/>
    <mergeCell ref="A23:K23"/>
    <mergeCell ref="A26:K26"/>
    <mergeCell ref="I22:J22"/>
    <mergeCell ref="I21:J21"/>
    <mergeCell ref="A10:K10"/>
    <mergeCell ref="I8:K9"/>
    <mergeCell ref="A37:K37"/>
    <mergeCell ref="A8:A9"/>
    <mergeCell ref="B8:B9"/>
    <mergeCell ref="C8:D8"/>
    <mergeCell ref="E8:F8"/>
    <mergeCell ref="H34:H35"/>
    <mergeCell ref="I34:I35"/>
    <mergeCell ref="J34:J35"/>
    <mergeCell ref="A34:A35"/>
    <mergeCell ref="B34:B35"/>
    <mergeCell ref="C34:C35"/>
    <mergeCell ref="D34:D35"/>
    <mergeCell ref="E34:E35"/>
    <mergeCell ref="F34:F35"/>
    <mergeCell ref="A3:K3"/>
    <mergeCell ref="A1:K1"/>
    <mergeCell ref="I18:J18"/>
    <mergeCell ref="I19:J19"/>
    <mergeCell ref="I20:J20"/>
    <mergeCell ref="G15:H16"/>
    <mergeCell ref="I15:K16"/>
    <mergeCell ref="B5:K5"/>
    <mergeCell ref="A7:K7"/>
    <mergeCell ref="A14:K14"/>
    <mergeCell ref="A17:K17"/>
    <mergeCell ref="G12:H12"/>
    <mergeCell ref="G8:H9"/>
    <mergeCell ref="G11:H11"/>
    <mergeCell ref="I11:K11"/>
    <mergeCell ref="I12:K12"/>
  </mergeCells>
  <hyperlinks>
    <hyperlink ref="B38" location="_ftn1" display="_ftn1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6"/>
  <sheetViews>
    <sheetView showGridLines="0" topLeftCell="A13" zoomScale="60" zoomScaleNormal="60" workbookViewId="0">
      <selection activeCell="L16" sqref="L16"/>
    </sheetView>
  </sheetViews>
  <sheetFormatPr defaultColWidth="11.453125" defaultRowHeight="17.25" customHeight="1" x14ac:dyDescent="0.3"/>
  <cols>
    <col min="1" max="1" width="3.453125" style="385" customWidth="1"/>
    <col min="2" max="2" width="81.54296875" style="386" customWidth="1"/>
    <col min="3" max="3" width="27.36328125" style="387" bestFit="1" customWidth="1"/>
    <col min="4" max="4" width="9.90625" style="381" bestFit="1" customWidth="1"/>
    <col min="5" max="5" width="11.08984375" style="369" bestFit="1" customWidth="1"/>
    <col min="6" max="12" width="20" style="369" customWidth="1"/>
    <col min="13" max="16384" width="11.453125" style="369"/>
  </cols>
  <sheetData>
    <row r="1" spans="1:11" ht="34.75" customHeight="1" x14ac:dyDescent="0.35">
      <c r="A1" s="380"/>
      <c r="B1" s="687" t="s">
        <v>661</v>
      </c>
      <c r="C1" s="688"/>
      <c r="D1" s="688"/>
      <c r="E1" s="688"/>
      <c r="F1" s="688"/>
      <c r="G1" s="688"/>
      <c r="H1" s="688"/>
      <c r="I1" s="688"/>
      <c r="J1" s="688"/>
      <c r="K1" s="688"/>
    </row>
    <row r="2" spans="1:11" s="409" customFormat="1" ht="34.75" customHeight="1" x14ac:dyDescent="0.35">
      <c r="A2" s="410"/>
      <c r="B2" s="420"/>
      <c r="C2" s="421"/>
      <c r="D2" s="421"/>
      <c r="E2" s="421"/>
      <c r="F2" s="656"/>
      <c r="G2" s="656"/>
      <c r="H2" s="656"/>
      <c r="I2" s="656"/>
      <c r="J2" s="656"/>
      <c r="K2" s="656"/>
    </row>
    <row r="3" spans="1:11" s="409" customFormat="1" ht="20.399999999999999" customHeight="1" x14ac:dyDescent="0.3">
      <c r="A3" s="410"/>
      <c r="B3" s="412"/>
      <c r="C3" s="395"/>
      <c r="D3" s="411"/>
      <c r="F3" s="421"/>
      <c r="G3" s="421"/>
      <c r="H3" s="421"/>
      <c r="I3" s="421"/>
      <c r="J3" s="421"/>
      <c r="K3" s="421"/>
    </row>
    <row r="4" spans="1:11" ht="24.65" customHeight="1" thickBot="1" x14ac:dyDescent="0.4">
      <c r="A4" s="413"/>
      <c r="B4" s="689" t="s">
        <v>660</v>
      </c>
      <c r="C4" s="690"/>
      <c r="D4" s="690"/>
      <c r="F4" s="686" t="s">
        <v>866</v>
      </c>
      <c r="G4" s="686"/>
      <c r="H4" s="686"/>
      <c r="I4" s="686"/>
      <c r="J4" s="686"/>
      <c r="K4" s="686"/>
    </row>
    <row r="5" spans="1:11" ht="28.25" customHeight="1" thickTop="1" thickBot="1" x14ac:dyDescent="0.4">
      <c r="A5" s="416"/>
      <c r="B5" s="691" t="s">
        <v>865</v>
      </c>
      <c r="C5" s="691"/>
      <c r="D5" s="691"/>
      <c r="F5" s="415" t="s">
        <v>204</v>
      </c>
      <c r="G5" s="415" t="s">
        <v>205</v>
      </c>
      <c r="H5" s="415" t="s">
        <v>206</v>
      </c>
      <c r="I5" s="415" t="s">
        <v>207</v>
      </c>
      <c r="J5" s="415" t="s">
        <v>208</v>
      </c>
      <c r="K5" s="415" t="s">
        <v>214</v>
      </c>
    </row>
    <row r="6" spans="1:11" ht="31.25" customHeight="1" thickTop="1" thickBot="1" x14ac:dyDescent="0.4">
      <c r="A6" s="416"/>
      <c r="B6" s="417" t="str">
        <f>'CC detallado'!F16</f>
        <v>Componente 1 - Diseño e implementación del Sistema del Censo Agropecuario</v>
      </c>
      <c r="C6" s="606">
        <f>'CC detallado'!N16/1000000</f>
        <v>10.319559142013834</v>
      </c>
      <c r="D6" s="609">
        <f>C6/$C$10</f>
        <v>0.68797062388685271</v>
      </c>
      <c r="F6" s="608">
        <f>PEP!BQ19/1000000</f>
        <v>0.6459727044323843</v>
      </c>
      <c r="G6" s="608">
        <f>PEP!BR19/1000000</f>
        <v>8.9253851053234055</v>
      </c>
      <c r="H6" s="608">
        <f>PEP!BS19/1000000</f>
        <v>0.59496477720934338</v>
      </c>
      <c r="I6" s="608">
        <f>PEP!BT19/1000000</f>
        <v>0.10850725837134778</v>
      </c>
      <c r="J6" s="608">
        <f>PEP!BU19/1000000</f>
        <v>4.472929667734863E-2</v>
      </c>
      <c r="K6" s="608">
        <f t="shared" ref="K6:K9" si="0">SUM(F6:J6)</f>
        <v>10.319559142013828</v>
      </c>
    </row>
    <row r="7" spans="1:11" ht="38.4" customHeight="1" thickTop="1" thickBot="1" x14ac:dyDescent="0.4">
      <c r="A7" s="416"/>
      <c r="B7" s="417" t="str">
        <f>'CC detallado'!F80</f>
        <v>Componente 2 - Fortalecimiento Institucional de las entidades del sistema de estadísticas agropecuarias</v>
      </c>
      <c r="C7" s="606">
        <f>'CC detallado'!N80/1000000</f>
        <v>3.6694201354359937</v>
      </c>
      <c r="D7" s="610">
        <f>C7/$C$10</f>
        <v>0.2446280141562559</v>
      </c>
      <c r="F7" s="608">
        <f>PEP!BQ83/1000000</f>
        <v>0.8707257541912633</v>
      </c>
      <c r="G7" s="608">
        <f>PEP!BR83/1000000</f>
        <v>1.7653160712430429</v>
      </c>
      <c r="H7" s="608">
        <f>PEP!BS83/1000000</f>
        <v>0.13223140495867769</v>
      </c>
      <c r="I7" s="608">
        <f>PEP!BT83/1000000</f>
        <v>0.46153651543261937</v>
      </c>
      <c r="J7" s="608">
        <f>PEP!BU83/1000000</f>
        <v>0.43961038961038967</v>
      </c>
      <c r="K7" s="608">
        <f t="shared" si="0"/>
        <v>3.6694201354359932</v>
      </c>
    </row>
    <row r="8" spans="1:11" ht="32.25" customHeight="1" thickTop="1" thickBot="1" x14ac:dyDescent="0.4">
      <c r="A8" s="416"/>
      <c r="B8" s="417" t="str">
        <f>'CC detallado'!F160</f>
        <v>Administración, Auditoría y Evaluación</v>
      </c>
      <c r="C8" s="606">
        <f>'CC detallado'!N160/1000000</f>
        <v>0.71102040816326528</v>
      </c>
      <c r="D8" s="611">
        <f>C8/$C$10</f>
        <v>4.7401361537708853E-2</v>
      </c>
      <c r="F8" s="608">
        <f>PEP!BQ118/1000000</f>
        <v>4.2502951593860687E-2</v>
      </c>
      <c r="G8" s="608">
        <f>PEP!BR118/1000000</f>
        <v>0.21663754427390791</v>
      </c>
      <c r="H8" s="608">
        <f>PEP!BS118/1000000</f>
        <v>0.17350885478158204</v>
      </c>
      <c r="I8" s="608">
        <f>PEP!BT118/1000000</f>
        <v>0.14350885478158204</v>
      </c>
      <c r="J8" s="608">
        <f>PEP!BU118/1000000</f>
        <v>0.1348622027323326</v>
      </c>
      <c r="K8" s="608">
        <f t="shared" si="0"/>
        <v>0.71102040816326528</v>
      </c>
    </row>
    <row r="9" spans="1:11" ht="32.25" customHeight="1" thickTop="1" thickBot="1" x14ac:dyDescent="0.4">
      <c r="A9" s="416"/>
      <c r="B9" s="417" t="s">
        <v>419</v>
      </c>
      <c r="C9" s="606">
        <f>PEP!E130/1000000</f>
        <v>0.3</v>
      </c>
      <c r="D9" s="612">
        <f>C9/$C$10</f>
        <v>2.000000041918255E-2</v>
      </c>
      <c r="F9" s="608">
        <f>PEP!BQ130/1000000</f>
        <v>0</v>
      </c>
      <c r="G9" s="608">
        <f>PEP!BR130/1000000</f>
        <v>0.21</v>
      </c>
      <c r="H9" s="608">
        <f>PEP!BS130/1000000</f>
        <v>0</v>
      </c>
      <c r="I9" s="608">
        <f>PEP!BT130/1000000</f>
        <v>0.09</v>
      </c>
      <c r="J9" s="608">
        <f>PEP!BU130/1000000</f>
        <v>0</v>
      </c>
      <c r="K9" s="608">
        <f t="shared" si="0"/>
        <v>0.3</v>
      </c>
    </row>
    <row r="10" spans="1:11" ht="32.4" customHeight="1" collapsed="1" thickTop="1" thickBot="1" x14ac:dyDescent="0.4">
      <c r="A10" s="416"/>
      <c r="B10" s="414" t="s">
        <v>69</v>
      </c>
      <c r="C10" s="607">
        <f>SUM(C6:C9)</f>
        <v>14.999999685613092</v>
      </c>
      <c r="D10" s="613">
        <f>C10/$C$10</f>
        <v>1</v>
      </c>
      <c r="F10" s="607">
        <f>F6+F7+F8+F9</f>
        <v>1.5592014102175082</v>
      </c>
      <c r="G10" s="607">
        <f t="shared" ref="G10:K10" si="1">G6+G7+G8+G9</f>
        <v>11.117338720840358</v>
      </c>
      <c r="H10" s="607">
        <f t="shared" si="1"/>
        <v>0.90070503694960313</v>
      </c>
      <c r="I10" s="607">
        <f t="shared" si="1"/>
        <v>0.80355262858554921</v>
      </c>
      <c r="J10" s="607">
        <f t="shared" si="1"/>
        <v>0.61920188902007089</v>
      </c>
      <c r="K10" s="607">
        <f t="shared" si="1"/>
        <v>14.999999685613087</v>
      </c>
    </row>
    <row r="11" spans="1:11" ht="17.25" customHeight="1" thickTop="1" thickBot="1" x14ac:dyDescent="0.4">
      <c r="A11" s="396"/>
      <c r="B11" s="397"/>
      <c r="D11" s="387"/>
      <c r="E11" s="388" t="s">
        <v>215</v>
      </c>
      <c r="F11" s="418">
        <f>F10/$K$10</f>
        <v>0.10394676285980067</v>
      </c>
      <c r="G11" s="418">
        <f>(F10+G10)/K10</f>
        <v>0.8451026931164729</v>
      </c>
      <c r="H11" s="418">
        <f>(F10+G10+H10)/K10</f>
        <v>0.90514969683831248</v>
      </c>
      <c r="I11" s="418">
        <f>(F10+G10+H10+I10)/K10</f>
        <v>0.9587198732001333</v>
      </c>
      <c r="J11" s="418">
        <f>(F10+G10+H10+I10+J10)/K10</f>
        <v>1.0000000000000002</v>
      </c>
      <c r="K11" s="418">
        <f>K10/$K$10</f>
        <v>1</v>
      </c>
    </row>
    <row r="12" spans="1:11" ht="17.25" customHeight="1" thickTop="1" thickBot="1" x14ac:dyDescent="0.4">
      <c r="A12" s="396"/>
      <c r="B12" s="397"/>
      <c r="D12" s="384"/>
      <c r="E12" s="389" t="s">
        <v>216</v>
      </c>
      <c r="F12" s="419">
        <f>F10/$K$10</f>
        <v>0.10394676285980067</v>
      </c>
      <c r="G12" s="419">
        <f>G10/$K$10</f>
        <v>0.74115593025667226</v>
      </c>
      <c r="H12" s="419">
        <f>H10/$K$10</f>
        <v>6.0047003721839687E-2</v>
      </c>
      <c r="I12" s="419">
        <f>I10/$K$10</f>
        <v>5.3570176361820772E-2</v>
      </c>
      <c r="J12" s="419">
        <f>J10/$K$10</f>
        <v>4.1280126799866833E-2</v>
      </c>
      <c r="K12" s="419">
        <f>K11/$K$10</f>
        <v>6.6666668063941864E-2</v>
      </c>
    </row>
    <row r="13" spans="1:11" ht="17.25" customHeight="1" thickTop="1" x14ac:dyDescent="0.3"/>
    <row r="14" spans="1:11" ht="37.5" customHeight="1" x14ac:dyDescent="0.3">
      <c r="B14" s="390"/>
      <c r="C14" s="391"/>
      <c r="D14" s="392"/>
    </row>
    <row r="15" spans="1:11" ht="37.5" customHeight="1" x14ac:dyDescent="0.35">
      <c r="B15" s="393"/>
      <c r="C15" s="391"/>
      <c r="D15" s="394"/>
    </row>
    <row r="16" spans="1:11" ht="37.5" customHeight="1" x14ac:dyDescent="0.35">
      <c r="B16" s="393"/>
      <c r="C16" s="391"/>
      <c r="D16" s="394"/>
    </row>
    <row r="17" spans="2:5" ht="37.5" customHeight="1" x14ac:dyDescent="0.35">
      <c r="B17" s="393"/>
      <c r="C17" s="391"/>
      <c r="D17" s="394"/>
    </row>
    <row r="18" spans="2:5" ht="37.5" customHeight="1" x14ac:dyDescent="0.35">
      <c r="B18" s="393"/>
      <c r="C18" s="391"/>
      <c r="D18" s="394"/>
    </row>
    <row r="19" spans="2:5" ht="37.5" customHeight="1" x14ac:dyDescent="0.35">
      <c r="B19" s="393"/>
      <c r="C19" s="391"/>
      <c r="D19" s="394"/>
    </row>
    <row r="20" spans="2:5" ht="37.5" customHeight="1" x14ac:dyDescent="0.35">
      <c r="B20" s="390"/>
      <c r="C20" s="395"/>
      <c r="D20" s="394"/>
    </row>
    <row r="21" spans="2:5" ht="17.25" customHeight="1" x14ac:dyDescent="0.3">
      <c r="E21" s="379">
        <f>C14-C20</f>
        <v>0</v>
      </c>
    </row>
    <row r="32" spans="2:5" ht="36.9" customHeight="1" x14ac:dyDescent="0.3"/>
    <row r="33" ht="36.9" customHeight="1" x14ac:dyDescent="0.3"/>
    <row r="34" ht="36.9" customHeight="1" x14ac:dyDescent="0.3"/>
    <row r="35" ht="36.9" customHeight="1" x14ac:dyDescent="0.3"/>
    <row r="36" ht="36.9" customHeight="1" x14ac:dyDescent="0.3"/>
  </sheetData>
  <mergeCells count="4">
    <mergeCell ref="F4:K4"/>
    <mergeCell ref="B1:K1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5" scale="9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B176"/>
  <sheetViews>
    <sheetView showGridLines="0" zoomScale="80" zoomScaleNormal="80" workbookViewId="0">
      <pane xSplit="6" ySplit="4" topLeftCell="G158" activePane="bottomRight" state="frozen"/>
      <selection pane="topRight" activeCell="G1" sqref="G1"/>
      <selection pane="bottomLeft" activeCell="A5" sqref="A5"/>
      <selection pane="bottomRight" activeCell="N17" sqref="N17"/>
    </sheetView>
  </sheetViews>
  <sheetFormatPr defaultColWidth="11.453125" defaultRowHeight="12.65" customHeight="1" outlineLevelRow="1" outlineLevelCol="1" x14ac:dyDescent="0.35"/>
  <cols>
    <col min="1" max="1" width="7.54296875" style="405" customWidth="1"/>
    <col min="2" max="3" width="10" style="118" customWidth="1"/>
    <col min="4" max="4" width="8.54296875" style="119" customWidth="1"/>
    <col min="5" max="5" width="10.6328125" style="119" customWidth="1"/>
    <col min="6" max="6" width="60.08984375" style="117" customWidth="1"/>
    <col min="7" max="7" width="10.54296875" style="120" hidden="1" customWidth="1" outlineLevel="1"/>
    <col min="8" max="8" width="14.90625" style="120" hidden="1" customWidth="1" outlineLevel="1"/>
    <col min="9" max="9" width="11.6328125" style="120" hidden="1" customWidth="1" outlineLevel="1"/>
    <col min="10" max="10" width="12.08984375" style="120" hidden="1" customWidth="1" outlineLevel="1"/>
    <col min="11" max="11" width="21" style="121" hidden="1" customWidth="1" outlineLevel="1"/>
    <col min="12" max="12" width="15.36328125" style="121" hidden="1" customWidth="1" outlineLevel="1"/>
    <col min="13" max="13" width="18.36328125" style="121" bestFit="1" customWidth="1" collapsed="1"/>
    <col min="14" max="14" width="17.08984375" style="121" bestFit="1" customWidth="1"/>
    <col min="15" max="15" width="9.08984375" style="87" customWidth="1"/>
    <col min="16" max="16" width="2.90625" style="88" customWidth="1"/>
    <col min="17" max="17" width="16.6328125" style="88" customWidth="1"/>
    <col min="18" max="54" width="11.453125" style="88"/>
    <col min="55" max="16384" width="11.453125" style="89"/>
  </cols>
  <sheetData>
    <row r="1" spans="1:54" s="369" customFormat="1" ht="19.25" customHeight="1" x14ac:dyDescent="0.35">
      <c r="A1" s="692" t="s">
        <v>661</v>
      </c>
      <c r="B1" s="693"/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</row>
    <row r="2" spans="1:54" s="409" customFormat="1" ht="19.25" customHeight="1" x14ac:dyDescent="0.35">
      <c r="A2" s="425"/>
      <c r="B2" s="426"/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</row>
    <row r="3" spans="1:54" ht="12.65" customHeight="1" x14ac:dyDescent="0.35">
      <c r="A3" s="694" t="s">
        <v>548</v>
      </c>
      <c r="B3" s="695"/>
      <c r="C3" s="695"/>
      <c r="D3" s="695"/>
      <c r="E3" s="695"/>
      <c r="F3" s="695"/>
      <c r="G3" s="695"/>
      <c r="H3" s="695"/>
      <c r="I3" s="695"/>
      <c r="J3" s="695"/>
      <c r="K3" s="695"/>
      <c r="L3" s="696"/>
      <c r="M3" s="430" t="s">
        <v>64</v>
      </c>
      <c r="N3" s="430">
        <v>5929</v>
      </c>
    </row>
    <row r="4" spans="1:54" s="124" customFormat="1" ht="12.65" customHeight="1" x14ac:dyDescent="0.35">
      <c r="A4" s="126" t="s">
        <v>90</v>
      </c>
      <c r="B4" s="126" t="s">
        <v>861</v>
      </c>
      <c r="C4" s="126" t="s">
        <v>454</v>
      </c>
      <c r="D4" s="126" t="s">
        <v>385</v>
      </c>
      <c r="E4" s="126" t="s">
        <v>388</v>
      </c>
      <c r="F4" s="225" t="s">
        <v>0</v>
      </c>
      <c r="G4" s="126" t="s">
        <v>1</v>
      </c>
      <c r="H4" s="126" t="s">
        <v>222</v>
      </c>
      <c r="I4" s="127" t="s">
        <v>1</v>
      </c>
      <c r="J4" s="127" t="s">
        <v>218</v>
      </c>
      <c r="K4" s="128" t="s">
        <v>2</v>
      </c>
      <c r="L4" s="129" t="s">
        <v>5</v>
      </c>
      <c r="M4" s="130" t="s">
        <v>3</v>
      </c>
      <c r="N4" s="130" t="s">
        <v>278</v>
      </c>
      <c r="O4" s="122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</row>
    <row r="5" spans="1:54" s="124" customFormat="1" ht="12.65" customHeight="1" x14ac:dyDescent="0.35">
      <c r="A5" s="399"/>
      <c r="B5" s="81"/>
      <c r="C5" s="81"/>
      <c r="D5" s="82"/>
      <c r="E5" s="82"/>
      <c r="F5" s="80" t="s">
        <v>459</v>
      </c>
      <c r="G5" s="83"/>
      <c r="H5" s="83"/>
      <c r="I5" s="83"/>
      <c r="J5" s="83"/>
      <c r="K5" s="84">
        <v>0</v>
      </c>
      <c r="L5" s="84"/>
      <c r="M5" s="84">
        <v>0</v>
      </c>
      <c r="N5" s="85">
        <v>0</v>
      </c>
      <c r="O5" s="122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</row>
    <row r="6" spans="1:54" ht="12.65" customHeight="1" outlineLevel="1" x14ac:dyDescent="0.35">
      <c r="A6" s="400"/>
      <c r="B6" s="91"/>
      <c r="C6" s="91"/>
      <c r="D6" s="92"/>
      <c r="E6" s="92"/>
      <c r="F6" s="90" t="s">
        <v>97</v>
      </c>
      <c r="G6" s="93" t="s">
        <v>4</v>
      </c>
      <c r="H6" s="93"/>
      <c r="I6" s="93">
        <v>3</v>
      </c>
      <c r="J6" s="93" t="s">
        <v>219</v>
      </c>
      <c r="K6" s="86">
        <v>0</v>
      </c>
      <c r="L6" s="86"/>
      <c r="M6" s="86">
        <v>0</v>
      </c>
      <c r="N6" s="86">
        <v>0</v>
      </c>
    </row>
    <row r="7" spans="1:54" ht="12.65" customHeight="1" outlineLevel="1" x14ac:dyDescent="0.35">
      <c r="A7" s="400"/>
      <c r="B7" s="91"/>
      <c r="C7" s="91"/>
      <c r="D7" s="92"/>
      <c r="E7" s="92"/>
      <c r="F7" s="90" t="s">
        <v>98</v>
      </c>
      <c r="G7" s="93" t="s">
        <v>4</v>
      </c>
      <c r="H7" s="93"/>
      <c r="I7" s="93">
        <v>2</v>
      </c>
      <c r="J7" s="93" t="s">
        <v>219</v>
      </c>
      <c r="K7" s="86">
        <v>0</v>
      </c>
      <c r="L7" s="86"/>
      <c r="M7" s="86">
        <v>0</v>
      </c>
      <c r="N7" s="86">
        <v>0</v>
      </c>
    </row>
    <row r="8" spans="1:54" ht="12.65" customHeight="1" outlineLevel="1" x14ac:dyDescent="0.35">
      <c r="A8" s="400"/>
      <c r="B8" s="91"/>
      <c r="C8" s="91"/>
      <c r="D8" s="92"/>
      <c r="E8" s="92"/>
      <c r="F8" s="90" t="s">
        <v>99</v>
      </c>
      <c r="G8" s="93" t="s">
        <v>4</v>
      </c>
      <c r="H8" s="93"/>
      <c r="I8" s="93">
        <v>2</v>
      </c>
      <c r="J8" s="93" t="s">
        <v>219</v>
      </c>
      <c r="K8" s="86">
        <v>0</v>
      </c>
      <c r="L8" s="86"/>
      <c r="M8" s="86">
        <v>0</v>
      </c>
      <c r="N8" s="86">
        <v>0</v>
      </c>
    </row>
    <row r="9" spans="1:54" ht="12.65" customHeight="1" outlineLevel="1" x14ac:dyDescent="0.35">
      <c r="A9" s="400"/>
      <c r="B9" s="91"/>
      <c r="C9" s="91"/>
      <c r="D9" s="92"/>
      <c r="E9" s="92"/>
      <c r="F9" s="90" t="s">
        <v>100</v>
      </c>
      <c r="G9" s="93" t="s">
        <v>4</v>
      </c>
      <c r="H9" s="93"/>
      <c r="I9" s="93">
        <v>2</v>
      </c>
      <c r="J9" s="93" t="s">
        <v>219</v>
      </c>
      <c r="K9" s="86">
        <v>0</v>
      </c>
      <c r="L9" s="86"/>
      <c r="M9" s="86">
        <v>0</v>
      </c>
      <c r="N9" s="86">
        <v>0</v>
      </c>
    </row>
    <row r="10" spans="1:54" ht="12.65" customHeight="1" outlineLevel="1" x14ac:dyDescent="0.35">
      <c r="A10" s="400"/>
      <c r="B10" s="91"/>
      <c r="C10" s="91"/>
      <c r="D10" s="92"/>
      <c r="E10" s="92"/>
      <c r="F10" s="90" t="s">
        <v>101</v>
      </c>
      <c r="G10" s="93" t="s">
        <v>4</v>
      </c>
      <c r="H10" s="93"/>
      <c r="I10" s="93">
        <v>5</v>
      </c>
      <c r="J10" s="93" t="s">
        <v>219</v>
      </c>
      <c r="K10" s="86">
        <v>0</v>
      </c>
      <c r="L10" s="86"/>
      <c r="M10" s="86">
        <v>0</v>
      </c>
      <c r="N10" s="86">
        <v>0</v>
      </c>
    </row>
    <row r="11" spans="1:54" ht="12.65" customHeight="1" outlineLevel="1" x14ac:dyDescent="0.35">
      <c r="A11" s="400"/>
      <c r="B11" s="91"/>
      <c r="C11" s="91"/>
      <c r="D11" s="92"/>
      <c r="E11" s="92"/>
      <c r="F11" s="90" t="s">
        <v>102</v>
      </c>
      <c r="G11" s="93" t="s">
        <v>4</v>
      </c>
      <c r="H11" s="93"/>
      <c r="I11" s="93">
        <v>9</v>
      </c>
      <c r="J11" s="93" t="s">
        <v>219</v>
      </c>
      <c r="K11" s="86">
        <v>0</v>
      </c>
      <c r="L11" s="86"/>
      <c r="M11" s="86">
        <v>0</v>
      </c>
      <c r="N11" s="86">
        <v>0</v>
      </c>
    </row>
    <row r="12" spans="1:54" ht="12.65" customHeight="1" outlineLevel="1" x14ac:dyDescent="0.35">
      <c r="A12" s="400"/>
      <c r="B12" s="91"/>
      <c r="C12" s="91"/>
      <c r="D12" s="92"/>
      <c r="E12" s="92"/>
      <c r="F12" s="90" t="s">
        <v>103</v>
      </c>
      <c r="G12" s="93" t="s">
        <v>4</v>
      </c>
      <c r="H12" s="93"/>
      <c r="I12" s="93">
        <v>8</v>
      </c>
      <c r="J12" s="93" t="s">
        <v>219</v>
      </c>
      <c r="K12" s="86">
        <v>0</v>
      </c>
      <c r="L12" s="86"/>
      <c r="M12" s="86">
        <v>0</v>
      </c>
      <c r="N12" s="86">
        <v>0</v>
      </c>
    </row>
    <row r="13" spans="1:54" ht="12.65" customHeight="1" outlineLevel="1" x14ac:dyDescent="0.35">
      <c r="A13" s="400"/>
      <c r="B13" s="91"/>
      <c r="C13" s="91"/>
      <c r="D13" s="92"/>
      <c r="E13" s="92"/>
      <c r="F13" s="90" t="s">
        <v>104</v>
      </c>
      <c r="G13" s="93" t="s">
        <v>4</v>
      </c>
      <c r="H13" s="93"/>
      <c r="I13" s="93">
        <v>3</v>
      </c>
      <c r="J13" s="93" t="s">
        <v>219</v>
      </c>
      <c r="K13" s="86">
        <v>0</v>
      </c>
      <c r="L13" s="86"/>
      <c r="M13" s="86">
        <v>0</v>
      </c>
      <c r="N13" s="86">
        <v>0</v>
      </c>
    </row>
    <row r="14" spans="1:54" ht="12.65" customHeight="1" outlineLevel="1" x14ac:dyDescent="0.35">
      <c r="A14" s="400"/>
      <c r="B14" s="91"/>
      <c r="C14" s="91"/>
      <c r="D14" s="92"/>
      <c r="E14" s="92"/>
      <c r="F14" s="90" t="s">
        <v>105</v>
      </c>
      <c r="G14" s="93" t="s">
        <v>4</v>
      </c>
      <c r="H14" s="93"/>
      <c r="I14" s="93">
        <v>3</v>
      </c>
      <c r="J14" s="93" t="s">
        <v>219</v>
      </c>
      <c r="K14" s="86">
        <v>0</v>
      </c>
      <c r="L14" s="86"/>
      <c r="M14" s="86">
        <v>0</v>
      </c>
      <c r="N14" s="86">
        <v>0</v>
      </c>
    </row>
    <row r="15" spans="1:54" ht="12.65" customHeight="1" outlineLevel="1" x14ac:dyDescent="0.35">
      <c r="A15" s="400"/>
      <c r="B15" s="91"/>
      <c r="C15" s="91"/>
      <c r="D15" s="92"/>
      <c r="E15" s="92"/>
      <c r="F15" s="90" t="s">
        <v>106</v>
      </c>
      <c r="G15" s="93" t="s">
        <v>4</v>
      </c>
      <c r="H15" s="93"/>
      <c r="I15" s="93">
        <v>3</v>
      </c>
      <c r="J15" s="93" t="s">
        <v>219</v>
      </c>
      <c r="K15" s="86">
        <v>0</v>
      </c>
      <c r="L15" s="86"/>
      <c r="M15" s="86">
        <v>0</v>
      </c>
      <c r="N15" s="86">
        <v>0</v>
      </c>
    </row>
    <row r="16" spans="1:54" s="124" customFormat="1" ht="12.65" customHeight="1" x14ac:dyDescent="0.35">
      <c r="A16" s="399">
        <v>1</v>
      </c>
      <c r="B16" s="82"/>
      <c r="C16" s="82"/>
      <c r="D16" s="82"/>
      <c r="E16" s="82"/>
      <c r="F16" s="80" t="s">
        <v>446</v>
      </c>
      <c r="G16" s="83"/>
      <c r="H16" s="83"/>
      <c r="I16" s="83"/>
      <c r="J16" s="83"/>
      <c r="K16" s="84"/>
      <c r="L16" s="84"/>
      <c r="M16" s="85">
        <f>M17+M26+M70+M74</f>
        <v>56637666153</v>
      </c>
      <c r="N16" s="85">
        <f>N17+N26+N70+N74</f>
        <v>10319559.142013833</v>
      </c>
      <c r="O16" s="122">
        <f>N16/$N$173</f>
        <v>0.68797062388685271</v>
      </c>
      <c r="P16" s="123"/>
      <c r="Q16" s="125"/>
      <c r="R16" s="125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</row>
    <row r="17" spans="1:54" s="100" customFormat="1" ht="12.65" customHeight="1" x14ac:dyDescent="0.35">
      <c r="A17" s="401" t="s">
        <v>649</v>
      </c>
      <c r="B17" s="96" t="s">
        <v>392</v>
      </c>
      <c r="C17" s="96"/>
      <c r="D17" s="96"/>
      <c r="E17" s="96"/>
      <c r="F17" s="95" t="s">
        <v>563</v>
      </c>
      <c r="G17" s="97"/>
      <c r="H17" s="97"/>
      <c r="I17" s="97"/>
      <c r="J17" s="97"/>
      <c r="K17" s="98"/>
      <c r="L17" s="98"/>
      <c r="M17" s="98">
        <f>SUM(M18:M25)</f>
        <v>3539000000</v>
      </c>
      <c r="N17" s="98">
        <f>SUM(N18:N25)</f>
        <v>596896.60988362285</v>
      </c>
      <c r="O17" s="87"/>
      <c r="P17" s="99"/>
      <c r="Q17" s="94"/>
      <c r="R17" s="94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</row>
    <row r="18" spans="1:54" ht="12.65" customHeight="1" outlineLevel="1" x14ac:dyDescent="0.35">
      <c r="A18" s="400" t="s">
        <v>662</v>
      </c>
      <c r="B18" s="92" t="s">
        <v>392</v>
      </c>
      <c r="C18" s="92">
        <v>145</v>
      </c>
      <c r="D18" s="92" t="s">
        <v>387</v>
      </c>
      <c r="E18" s="92" t="s">
        <v>91</v>
      </c>
      <c r="F18" s="101" t="s">
        <v>149</v>
      </c>
      <c r="G18" s="93">
        <v>1</v>
      </c>
      <c r="H18" s="93" t="s">
        <v>225</v>
      </c>
      <c r="I18" s="93">
        <v>12</v>
      </c>
      <c r="J18" s="93" t="s">
        <v>219</v>
      </c>
      <c r="K18" s="86">
        <v>8000000</v>
      </c>
      <c r="L18" s="86"/>
      <c r="M18" s="86">
        <f>+G18*I18*K18</f>
        <v>96000000</v>
      </c>
      <c r="N18" s="86">
        <f t="shared" ref="N18:N21" si="0">+M18/$N$3</f>
        <v>16191.600607185022</v>
      </c>
      <c r="Q18" s="94"/>
      <c r="R18" s="94"/>
    </row>
    <row r="19" spans="1:54" ht="12.65" customHeight="1" outlineLevel="1" x14ac:dyDescent="0.35">
      <c r="A19" s="400" t="s">
        <v>664</v>
      </c>
      <c r="B19" s="92" t="s">
        <v>392</v>
      </c>
      <c r="C19" s="92">
        <v>145</v>
      </c>
      <c r="D19" s="92" t="s">
        <v>387</v>
      </c>
      <c r="E19" s="92" t="s">
        <v>91</v>
      </c>
      <c r="F19" s="101" t="s">
        <v>150</v>
      </c>
      <c r="G19" s="93">
        <v>2</v>
      </c>
      <c r="H19" s="93" t="s">
        <v>223</v>
      </c>
      <c r="I19" s="93">
        <v>12</v>
      </c>
      <c r="J19" s="93" t="s">
        <v>219</v>
      </c>
      <c r="K19" s="86">
        <v>5000000</v>
      </c>
      <c r="L19" s="86"/>
      <c r="M19" s="86">
        <f>+G19*I19*K19</f>
        <v>120000000</v>
      </c>
      <c r="N19" s="86">
        <f t="shared" si="0"/>
        <v>20239.500758981278</v>
      </c>
      <c r="Q19" s="94"/>
      <c r="R19" s="94"/>
    </row>
    <row r="20" spans="1:54" s="88" customFormat="1" ht="12.65" customHeight="1" outlineLevel="1" x14ac:dyDescent="0.35">
      <c r="A20" s="400" t="s">
        <v>665</v>
      </c>
      <c r="B20" s="103" t="s">
        <v>392</v>
      </c>
      <c r="C20" s="103">
        <v>145</v>
      </c>
      <c r="D20" s="92" t="s">
        <v>387</v>
      </c>
      <c r="E20" s="103" t="s">
        <v>91</v>
      </c>
      <c r="F20" s="101" t="s">
        <v>152</v>
      </c>
      <c r="G20" s="104">
        <v>2</v>
      </c>
      <c r="H20" s="104" t="s">
        <v>223</v>
      </c>
      <c r="I20" s="104">
        <v>12</v>
      </c>
      <c r="J20" s="104" t="s">
        <v>219</v>
      </c>
      <c r="K20" s="105">
        <v>5000000</v>
      </c>
      <c r="L20" s="105"/>
      <c r="M20" s="105">
        <f>+G20*I20*K20</f>
        <v>120000000</v>
      </c>
      <c r="N20" s="105">
        <f t="shared" si="0"/>
        <v>20239.500758981278</v>
      </c>
      <c r="O20" s="87"/>
      <c r="Q20" s="94"/>
      <c r="R20" s="94"/>
    </row>
    <row r="21" spans="1:54" s="88" customFormat="1" ht="12.65" customHeight="1" outlineLevel="1" x14ac:dyDescent="0.35">
      <c r="A21" s="400" t="s">
        <v>666</v>
      </c>
      <c r="B21" s="103" t="s">
        <v>392</v>
      </c>
      <c r="C21" s="103">
        <v>145</v>
      </c>
      <c r="D21" s="92" t="s">
        <v>387</v>
      </c>
      <c r="E21" s="103" t="s">
        <v>91</v>
      </c>
      <c r="F21" s="101" t="s">
        <v>153</v>
      </c>
      <c r="G21" s="104">
        <v>6</v>
      </c>
      <c r="H21" s="104" t="s">
        <v>223</v>
      </c>
      <c r="I21" s="104">
        <v>12</v>
      </c>
      <c r="J21" s="104" t="s">
        <v>219</v>
      </c>
      <c r="K21" s="105">
        <f>32000000/8</f>
        <v>4000000</v>
      </c>
      <c r="L21" s="105"/>
      <c r="M21" s="105">
        <f>+G21*I21*K21</f>
        <v>288000000</v>
      </c>
      <c r="N21" s="105">
        <f t="shared" si="0"/>
        <v>48574.801821555069</v>
      </c>
      <c r="O21" s="87"/>
      <c r="Q21" s="94"/>
      <c r="R21" s="94"/>
    </row>
    <row r="22" spans="1:54" ht="12.65" customHeight="1" outlineLevel="1" x14ac:dyDescent="0.35">
      <c r="A22" s="400" t="s">
        <v>667</v>
      </c>
      <c r="B22" s="92" t="s">
        <v>392</v>
      </c>
      <c r="C22" s="92">
        <v>230</v>
      </c>
      <c r="D22" s="92" t="s">
        <v>92</v>
      </c>
      <c r="E22" s="92" t="s">
        <v>92</v>
      </c>
      <c r="F22" s="101" t="s">
        <v>151</v>
      </c>
      <c r="G22" s="93">
        <v>10</v>
      </c>
      <c r="H22" s="93" t="s">
        <v>223</v>
      </c>
      <c r="I22" s="93">
        <f>20*12</f>
        <v>240</v>
      </c>
      <c r="J22" s="93" t="s">
        <v>145</v>
      </c>
      <c r="K22" s="86">
        <v>350000</v>
      </c>
      <c r="L22" s="86"/>
      <c r="M22" s="86">
        <f>G22*I22*K22</f>
        <v>840000000</v>
      </c>
      <c r="N22" s="86">
        <f>+M22/$N$3</f>
        <v>141676.50531286895</v>
      </c>
      <c r="Q22" s="94"/>
      <c r="R22" s="94"/>
    </row>
    <row r="23" spans="1:54" ht="12.65" customHeight="1" outlineLevel="1" x14ac:dyDescent="0.35">
      <c r="A23" s="400" t="s">
        <v>668</v>
      </c>
      <c r="B23" s="92" t="s">
        <v>392</v>
      </c>
      <c r="C23" s="92">
        <v>230</v>
      </c>
      <c r="D23" s="92" t="s">
        <v>92</v>
      </c>
      <c r="E23" s="92" t="s">
        <v>92</v>
      </c>
      <c r="F23" s="101" t="s">
        <v>272</v>
      </c>
      <c r="G23" s="104">
        <v>10</v>
      </c>
      <c r="H23" s="104" t="s">
        <v>223</v>
      </c>
      <c r="I23" s="104">
        <f>20*12</f>
        <v>240</v>
      </c>
      <c r="J23" s="104" t="s">
        <v>145</v>
      </c>
      <c r="K23" s="105">
        <v>350000</v>
      </c>
      <c r="L23" s="105"/>
      <c r="M23" s="105">
        <f>G23*I23*K23</f>
        <v>840000000</v>
      </c>
      <c r="N23" s="105">
        <f>+M23/$N$3</f>
        <v>141676.50531286895</v>
      </c>
      <c r="Q23" s="94"/>
      <c r="R23" s="94"/>
    </row>
    <row r="24" spans="1:54" ht="12.65" customHeight="1" outlineLevel="1" x14ac:dyDescent="0.35">
      <c r="A24" s="400" t="s">
        <v>669</v>
      </c>
      <c r="B24" s="92" t="s">
        <v>392</v>
      </c>
      <c r="C24" s="103">
        <v>360</v>
      </c>
      <c r="D24" s="92" t="s">
        <v>424</v>
      </c>
      <c r="E24" s="92" t="s">
        <v>286</v>
      </c>
      <c r="F24" s="101" t="s">
        <v>263</v>
      </c>
      <c r="G24" s="104">
        <v>130000</v>
      </c>
      <c r="H24" s="104" t="s">
        <v>224</v>
      </c>
      <c r="I24" s="104"/>
      <c r="J24" s="104"/>
      <c r="K24" s="105">
        <v>8000</v>
      </c>
      <c r="L24" s="105"/>
      <c r="M24" s="105">
        <f>+G24*K24</f>
        <v>1040000000</v>
      </c>
      <c r="N24" s="105">
        <f>+M24/$N$3</f>
        <v>175409.00657783775</v>
      </c>
      <c r="Q24" s="94"/>
      <c r="R24" s="94"/>
    </row>
    <row r="25" spans="1:54" ht="12.65" customHeight="1" outlineLevel="1" x14ac:dyDescent="0.35">
      <c r="A25" s="400" t="s">
        <v>670</v>
      </c>
      <c r="B25" s="92" t="s">
        <v>392</v>
      </c>
      <c r="C25" s="103">
        <v>240</v>
      </c>
      <c r="D25" s="92" t="s">
        <v>93</v>
      </c>
      <c r="E25" s="92" t="s">
        <v>433</v>
      </c>
      <c r="F25" s="102" t="s">
        <v>261</v>
      </c>
      <c r="G25" s="93">
        <f>(G24*5)/10000</f>
        <v>65</v>
      </c>
      <c r="H25" s="93" t="s">
        <v>423</v>
      </c>
      <c r="I25" s="93"/>
      <c r="J25" s="93"/>
      <c r="K25" s="86">
        <v>3000000</v>
      </c>
      <c r="L25" s="86"/>
      <c r="M25" s="86">
        <f>+G25*K25</f>
        <v>195000000</v>
      </c>
      <c r="N25" s="86">
        <f>+M25/$N$3</f>
        <v>32889.188733344577</v>
      </c>
      <c r="Q25" s="94"/>
      <c r="R25" s="94"/>
    </row>
    <row r="26" spans="1:54" s="100" customFormat="1" ht="12.65" customHeight="1" x14ac:dyDescent="0.35">
      <c r="A26" s="401" t="s">
        <v>650</v>
      </c>
      <c r="B26" s="96" t="s">
        <v>392</v>
      </c>
      <c r="C26" s="96"/>
      <c r="D26" s="96"/>
      <c r="E26" s="96"/>
      <c r="F26" s="95" t="s">
        <v>437</v>
      </c>
      <c r="G26" s="97"/>
      <c r="H26" s="97"/>
      <c r="I26" s="97"/>
      <c r="J26" s="97"/>
      <c r="K26" s="98"/>
      <c r="L26" s="98"/>
      <c r="M26" s="98">
        <f>M27+M43+M44+M51+M52+M53+M54+M34+M35+M36+M37+M38+M39</f>
        <v>50778790000</v>
      </c>
      <c r="N26" s="98">
        <f>N27+N33+N40+N42+N55+N58</f>
        <v>9247055.1526395697</v>
      </c>
      <c r="O26" s="87"/>
      <c r="P26" s="99"/>
      <c r="Q26" s="94"/>
      <c r="R26" s="94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</row>
    <row r="27" spans="1:54" s="99" customFormat="1" ht="12.65" customHeight="1" outlineLevel="1" x14ac:dyDescent="0.35">
      <c r="A27" s="403" t="s">
        <v>671</v>
      </c>
      <c r="B27" s="106" t="s">
        <v>392</v>
      </c>
      <c r="C27" s="106"/>
      <c r="D27" s="106"/>
      <c r="E27" s="106"/>
      <c r="F27" s="226" t="s">
        <v>438</v>
      </c>
      <c r="G27" s="107"/>
      <c r="H27" s="107"/>
      <c r="I27" s="107"/>
      <c r="J27" s="107"/>
      <c r="K27" s="108"/>
      <c r="L27" s="108"/>
      <c r="M27" s="108">
        <f>SUM(M28:M32)</f>
        <v>800000000</v>
      </c>
      <c r="N27" s="108">
        <f>SUM(N28:N32)</f>
        <v>134930.00505987517</v>
      </c>
      <c r="O27" s="87"/>
      <c r="Q27" s="94"/>
      <c r="R27" s="94"/>
    </row>
    <row r="28" spans="1:54" ht="12.65" customHeight="1" outlineLevel="1" x14ac:dyDescent="0.35">
      <c r="A28" s="400" t="s">
        <v>680</v>
      </c>
      <c r="B28" s="92" t="s">
        <v>392</v>
      </c>
      <c r="C28" s="92">
        <v>145</v>
      </c>
      <c r="D28" s="92" t="s">
        <v>387</v>
      </c>
      <c r="E28" s="92" t="s">
        <v>91</v>
      </c>
      <c r="F28" s="102" t="s">
        <v>154</v>
      </c>
      <c r="G28" s="104">
        <v>2</v>
      </c>
      <c r="H28" s="104" t="s">
        <v>223</v>
      </c>
      <c r="I28" s="104">
        <v>14</v>
      </c>
      <c r="J28" s="93" t="s">
        <v>219</v>
      </c>
      <c r="K28" s="86">
        <v>14000000</v>
      </c>
      <c r="L28" s="86"/>
      <c r="M28" s="86">
        <f>+G28*I28*K28</f>
        <v>392000000</v>
      </c>
      <c r="N28" s="86">
        <f>+M28/$N$3</f>
        <v>66115.702479338841</v>
      </c>
      <c r="Q28" s="94"/>
      <c r="R28" s="94"/>
    </row>
    <row r="29" spans="1:54" ht="12.65" customHeight="1" outlineLevel="1" x14ac:dyDescent="0.35">
      <c r="A29" s="400" t="s">
        <v>681</v>
      </c>
      <c r="B29" s="92" t="s">
        <v>392</v>
      </c>
      <c r="C29" s="92">
        <v>145</v>
      </c>
      <c r="D29" s="92" t="s">
        <v>387</v>
      </c>
      <c r="E29" s="92" t="s">
        <v>91</v>
      </c>
      <c r="F29" s="102" t="s">
        <v>32</v>
      </c>
      <c r="G29" s="93">
        <v>2</v>
      </c>
      <c r="H29" s="93" t="s">
        <v>223</v>
      </c>
      <c r="I29" s="93">
        <v>6</v>
      </c>
      <c r="J29" s="93" t="s">
        <v>219</v>
      </c>
      <c r="K29" s="86">
        <v>10000000</v>
      </c>
      <c r="L29" s="86"/>
      <c r="M29" s="86">
        <f>+G29*I29*K29</f>
        <v>120000000</v>
      </c>
      <c r="N29" s="86">
        <f>+M29/$N$3</f>
        <v>20239.500758981278</v>
      </c>
      <c r="Q29" s="94"/>
      <c r="R29" s="94"/>
    </row>
    <row r="30" spans="1:54" ht="12.65" customHeight="1" outlineLevel="1" x14ac:dyDescent="0.35">
      <c r="A30" s="400" t="s">
        <v>682</v>
      </c>
      <c r="B30" s="92" t="s">
        <v>392</v>
      </c>
      <c r="C30" s="92">
        <v>145</v>
      </c>
      <c r="D30" s="92" t="s">
        <v>387</v>
      </c>
      <c r="E30" s="92" t="s">
        <v>91</v>
      </c>
      <c r="F30" s="102" t="s">
        <v>116</v>
      </c>
      <c r="G30" s="93">
        <v>1</v>
      </c>
      <c r="H30" s="93" t="s">
        <v>225</v>
      </c>
      <c r="I30" s="104">
        <v>10</v>
      </c>
      <c r="J30" s="93" t="s">
        <v>219</v>
      </c>
      <c r="K30" s="86">
        <v>9000000</v>
      </c>
      <c r="L30" s="86"/>
      <c r="M30" s="86">
        <f>+G30*I30*K30</f>
        <v>90000000</v>
      </c>
      <c r="N30" s="86">
        <f>+M30/$N$3</f>
        <v>15179.625569235959</v>
      </c>
      <c r="Q30" s="94"/>
      <c r="R30" s="94"/>
    </row>
    <row r="31" spans="1:54" ht="12.65" customHeight="1" outlineLevel="1" x14ac:dyDescent="0.35">
      <c r="A31" s="400" t="s">
        <v>683</v>
      </c>
      <c r="B31" s="92" t="s">
        <v>392</v>
      </c>
      <c r="C31" s="92">
        <v>145</v>
      </c>
      <c r="D31" s="92" t="s">
        <v>387</v>
      </c>
      <c r="E31" s="92" t="s">
        <v>91</v>
      </c>
      <c r="F31" s="102" t="s">
        <v>117</v>
      </c>
      <c r="G31" s="93">
        <v>1</v>
      </c>
      <c r="H31" s="93" t="s">
        <v>225</v>
      </c>
      <c r="I31" s="104">
        <v>10</v>
      </c>
      <c r="J31" s="93" t="s">
        <v>219</v>
      </c>
      <c r="K31" s="86">
        <v>9000000</v>
      </c>
      <c r="L31" s="86"/>
      <c r="M31" s="86">
        <f>+G31*I31*K31</f>
        <v>90000000</v>
      </c>
      <c r="N31" s="86">
        <f>+M31/$N$3</f>
        <v>15179.625569235959</v>
      </c>
      <c r="Q31" s="94"/>
      <c r="R31" s="94"/>
    </row>
    <row r="32" spans="1:54" ht="12.65" customHeight="1" outlineLevel="1" x14ac:dyDescent="0.35">
      <c r="A32" s="400" t="s">
        <v>684</v>
      </c>
      <c r="B32" s="92" t="s">
        <v>392</v>
      </c>
      <c r="C32" s="92">
        <v>145</v>
      </c>
      <c r="D32" s="92" t="s">
        <v>387</v>
      </c>
      <c r="E32" s="92" t="s">
        <v>91</v>
      </c>
      <c r="F32" s="102" t="s">
        <v>264</v>
      </c>
      <c r="G32" s="93">
        <v>1</v>
      </c>
      <c r="H32" s="93" t="s">
        <v>225</v>
      </c>
      <c r="I32" s="93">
        <v>12</v>
      </c>
      <c r="J32" s="93" t="s">
        <v>219</v>
      </c>
      <c r="K32" s="86">
        <v>9000000</v>
      </c>
      <c r="L32" s="86"/>
      <c r="M32" s="86">
        <f>+G32*I32*K32</f>
        <v>108000000</v>
      </c>
      <c r="N32" s="86">
        <f>+M32/$N$3</f>
        <v>18215.550683083151</v>
      </c>
      <c r="Q32" s="94"/>
      <c r="R32" s="94"/>
    </row>
    <row r="33" spans="1:18" s="99" customFormat="1" ht="12.65" customHeight="1" outlineLevel="1" x14ac:dyDescent="0.35">
      <c r="A33" s="403" t="s">
        <v>672</v>
      </c>
      <c r="B33" s="106"/>
      <c r="C33" s="106"/>
      <c r="D33" s="106"/>
      <c r="E33" s="106"/>
      <c r="F33" s="226" t="s">
        <v>420</v>
      </c>
      <c r="G33" s="107"/>
      <c r="H33" s="107"/>
      <c r="I33" s="107"/>
      <c r="J33" s="107"/>
      <c r="K33" s="108"/>
      <c r="L33" s="108"/>
      <c r="M33" s="108">
        <f>SUM(M34:M38)</f>
        <v>3389520000</v>
      </c>
      <c r="N33" s="108">
        <f>SUM(N34:N39)</f>
        <v>897945.69067296328</v>
      </c>
      <c r="O33" s="87"/>
      <c r="Q33" s="94"/>
      <c r="R33" s="94"/>
    </row>
    <row r="34" spans="1:18" s="88" customFormat="1" ht="12.65" customHeight="1" outlineLevel="1" x14ac:dyDescent="0.35">
      <c r="A34" s="402" t="s">
        <v>685</v>
      </c>
      <c r="B34" s="103" t="s">
        <v>392</v>
      </c>
      <c r="C34" s="103">
        <v>230</v>
      </c>
      <c r="D34" s="103" t="s">
        <v>92</v>
      </c>
      <c r="E34" s="103" t="s">
        <v>92</v>
      </c>
      <c r="F34" s="102" t="s">
        <v>146</v>
      </c>
      <c r="G34" s="104">
        <v>34</v>
      </c>
      <c r="H34" s="104" t="s">
        <v>223</v>
      </c>
      <c r="I34" s="104">
        <v>80</v>
      </c>
      <c r="J34" s="104" t="s">
        <v>145</v>
      </c>
      <c r="K34" s="105">
        <v>350000</v>
      </c>
      <c r="L34" s="105"/>
      <c r="M34" s="105">
        <f>+G34*I34*K34</f>
        <v>952000000</v>
      </c>
      <c r="N34" s="105">
        <f>+M34/$N$3</f>
        <v>160566.70602125148</v>
      </c>
      <c r="O34" s="87"/>
      <c r="Q34" s="94"/>
      <c r="R34" s="94"/>
    </row>
    <row r="35" spans="1:18" s="88" customFormat="1" ht="12.65" customHeight="1" outlineLevel="1" x14ac:dyDescent="0.35">
      <c r="A35" s="402" t="s">
        <v>686</v>
      </c>
      <c r="B35" s="103" t="s">
        <v>392</v>
      </c>
      <c r="C35" s="103"/>
      <c r="D35" s="103" t="s">
        <v>424</v>
      </c>
      <c r="E35" s="103" t="s">
        <v>286</v>
      </c>
      <c r="F35" s="102" t="s">
        <v>262</v>
      </c>
      <c r="G35" s="104">
        <v>80000</v>
      </c>
      <c r="H35" s="104" t="s">
        <v>224</v>
      </c>
      <c r="I35" s="104">
        <v>1</v>
      </c>
      <c r="J35" s="104"/>
      <c r="K35" s="105">
        <v>8000</v>
      </c>
      <c r="L35" s="105"/>
      <c r="M35" s="105">
        <f>+G35*I35*K35</f>
        <v>640000000</v>
      </c>
      <c r="N35" s="105">
        <f>+M35/$N$3</f>
        <v>107944.00404790015</v>
      </c>
      <c r="O35" s="87"/>
      <c r="Q35" s="94"/>
      <c r="R35" s="94"/>
    </row>
    <row r="36" spans="1:18" s="88" customFormat="1" ht="12.65" customHeight="1" outlineLevel="1" x14ac:dyDescent="0.35">
      <c r="A36" s="402" t="s">
        <v>687</v>
      </c>
      <c r="B36" s="103" t="s">
        <v>392</v>
      </c>
      <c r="C36" s="103">
        <v>260</v>
      </c>
      <c r="D36" s="103" t="s">
        <v>93</v>
      </c>
      <c r="E36" s="103" t="s">
        <v>433</v>
      </c>
      <c r="F36" s="102" t="s">
        <v>261</v>
      </c>
      <c r="G36" s="104">
        <f>(G35*5)/10000</f>
        <v>40</v>
      </c>
      <c r="H36" s="104" t="s">
        <v>423</v>
      </c>
      <c r="I36" s="104"/>
      <c r="J36" s="104"/>
      <c r="K36" s="105">
        <v>3000000</v>
      </c>
      <c r="L36" s="105"/>
      <c r="M36" s="105">
        <f>+G36*K36</f>
        <v>120000000</v>
      </c>
      <c r="N36" s="105">
        <f>+M36/$N$3</f>
        <v>20239.500758981278</v>
      </c>
      <c r="O36" s="87"/>
      <c r="Q36" s="94"/>
      <c r="R36" s="94"/>
    </row>
    <row r="37" spans="1:18" s="88" customFormat="1" ht="12.65" customHeight="1" outlineLevel="1" x14ac:dyDescent="0.35">
      <c r="A37" s="402" t="s">
        <v>688</v>
      </c>
      <c r="B37" s="103" t="s">
        <v>392</v>
      </c>
      <c r="C37" s="103">
        <v>123</v>
      </c>
      <c r="D37" s="103" t="s">
        <v>92</v>
      </c>
      <c r="E37" s="103" t="s">
        <v>92</v>
      </c>
      <c r="F37" s="102" t="s">
        <v>147</v>
      </c>
      <c r="G37" s="104"/>
      <c r="H37" s="104" t="s">
        <v>461</v>
      </c>
      <c r="I37" s="104"/>
      <c r="J37" s="104"/>
      <c r="K37" s="105"/>
      <c r="L37" s="105"/>
      <c r="M37" s="105">
        <f>N37*$N$3</f>
        <v>955760000</v>
      </c>
      <c r="N37" s="105">
        <f>'Rem Adic'!M53</f>
        <v>161200.87704503289</v>
      </c>
      <c r="O37" s="87"/>
      <c r="Q37" s="94"/>
      <c r="R37" s="94"/>
    </row>
    <row r="38" spans="1:18" s="88" customFormat="1" ht="12.65" customHeight="1" outlineLevel="1" x14ac:dyDescent="0.35">
      <c r="A38" s="402" t="s">
        <v>689</v>
      </c>
      <c r="B38" s="103" t="s">
        <v>392</v>
      </c>
      <c r="C38" s="103">
        <v>125</v>
      </c>
      <c r="D38" s="103" t="s">
        <v>92</v>
      </c>
      <c r="E38" s="103" t="s">
        <v>92</v>
      </c>
      <c r="F38" s="102" t="s">
        <v>148</v>
      </c>
      <c r="G38" s="104"/>
      <c r="H38" s="104" t="s">
        <v>461</v>
      </c>
      <c r="I38" s="104"/>
      <c r="J38" s="104"/>
      <c r="K38" s="105"/>
      <c r="L38" s="105"/>
      <c r="M38" s="105">
        <f t="shared" ref="M38:M39" si="1">N38*$N$3</f>
        <v>721760000.00000012</v>
      </c>
      <c r="N38" s="105">
        <f>'Rem Adic'!M54</f>
        <v>121733.85056501941</v>
      </c>
      <c r="O38" s="87"/>
      <c r="Q38" s="94"/>
      <c r="R38" s="94"/>
    </row>
    <row r="39" spans="1:18" s="88" customFormat="1" ht="12.65" customHeight="1" outlineLevel="1" x14ac:dyDescent="0.35">
      <c r="A39" s="402" t="s">
        <v>690</v>
      </c>
      <c r="B39" s="103" t="s">
        <v>392</v>
      </c>
      <c r="C39" s="103">
        <v>137</v>
      </c>
      <c r="D39" s="103" t="s">
        <v>92</v>
      </c>
      <c r="E39" s="103" t="s">
        <v>92</v>
      </c>
      <c r="F39" s="102" t="s">
        <v>425</v>
      </c>
      <c r="G39" s="104"/>
      <c r="H39" s="104" t="s">
        <v>461</v>
      </c>
      <c r="I39" s="104"/>
      <c r="J39" s="104"/>
      <c r="K39" s="105"/>
      <c r="L39" s="105"/>
      <c r="M39" s="105">
        <f t="shared" si="1"/>
        <v>1934399999.9999995</v>
      </c>
      <c r="N39" s="105">
        <f>'Rem Adic'!M55</f>
        <v>326260.75223477813</v>
      </c>
      <c r="O39" s="87"/>
      <c r="Q39" s="94"/>
      <c r="R39" s="94"/>
    </row>
    <row r="40" spans="1:18" s="99" customFormat="1" ht="12.65" customHeight="1" outlineLevel="1" x14ac:dyDescent="0.35">
      <c r="A40" s="403" t="s">
        <v>673</v>
      </c>
      <c r="B40" s="106"/>
      <c r="C40" s="106"/>
      <c r="D40" s="106"/>
      <c r="E40" s="106"/>
      <c r="F40" s="226" t="s">
        <v>422</v>
      </c>
      <c r="G40" s="107"/>
      <c r="H40" s="107"/>
      <c r="I40" s="107"/>
      <c r="J40" s="107"/>
      <c r="K40" s="108"/>
      <c r="L40" s="108"/>
      <c r="M40" s="108">
        <f>M41</f>
        <v>450000000</v>
      </c>
      <c r="N40" s="108">
        <f>N41</f>
        <v>75898.127846179792</v>
      </c>
      <c r="O40" s="87"/>
      <c r="Q40" s="109"/>
      <c r="R40" s="94"/>
    </row>
    <row r="41" spans="1:18" ht="12.65" customHeight="1" outlineLevel="1" x14ac:dyDescent="0.35">
      <c r="A41" s="400" t="s">
        <v>691</v>
      </c>
      <c r="B41" s="92" t="s">
        <v>392</v>
      </c>
      <c r="C41" s="92">
        <v>260</v>
      </c>
      <c r="D41" s="92" t="s">
        <v>93</v>
      </c>
      <c r="E41" s="92" t="s">
        <v>433</v>
      </c>
      <c r="F41" s="102" t="s">
        <v>253</v>
      </c>
      <c r="G41" s="93">
        <v>1</v>
      </c>
      <c r="H41" s="93" t="s">
        <v>226</v>
      </c>
      <c r="I41" s="93">
        <v>1</v>
      </c>
      <c r="J41" s="93" t="s">
        <v>235</v>
      </c>
      <c r="K41" s="86">
        <v>450000000</v>
      </c>
      <c r="L41" s="86"/>
      <c r="M41" s="86">
        <f>K41*I41*G41</f>
        <v>450000000</v>
      </c>
      <c r="N41" s="86">
        <f>+M41/$N$3</f>
        <v>75898.127846179792</v>
      </c>
      <c r="Q41" s="94"/>
      <c r="R41" s="94"/>
    </row>
    <row r="42" spans="1:18" s="88" customFormat="1" ht="12.65" customHeight="1" outlineLevel="1" x14ac:dyDescent="0.35">
      <c r="A42" s="403" t="s">
        <v>674</v>
      </c>
      <c r="B42" s="106"/>
      <c r="C42" s="106"/>
      <c r="D42" s="106"/>
      <c r="E42" s="106"/>
      <c r="F42" s="226" t="s">
        <v>421</v>
      </c>
      <c r="G42" s="107"/>
      <c r="H42" s="107"/>
      <c r="I42" s="107"/>
      <c r="J42" s="107"/>
      <c r="K42" s="108"/>
      <c r="L42" s="108"/>
      <c r="M42" s="108">
        <f>M43+M44+M51+M52+M53+M54</f>
        <v>44654870000</v>
      </c>
      <c r="N42" s="108">
        <f>N43+N44+N51+N52+N53+N54</f>
        <v>7531602.2938100863</v>
      </c>
      <c r="O42" s="87"/>
      <c r="Q42" s="94"/>
      <c r="R42" s="94"/>
    </row>
    <row r="43" spans="1:18" s="88" customFormat="1" ht="12.65" customHeight="1" outlineLevel="1" x14ac:dyDescent="0.35">
      <c r="A43" s="402" t="s">
        <v>692</v>
      </c>
      <c r="B43" s="103" t="s">
        <v>392</v>
      </c>
      <c r="C43" s="92">
        <v>145</v>
      </c>
      <c r="D43" s="103" t="s">
        <v>387</v>
      </c>
      <c r="E43" s="103" t="s">
        <v>91</v>
      </c>
      <c r="F43" s="102" t="s">
        <v>412</v>
      </c>
      <c r="G43" s="104">
        <v>1</v>
      </c>
      <c r="H43" s="104" t="s">
        <v>225</v>
      </c>
      <c r="I43" s="104">
        <v>3</v>
      </c>
      <c r="J43" s="104" t="s">
        <v>219</v>
      </c>
      <c r="K43" s="105">
        <v>50000000</v>
      </c>
      <c r="L43" s="105"/>
      <c r="M43" s="105">
        <f>K43*I43*G43</f>
        <v>150000000</v>
      </c>
      <c r="N43" s="105">
        <f>+M43/$N$3</f>
        <v>25299.3759487266</v>
      </c>
      <c r="O43" s="87"/>
      <c r="Q43" s="94"/>
      <c r="R43" s="94"/>
    </row>
    <row r="44" spans="1:18" s="88" customFormat="1" ht="12.65" customHeight="1" outlineLevel="1" x14ac:dyDescent="0.35">
      <c r="A44" s="402" t="s">
        <v>693</v>
      </c>
      <c r="B44" s="110" t="s">
        <v>392</v>
      </c>
      <c r="C44" s="110">
        <v>260</v>
      </c>
      <c r="D44" s="110" t="s">
        <v>93</v>
      </c>
      <c r="E44" s="110" t="s">
        <v>289</v>
      </c>
      <c r="F44" s="102" t="s">
        <v>266</v>
      </c>
      <c r="G44" s="93"/>
      <c r="H44" s="93" t="s">
        <v>428</v>
      </c>
      <c r="I44" s="93"/>
      <c r="J44" s="93"/>
      <c r="K44" s="86"/>
      <c r="L44" s="86"/>
      <c r="M44" s="86">
        <f>SUM(M45:M50)</f>
        <v>42574870000</v>
      </c>
      <c r="N44" s="105">
        <f>SUM(N45:N50)</f>
        <v>7180784.2806544108</v>
      </c>
      <c r="O44" s="87"/>
      <c r="Q44" s="94"/>
      <c r="R44" s="94"/>
    </row>
    <row r="45" spans="1:18" ht="12.65" customHeight="1" outlineLevel="1" x14ac:dyDescent="0.35">
      <c r="A45" s="402" t="s">
        <v>694</v>
      </c>
      <c r="B45" s="92" t="s">
        <v>392</v>
      </c>
      <c r="C45" s="111"/>
      <c r="D45" s="111"/>
      <c r="E45" s="111"/>
      <c r="F45" s="116" t="s">
        <v>397</v>
      </c>
      <c r="G45" s="93">
        <f>SUM(G46:G50)</f>
        <v>5282</v>
      </c>
      <c r="H45" s="93" t="s">
        <v>428</v>
      </c>
      <c r="I45" s="93">
        <v>1</v>
      </c>
      <c r="J45" s="93"/>
      <c r="K45" s="86">
        <v>360000</v>
      </c>
      <c r="L45" s="86"/>
      <c r="M45" s="86">
        <f>(G45*I45*K45)+L45</f>
        <v>1901520000</v>
      </c>
      <c r="N45" s="86">
        <f>+M45/$N$3</f>
        <v>320715.12902681733</v>
      </c>
      <c r="O45" s="112">
        <f>N45/N44</f>
        <v>4.4662966674942281E-2</v>
      </c>
      <c r="Q45" s="94"/>
      <c r="R45" s="94"/>
    </row>
    <row r="46" spans="1:18" ht="12.65" customHeight="1" outlineLevel="1" x14ac:dyDescent="0.35">
      <c r="A46" s="402" t="s">
        <v>695</v>
      </c>
      <c r="B46" s="111" t="s">
        <v>392</v>
      </c>
      <c r="C46" s="111"/>
      <c r="D46" s="111"/>
      <c r="E46" s="111"/>
      <c r="F46" s="116" t="s">
        <v>107</v>
      </c>
      <c r="G46" s="93">
        <v>5</v>
      </c>
      <c r="H46" s="93" t="s">
        <v>223</v>
      </c>
      <c r="I46" s="93">
        <v>3</v>
      </c>
      <c r="J46" s="93" t="s">
        <v>219</v>
      </c>
      <c r="K46" s="86">
        <v>9000000</v>
      </c>
      <c r="L46" s="86">
        <v>24800000</v>
      </c>
      <c r="M46" s="86">
        <f>(G46*I46*K46)+L46</f>
        <v>159800000</v>
      </c>
      <c r="N46" s="86">
        <f t="shared" ref="N46:N51" si="2">+M46/$N$3</f>
        <v>26952.26851071007</v>
      </c>
      <c r="O46" s="113"/>
      <c r="Q46" s="94"/>
      <c r="R46" s="94"/>
    </row>
    <row r="47" spans="1:18" ht="12.65" customHeight="1" outlineLevel="1" x14ac:dyDescent="0.35">
      <c r="A47" s="402" t="s">
        <v>696</v>
      </c>
      <c r="B47" s="111" t="s">
        <v>392</v>
      </c>
      <c r="C47" s="111"/>
      <c r="D47" s="111"/>
      <c r="E47" s="111"/>
      <c r="F47" s="116" t="s">
        <v>108</v>
      </c>
      <c r="G47" s="93">
        <v>17</v>
      </c>
      <c r="H47" s="93" t="s">
        <v>223</v>
      </c>
      <c r="I47" s="93">
        <v>5</v>
      </c>
      <c r="J47" s="93" t="s">
        <v>219</v>
      </c>
      <c r="K47" s="86">
        <v>11000000</v>
      </c>
      <c r="L47" s="86">
        <f>700*0.15*5000*6*17</f>
        <v>53550000</v>
      </c>
      <c r="M47" s="86">
        <f>(G47*I47*K47)+L47</f>
        <v>988550000</v>
      </c>
      <c r="N47" s="86">
        <f t="shared" si="2"/>
        <v>166731.32062742452</v>
      </c>
      <c r="Q47" s="94"/>
      <c r="R47" s="94"/>
    </row>
    <row r="48" spans="1:18" ht="12.65" customHeight="1" outlineLevel="1" x14ac:dyDescent="0.35">
      <c r="A48" s="402" t="s">
        <v>697</v>
      </c>
      <c r="B48" s="111" t="s">
        <v>392</v>
      </c>
      <c r="C48" s="111"/>
      <c r="D48" s="111"/>
      <c r="E48" s="111"/>
      <c r="F48" s="116" t="s">
        <v>109</v>
      </c>
      <c r="G48" s="93">
        <v>260</v>
      </c>
      <c r="H48" s="93" t="s">
        <v>223</v>
      </c>
      <c r="I48" s="114">
        <v>2.5</v>
      </c>
      <c r="J48" s="93" t="s">
        <v>219</v>
      </c>
      <c r="K48" s="86">
        <v>8500000</v>
      </c>
      <c r="L48" s="86"/>
      <c r="M48" s="86">
        <f>(G48*I48*K48)+L48</f>
        <v>5525000000</v>
      </c>
      <c r="N48" s="86">
        <f t="shared" si="2"/>
        <v>931860.34744476306</v>
      </c>
      <c r="Q48" s="94"/>
      <c r="R48" s="94"/>
    </row>
    <row r="49" spans="1:18" ht="12.65" customHeight="1" outlineLevel="1" x14ac:dyDescent="0.35">
      <c r="A49" s="402" t="s">
        <v>698</v>
      </c>
      <c r="B49" s="111" t="s">
        <v>392</v>
      </c>
      <c r="C49" s="111"/>
      <c r="D49" s="111"/>
      <c r="E49" s="111"/>
      <c r="F49" s="116" t="s">
        <v>110</v>
      </c>
      <c r="G49" s="93">
        <v>1000</v>
      </c>
      <c r="H49" s="93" t="s">
        <v>223</v>
      </c>
      <c r="I49" s="93">
        <v>2</v>
      </c>
      <c r="J49" s="93" t="s">
        <v>219</v>
      </c>
      <c r="K49" s="86">
        <v>7000000</v>
      </c>
      <c r="L49" s="86"/>
      <c r="M49" s="86">
        <f>(G49*I49*K49)+L49</f>
        <v>14000000000</v>
      </c>
      <c r="N49" s="86">
        <f t="shared" si="2"/>
        <v>2361275.088547816</v>
      </c>
      <c r="Q49" s="94"/>
      <c r="R49" s="94"/>
    </row>
    <row r="50" spans="1:18" ht="12.65" customHeight="1" outlineLevel="1" x14ac:dyDescent="0.35">
      <c r="A50" s="402" t="s">
        <v>699</v>
      </c>
      <c r="B50" s="111" t="s">
        <v>392</v>
      </c>
      <c r="C50" s="111"/>
      <c r="D50" s="111"/>
      <c r="E50" s="111"/>
      <c r="F50" s="116" t="s">
        <v>265</v>
      </c>
      <c r="G50" s="93">
        <v>4000</v>
      </c>
      <c r="H50" s="93" t="s">
        <v>223</v>
      </c>
      <c r="I50" s="93">
        <v>1</v>
      </c>
      <c r="J50" s="93" t="s">
        <v>41</v>
      </c>
      <c r="K50" s="86">
        <v>5000000</v>
      </c>
      <c r="L50" s="86"/>
      <c r="M50" s="86">
        <f>G50*K50</f>
        <v>20000000000</v>
      </c>
      <c r="N50" s="86">
        <f t="shared" si="2"/>
        <v>3373250.1264968798</v>
      </c>
      <c r="Q50" s="94"/>
      <c r="R50" s="94"/>
    </row>
    <row r="51" spans="1:18" ht="12.65" customHeight="1" outlineLevel="1" x14ac:dyDescent="0.35">
      <c r="A51" s="402" t="s">
        <v>700</v>
      </c>
      <c r="B51" s="111" t="s">
        <v>392</v>
      </c>
      <c r="C51" s="110">
        <v>260</v>
      </c>
      <c r="D51" s="111" t="s">
        <v>93</v>
      </c>
      <c r="E51" s="111" t="s">
        <v>433</v>
      </c>
      <c r="F51" s="102" t="s">
        <v>455</v>
      </c>
      <c r="G51" s="93">
        <v>200</v>
      </c>
      <c r="H51" s="93" t="s">
        <v>227</v>
      </c>
      <c r="I51" s="93">
        <v>3</v>
      </c>
      <c r="J51" s="93" t="s">
        <v>219</v>
      </c>
      <c r="K51" s="86">
        <v>800000</v>
      </c>
      <c r="L51" s="86"/>
      <c r="M51" s="86">
        <f>(G51*I51*K51)+L51</f>
        <v>480000000</v>
      </c>
      <c r="N51" s="86">
        <f t="shared" si="2"/>
        <v>80958.00303592511</v>
      </c>
      <c r="Q51" s="94"/>
      <c r="R51" s="94"/>
    </row>
    <row r="52" spans="1:18" ht="12.65" customHeight="1" outlineLevel="1" x14ac:dyDescent="0.35">
      <c r="A52" s="402" t="s">
        <v>701</v>
      </c>
      <c r="B52" s="111" t="s">
        <v>392</v>
      </c>
      <c r="C52" s="110">
        <v>260</v>
      </c>
      <c r="D52" s="111" t="s">
        <v>93</v>
      </c>
      <c r="E52" s="111" t="s">
        <v>433</v>
      </c>
      <c r="F52" s="102" t="s">
        <v>267</v>
      </c>
      <c r="G52" s="93">
        <v>5301</v>
      </c>
      <c r="H52" s="93" t="s">
        <v>223</v>
      </c>
      <c r="I52" s="93">
        <v>1</v>
      </c>
      <c r="J52" s="93" t="s">
        <v>219</v>
      </c>
      <c r="K52" s="105">
        <f>M52/G45</f>
        <v>189322.2264293828</v>
      </c>
      <c r="L52" s="105"/>
      <c r="M52" s="105">
        <v>1000000000</v>
      </c>
      <c r="N52" s="105">
        <f t="shared" ref="N51:N54" si="3">+M52/$N$3</f>
        <v>168662.506324844</v>
      </c>
      <c r="Q52" s="94"/>
      <c r="R52" s="94"/>
    </row>
    <row r="53" spans="1:18" ht="12.65" customHeight="1" outlineLevel="1" x14ac:dyDescent="0.35">
      <c r="A53" s="402" t="s">
        <v>702</v>
      </c>
      <c r="B53" s="92" t="s">
        <v>392</v>
      </c>
      <c r="C53" s="110">
        <v>260</v>
      </c>
      <c r="D53" s="111" t="s">
        <v>93</v>
      </c>
      <c r="E53" s="111" t="s">
        <v>433</v>
      </c>
      <c r="F53" s="102" t="s">
        <v>269</v>
      </c>
      <c r="G53" s="93">
        <v>3000</v>
      </c>
      <c r="H53" s="93" t="s">
        <v>229</v>
      </c>
      <c r="I53" s="93"/>
      <c r="J53" s="93" t="s">
        <v>220</v>
      </c>
      <c r="K53" s="86">
        <v>40000</v>
      </c>
      <c r="L53" s="86"/>
      <c r="M53" s="86">
        <f>+G53*K53</f>
        <v>120000000</v>
      </c>
      <c r="N53" s="86">
        <f t="shared" si="3"/>
        <v>20239.500758981278</v>
      </c>
      <c r="Q53" s="94"/>
      <c r="R53" s="94"/>
    </row>
    <row r="54" spans="1:18" ht="12.65" customHeight="1" outlineLevel="1" x14ac:dyDescent="0.35">
      <c r="A54" s="402" t="s">
        <v>703</v>
      </c>
      <c r="B54" s="92" t="s">
        <v>392</v>
      </c>
      <c r="C54" s="110">
        <v>260</v>
      </c>
      <c r="D54" s="111" t="s">
        <v>93</v>
      </c>
      <c r="E54" s="111" t="s">
        <v>433</v>
      </c>
      <c r="F54" s="102" t="s">
        <v>268</v>
      </c>
      <c r="G54" s="93">
        <v>5500</v>
      </c>
      <c r="H54" s="93" t="s">
        <v>229</v>
      </c>
      <c r="I54" s="93"/>
      <c r="J54" s="93" t="s">
        <v>220</v>
      </c>
      <c r="K54" s="86">
        <v>60000</v>
      </c>
      <c r="L54" s="86"/>
      <c r="M54" s="86">
        <f>+G54*K54</f>
        <v>330000000</v>
      </c>
      <c r="N54" s="86">
        <f t="shared" si="3"/>
        <v>55658.627087198518</v>
      </c>
      <c r="Q54" s="94"/>
      <c r="R54" s="94"/>
    </row>
    <row r="55" spans="1:18" s="88" customFormat="1" ht="12.65" customHeight="1" outlineLevel="1" x14ac:dyDescent="0.35">
      <c r="A55" s="403" t="s">
        <v>675</v>
      </c>
      <c r="B55" s="106" t="s">
        <v>392</v>
      </c>
      <c r="C55" s="106"/>
      <c r="D55" s="106"/>
      <c r="E55" s="106"/>
      <c r="F55" s="226" t="s">
        <v>439</v>
      </c>
      <c r="G55" s="107"/>
      <c r="H55" s="107"/>
      <c r="I55" s="107"/>
      <c r="J55" s="107"/>
      <c r="K55" s="108"/>
      <c r="L55" s="108"/>
      <c r="M55" s="108">
        <f>SUM(M56:M57)</f>
        <v>1400000000</v>
      </c>
      <c r="N55" s="108">
        <f>SUM(N56:N57)</f>
        <v>236127.5088547816</v>
      </c>
      <c r="O55" s="87"/>
      <c r="Q55" s="94"/>
      <c r="R55" s="94"/>
    </row>
    <row r="56" spans="1:18" ht="12.65" customHeight="1" outlineLevel="1" x14ac:dyDescent="0.35">
      <c r="A56" s="400" t="s">
        <v>705</v>
      </c>
      <c r="B56" s="92" t="s">
        <v>392</v>
      </c>
      <c r="C56" s="92">
        <v>260</v>
      </c>
      <c r="D56" s="92" t="s">
        <v>93</v>
      </c>
      <c r="E56" s="92" t="s">
        <v>433</v>
      </c>
      <c r="F56" s="102" t="s">
        <v>111</v>
      </c>
      <c r="G56" s="93"/>
      <c r="H56" s="93" t="s">
        <v>462</v>
      </c>
      <c r="I56" s="93">
        <v>1</v>
      </c>
      <c r="J56" s="93"/>
      <c r="K56" s="86">
        <v>1</v>
      </c>
      <c r="L56" s="86"/>
      <c r="M56" s="105">
        <v>600000000</v>
      </c>
      <c r="N56" s="86">
        <f>+M56/$N$3</f>
        <v>101197.5037949064</v>
      </c>
      <c r="Q56" s="94"/>
      <c r="R56" s="94"/>
    </row>
    <row r="57" spans="1:18" ht="12.65" customHeight="1" outlineLevel="1" x14ac:dyDescent="0.35">
      <c r="A57" s="400" t="s">
        <v>707</v>
      </c>
      <c r="B57" s="92" t="s">
        <v>392</v>
      </c>
      <c r="C57" s="92">
        <v>260</v>
      </c>
      <c r="D57" s="92" t="s">
        <v>93</v>
      </c>
      <c r="E57" s="92" t="s">
        <v>433</v>
      </c>
      <c r="F57" s="102" t="s">
        <v>112</v>
      </c>
      <c r="G57" s="93"/>
      <c r="H57" s="93" t="s">
        <v>462</v>
      </c>
      <c r="I57" s="93">
        <v>1</v>
      </c>
      <c r="J57" s="93"/>
      <c r="K57" s="86">
        <v>1</v>
      </c>
      <c r="L57" s="86"/>
      <c r="M57" s="105">
        <v>800000000</v>
      </c>
      <c r="N57" s="86">
        <f>+M57/$N$3</f>
        <v>134930.0050598752</v>
      </c>
      <c r="Q57" s="94"/>
      <c r="R57" s="94"/>
    </row>
    <row r="58" spans="1:18" s="88" customFormat="1" ht="12.65" customHeight="1" outlineLevel="1" x14ac:dyDescent="0.35">
      <c r="A58" s="403" t="s">
        <v>679</v>
      </c>
      <c r="B58" s="106" t="s">
        <v>392</v>
      </c>
      <c r="C58" s="106"/>
      <c r="D58" s="106"/>
      <c r="E58" s="106"/>
      <c r="F58" s="226" t="s">
        <v>440</v>
      </c>
      <c r="G58" s="107"/>
      <c r="H58" s="107"/>
      <c r="I58" s="107"/>
      <c r="J58" s="107"/>
      <c r="K58" s="108"/>
      <c r="L58" s="108"/>
      <c r="M58" s="108">
        <f>M59+M60+M61+M62+M63+M66+M67+M68+M69</f>
        <v>2197000000</v>
      </c>
      <c r="N58" s="108">
        <f>N59+N60+N61+N62+N63+N66+N67+N68+N69</f>
        <v>370551.52639568225</v>
      </c>
      <c r="O58" s="87"/>
      <c r="Q58" s="94"/>
      <c r="R58" s="94"/>
    </row>
    <row r="59" spans="1:18" ht="12.65" customHeight="1" outlineLevel="1" x14ac:dyDescent="0.35">
      <c r="A59" s="400" t="s">
        <v>708</v>
      </c>
      <c r="B59" s="92" t="s">
        <v>392</v>
      </c>
      <c r="C59" s="92">
        <v>145</v>
      </c>
      <c r="D59" s="92" t="s">
        <v>387</v>
      </c>
      <c r="E59" s="92" t="s">
        <v>91</v>
      </c>
      <c r="F59" s="101" t="s">
        <v>116</v>
      </c>
      <c r="G59" s="93">
        <v>1</v>
      </c>
      <c r="H59" s="93" t="s">
        <v>225</v>
      </c>
      <c r="I59" s="93">
        <v>12</v>
      </c>
      <c r="J59" s="93" t="s">
        <v>219</v>
      </c>
      <c r="K59" s="86">
        <v>9000000</v>
      </c>
      <c r="L59" s="86"/>
      <c r="M59" s="86">
        <f>+G59*I59*K59</f>
        <v>108000000</v>
      </c>
      <c r="N59" s="86">
        <f t="shared" ref="N59:N75" si="4">+M59/$N$3</f>
        <v>18215.550683083151</v>
      </c>
      <c r="Q59" s="94"/>
      <c r="R59" s="94"/>
    </row>
    <row r="60" spans="1:18" ht="12.65" customHeight="1" outlineLevel="1" x14ac:dyDescent="0.35">
      <c r="A60" s="400" t="s">
        <v>709</v>
      </c>
      <c r="B60" s="92" t="s">
        <v>392</v>
      </c>
      <c r="C60" s="92">
        <v>145</v>
      </c>
      <c r="D60" s="92" t="s">
        <v>387</v>
      </c>
      <c r="E60" s="92" t="s">
        <v>91</v>
      </c>
      <c r="F60" s="101" t="s">
        <v>117</v>
      </c>
      <c r="G60" s="93">
        <v>1</v>
      </c>
      <c r="H60" s="93" t="s">
        <v>225</v>
      </c>
      <c r="I60" s="93">
        <v>12</v>
      </c>
      <c r="J60" s="93" t="s">
        <v>219</v>
      </c>
      <c r="K60" s="86">
        <v>9000000</v>
      </c>
      <c r="L60" s="86"/>
      <c r="M60" s="86">
        <f t="shared" ref="M60:M69" si="5">+G60*I60*K60</f>
        <v>108000000</v>
      </c>
      <c r="N60" s="86">
        <f t="shared" si="4"/>
        <v>18215.550683083151</v>
      </c>
      <c r="Q60" s="94"/>
      <c r="R60" s="94"/>
    </row>
    <row r="61" spans="1:18" ht="12.65" customHeight="1" outlineLevel="1" x14ac:dyDescent="0.35">
      <c r="A61" s="400" t="s">
        <v>710</v>
      </c>
      <c r="B61" s="92" t="s">
        <v>392</v>
      </c>
      <c r="C61" s="92">
        <v>145</v>
      </c>
      <c r="D61" s="92" t="s">
        <v>387</v>
      </c>
      <c r="E61" s="92" t="s">
        <v>91</v>
      </c>
      <c r="F61" s="101" t="s">
        <v>118</v>
      </c>
      <c r="G61" s="93">
        <v>1</v>
      </c>
      <c r="H61" s="93" t="s">
        <v>225</v>
      </c>
      <c r="I61" s="93">
        <v>12</v>
      </c>
      <c r="J61" s="93" t="s">
        <v>219</v>
      </c>
      <c r="K61" s="86">
        <v>9000000</v>
      </c>
      <c r="L61" s="86"/>
      <c r="M61" s="86">
        <f t="shared" si="5"/>
        <v>108000000</v>
      </c>
      <c r="N61" s="86">
        <f t="shared" si="4"/>
        <v>18215.550683083151</v>
      </c>
      <c r="Q61" s="94"/>
      <c r="R61" s="94"/>
    </row>
    <row r="62" spans="1:18" ht="12.65" customHeight="1" outlineLevel="1" x14ac:dyDescent="0.35">
      <c r="A62" s="400" t="s">
        <v>711</v>
      </c>
      <c r="B62" s="92" t="s">
        <v>392</v>
      </c>
      <c r="C62" s="92">
        <v>145</v>
      </c>
      <c r="D62" s="92" t="s">
        <v>387</v>
      </c>
      <c r="E62" s="92" t="s">
        <v>91</v>
      </c>
      <c r="F62" s="101" t="s">
        <v>115</v>
      </c>
      <c r="G62" s="104">
        <v>1</v>
      </c>
      <c r="H62" s="104" t="s">
        <v>223</v>
      </c>
      <c r="I62" s="104">
        <v>6</v>
      </c>
      <c r="J62" s="93" t="s">
        <v>219</v>
      </c>
      <c r="K62" s="86">
        <v>10000000</v>
      </c>
      <c r="L62" s="86"/>
      <c r="M62" s="86">
        <f t="shared" si="5"/>
        <v>60000000</v>
      </c>
      <c r="N62" s="86">
        <f t="shared" si="4"/>
        <v>10119.750379490639</v>
      </c>
      <c r="Q62" s="94"/>
      <c r="R62" s="94"/>
    </row>
    <row r="63" spans="1:18" ht="12.65" customHeight="1" outlineLevel="1" x14ac:dyDescent="0.35">
      <c r="A63" s="400" t="s">
        <v>712</v>
      </c>
      <c r="B63" s="92" t="s">
        <v>392</v>
      </c>
      <c r="C63" s="111">
        <v>260</v>
      </c>
      <c r="D63" s="110" t="s">
        <v>93</v>
      </c>
      <c r="E63" s="110" t="s">
        <v>289</v>
      </c>
      <c r="F63" s="102" t="s">
        <v>266</v>
      </c>
      <c r="G63" s="104"/>
      <c r="H63" s="104" t="s">
        <v>428</v>
      </c>
      <c r="I63" s="104"/>
      <c r="J63" s="93"/>
      <c r="K63" s="86"/>
      <c r="L63" s="86"/>
      <c r="M63" s="86">
        <f>M64+M65</f>
        <v>1090000000</v>
      </c>
      <c r="N63" s="105">
        <f>N64+N65</f>
        <v>183842.13189407997</v>
      </c>
      <c r="Q63" s="94"/>
      <c r="R63" s="94"/>
    </row>
    <row r="64" spans="1:18" ht="12.65" customHeight="1" outlineLevel="1" x14ac:dyDescent="0.35">
      <c r="A64" s="400" t="s">
        <v>713</v>
      </c>
      <c r="B64" s="92" t="s">
        <v>392</v>
      </c>
      <c r="C64" s="111">
        <v>260</v>
      </c>
      <c r="D64" s="92"/>
      <c r="E64" s="92"/>
      <c r="F64" s="116" t="s">
        <v>397</v>
      </c>
      <c r="G64" s="93">
        <f>G65</f>
        <v>250</v>
      </c>
      <c r="H64" s="93" t="s">
        <v>428</v>
      </c>
      <c r="I64" s="93">
        <v>1</v>
      </c>
      <c r="J64" s="93" t="s">
        <v>219</v>
      </c>
      <c r="K64" s="86">
        <v>360000</v>
      </c>
      <c r="L64" s="86"/>
      <c r="M64" s="86">
        <f>(G64*I64*K64)+L64</f>
        <v>90000000</v>
      </c>
      <c r="N64" s="86">
        <f>+M64/$N$3</f>
        <v>15179.625569235959</v>
      </c>
      <c r="Q64" s="94"/>
      <c r="R64" s="94"/>
    </row>
    <row r="65" spans="1:54" s="88" customFormat="1" ht="12.65" customHeight="1" outlineLevel="1" x14ac:dyDescent="0.35">
      <c r="A65" s="400" t="s">
        <v>714</v>
      </c>
      <c r="B65" s="103" t="s">
        <v>392</v>
      </c>
      <c r="C65" s="111">
        <v>260</v>
      </c>
      <c r="D65" s="103"/>
      <c r="E65" s="103"/>
      <c r="F65" s="228" t="s">
        <v>114</v>
      </c>
      <c r="G65" s="104">
        <v>250</v>
      </c>
      <c r="H65" s="104" t="s">
        <v>248</v>
      </c>
      <c r="I65" s="104">
        <v>1</v>
      </c>
      <c r="J65" s="104" t="s">
        <v>41</v>
      </c>
      <c r="K65" s="105">
        <v>4000000</v>
      </c>
      <c r="L65" s="105"/>
      <c r="M65" s="105">
        <f>+G65*I65*K65</f>
        <v>1000000000</v>
      </c>
      <c r="N65" s="86">
        <f>+M65/$N$3</f>
        <v>168662.506324844</v>
      </c>
      <c r="O65" s="87"/>
      <c r="Q65" s="94"/>
      <c r="R65" s="94"/>
    </row>
    <row r="66" spans="1:54" ht="12.65" customHeight="1" outlineLevel="1" x14ac:dyDescent="0.35">
      <c r="A66" s="400" t="s">
        <v>715</v>
      </c>
      <c r="B66" s="92" t="s">
        <v>392</v>
      </c>
      <c r="C66" s="92">
        <v>145</v>
      </c>
      <c r="D66" s="92" t="s">
        <v>387</v>
      </c>
      <c r="E66" s="92" t="s">
        <v>91</v>
      </c>
      <c r="F66" s="101" t="s">
        <v>271</v>
      </c>
      <c r="G66" s="93">
        <v>4</v>
      </c>
      <c r="H66" s="93" t="s">
        <v>223</v>
      </c>
      <c r="I66" s="93">
        <v>4</v>
      </c>
      <c r="J66" s="93" t="s">
        <v>219</v>
      </c>
      <c r="K66" s="86">
        <v>6000000</v>
      </c>
      <c r="L66" s="86"/>
      <c r="M66" s="86">
        <f t="shared" si="5"/>
        <v>96000000</v>
      </c>
      <c r="N66" s="86">
        <f t="shared" si="4"/>
        <v>16191.600607185022</v>
      </c>
      <c r="Q66" s="94"/>
      <c r="R66" s="94"/>
    </row>
    <row r="67" spans="1:54" ht="12.65" customHeight="1" outlineLevel="1" x14ac:dyDescent="0.35">
      <c r="A67" s="400" t="s">
        <v>716</v>
      </c>
      <c r="B67" s="92" t="s">
        <v>392</v>
      </c>
      <c r="C67" s="92">
        <v>145</v>
      </c>
      <c r="D67" s="92" t="s">
        <v>387</v>
      </c>
      <c r="E67" s="92" t="s">
        <v>91</v>
      </c>
      <c r="F67" s="101" t="s">
        <v>270</v>
      </c>
      <c r="G67" s="93">
        <v>20</v>
      </c>
      <c r="H67" s="93" t="s">
        <v>223</v>
      </c>
      <c r="I67" s="93">
        <v>2</v>
      </c>
      <c r="J67" s="93" t="s">
        <v>219</v>
      </c>
      <c r="K67" s="86">
        <v>4000000</v>
      </c>
      <c r="L67" s="86"/>
      <c r="M67" s="86">
        <f t="shared" si="5"/>
        <v>160000000</v>
      </c>
      <c r="N67" s="86">
        <f t="shared" si="4"/>
        <v>26986.001011975037</v>
      </c>
      <c r="Q67" s="94"/>
      <c r="R67" s="94"/>
    </row>
    <row r="68" spans="1:54" ht="12.65" customHeight="1" outlineLevel="1" x14ac:dyDescent="0.35">
      <c r="A68" s="400" t="s">
        <v>717</v>
      </c>
      <c r="B68" s="92" t="s">
        <v>392</v>
      </c>
      <c r="C68" s="92">
        <v>145</v>
      </c>
      <c r="D68" s="92" t="s">
        <v>387</v>
      </c>
      <c r="E68" s="92" t="s">
        <v>91</v>
      </c>
      <c r="F68" s="101" t="s">
        <v>113</v>
      </c>
      <c r="G68" s="93">
        <v>3</v>
      </c>
      <c r="H68" s="93" t="s">
        <v>223</v>
      </c>
      <c r="I68" s="93">
        <v>7</v>
      </c>
      <c r="J68" s="93" t="s">
        <v>219</v>
      </c>
      <c r="K68" s="86">
        <v>7000000</v>
      </c>
      <c r="L68" s="86"/>
      <c r="M68" s="86">
        <f>+G68*I68*K68</f>
        <v>147000000</v>
      </c>
      <c r="N68" s="86">
        <f t="shared" si="4"/>
        <v>24793.388429752067</v>
      </c>
      <c r="Q68" s="94"/>
      <c r="R68" s="94"/>
    </row>
    <row r="69" spans="1:54" s="115" customFormat="1" ht="12.65" customHeight="1" outlineLevel="1" x14ac:dyDescent="0.35">
      <c r="A69" s="400" t="s">
        <v>718</v>
      </c>
      <c r="B69" s="92" t="s">
        <v>392</v>
      </c>
      <c r="C69" s="92">
        <v>145</v>
      </c>
      <c r="D69" s="92" t="s">
        <v>387</v>
      </c>
      <c r="E69" s="92" t="s">
        <v>91</v>
      </c>
      <c r="F69" s="101" t="s">
        <v>155</v>
      </c>
      <c r="G69" s="93">
        <v>20</v>
      </c>
      <c r="H69" s="93" t="s">
        <v>223</v>
      </c>
      <c r="I69" s="93">
        <v>4</v>
      </c>
      <c r="J69" s="93" t="s">
        <v>219</v>
      </c>
      <c r="K69" s="86">
        <v>4000000</v>
      </c>
      <c r="L69" s="86"/>
      <c r="M69" s="86">
        <f t="shared" si="5"/>
        <v>320000000</v>
      </c>
      <c r="N69" s="86">
        <f t="shared" si="4"/>
        <v>53972.002023950074</v>
      </c>
      <c r="O69" s="87"/>
      <c r="P69" s="88"/>
      <c r="Q69" s="94"/>
      <c r="R69" s="94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</row>
    <row r="70" spans="1:54" s="100" customFormat="1" ht="12.65" customHeight="1" x14ac:dyDescent="0.35">
      <c r="A70" s="401" t="s">
        <v>653</v>
      </c>
      <c r="B70" s="96" t="s">
        <v>392</v>
      </c>
      <c r="C70" s="96"/>
      <c r="D70" s="96"/>
      <c r="E70" s="96"/>
      <c r="F70" s="95" t="s">
        <v>564</v>
      </c>
      <c r="G70" s="97"/>
      <c r="H70" s="97"/>
      <c r="I70" s="97"/>
      <c r="J70" s="97"/>
      <c r="K70" s="98"/>
      <c r="L70" s="98"/>
      <c r="M70" s="98">
        <f>SUM(M71:M73)</f>
        <v>2109876153</v>
      </c>
      <c r="N70" s="98">
        <f>SUM(N71:N73)</f>
        <v>355857</v>
      </c>
      <c r="O70" s="87"/>
      <c r="P70" s="99"/>
      <c r="Q70" s="94"/>
      <c r="R70" s="94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  <c r="AX70" s="99"/>
      <c r="AY70" s="99"/>
      <c r="AZ70" s="99"/>
      <c r="BA70" s="99"/>
      <c r="BB70" s="99"/>
    </row>
    <row r="71" spans="1:54" ht="12.65" customHeight="1" outlineLevel="1" x14ac:dyDescent="0.35">
      <c r="A71" s="400" t="s">
        <v>676</v>
      </c>
      <c r="B71" s="92" t="s">
        <v>392</v>
      </c>
      <c r="C71" s="92">
        <v>145</v>
      </c>
      <c r="D71" s="92" t="s">
        <v>387</v>
      </c>
      <c r="E71" s="92" t="s">
        <v>91</v>
      </c>
      <c r="F71" s="101" t="s">
        <v>274</v>
      </c>
      <c r="G71" s="93">
        <v>1</v>
      </c>
      <c r="H71" s="93" t="s">
        <v>428</v>
      </c>
      <c r="I71" s="93">
        <v>3</v>
      </c>
      <c r="J71" s="93" t="s">
        <v>219</v>
      </c>
      <c r="K71" s="86">
        <v>118580000</v>
      </c>
      <c r="L71" s="86"/>
      <c r="M71" s="86">
        <f>+G71*K71</f>
        <v>118580000</v>
      </c>
      <c r="N71" s="86">
        <f t="shared" si="4"/>
        <v>20000</v>
      </c>
      <c r="Q71" s="94"/>
    </row>
    <row r="72" spans="1:54" ht="12.65" customHeight="1" outlineLevel="1" x14ac:dyDescent="0.35">
      <c r="A72" s="400" t="s">
        <v>677</v>
      </c>
      <c r="B72" s="92" t="s">
        <v>392</v>
      </c>
      <c r="C72" s="92">
        <v>260</v>
      </c>
      <c r="D72" s="92" t="s">
        <v>389</v>
      </c>
      <c r="E72" s="92" t="s">
        <v>96</v>
      </c>
      <c r="F72" s="101" t="s">
        <v>275</v>
      </c>
      <c r="G72" s="93"/>
      <c r="H72" s="93" t="s">
        <v>428</v>
      </c>
      <c r="I72" s="93">
        <v>6</v>
      </c>
      <c r="J72" s="93" t="s">
        <v>219</v>
      </c>
      <c r="K72" s="86"/>
      <c r="L72" s="86"/>
      <c r="M72" s="86">
        <f>315857*N3</f>
        <v>1872716153</v>
      </c>
      <c r="N72" s="86">
        <f t="shared" si="4"/>
        <v>315857</v>
      </c>
      <c r="Q72" s="94"/>
    </row>
    <row r="73" spans="1:54" ht="12.65" customHeight="1" outlineLevel="1" x14ac:dyDescent="0.35">
      <c r="A73" s="400" t="s">
        <v>678</v>
      </c>
      <c r="B73" s="92" t="s">
        <v>392</v>
      </c>
      <c r="C73" s="92">
        <v>145</v>
      </c>
      <c r="D73" s="92" t="s">
        <v>387</v>
      </c>
      <c r="E73" s="92" t="s">
        <v>91</v>
      </c>
      <c r="F73" s="101" t="s">
        <v>277</v>
      </c>
      <c r="G73" s="93">
        <v>1</v>
      </c>
      <c r="H73" s="93" t="s">
        <v>428</v>
      </c>
      <c r="I73" s="93">
        <v>3</v>
      </c>
      <c r="J73" s="93" t="s">
        <v>219</v>
      </c>
      <c r="K73" s="86">
        <v>118580000</v>
      </c>
      <c r="L73" s="86"/>
      <c r="M73" s="86">
        <f>+G71*K73</f>
        <v>118580000</v>
      </c>
      <c r="N73" s="86">
        <f>+M73/$N$3</f>
        <v>20000</v>
      </c>
      <c r="Q73" s="94"/>
    </row>
    <row r="74" spans="1:54" s="100" customFormat="1" ht="12.65" customHeight="1" x14ac:dyDescent="0.35">
      <c r="A74" s="401" t="s">
        <v>652</v>
      </c>
      <c r="B74" s="96" t="s">
        <v>392</v>
      </c>
      <c r="C74" s="96"/>
      <c r="D74" s="96"/>
      <c r="E74" s="96"/>
      <c r="F74" s="95" t="s">
        <v>441</v>
      </c>
      <c r="G74" s="97"/>
      <c r="H74" s="97"/>
      <c r="I74" s="97"/>
      <c r="J74" s="97"/>
      <c r="K74" s="98"/>
      <c r="L74" s="98"/>
      <c r="M74" s="98">
        <f>SUM(M75:M78)</f>
        <v>210000000</v>
      </c>
      <c r="N74" s="98">
        <f>SUM(N75:N79)</f>
        <v>119750.37949063923</v>
      </c>
      <c r="O74" s="87"/>
      <c r="P74" s="99"/>
      <c r="Q74" s="94"/>
      <c r="R74" s="94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  <c r="AK74" s="99"/>
      <c r="AL74" s="99"/>
      <c r="AM74" s="99"/>
      <c r="AN74" s="99"/>
      <c r="AO74" s="99"/>
      <c r="AP74" s="99"/>
      <c r="AQ74" s="99"/>
      <c r="AR74" s="99"/>
      <c r="AS74" s="99"/>
      <c r="AT74" s="99"/>
      <c r="AU74" s="99"/>
      <c r="AV74" s="99"/>
      <c r="AW74" s="99"/>
      <c r="AX74" s="99"/>
      <c r="AY74" s="99"/>
      <c r="AZ74" s="99"/>
      <c r="BA74" s="99"/>
      <c r="BB74" s="99"/>
    </row>
    <row r="75" spans="1:54" ht="12.65" customHeight="1" outlineLevel="1" x14ac:dyDescent="0.35">
      <c r="A75" s="400" t="s">
        <v>720</v>
      </c>
      <c r="B75" s="92" t="s">
        <v>392</v>
      </c>
      <c r="C75" s="92">
        <v>145</v>
      </c>
      <c r="D75" s="92" t="s">
        <v>387</v>
      </c>
      <c r="E75" s="92" t="s">
        <v>91</v>
      </c>
      <c r="F75" s="101" t="s">
        <v>156</v>
      </c>
      <c r="G75" s="93">
        <v>2</v>
      </c>
      <c r="H75" s="93" t="s">
        <v>223</v>
      </c>
      <c r="I75" s="93">
        <v>6</v>
      </c>
      <c r="J75" s="93" t="s">
        <v>219</v>
      </c>
      <c r="K75" s="86">
        <v>7000000</v>
      </c>
      <c r="L75" s="86"/>
      <c r="M75" s="86">
        <f>+G75*I75*K75</f>
        <v>84000000</v>
      </c>
      <c r="N75" s="86">
        <f t="shared" si="4"/>
        <v>14167.650531286896</v>
      </c>
      <c r="Q75" s="94"/>
    </row>
    <row r="76" spans="1:54" ht="12.65" customHeight="1" outlineLevel="1" x14ac:dyDescent="0.35">
      <c r="A76" s="400" t="s">
        <v>722</v>
      </c>
      <c r="B76" s="92" t="s">
        <v>392</v>
      </c>
      <c r="C76" s="92">
        <v>145</v>
      </c>
      <c r="D76" s="92" t="s">
        <v>387</v>
      </c>
      <c r="E76" s="92" t="s">
        <v>91</v>
      </c>
      <c r="F76" s="101" t="s">
        <v>273</v>
      </c>
      <c r="G76" s="93">
        <v>1</v>
      </c>
      <c r="H76" s="93" t="s">
        <v>225</v>
      </c>
      <c r="I76" s="93">
        <v>6</v>
      </c>
      <c r="J76" s="93" t="s">
        <v>219</v>
      </c>
      <c r="K76" s="86">
        <v>10000000</v>
      </c>
      <c r="L76" s="86"/>
      <c r="M76" s="86">
        <f>+G76*I76*K76</f>
        <v>60000000</v>
      </c>
      <c r="N76" s="86">
        <f t="shared" ref="N76" si="6">+M76/$N$3</f>
        <v>10119.750379490639</v>
      </c>
      <c r="Q76" s="94"/>
    </row>
    <row r="77" spans="1:54" ht="12.65" customHeight="1" outlineLevel="1" x14ac:dyDescent="0.35">
      <c r="A77" s="400" t="s">
        <v>721</v>
      </c>
      <c r="B77" s="92" t="s">
        <v>392</v>
      </c>
      <c r="C77" s="92">
        <v>145</v>
      </c>
      <c r="D77" s="92" t="s">
        <v>387</v>
      </c>
      <c r="E77" s="92" t="s">
        <v>91</v>
      </c>
      <c r="F77" s="101" t="s">
        <v>258</v>
      </c>
      <c r="G77" s="93">
        <v>1</v>
      </c>
      <c r="H77" s="93" t="s">
        <v>225</v>
      </c>
      <c r="I77" s="93">
        <v>3</v>
      </c>
      <c r="J77" s="93" t="s">
        <v>219</v>
      </c>
      <c r="K77" s="86">
        <v>14000000</v>
      </c>
      <c r="L77" s="86"/>
      <c r="M77" s="86">
        <f>+G77*I77*K77</f>
        <v>42000000</v>
      </c>
      <c r="N77" s="86">
        <f>+M77/$N$3</f>
        <v>7083.8252656434479</v>
      </c>
      <c r="Q77" s="94"/>
    </row>
    <row r="78" spans="1:54" ht="12.65" customHeight="1" outlineLevel="1" x14ac:dyDescent="0.35">
      <c r="A78" s="400" t="s">
        <v>723</v>
      </c>
      <c r="B78" s="92" t="s">
        <v>392</v>
      </c>
      <c r="C78" s="92">
        <v>145</v>
      </c>
      <c r="D78" s="92" t="s">
        <v>387</v>
      </c>
      <c r="E78" s="92" t="s">
        <v>91</v>
      </c>
      <c r="F78" s="101" t="s">
        <v>254</v>
      </c>
      <c r="G78" s="93">
        <v>1</v>
      </c>
      <c r="H78" s="93" t="s">
        <v>225</v>
      </c>
      <c r="I78" s="93">
        <v>3</v>
      </c>
      <c r="J78" s="93" t="s">
        <v>219</v>
      </c>
      <c r="K78" s="86">
        <v>8000000</v>
      </c>
      <c r="L78" s="86"/>
      <c r="M78" s="86">
        <f>+G78*I78*K78</f>
        <v>24000000</v>
      </c>
      <c r="N78" s="86">
        <f>+M78/$N$3</f>
        <v>4047.9001517962556</v>
      </c>
      <c r="Q78" s="94"/>
    </row>
    <row r="79" spans="1:54" ht="12.65" customHeight="1" outlineLevel="1" x14ac:dyDescent="0.35">
      <c r="A79" s="400" t="s">
        <v>724</v>
      </c>
      <c r="B79" s="92" t="s">
        <v>392</v>
      </c>
      <c r="C79" s="103">
        <v>260</v>
      </c>
      <c r="D79" s="92" t="s">
        <v>93</v>
      </c>
      <c r="E79" s="92" t="s">
        <v>433</v>
      </c>
      <c r="F79" s="102" t="s">
        <v>276</v>
      </c>
      <c r="G79" s="93">
        <v>5000</v>
      </c>
      <c r="H79" s="93" t="s">
        <v>228</v>
      </c>
      <c r="I79" s="93">
        <v>1</v>
      </c>
      <c r="J79" s="93" t="s">
        <v>41</v>
      </c>
      <c r="K79" s="86">
        <v>100000</v>
      </c>
      <c r="L79" s="86"/>
      <c r="M79" s="86">
        <f>+G79*I79*K79</f>
        <v>500000000</v>
      </c>
      <c r="N79" s="86">
        <f>+M79/$N$3</f>
        <v>84331.253162421999</v>
      </c>
      <c r="Q79" s="94"/>
    </row>
    <row r="80" spans="1:54" s="124" customFormat="1" ht="12.65" customHeight="1" x14ac:dyDescent="0.35">
      <c r="A80" s="399">
        <v>2</v>
      </c>
      <c r="B80" s="82" t="s">
        <v>393</v>
      </c>
      <c r="C80" s="82"/>
      <c r="D80" s="82"/>
      <c r="E80" s="82"/>
      <c r="F80" s="80" t="s">
        <v>157</v>
      </c>
      <c r="G80" s="83"/>
      <c r="H80" s="83"/>
      <c r="I80" s="83"/>
      <c r="J80" s="83"/>
      <c r="K80" s="84"/>
      <c r="L80" s="84"/>
      <c r="M80" s="85">
        <f>M81+M142+M146+M158</f>
        <v>21002150000</v>
      </c>
      <c r="N80" s="85">
        <f>N81+N142+N146+N158</f>
        <v>3669420.1354359938</v>
      </c>
      <c r="O80" s="122">
        <f>N80/$N$173</f>
        <v>0.24462801415625593</v>
      </c>
      <c r="P80" s="123"/>
      <c r="Q80" s="125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123"/>
      <c r="AH80" s="123"/>
      <c r="AI80" s="123"/>
      <c r="AJ80" s="123"/>
      <c r="AK80" s="123"/>
      <c r="AL80" s="123"/>
      <c r="AM80" s="123"/>
      <c r="AN80" s="123"/>
      <c r="AO80" s="123"/>
      <c r="AP80" s="123"/>
      <c r="AQ80" s="123"/>
      <c r="AR80" s="123"/>
      <c r="AS80" s="123"/>
      <c r="AT80" s="123"/>
      <c r="AU80" s="123"/>
      <c r="AV80" s="123"/>
      <c r="AW80" s="123"/>
      <c r="AX80" s="123"/>
      <c r="AY80" s="123"/>
      <c r="AZ80" s="123"/>
      <c r="BA80" s="123"/>
      <c r="BB80" s="123"/>
    </row>
    <row r="81" spans="1:54" s="100" customFormat="1" ht="12.65" customHeight="1" x14ac:dyDescent="0.35">
      <c r="A81" s="401" t="s">
        <v>654</v>
      </c>
      <c r="B81" s="96" t="s">
        <v>392</v>
      </c>
      <c r="C81" s="96"/>
      <c r="D81" s="96"/>
      <c r="E81" s="96"/>
      <c r="F81" s="95" t="s">
        <v>565</v>
      </c>
      <c r="G81" s="97"/>
      <c r="H81" s="97"/>
      <c r="I81" s="97"/>
      <c r="J81" s="97"/>
      <c r="K81" s="98"/>
      <c r="L81" s="98"/>
      <c r="M81" s="98">
        <f>M82+M87+M90+M95+M100+M130+M133</f>
        <v>14552954000</v>
      </c>
      <c r="N81" s="98">
        <f>N82+N87+N90+N95+N100+N130+N133+N138+N140</f>
        <v>2581682.5742958346</v>
      </c>
      <c r="O81" s="87"/>
      <c r="P81" s="99"/>
      <c r="Q81" s="94"/>
      <c r="R81" s="94"/>
      <c r="S81" s="99"/>
      <c r="T81" s="99"/>
      <c r="U81" s="99"/>
      <c r="V81" s="99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99"/>
      <c r="AO81" s="99"/>
      <c r="AP81" s="99"/>
      <c r="AQ81" s="99"/>
      <c r="AR81" s="99"/>
      <c r="AS81" s="99"/>
      <c r="AT81" s="99"/>
      <c r="AU81" s="99"/>
      <c r="AV81" s="99"/>
      <c r="AW81" s="99"/>
      <c r="AX81" s="99"/>
      <c r="AY81" s="99"/>
      <c r="AZ81" s="99"/>
      <c r="BA81" s="99"/>
      <c r="BB81" s="99"/>
    </row>
    <row r="82" spans="1:54" s="88" customFormat="1" ht="12.65" customHeight="1" outlineLevel="1" x14ac:dyDescent="0.35">
      <c r="A82" s="403" t="s">
        <v>725</v>
      </c>
      <c r="B82" s="106"/>
      <c r="C82" s="106"/>
      <c r="D82" s="106"/>
      <c r="E82" s="106"/>
      <c r="F82" s="226" t="s">
        <v>442</v>
      </c>
      <c r="G82" s="107"/>
      <c r="H82" s="107"/>
      <c r="I82" s="107"/>
      <c r="J82" s="107"/>
      <c r="K82" s="108"/>
      <c r="L82" s="108"/>
      <c r="M82" s="108">
        <f>SUM(M83:M86)</f>
        <v>415030000</v>
      </c>
      <c r="N82" s="108">
        <f>SUM(N83:N86)</f>
        <v>70000</v>
      </c>
      <c r="O82" s="87"/>
      <c r="Q82" s="94"/>
      <c r="R82" s="94"/>
    </row>
    <row r="83" spans="1:54" ht="12.65" customHeight="1" outlineLevel="1" x14ac:dyDescent="0.35">
      <c r="A83" s="400" t="s">
        <v>726</v>
      </c>
      <c r="B83" s="92" t="s">
        <v>392</v>
      </c>
      <c r="C83" s="92">
        <v>145</v>
      </c>
      <c r="D83" s="92" t="s">
        <v>386</v>
      </c>
      <c r="E83" s="92" t="s">
        <v>91</v>
      </c>
      <c r="F83" s="101" t="s">
        <v>410</v>
      </c>
      <c r="G83" s="93">
        <v>1</v>
      </c>
      <c r="H83" s="93" t="s">
        <v>411</v>
      </c>
      <c r="I83" s="93">
        <v>90</v>
      </c>
      <c r="J83" s="93" t="s">
        <v>145</v>
      </c>
      <c r="K83" s="86" t="s">
        <v>8</v>
      </c>
      <c r="L83" s="86"/>
      <c r="M83" s="86">
        <f>N83*$N$3</f>
        <v>148225000</v>
      </c>
      <c r="N83" s="105">
        <v>25000</v>
      </c>
      <c r="Q83" s="94"/>
      <c r="R83" s="94"/>
    </row>
    <row r="84" spans="1:54" ht="12.65" customHeight="1" outlineLevel="1" x14ac:dyDescent="0.35">
      <c r="A84" s="400" t="s">
        <v>727</v>
      </c>
      <c r="B84" s="92" t="s">
        <v>392</v>
      </c>
      <c r="C84" s="92">
        <v>145</v>
      </c>
      <c r="D84" s="92" t="s">
        <v>387</v>
      </c>
      <c r="E84" s="92" t="s">
        <v>91</v>
      </c>
      <c r="F84" s="101" t="s">
        <v>444</v>
      </c>
      <c r="G84" s="93">
        <v>1</v>
      </c>
      <c r="H84" s="93" t="s">
        <v>411</v>
      </c>
      <c r="I84" s="93">
        <v>40</v>
      </c>
      <c r="J84" s="93" t="s">
        <v>145</v>
      </c>
      <c r="K84" s="86" t="s">
        <v>9</v>
      </c>
      <c r="L84" s="86"/>
      <c r="M84" s="86">
        <f t="shared" ref="M84:M86" si="7">N84*$N$3</f>
        <v>88935000</v>
      </c>
      <c r="N84" s="105">
        <v>15000</v>
      </c>
      <c r="Q84" s="94"/>
      <c r="R84" s="94"/>
    </row>
    <row r="85" spans="1:54" ht="12.65" customHeight="1" outlineLevel="1" x14ac:dyDescent="0.35">
      <c r="A85" s="400" t="s">
        <v>728</v>
      </c>
      <c r="B85" s="92" t="s">
        <v>392</v>
      </c>
      <c r="C85" s="92">
        <v>145</v>
      </c>
      <c r="D85" s="92" t="s">
        <v>387</v>
      </c>
      <c r="E85" s="92" t="s">
        <v>91</v>
      </c>
      <c r="F85" s="101" t="s">
        <v>259</v>
      </c>
      <c r="G85" s="93">
        <v>1</v>
      </c>
      <c r="H85" s="93" t="s">
        <v>411</v>
      </c>
      <c r="I85" s="93">
        <v>45</v>
      </c>
      <c r="J85" s="93" t="s">
        <v>145</v>
      </c>
      <c r="K85" s="86" t="s">
        <v>9</v>
      </c>
      <c r="L85" s="86"/>
      <c r="M85" s="86">
        <f t="shared" si="7"/>
        <v>88935000</v>
      </c>
      <c r="N85" s="105">
        <v>15000</v>
      </c>
      <c r="Q85" s="94"/>
      <c r="R85" s="94"/>
      <c r="V85" s="88" t="s">
        <v>427</v>
      </c>
    </row>
    <row r="86" spans="1:54" ht="12.65" customHeight="1" outlineLevel="1" x14ac:dyDescent="0.35">
      <c r="A86" s="400" t="s">
        <v>729</v>
      </c>
      <c r="B86" s="92" t="s">
        <v>392</v>
      </c>
      <c r="C86" s="92">
        <v>145</v>
      </c>
      <c r="D86" s="92" t="s">
        <v>387</v>
      </c>
      <c r="E86" s="92" t="s">
        <v>91</v>
      </c>
      <c r="F86" s="101" t="s">
        <v>260</v>
      </c>
      <c r="G86" s="93">
        <v>1</v>
      </c>
      <c r="H86" s="93" t="s">
        <v>411</v>
      </c>
      <c r="I86" s="93">
        <v>40</v>
      </c>
      <c r="J86" s="93" t="s">
        <v>145</v>
      </c>
      <c r="K86" s="86" t="s">
        <v>9</v>
      </c>
      <c r="L86" s="86"/>
      <c r="M86" s="86">
        <f t="shared" si="7"/>
        <v>88935000</v>
      </c>
      <c r="N86" s="105">
        <v>15000</v>
      </c>
      <c r="Q86" s="94"/>
      <c r="R86" s="94"/>
    </row>
    <row r="87" spans="1:54" s="88" customFormat="1" ht="12.65" customHeight="1" outlineLevel="1" x14ac:dyDescent="0.35">
      <c r="A87" s="403" t="s">
        <v>730</v>
      </c>
      <c r="B87" s="106"/>
      <c r="C87" s="106"/>
      <c r="D87" s="106"/>
      <c r="E87" s="106"/>
      <c r="F87" s="226" t="s">
        <v>443</v>
      </c>
      <c r="G87" s="107">
        <v>7</v>
      </c>
      <c r="H87" s="107"/>
      <c r="I87" s="107">
        <v>1</v>
      </c>
      <c r="J87" s="107"/>
      <c r="K87" s="108">
        <v>29645000</v>
      </c>
      <c r="L87" s="108"/>
      <c r="M87" s="108">
        <f>+G87*I87*K87</f>
        <v>207515000</v>
      </c>
      <c r="N87" s="108">
        <f>SUM(N88:N89)</f>
        <v>65419.126328217237</v>
      </c>
      <c r="O87" s="87"/>
      <c r="Q87" s="94"/>
      <c r="R87" s="94"/>
    </row>
    <row r="88" spans="1:54" ht="12.65" customHeight="1" outlineLevel="1" x14ac:dyDescent="0.35">
      <c r="A88" s="400" t="s">
        <v>732</v>
      </c>
      <c r="B88" s="92" t="s">
        <v>393</v>
      </c>
      <c r="C88" s="92">
        <v>145</v>
      </c>
      <c r="D88" s="92" t="s">
        <v>387</v>
      </c>
      <c r="E88" s="92" t="s">
        <v>286</v>
      </c>
      <c r="F88" s="101" t="s">
        <v>413</v>
      </c>
      <c r="G88" s="93">
        <v>1</v>
      </c>
      <c r="H88" s="93" t="s">
        <v>225</v>
      </c>
      <c r="I88" s="93">
        <v>40</v>
      </c>
      <c r="J88" s="93" t="s">
        <v>145</v>
      </c>
      <c r="K88" s="86" t="s">
        <v>7</v>
      </c>
      <c r="L88" s="86"/>
      <c r="M88" s="86">
        <f>N88*$N$3</f>
        <v>177870000</v>
      </c>
      <c r="N88" s="105">
        <v>30000</v>
      </c>
      <c r="Q88" s="94"/>
    </row>
    <row r="89" spans="1:54" ht="12.65" customHeight="1" outlineLevel="1" x14ac:dyDescent="0.35">
      <c r="A89" s="400" t="s">
        <v>733</v>
      </c>
      <c r="B89" s="92" t="s">
        <v>393</v>
      </c>
      <c r="C89" s="92">
        <v>230</v>
      </c>
      <c r="D89" s="92" t="s">
        <v>93</v>
      </c>
      <c r="E89" s="92" t="s">
        <v>433</v>
      </c>
      <c r="F89" s="102" t="s">
        <v>414</v>
      </c>
      <c r="G89" s="93">
        <v>7</v>
      </c>
      <c r="H89" s="93" t="s">
        <v>223</v>
      </c>
      <c r="I89" s="93">
        <v>1</v>
      </c>
      <c r="J89" s="93" t="s">
        <v>279</v>
      </c>
      <c r="K89" s="86">
        <v>30000000</v>
      </c>
      <c r="L89" s="86"/>
      <c r="M89" s="86">
        <f>G89*I89*K89</f>
        <v>210000000</v>
      </c>
      <c r="N89" s="105">
        <f t="shared" ref="N89" si="8">+M89/$N$3</f>
        <v>35419.126328217237</v>
      </c>
      <c r="Q89" s="94"/>
    </row>
    <row r="90" spans="1:54" ht="12.65" customHeight="1" outlineLevel="1" x14ac:dyDescent="0.35">
      <c r="A90" s="403" t="s">
        <v>734</v>
      </c>
      <c r="B90" s="106" t="s">
        <v>393</v>
      </c>
      <c r="C90" s="106"/>
      <c r="D90" s="106" t="s">
        <v>429</v>
      </c>
      <c r="E90" s="106" t="s">
        <v>94</v>
      </c>
      <c r="F90" s="226" t="s">
        <v>252</v>
      </c>
      <c r="G90" s="107"/>
      <c r="H90" s="107"/>
      <c r="I90" s="107"/>
      <c r="J90" s="107"/>
      <c r="K90" s="108"/>
      <c r="L90" s="108"/>
      <c r="M90" s="108">
        <f>SUM(M91:M94)</f>
        <v>211000000</v>
      </c>
      <c r="N90" s="108">
        <f>SUM(N91:N94)</f>
        <v>35587.78883454208</v>
      </c>
      <c r="Q90" s="94"/>
    </row>
    <row r="91" spans="1:54" ht="12.65" customHeight="1" outlineLevel="1" x14ac:dyDescent="0.35">
      <c r="A91" s="400" t="s">
        <v>739</v>
      </c>
      <c r="B91" s="92" t="s">
        <v>393</v>
      </c>
      <c r="C91" s="92"/>
      <c r="D91" s="92"/>
      <c r="E91" s="92"/>
      <c r="F91" s="101" t="s">
        <v>59</v>
      </c>
      <c r="G91" s="93"/>
      <c r="H91" s="93"/>
      <c r="I91" s="93"/>
      <c r="J91" s="93"/>
      <c r="K91" s="86"/>
      <c r="L91" s="86"/>
      <c r="M91" s="86"/>
      <c r="N91" s="86">
        <f>+M91/$N$3</f>
        <v>0</v>
      </c>
      <c r="Q91" s="94"/>
    </row>
    <row r="92" spans="1:54" ht="12.65" customHeight="1" outlineLevel="1" x14ac:dyDescent="0.35">
      <c r="A92" s="400" t="s">
        <v>814</v>
      </c>
      <c r="B92" s="92" t="s">
        <v>393</v>
      </c>
      <c r="C92" s="92">
        <v>520</v>
      </c>
      <c r="D92" s="92"/>
      <c r="E92" s="92"/>
      <c r="F92" s="116" t="s">
        <v>60</v>
      </c>
      <c r="G92" s="93">
        <v>900</v>
      </c>
      <c r="H92" s="93" t="s">
        <v>62</v>
      </c>
      <c r="I92" s="93"/>
      <c r="J92" s="93" t="s">
        <v>220</v>
      </c>
      <c r="K92" s="86">
        <v>50000</v>
      </c>
      <c r="L92" s="86"/>
      <c r="M92" s="86">
        <f t="shared" ref="M92:M101" si="9">+G92*K92</f>
        <v>45000000</v>
      </c>
      <c r="N92" s="86">
        <f t="shared" ref="N92:N129" si="10">+M92/$N$3</f>
        <v>7589.8127846179796</v>
      </c>
      <c r="Q92" s="94"/>
    </row>
    <row r="93" spans="1:54" ht="12.65" customHeight="1" outlineLevel="1" x14ac:dyDescent="0.35">
      <c r="A93" s="400" t="s">
        <v>815</v>
      </c>
      <c r="B93" s="92" t="s">
        <v>393</v>
      </c>
      <c r="C93" s="92">
        <v>520</v>
      </c>
      <c r="D93" s="92"/>
      <c r="E93" s="92"/>
      <c r="F93" s="116" t="s">
        <v>61</v>
      </c>
      <c r="G93" s="93">
        <v>8</v>
      </c>
      <c r="H93" s="93" t="s">
        <v>63</v>
      </c>
      <c r="I93" s="93"/>
      <c r="J93" s="93" t="s">
        <v>220</v>
      </c>
      <c r="K93" s="86">
        <v>2000000</v>
      </c>
      <c r="L93" s="86"/>
      <c r="M93" s="86">
        <f t="shared" si="9"/>
        <v>16000000</v>
      </c>
      <c r="N93" s="86">
        <f t="shared" si="10"/>
        <v>2698.6001011975036</v>
      </c>
      <c r="Q93" s="94"/>
    </row>
    <row r="94" spans="1:54" ht="12.65" customHeight="1" outlineLevel="1" x14ac:dyDescent="0.35">
      <c r="A94" s="400" t="s">
        <v>816</v>
      </c>
      <c r="B94" s="92" t="s">
        <v>393</v>
      </c>
      <c r="C94" s="92">
        <v>520</v>
      </c>
      <c r="D94" s="92"/>
      <c r="E94" s="92"/>
      <c r="F94" s="116" t="s">
        <v>70</v>
      </c>
      <c r="G94" s="104">
        <v>1</v>
      </c>
      <c r="H94" s="104" t="s">
        <v>232</v>
      </c>
      <c r="I94" s="104"/>
      <c r="J94" s="104" t="s">
        <v>220</v>
      </c>
      <c r="K94" s="105">
        <v>150000000</v>
      </c>
      <c r="L94" s="105"/>
      <c r="M94" s="105">
        <f t="shared" si="9"/>
        <v>150000000</v>
      </c>
      <c r="N94" s="105">
        <f t="shared" si="10"/>
        <v>25299.3759487266</v>
      </c>
      <c r="Q94" s="94"/>
    </row>
    <row r="95" spans="1:54" ht="12.65" customHeight="1" outlineLevel="1" x14ac:dyDescent="0.35">
      <c r="A95" s="403" t="s">
        <v>738</v>
      </c>
      <c r="B95" s="106" t="s">
        <v>393</v>
      </c>
      <c r="C95" s="106"/>
      <c r="D95" s="106" t="s">
        <v>424</v>
      </c>
      <c r="E95" s="106" t="s">
        <v>433</v>
      </c>
      <c r="F95" s="226" t="s">
        <v>255</v>
      </c>
      <c r="G95" s="107"/>
      <c r="H95" s="107"/>
      <c r="I95" s="107"/>
      <c r="J95" s="107"/>
      <c r="K95" s="108"/>
      <c r="L95" s="108"/>
      <c r="M95" s="108">
        <f>SUM(M96:M99)</f>
        <v>192000000</v>
      </c>
      <c r="N95" s="108">
        <f>SUM(N96:N99)</f>
        <v>32383.201214370049</v>
      </c>
      <c r="Q95" s="94"/>
    </row>
    <row r="96" spans="1:54" ht="12.65" customHeight="1" outlineLevel="1" x14ac:dyDescent="0.35">
      <c r="A96" s="400" t="s">
        <v>740</v>
      </c>
      <c r="B96" s="92" t="s">
        <v>393</v>
      </c>
      <c r="C96" s="92">
        <v>540</v>
      </c>
      <c r="D96" s="92"/>
      <c r="E96" s="92"/>
      <c r="F96" s="101" t="s">
        <v>231</v>
      </c>
      <c r="G96" s="93">
        <v>20</v>
      </c>
      <c r="H96" s="93" t="s">
        <v>229</v>
      </c>
      <c r="I96" s="93"/>
      <c r="J96" s="93" t="s">
        <v>220</v>
      </c>
      <c r="K96" s="86">
        <v>3000000</v>
      </c>
      <c r="L96" s="86"/>
      <c r="M96" s="86">
        <f t="shared" si="9"/>
        <v>60000000</v>
      </c>
      <c r="N96" s="86">
        <f t="shared" si="10"/>
        <v>10119.750379490639</v>
      </c>
      <c r="Q96" s="94"/>
    </row>
    <row r="97" spans="1:17" ht="12.65" customHeight="1" outlineLevel="1" x14ac:dyDescent="0.35">
      <c r="A97" s="400" t="s">
        <v>741</v>
      </c>
      <c r="B97" s="92" t="s">
        <v>393</v>
      </c>
      <c r="C97" s="92">
        <v>540</v>
      </c>
      <c r="D97" s="92"/>
      <c r="E97" s="92"/>
      <c r="F97" s="101" t="s">
        <v>58</v>
      </c>
      <c r="G97" s="93">
        <v>20</v>
      </c>
      <c r="H97" s="93" t="s">
        <v>229</v>
      </c>
      <c r="I97" s="93"/>
      <c r="J97" s="93" t="s">
        <v>220</v>
      </c>
      <c r="K97" s="86">
        <v>1500000</v>
      </c>
      <c r="L97" s="86"/>
      <c r="M97" s="86">
        <f t="shared" si="9"/>
        <v>30000000</v>
      </c>
      <c r="N97" s="86">
        <f t="shared" si="10"/>
        <v>5059.8751897453194</v>
      </c>
      <c r="Q97" s="94"/>
    </row>
    <row r="98" spans="1:17" ht="12.65" customHeight="1" outlineLevel="1" x14ac:dyDescent="0.35">
      <c r="A98" s="400" t="s">
        <v>742</v>
      </c>
      <c r="B98" s="92" t="s">
        <v>393</v>
      </c>
      <c r="C98" s="92">
        <v>540</v>
      </c>
      <c r="D98" s="92"/>
      <c r="E98" s="92"/>
      <c r="F98" s="101" t="s">
        <v>57</v>
      </c>
      <c r="G98" s="93">
        <v>60</v>
      </c>
      <c r="H98" s="93" t="s">
        <v>229</v>
      </c>
      <c r="I98" s="93"/>
      <c r="J98" s="93" t="s">
        <v>220</v>
      </c>
      <c r="K98" s="86">
        <v>700000</v>
      </c>
      <c r="L98" s="86"/>
      <c r="M98" s="86">
        <f t="shared" si="9"/>
        <v>42000000</v>
      </c>
      <c r="N98" s="86">
        <f t="shared" si="10"/>
        <v>7083.8252656434479</v>
      </c>
      <c r="Q98" s="94"/>
    </row>
    <row r="99" spans="1:17" ht="12.65" customHeight="1" outlineLevel="1" x14ac:dyDescent="0.35">
      <c r="A99" s="400" t="s">
        <v>743</v>
      </c>
      <c r="B99" s="92" t="s">
        <v>393</v>
      </c>
      <c r="C99" s="92">
        <v>540</v>
      </c>
      <c r="D99" s="92"/>
      <c r="E99" s="92"/>
      <c r="F99" s="101" t="s">
        <v>230</v>
      </c>
      <c r="G99" s="93">
        <v>1</v>
      </c>
      <c r="H99" s="93" t="s">
        <v>229</v>
      </c>
      <c r="I99" s="93"/>
      <c r="J99" s="93" t="s">
        <v>220</v>
      </c>
      <c r="K99" s="86">
        <v>60000000</v>
      </c>
      <c r="L99" s="86"/>
      <c r="M99" s="86">
        <f t="shared" si="9"/>
        <v>60000000</v>
      </c>
      <c r="N99" s="86">
        <f t="shared" si="10"/>
        <v>10119.750379490639</v>
      </c>
      <c r="Q99" s="94"/>
    </row>
    <row r="100" spans="1:17" ht="12.65" customHeight="1" outlineLevel="1" x14ac:dyDescent="0.35">
      <c r="A100" s="403" t="s">
        <v>736</v>
      </c>
      <c r="B100" s="106" t="s">
        <v>393</v>
      </c>
      <c r="C100" s="106"/>
      <c r="D100" s="106" t="s">
        <v>424</v>
      </c>
      <c r="E100" s="106" t="s">
        <v>289</v>
      </c>
      <c r="F100" s="226" t="s">
        <v>256</v>
      </c>
      <c r="G100" s="107"/>
      <c r="H100" s="107"/>
      <c r="I100" s="107"/>
      <c r="J100" s="107"/>
      <c r="K100" s="108"/>
      <c r="L100" s="108"/>
      <c r="M100" s="108">
        <f>SUM(M101:M129)</f>
        <v>1793960000</v>
      </c>
      <c r="N100" s="108">
        <f>SUM(N101:N129)</f>
        <v>302573.7898465172</v>
      </c>
      <c r="Q100" s="94"/>
    </row>
    <row r="101" spans="1:17" ht="12.65" customHeight="1" outlineLevel="1" x14ac:dyDescent="0.35">
      <c r="A101" s="400" t="s">
        <v>744</v>
      </c>
      <c r="B101" s="92" t="s">
        <v>393</v>
      </c>
      <c r="C101" s="92">
        <v>540</v>
      </c>
      <c r="D101" s="92"/>
      <c r="E101" s="92"/>
      <c r="F101" s="101" t="s">
        <v>233</v>
      </c>
      <c r="G101" s="93">
        <v>1</v>
      </c>
      <c r="H101" s="93" t="s">
        <v>229</v>
      </c>
      <c r="I101" s="93"/>
      <c r="J101" s="93" t="s">
        <v>220</v>
      </c>
      <c r="K101" s="86">
        <v>50000000</v>
      </c>
      <c r="L101" s="86"/>
      <c r="M101" s="86">
        <f t="shared" si="9"/>
        <v>50000000</v>
      </c>
      <c r="N101" s="86">
        <f t="shared" si="10"/>
        <v>8433.1253162421999</v>
      </c>
      <c r="Q101" s="94"/>
    </row>
    <row r="102" spans="1:17" ht="12.65" customHeight="1" outlineLevel="1" x14ac:dyDescent="0.35">
      <c r="A102" s="400" t="s">
        <v>706</v>
      </c>
      <c r="B102" s="92" t="s">
        <v>393</v>
      </c>
      <c r="C102" s="92">
        <v>540</v>
      </c>
      <c r="D102" s="92"/>
      <c r="E102" s="92"/>
      <c r="F102" s="101" t="s">
        <v>133</v>
      </c>
      <c r="G102" s="93">
        <v>200</v>
      </c>
      <c r="H102" s="93" t="s">
        <v>229</v>
      </c>
      <c r="I102" s="93"/>
      <c r="J102" s="93" t="s">
        <v>220</v>
      </c>
      <c r="K102" s="86">
        <v>4000000</v>
      </c>
      <c r="L102" s="86"/>
      <c r="M102" s="86">
        <f>+G102*K102</f>
        <v>800000000</v>
      </c>
      <c r="N102" s="86">
        <f t="shared" si="10"/>
        <v>134930.0050598752</v>
      </c>
      <c r="Q102" s="94"/>
    </row>
    <row r="103" spans="1:17" ht="12.65" customHeight="1" outlineLevel="1" x14ac:dyDescent="0.35">
      <c r="A103" s="400" t="s">
        <v>745</v>
      </c>
      <c r="B103" s="92" t="s">
        <v>393</v>
      </c>
      <c r="C103" s="92">
        <v>540</v>
      </c>
      <c r="D103" s="92"/>
      <c r="E103" s="92"/>
      <c r="F103" s="101" t="s">
        <v>134</v>
      </c>
      <c r="G103" s="93">
        <v>30</v>
      </c>
      <c r="H103" s="93" t="s">
        <v>229</v>
      </c>
      <c r="I103" s="93"/>
      <c r="J103" s="93" t="s">
        <v>220</v>
      </c>
      <c r="K103" s="86">
        <v>7000000</v>
      </c>
      <c r="L103" s="86"/>
      <c r="M103" s="86">
        <f t="shared" ref="M103:M129" si="11">+G103*K103</f>
        <v>210000000</v>
      </c>
      <c r="N103" s="86">
        <f t="shared" si="10"/>
        <v>35419.126328217237</v>
      </c>
      <c r="Q103" s="94"/>
    </row>
    <row r="104" spans="1:17" ht="12.65" customHeight="1" outlineLevel="1" x14ac:dyDescent="0.35">
      <c r="A104" s="400" t="s">
        <v>746</v>
      </c>
      <c r="B104" s="92" t="s">
        <v>393</v>
      </c>
      <c r="C104" s="92">
        <v>540</v>
      </c>
      <c r="D104" s="92"/>
      <c r="E104" s="92"/>
      <c r="F104" s="101" t="s">
        <v>280</v>
      </c>
      <c r="G104" s="93">
        <v>200</v>
      </c>
      <c r="H104" s="93" t="s">
        <v>229</v>
      </c>
      <c r="I104" s="93"/>
      <c r="J104" s="93" t="s">
        <v>220</v>
      </c>
      <c r="K104" s="86">
        <v>500000</v>
      </c>
      <c r="L104" s="86"/>
      <c r="M104" s="86">
        <f t="shared" si="11"/>
        <v>100000000</v>
      </c>
      <c r="N104" s="86">
        <f t="shared" si="10"/>
        <v>16866.2506324844</v>
      </c>
      <c r="Q104" s="94"/>
    </row>
    <row r="105" spans="1:17" ht="12.65" customHeight="1" outlineLevel="1" x14ac:dyDescent="0.35">
      <c r="A105" s="400" t="s">
        <v>747</v>
      </c>
      <c r="B105" s="92" t="s">
        <v>393</v>
      </c>
      <c r="C105" s="92">
        <v>540</v>
      </c>
      <c r="D105" s="92"/>
      <c r="E105" s="92"/>
      <c r="F105" s="101" t="s">
        <v>281</v>
      </c>
      <c r="G105" s="93">
        <v>4</v>
      </c>
      <c r="H105" s="93" t="s">
        <v>229</v>
      </c>
      <c r="I105" s="93"/>
      <c r="J105" s="93" t="s">
        <v>220</v>
      </c>
      <c r="K105" s="86">
        <v>5000000</v>
      </c>
      <c r="L105" s="86"/>
      <c r="M105" s="86">
        <f t="shared" si="11"/>
        <v>20000000</v>
      </c>
      <c r="N105" s="86">
        <f t="shared" si="10"/>
        <v>3373.2501264968796</v>
      </c>
      <c r="Q105" s="94"/>
    </row>
    <row r="106" spans="1:17" ht="12.65" customHeight="1" outlineLevel="1" x14ac:dyDescent="0.35">
      <c r="A106" s="400" t="s">
        <v>748</v>
      </c>
      <c r="B106" s="92" t="s">
        <v>393</v>
      </c>
      <c r="C106" s="92">
        <v>540</v>
      </c>
      <c r="D106" s="92"/>
      <c r="E106" s="92"/>
      <c r="F106" s="101" t="s">
        <v>135</v>
      </c>
      <c r="G106" s="93">
        <v>5</v>
      </c>
      <c r="H106" s="93" t="s">
        <v>229</v>
      </c>
      <c r="I106" s="93"/>
      <c r="J106" s="93" t="s">
        <v>220</v>
      </c>
      <c r="K106" s="86">
        <v>25000000</v>
      </c>
      <c r="L106" s="86"/>
      <c r="M106" s="86">
        <f t="shared" si="11"/>
        <v>125000000</v>
      </c>
      <c r="N106" s="86">
        <f t="shared" si="10"/>
        <v>21082.8132906055</v>
      </c>
      <c r="Q106" s="94"/>
    </row>
    <row r="107" spans="1:17" ht="12.65" customHeight="1" outlineLevel="1" x14ac:dyDescent="0.35">
      <c r="A107" s="400" t="s">
        <v>749</v>
      </c>
      <c r="B107" s="92" t="s">
        <v>393</v>
      </c>
      <c r="C107" s="92">
        <v>540</v>
      </c>
      <c r="D107" s="92"/>
      <c r="E107" s="92"/>
      <c r="F107" s="101" t="s">
        <v>136</v>
      </c>
      <c r="G107" s="93">
        <v>1</v>
      </c>
      <c r="H107" s="93" t="s">
        <v>229</v>
      </c>
      <c r="I107" s="93"/>
      <c r="J107" s="93" t="s">
        <v>220</v>
      </c>
      <c r="K107" s="86">
        <v>30000000</v>
      </c>
      <c r="L107" s="86"/>
      <c r="M107" s="86">
        <f t="shared" si="11"/>
        <v>30000000</v>
      </c>
      <c r="N107" s="86">
        <f t="shared" si="10"/>
        <v>5059.8751897453194</v>
      </c>
      <c r="Q107" s="94"/>
    </row>
    <row r="108" spans="1:17" ht="12.65" customHeight="1" outlineLevel="1" x14ac:dyDescent="0.35">
      <c r="A108" s="400" t="s">
        <v>750</v>
      </c>
      <c r="B108" s="92" t="s">
        <v>393</v>
      </c>
      <c r="C108" s="92">
        <v>540</v>
      </c>
      <c r="D108" s="92"/>
      <c r="E108" s="92"/>
      <c r="F108" s="101" t="s">
        <v>158</v>
      </c>
      <c r="G108" s="93">
        <v>4</v>
      </c>
      <c r="H108" s="93" t="s">
        <v>229</v>
      </c>
      <c r="I108" s="93"/>
      <c r="J108" s="93" t="s">
        <v>220</v>
      </c>
      <c r="K108" s="86">
        <v>50000000</v>
      </c>
      <c r="L108" s="86"/>
      <c r="M108" s="86">
        <f t="shared" si="11"/>
        <v>200000000</v>
      </c>
      <c r="N108" s="86">
        <f t="shared" si="10"/>
        <v>33732.5012649688</v>
      </c>
      <c r="Q108" s="94"/>
    </row>
    <row r="109" spans="1:17" ht="12.65" customHeight="1" outlineLevel="1" x14ac:dyDescent="0.35">
      <c r="A109" s="400" t="s">
        <v>751</v>
      </c>
      <c r="B109" s="92" t="s">
        <v>393</v>
      </c>
      <c r="C109" s="92">
        <v>540</v>
      </c>
      <c r="D109" s="92"/>
      <c r="E109" s="92"/>
      <c r="F109" s="101" t="s">
        <v>137</v>
      </c>
      <c r="G109" s="93">
        <v>10</v>
      </c>
      <c r="H109" s="93" t="s">
        <v>229</v>
      </c>
      <c r="I109" s="93"/>
      <c r="J109" s="93" t="s">
        <v>220</v>
      </c>
      <c r="K109" s="86">
        <v>1500000</v>
      </c>
      <c r="L109" s="86"/>
      <c r="M109" s="86">
        <f t="shared" si="11"/>
        <v>15000000</v>
      </c>
      <c r="N109" s="86">
        <f t="shared" si="10"/>
        <v>2529.9375948726597</v>
      </c>
      <c r="Q109" s="94"/>
    </row>
    <row r="110" spans="1:17" ht="12.65" customHeight="1" outlineLevel="1" x14ac:dyDescent="0.35">
      <c r="A110" s="400" t="s">
        <v>752</v>
      </c>
      <c r="B110" s="92" t="s">
        <v>393</v>
      </c>
      <c r="C110" s="92">
        <v>540</v>
      </c>
      <c r="D110" s="92"/>
      <c r="E110" s="92"/>
      <c r="F110" s="101" t="s">
        <v>138</v>
      </c>
      <c r="G110" s="93">
        <v>5</v>
      </c>
      <c r="H110" s="93" t="s">
        <v>229</v>
      </c>
      <c r="I110" s="93"/>
      <c r="J110" s="93" t="s">
        <v>220</v>
      </c>
      <c r="K110" s="86">
        <v>5000000</v>
      </c>
      <c r="L110" s="86"/>
      <c r="M110" s="86">
        <f t="shared" si="11"/>
        <v>25000000</v>
      </c>
      <c r="N110" s="86">
        <f t="shared" si="10"/>
        <v>4216.5626581211</v>
      </c>
      <c r="Q110" s="94"/>
    </row>
    <row r="111" spans="1:17" ht="12.65" customHeight="1" outlineLevel="1" x14ac:dyDescent="0.35">
      <c r="A111" s="400" t="s">
        <v>753</v>
      </c>
      <c r="B111" s="92" t="s">
        <v>393</v>
      </c>
      <c r="C111" s="92">
        <v>540</v>
      </c>
      <c r="D111" s="92"/>
      <c r="E111" s="92"/>
      <c r="F111" s="101" t="s">
        <v>415</v>
      </c>
      <c r="G111" s="93">
        <v>5</v>
      </c>
      <c r="H111" s="93" t="s">
        <v>229</v>
      </c>
      <c r="I111" s="93"/>
      <c r="J111" s="93" t="s">
        <v>220</v>
      </c>
      <c r="K111" s="86">
        <v>900000</v>
      </c>
      <c r="L111" s="86"/>
      <c r="M111" s="86">
        <f t="shared" si="11"/>
        <v>4500000</v>
      </c>
      <c r="N111" s="86">
        <f t="shared" si="10"/>
        <v>758.98127846179796</v>
      </c>
      <c r="Q111" s="94"/>
    </row>
    <row r="112" spans="1:17" ht="12.65" customHeight="1" outlineLevel="1" x14ac:dyDescent="0.35">
      <c r="A112" s="400" t="s">
        <v>754</v>
      </c>
      <c r="B112" s="92" t="s">
        <v>393</v>
      </c>
      <c r="C112" s="92">
        <v>540</v>
      </c>
      <c r="D112" s="92"/>
      <c r="E112" s="92"/>
      <c r="F112" s="101" t="s">
        <v>282</v>
      </c>
      <c r="G112" s="104">
        <v>1000</v>
      </c>
      <c r="H112" s="104" t="s">
        <v>229</v>
      </c>
      <c r="I112" s="104"/>
      <c r="J112" s="104" t="s">
        <v>220</v>
      </c>
      <c r="K112" s="105">
        <v>50000</v>
      </c>
      <c r="L112" s="105"/>
      <c r="M112" s="105">
        <f t="shared" si="11"/>
        <v>50000000</v>
      </c>
      <c r="N112" s="105">
        <f t="shared" si="10"/>
        <v>8433.1253162421999</v>
      </c>
      <c r="Q112" s="94"/>
    </row>
    <row r="113" spans="1:17" ht="12.65" customHeight="1" outlineLevel="1" x14ac:dyDescent="0.35">
      <c r="A113" s="400" t="s">
        <v>755</v>
      </c>
      <c r="B113" s="92" t="s">
        <v>393</v>
      </c>
      <c r="C113" s="92">
        <v>540</v>
      </c>
      <c r="D113" s="92"/>
      <c r="E113" s="92"/>
      <c r="F113" s="101" t="s">
        <v>139</v>
      </c>
      <c r="G113" s="93">
        <v>50</v>
      </c>
      <c r="H113" s="93" t="s">
        <v>229</v>
      </c>
      <c r="I113" s="93"/>
      <c r="J113" s="93" t="s">
        <v>220</v>
      </c>
      <c r="K113" s="86">
        <v>900000</v>
      </c>
      <c r="L113" s="86"/>
      <c r="M113" s="86">
        <f t="shared" si="11"/>
        <v>45000000</v>
      </c>
      <c r="N113" s="86">
        <f t="shared" si="10"/>
        <v>7589.8127846179796</v>
      </c>
      <c r="Q113" s="94"/>
    </row>
    <row r="114" spans="1:17" ht="12.65" customHeight="1" outlineLevel="1" x14ac:dyDescent="0.35">
      <c r="A114" s="400" t="s">
        <v>756</v>
      </c>
      <c r="B114" s="92" t="s">
        <v>393</v>
      </c>
      <c r="C114" s="92">
        <v>540</v>
      </c>
      <c r="D114" s="92"/>
      <c r="E114" s="92"/>
      <c r="F114" s="101" t="s">
        <v>140</v>
      </c>
      <c r="G114" s="93">
        <v>20</v>
      </c>
      <c r="H114" s="93" t="s">
        <v>229</v>
      </c>
      <c r="I114" s="93"/>
      <c r="J114" s="93" t="s">
        <v>220</v>
      </c>
      <c r="K114" s="86">
        <v>700000</v>
      </c>
      <c r="L114" s="86"/>
      <c r="M114" s="86">
        <f t="shared" si="11"/>
        <v>14000000</v>
      </c>
      <c r="N114" s="86">
        <f t="shared" si="10"/>
        <v>2361.2750885478158</v>
      </c>
      <c r="Q114" s="94"/>
    </row>
    <row r="115" spans="1:17" ht="12.65" customHeight="1" outlineLevel="1" x14ac:dyDescent="0.35">
      <c r="A115" s="400" t="s">
        <v>757</v>
      </c>
      <c r="B115" s="92" t="s">
        <v>393</v>
      </c>
      <c r="C115" s="92">
        <v>540</v>
      </c>
      <c r="D115" s="92"/>
      <c r="E115" s="92"/>
      <c r="F115" s="101" t="s">
        <v>141</v>
      </c>
      <c r="G115" s="93">
        <v>5</v>
      </c>
      <c r="H115" s="93" t="s">
        <v>229</v>
      </c>
      <c r="I115" s="93"/>
      <c r="J115" s="93" t="s">
        <v>220</v>
      </c>
      <c r="K115" s="86">
        <v>500000</v>
      </c>
      <c r="L115" s="86"/>
      <c r="M115" s="86">
        <f t="shared" si="11"/>
        <v>2500000</v>
      </c>
      <c r="N115" s="86">
        <f t="shared" si="10"/>
        <v>421.65626581210995</v>
      </c>
      <c r="Q115" s="94"/>
    </row>
    <row r="116" spans="1:17" ht="12.65" customHeight="1" outlineLevel="1" x14ac:dyDescent="0.35">
      <c r="A116" s="400" t="s">
        <v>758</v>
      </c>
      <c r="B116" s="92" t="s">
        <v>393</v>
      </c>
      <c r="C116" s="92">
        <v>540</v>
      </c>
      <c r="D116" s="92"/>
      <c r="E116" s="92"/>
      <c r="F116" s="101" t="s">
        <v>132</v>
      </c>
      <c r="G116" s="93">
        <v>80</v>
      </c>
      <c r="H116" s="93" t="s">
        <v>229</v>
      </c>
      <c r="I116" s="93"/>
      <c r="J116" s="93" t="s">
        <v>220</v>
      </c>
      <c r="K116" s="86">
        <v>15000</v>
      </c>
      <c r="L116" s="86"/>
      <c r="M116" s="86">
        <f t="shared" si="11"/>
        <v>1200000</v>
      </c>
      <c r="N116" s="86">
        <f t="shared" si="10"/>
        <v>202.39500758981279</v>
      </c>
      <c r="Q116" s="94"/>
    </row>
    <row r="117" spans="1:17" ht="12.65" customHeight="1" outlineLevel="1" x14ac:dyDescent="0.35">
      <c r="A117" s="400" t="s">
        <v>759</v>
      </c>
      <c r="B117" s="92" t="s">
        <v>393</v>
      </c>
      <c r="C117" s="92">
        <v>540</v>
      </c>
      <c r="D117" s="92"/>
      <c r="E117" s="92"/>
      <c r="F117" s="101" t="s">
        <v>131</v>
      </c>
      <c r="G117" s="93">
        <v>30</v>
      </c>
      <c r="H117" s="93" t="s">
        <v>229</v>
      </c>
      <c r="I117" s="93"/>
      <c r="J117" s="93" t="s">
        <v>220</v>
      </c>
      <c r="K117" s="86">
        <v>60000</v>
      </c>
      <c r="L117" s="86"/>
      <c r="M117" s="86">
        <f t="shared" si="11"/>
        <v>1800000</v>
      </c>
      <c r="N117" s="86">
        <f t="shared" si="10"/>
        <v>303.59251138471916</v>
      </c>
      <c r="Q117" s="94"/>
    </row>
    <row r="118" spans="1:17" ht="12.65" customHeight="1" outlineLevel="1" x14ac:dyDescent="0.35">
      <c r="A118" s="400" t="s">
        <v>760</v>
      </c>
      <c r="B118" s="92" t="s">
        <v>393</v>
      </c>
      <c r="C118" s="92">
        <v>540</v>
      </c>
      <c r="D118" s="92"/>
      <c r="E118" s="92"/>
      <c r="F118" s="101" t="s">
        <v>130</v>
      </c>
      <c r="G118" s="93">
        <v>300</v>
      </c>
      <c r="H118" s="93" t="s">
        <v>229</v>
      </c>
      <c r="I118" s="93"/>
      <c r="J118" s="93" t="s">
        <v>220</v>
      </c>
      <c r="K118" s="86">
        <v>2000</v>
      </c>
      <c r="L118" s="86"/>
      <c r="M118" s="86">
        <f t="shared" si="11"/>
        <v>600000</v>
      </c>
      <c r="N118" s="86">
        <f t="shared" si="10"/>
        <v>101.1975037949064</v>
      </c>
      <c r="Q118" s="94"/>
    </row>
    <row r="119" spans="1:17" ht="12.65" customHeight="1" outlineLevel="1" x14ac:dyDescent="0.35">
      <c r="A119" s="400" t="s">
        <v>761</v>
      </c>
      <c r="B119" s="92" t="s">
        <v>393</v>
      </c>
      <c r="C119" s="92">
        <v>540</v>
      </c>
      <c r="D119" s="92"/>
      <c r="E119" s="92"/>
      <c r="F119" s="101" t="s">
        <v>129</v>
      </c>
      <c r="G119" s="93">
        <v>2</v>
      </c>
      <c r="H119" s="93" t="s">
        <v>229</v>
      </c>
      <c r="I119" s="93"/>
      <c r="J119" s="93" t="s">
        <v>220</v>
      </c>
      <c r="K119" s="86">
        <v>12000000</v>
      </c>
      <c r="L119" s="86"/>
      <c r="M119" s="86">
        <f t="shared" si="11"/>
        <v>24000000</v>
      </c>
      <c r="N119" s="86">
        <f t="shared" si="10"/>
        <v>4047.9001517962556</v>
      </c>
      <c r="Q119" s="94"/>
    </row>
    <row r="120" spans="1:17" ht="12.65" customHeight="1" outlineLevel="1" x14ac:dyDescent="0.35">
      <c r="A120" s="400" t="s">
        <v>762</v>
      </c>
      <c r="B120" s="92" t="s">
        <v>393</v>
      </c>
      <c r="C120" s="92">
        <v>540</v>
      </c>
      <c r="D120" s="92"/>
      <c r="E120" s="92"/>
      <c r="F120" s="101" t="s">
        <v>128</v>
      </c>
      <c r="G120" s="93">
        <v>8</v>
      </c>
      <c r="H120" s="93" t="s">
        <v>229</v>
      </c>
      <c r="I120" s="93"/>
      <c r="J120" s="93" t="s">
        <v>220</v>
      </c>
      <c r="K120" s="86">
        <v>970000</v>
      </c>
      <c r="L120" s="86"/>
      <c r="M120" s="86">
        <f t="shared" si="11"/>
        <v>7760000</v>
      </c>
      <c r="N120" s="86">
        <f t="shared" si="10"/>
        <v>1308.8210490807894</v>
      </c>
      <c r="Q120" s="94"/>
    </row>
    <row r="121" spans="1:17" ht="12.65" customHeight="1" outlineLevel="1" x14ac:dyDescent="0.35">
      <c r="A121" s="400" t="s">
        <v>763</v>
      </c>
      <c r="B121" s="92" t="s">
        <v>393</v>
      </c>
      <c r="C121" s="92">
        <v>540</v>
      </c>
      <c r="D121" s="92"/>
      <c r="E121" s="92"/>
      <c r="F121" s="101" t="s">
        <v>127</v>
      </c>
      <c r="G121" s="93">
        <v>2</v>
      </c>
      <c r="H121" s="93" t="s">
        <v>229</v>
      </c>
      <c r="I121" s="93"/>
      <c r="J121" s="93" t="s">
        <v>220</v>
      </c>
      <c r="K121" s="86">
        <v>1500000</v>
      </c>
      <c r="L121" s="86"/>
      <c r="M121" s="86">
        <f t="shared" si="11"/>
        <v>3000000</v>
      </c>
      <c r="N121" s="86">
        <f t="shared" si="10"/>
        <v>505.98751897453195</v>
      </c>
      <c r="Q121" s="94"/>
    </row>
    <row r="122" spans="1:17" ht="12.65" customHeight="1" outlineLevel="1" x14ac:dyDescent="0.35">
      <c r="A122" s="400" t="s">
        <v>764</v>
      </c>
      <c r="B122" s="92" t="s">
        <v>393</v>
      </c>
      <c r="C122" s="92">
        <v>540</v>
      </c>
      <c r="D122" s="92"/>
      <c r="E122" s="92"/>
      <c r="F122" s="101" t="s">
        <v>126</v>
      </c>
      <c r="G122" s="93">
        <v>2</v>
      </c>
      <c r="H122" s="93" t="s">
        <v>229</v>
      </c>
      <c r="I122" s="93"/>
      <c r="J122" s="93" t="s">
        <v>220</v>
      </c>
      <c r="K122" s="86">
        <v>10000000</v>
      </c>
      <c r="L122" s="86"/>
      <c r="M122" s="86">
        <f t="shared" si="11"/>
        <v>20000000</v>
      </c>
      <c r="N122" s="86">
        <f t="shared" si="10"/>
        <v>3373.2501264968796</v>
      </c>
      <c r="Q122" s="94"/>
    </row>
    <row r="123" spans="1:17" ht="12.65" customHeight="1" outlineLevel="1" x14ac:dyDescent="0.35">
      <c r="A123" s="400" t="s">
        <v>765</v>
      </c>
      <c r="B123" s="92" t="s">
        <v>393</v>
      </c>
      <c r="C123" s="92">
        <v>540</v>
      </c>
      <c r="D123" s="92"/>
      <c r="E123" s="92"/>
      <c r="F123" s="101" t="s">
        <v>125</v>
      </c>
      <c r="G123" s="93">
        <v>4</v>
      </c>
      <c r="H123" s="93" t="s">
        <v>229</v>
      </c>
      <c r="I123" s="93"/>
      <c r="J123" s="93" t="s">
        <v>220</v>
      </c>
      <c r="K123" s="86">
        <v>6000000</v>
      </c>
      <c r="L123" s="86"/>
      <c r="M123" s="86">
        <f t="shared" si="11"/>
        <v>24000000</v>
      </c>
      <c r="N123" s="86">
        <f t="shared" si="10"/>
        <v>4047.9001517962556</v>
      </c>
      <c r="Q123" s="94"/>
    </row>
    <row r="124" spans="1:17" ht="12.65" customHeight="1" outlineLevel="1" x14ac:dyDescent="0.35">
      <c r="A124" s="400" t="s">
        <v>766</v>
      </c>
      <c r="B124" s="92" t="s">
        <v>393</v>
      </c>
      <c r="C124" s="92">
        <v>540</v>
      </c>
      <c r="D124" s="92"/>
      <c r="E124" s="92"/>
      <c r="F124" s="101" t="s">
        <v>124</v>
      </c>
      <c r="G124" s="93">
        <v>5</v>
      </c>
      <c r="H124" s="93" t="s">
        <v>229</v>
      </c>
      <c r="I124" s="93"/>
      <c r="J124" s="93" t="s">
        <v>220</v>
      </c>
      <c r="K124" s="86">
        <v>1500000</v>
      </c>
      <c r="L124" s="86"/>
      <c r="M124" s="86">
        <f t="shared" si="11"/>
        <v>7500000</v>
      </c>
      <c r="N124" s="86">
        <f t="shared" si="10"/>
        <v>1264.9687974363299</v>
      </c>
      <c r="Q124" s="94"/>
    </row>
    <row r="125" spans="1:17" ht="12.65" customHeight="1" outlineLevel="1" x14ac:dyDescent="0.35">
      <c r="A125" s="400" t="s">
        <v>767</v>
      </c>
      <c r="B125" s="92" t="s">
        <v>393</v>
      </c>
      <c r="C125" s="92">
        <v>540</v>
      </c>
      <c r="D125" s="92"/>
      <c r="E125" s="92"/>
      <c r="F125" s="101" t="s">
        <v>123</v>
      </c>
      <c r="G125" s="93">
        <v>5</v>
      </c>
      <c r="H125" s="93" t="s">
        <v>229</v>
      </c>
      <c r="I125" s="93"/>
      <c r="J125" s="93" t="s">
        <v>220</v>
      </c>
      <c r="K125" s="86">
        <v>300000</v>
      </c>
      <c r="L125" s="86"/>
      <c r="M125" s="86">
        <f t="shared" si="11"/>
        <v>1500000</v>
      </c>
      <c r="N125" s="86">
        <f t="shared" si="10"/>
        <v>252.99375948726598</v>
      </c>
      <c r="Q125" s="94"/>
    </row>
    <row r="126" spans="1:17" ht="12.65" customHeight="1" outlineLevel="1" x14ac:dyDescent="0.35">
      <c r="A126" s="400" t="s">
        <v>768</v>
      </c>
      <c r="B126" s="92" t="s">
        <v>393</v>
      </c>
      <c r="C126" s="92">
        <v>540</v>
      </c>
      <c r="D126" s="92"/>
      <c r="E126" s="92"/>
      <c r="F126" s="101" t="s">
        <v>122</v>
      </c>
      <c r="G126" s="93">
        <v>15</v>
      </c>
      <c r="H126" s="93" t="s">
        <v>229</v>
      </c>
      <c r="I126" s="93"/>
      <c r="J126" s="93" t="s">
        <v>220</v>
      </c>
      <c r="K126" s="86">
        <v>420000</v>
      </c>
      <c r="L126" s="86"/>
      <c r="M126" s="86">
        <f t="shared" si="11"/>
        <v>6300000</v>
      </c>
      <c r="N126" s="86">
        <f t="shared" si="10"/>
        <v>1062.5737898465172</v>
      </c>
      <c r="Q126" s="94"/>
    </row>
    <row r="127" spans="1:17" ht="12.65" customHeight="1" outlineLevel="1" x14ac:dyDescent="0.35">
      <c r="A127" s="400" t="s">
        <v>769</v>
      </c>
      <c r="B127" s="92" t="s">
        <v>393</v>
      </c>
      <c r="C127" s="92">
        <v>540</v>
      </c>
      <c r="D127" s="92"/>
      <c r="E127" s="92"/>
      <c r="F127" s="101" t="s">
        <v>121</v>
      </c>
      <c r="G127" s="93">
        <v>26</v>
      </c>
      <c r="H127" s="93" t="s">
        <v>229</v>
      </c>
      <c r="I127" s="93"/>
      <c r="J127" s="93" t="s">
        <v>220</v>
      </c>
      <c r="K127" s="86">
        <v>150000</v>
      </c>
      <c r="L127" s="86"/>
      <c r="M127" s="86">
        <f t="shared" si="11"/>
        <v>3900000</v>
      </c>
      <c r="N127" s="86">
        <f t="shared" si="10"/>
        <v>657.78377466689153</v>
      </c>
      <c r="Q127" s="94"/>
    </row>
    <row r="128" spans="1:17" ht="12.65" customHeight="1" outlineLevel="1" x14ac:dyDescent="0.35">
      <c r="A128" s="400" t="s">
        <v>770</v>
      </c>
      <c r="B128" s="92" t="s">
        <v>393</v>
      </c>
      <c r="C128" s="92">
        <v>540</v>
      </c>
      <c r="D128" s="92"/>
      <c r="E128" s="92"/>
      <c r="F128" s="101" t="s">
        <v>120</v>
      </c>
      <c r="G128" s="93">
        <v>6</v>
      </c>
      <c r="H128" s="93" t="s">
        <v>229</v>
      </c>
      <c r="I128" s="93"/>
      <c r="J128" s="93" t="s">
        <v>220</v>
      </c>
      <c r="K128" s="86">
        <v>150000</v>
      </c>
      <c r="L128" s="86"/>
      <c r="M128" s="86">
        <f t="shared" si="11"/>
        <v>900000</v>
      </c>
      <c r="N128" s="86">
        <f t="shared" si="10"/>
        <v>151.79625569235958</v>
      </c>
      <c r="Q128" s="94"/>
    </row>
    <row r="129" spans="1:54" ht="12.65" customHeight="1" outlineLevel="1" x14ac:dyDescent="0.35">
      <c r="A129" s="400" t="s">
        <v>771</v>
      </c>
      <c r="B129" s="92" t="s">
        <v>393</v>
      </c>
      <c r="C129" s="92">
        <v>540</v>
      </c>
      <c r="D129" s="92"/>
      <c r="E129" s="92"/>
      <c r="F129" s="101" t="s">
        <v>119</v>
      </c>
      <c r="G129" s="93">
        <v>2</v>
      </c>
      <c r="H129" s="93" t="s">
        <v>229</v>
      </c>
      <c r="I129" s="93"/>
      <c r="J129" s="93" t="s">
        <v>220</v>
      </c>
      <c r="K129" s="86">
        <v>250000</v>
      </c>
      <c r="L129" s="86"/>
      <c r="M129" s="86">
        <f t="shared" si="11"/>
        <v>500000</v>
      </c>
      <c r="N129" s="86">
        <f t="shared" si="10"/>
        <v>84.331253162421987</v>
      </c>
      <c r="Q129" s="94"/>
    </row>
    <row r="130" spans="1:54" s="100" customFormat="1" ht="12.65" customHeight="1" outlineLevel="1" x14ac:dyDescent="0.35">
      <c r="A130" s="403" t="s">
        <v>772</v>
      </c>
      <c r="B130" s="106" t="s">
        <v>393</v>
      </c>
      <c r="C130" s="106"/>
      <c r="D130" s="106"/>
      <c r="E130" s="106"/>
      <c r="F130" s="226" t="s">
        <v>250</v>
      </c>
      <c r="G130" s="107"/>
      <c r="H130" s="107"/>
      <c r="I130" s="107"/>
      <c r="J130" s="107"/>
      <c r="K130" s="108"/>
      <c r="L130" s="108"/>
      <c r="M130" s="108">
        <f>M131+M132</f>
        <v>3853850000</v>
      </c>
      <c r="N130" s="108">
        <f>N131+N132</f>
        <v>650000</v>
      </c>
      <c r="O130" s="87"/>
      <c r="P130" s="99"/>
      <c r="Q130" s="94"/>
      <c r="R130" s="99"/>
      <c r="S130" s="99"/>
      <c r="T130" s="99"/>
      <c r="U130" s="99"/>
      <c r="V130" s="99"/>
      <c r="W130" s="99"/>
      <c r="X130" s="99"/>
      <c r="Y130" s="99"/>
      <c r="Z130" s="99"/>
      <c r="AA130" s="99"/>
      <c r="AB130" s="99"/>
      <c r="AC130" s="99"/>
      <c r="AD130" s="99"/>
      <c r="AE130" s="99"/>
      <c r="AF130" s="99"/>
      <c r="AG130" s="99"/>
      <c r="AH130" s="99"/>
      <c r="AI130" s="99"/>
      <c r="AJ130" s="99"/>
      <c r="AK130" s="99"/>
      <c r="AL130" s="99"/>
      <c r="AM130" s="99"/>
      <c r="AN130" s="99"/>
      <c r="AO130" s="99"/>
      <c r="AP130" s="99"/>
      <c r="AQ130" s="99"/>
      <c r="AR130" s="99"/>
      <c r="AS130" s="99"/>
      <c r="AT130" s="99"/>
      <c r="AU130" s="99"/>
      <c r="AV130" s="99"/>
      <c r="AW130" s="99"/>
      <c r="AX130" s="99"/>
      <c r="AY130" s="99"/>
      <c r="AZ130" s="99"/>
      <c r="BA130" s="99"/>
      <c r="BB130" s="99"/>
    </row>
    <row r="131" spans="1:54" s="88" customFormat="1" ht="12.65" customHeight="1" outlineLevel="1" x14ac:dyDescent="0.35">
      <c r="A131" s="402" t="s">
        <v>773</v>
      </c>
      <c r="B131" s="103" t="s">
        <v>393</v>
      </c>
      <c r="C131" s="103">
        <v>530</v>
      </c>
      <c r="D131" s="103" t="s">
        <v>424</v>
      </c>
      <c r="E131" s="103" t="s">
        <v>289</v>
      </c>
      <c r="F131" s="102" t="s">
        <v>460</v>
      </c>
      <c r="G131" s="104">
        <v>13</v>
      </c>
      <c r="H131" s="104" t="s">
        <v>229</v>
      </c>
      <c r="I131" s="104"/>
      <c r="J131" s="104" t="s">
        <v>220</v>
      </c>
      <c r="K131" s="105">
        <f>617500/13*N3</f>
        <v>281627500</v>
      </c>
      <c r="L131" s="105"/>
      <c r="M131" s="105">
        <f>+G131*K131</f>
        <v>3661157500</v>
      </c>
      <c r="N131" s="105">
        <f>+M131/$N$3</f>
        <v>617500</v>
      </c>
      <c r="O131" s="87"/>
      <c r="Q131" s="94"/>
    </row>
    <row r="132" spans="1:54" s="88" customFormat="1" ht="12.65" customHeight="1" outlineLevel="1" x14ac:dyDescent="0.35">
      <c r="A132" s="402" t="s">
        <v>774</v>
      </c>
      <c r="B132" s="103" t="s">
        <v>393</v>
      </c>
      <c r="C132" s="103">
        <v>260</v>
      </c>
      <c r="D132" s="103" t="s">
        <v>93</v>
      </c>
      <c r="E132" s="103" t="s">
        <v>433</v>
      </c>
      <c r="F132" s="102" t="s">
        <v>465</v>
      </c>
      <c r="G132" s="104">
        <v>13</v>
      </c>
      <c r="H132" s="104" t="s">
        <v>229</v>
      </c>
      <c r="I132" s="104">
        <v>5</v>
      </c>
      <c r="J132" s="104" t="s">
        <v>234</v>
      </c>
      <c r="K132" s="105">
        <f>500*N3</f>
        <v>2964500</v>
      </c>
      <c r="L132" s="105"/>
      <c r="M132" s="86">
        <f>G132*I132*K132</f>
        <v>192692500</v>
      </c>
      <c r="N132" s="86">
        <f t="shared" ref="N132" si="12">+M132/$N$3</f>
        <v>32500</v>
      </c>
      <c r="O132" s="87"/>
      <c r="Q132" s="94"/>
    </row>
    <row r="133" spans="1:54" s="100" customFormat="1" ht="12.65" customHeight="1" outlineLevel="1" x14ac:dyDescent="0.35">
      <c r="A133" s="403" t="s">
        <v>735</v>
      </c>
      <c r="B133" s="106" t="s">
        <v>393</v>
      </c>
      <c r="C133" s="106">
        <v>540</v>
      </c>
      <c r="D133" s="106"/>
      <c r="E133" s="106"/>
      <c r="F133" s="226" t="s">
        <v>249</v>
      </c>
      <c r="G133" s="107"/>
      <c r="H133" s="107"/>
      <c r="I133" s="107"/>
      <c r="J133" s="107"/>
      <c r="K133" s="108"/>
      <c r="L133" s="108"/>
      <c r="M133" s="108">
        <f>SUM(M134:M137)</f>
        <v>7879599000</v>
      </c>
      <c r="N133" s="108">
        <f>SUM(N134:N137)</f>
        <v>1328992.9161747345</v>
      </c>
      <c r="O133" s="87"/>
      <c r="P133" s="99"/>
      <c r="Q133" s="94"/>
      <c r="R133" s="99"/>
      <c r="S133" s="99"/>
      <c r="T133" s="99"/>
      <c r="U133" s="99"/>
      <c r="V133" s="99"/>
      <c r="W133" s="99"/>
      <c r="X133" s="99"/>
      <c r="Y133" s="99"/>
      <c r="Z133" s="99"/>
      <c r="AA133" s="99"/>
      <c r="AB133" s="99"/>
      <c r="AC133" s="99"/>
      <c r="AD133" s="99"/>
      <c r="AE133" s="99"/>
      <c r="AF133" s="99"/>
      <c r="AG133" s="99"/>
      <c r="AH133" s="99"/>
      <c r="AI133" s="99"/>
      <c r="AJ133" s="99"/>
      <c r="AK133" s="99"/>
      <c r="AL133" s="99"/>
      <c r="AM133" s="99"/>
      <c r="AN133" s="99"/>
      <c r="AO133" s="99"/>
      <c r="AP133" s="99"/>
      <c r="AQ133" s="99"/>
      <c r="AR133" s="99"/>
      <c r="AS133" s="99"/>
      <c r="AT133" s="99"/>
      <c r="AU133" s="99"/>
      <c r="AV133" s="99"/>
      <c r="AW133" s="99"/>
      <c r="AX133" s="99"/>
      <c r="AY133" s="99"/>
      <c r="AZ133" s="99"/>
      <c r="BA133" s="99"/>
      <c r="BB133" s="99"/>
    </row>
    <row r="134" spans="1:54" s="88" customFormat="1" ht="12.65" customHeight="1" outlineLevel="1" x14ac:dyDescent="0.35">
      <c r="A134" s="402" t="s">
        <v>776</v>
      </c>
      <c r="B134" s="103" t="s">
        <v>393</v>
      </c>
      <c r="C134" s="92">
        <v>540</v>
      </c>
      <c r="D134" s="103" t="s">
        <v>424</v>
      </c>
      <c r="E134" s="103" t="s">
        <v>289</v>
      </c>
      <c r="F134" s="102" t="s">
        <v>416</v>
      </c>
      <c r="G134" s="104">
        <v>3200</v>
      </c>
      <c r="H134" s="104" t="s">
        <v>229</v>
      </c>
      <c r="I134" s="104">
        <v>1</v>
      </c>
      <c r="J134" s="104" t="s">
        <v>220</v>
      </c>
      <c r="K134" s="105">
        <v>2000000</v>
      </c>
      <c r="L134" s="105"/>
      <c r="M134" s="105">
        <f>+G134*K134</f>
        <v>6400000000</v>
      </c>
      <c r="N134" s="105">
        <f>+M134/$N$3</f>
        <v>1079440.0404790016</v>
      </c>
      <c r="O134" s="87"/>
      <c r="Q134" s="94"/>
    </row>
    <row r="135" spans="1:54" ht="12.65" customHeight="1" outlineLevel="1" x14ac:dyDescent="0.35">
      <c r="A135" s="402" t="s">
        <v>777</v>
      </c>
      <c r="B135" s="92" t="s">
        <v>393</v>
      </c>
      <c r="C135" s="92">
        <v>540</v>
      </c>
      <c r="D135" s="92" t="s">
        <v>424</v>
      </c>
      <c r="E135" s="92" t="s">
        <v>433</v>
      </c>
      <c r="F135" s="101" t="s">
        <v>158</v>
      </c>
      <c r="G135" s="93">
        <v>2</v>
      </c>
      <c r="H135" s="93" t="s">
        <v>229</v>
      </c>
      <c r="I135" s="93">
        <v>1</v>
      </c>
      <c r="J135" s="93" t="s">
        <v>220</v>
      </c>
      <c r="K135" s="86">
        <v>25000000</v>
      </c>
      <c r="L135" s="86"/>
      <c r="M135" s="86">
        <f>+G135*K135</f>
        <v>50000000</v>
      </c>
      <c r="N135" s="86">
        <f>+M135/$N$3</f>
        <v>8433.1253162421999</v>
      </c>
      <c r="Q135" s="94"/>
    </row>
    <row r="136" spans="1:54" ht="12.65" customHeight="1" outlineLevel="1" x14ac:dyDescent="0.35">
      <c r="A136" s="402" t="s">
        <v>778</v>
      </c>
      <c r="B136" s="92" t="s">
        <v>393</v>
      </c>
      <c r="C136" s="92">
        <v>540</v>
      </c>
      <c r="D136" s="92" t="s">
        <v>93</v>
      </c>
      <c r="E136" s="92" t="s">
        <v>433</v>
      </c>
      <c r="F136" s="102" t="s">
        <v>159</v>
      </c>
      <c r="G136" s="93">
        <v>1</v>
      </c>
      <c r="H136" s="93" t="s">
        <v>229</v>
      </c>
      <c r="I136" s="93">
        <v>6</v>
      </c>
      <c r="J136" s="93" t="s">
        <v>220</v>
      </c>
      <c r="K136" s="86">
        <v>10000000</v>
      </c>
      <c r="L136" s="86"/>
      <c r="M136" s="86">
        <f>+G136*I136*K136</f>
        <v>60000000</v>
      </c>
      <c r="N136" s="86">
        <f>+M136/$N$3</f>
        <v>10119.750379490639</v>
      </c>
      <c r="Q136" s="94"/>
    </row>
    <row r="137" spans="1:54" ht="12.65" customHeight="1" outlineLevel="1" x14ac:dyDescent="0.35">
      <c r="A137" s="402" t="s">
        <v>779</v>
      </c>
      <c r="B137" s="92" t="s">
        <v>393</v>
      </c>
      <c r="C137" s="92">
        <v>540</v>
      </c>
      <c r="D137" s="92" t="s">
        <v>424</v>
      </c>
      <c r="E137" s="92" t="s">
        <v>433</v>
      </c>
      <c r="F137" s="101" t="s">
        <v>217</v>
      </c>
      <c r="G137" s="104">
        <v>1</v>
      </c>
      <c r="H137" s="104" t="s">
        <v>229</v>
      </c>
      <c r="I137" s="104">
        <v>1</v>
      </c>
      <c r="J137" s="104" t="s">
        <v>220</v>
      </c>
      <c r="K137" s="105">
        <f>231000*5929</f>
        <v>1369599000</v>
      </c>
      <c r="L137" s="105"/>
      <c r="M137" s="105">
        <f>+G137*I137*K137</f>
        <v>1369599000</v>
      </c>
      <c r="N137" s="105">
        <f>+M137/$N$3</f>
        <v>231000</v>
      </c>
      <c r="Q137" s="94"/>
    </row>
    <row r="138" spans="1:54" s="100" customFormat="1" ht="12.65" customHeight="1" outlineLevel="1" x14ac:dyDescent="0.35">
      <c r="A138" s="403" t="s">
        <v>737</v>
      </c>
      <c r="B138" s="106" t="s">
        <v>393</v>
      </c>
      <c r="C138" s="106"/>
      <c r="D138" s="106"/>
      <c r="E138" s="106"/>
      <c r="F138" s="226" t="s">
        <v>456</v>
      </c>
      <c r="G138" s="107"/>
      <c r="H138" s="107"/>
      <c r="I138" s="107"/>
      <c r="J138" s="107"/>
      <c r="K138" s="108"/>
      <c r="L138" s="108"/>
      <c r="M138" s="108">
        <f>M139</f>
        <v>300000000</v>
      </c>
      <c r="N138" s="108">
        <f>N139</f>
        <v>50598.751897453199</v>
      </c>
      <c r="O138" s="87"/>
      <c r="P138" s="99"/>
      <c r="Q138" s="94"/>
      <c r="R138" s="99"/>
      <c r="S138" s="99"/>
      <c r="T138" s="99"/>
      <c r="U138" s="99"/>
      <c r="V138" s="99"/>
      <c r="W138" s="99"/>
      <c r="X138" s="99"/>
      <c r="Y138" s="99"/>
      <c r="Z138" s="99"/>
      <c r="AA138" s="99"/>
      <c r="AB138" s="99"/>
      <c r="AC138" s="99"/>
      <c r="AD138" s="99"/>
      <c r="AE138" s="99"/>
      <c r="AF138" s="99"/>
      <c r="AG138" s="99"/>
      <c r="AH138" s="99"/>
      <c r="AI138" s="99"/>
      <c r="AJ138" s="99"/>
      <c r="AK138" s="99"/>
      <c r="AL138" s="99"/>
      <c r="AM138" s="99"/>
      <c r="AN138" s="99"/>
      <c r="AO138" s="99"/>
      <c r="AP138" s="99"/>
      <c r="AQ138" s="99"/>
      <c r="AR138" s="99"/>
      <c r="AS138" s="99"/>
      <c r="AT138" s="99"/>
      <c r="AU138" s="99"/>
      <c r="AV138" s="99"/>
      <c r="AW138" s="99"/>
      <c r="AX138" s="99"/>
      <c r="AY138" s="99"/>
      <c r="AZ138" s="99"/>
      <c r="BA138" s="99"/>
      <c r="BB138" s="99"/>
    </row>
    <row r="139" spans="1:54" s="88" customFormat="1" ht="12.65" customHeight="1" outlineLevel="1" x14ac:dyDescent="0.35">
      <c r="A139" s="402" t="s">
        <v>782</v>
      </c>
      <c r="B139" s="103" t="s">
        <v>393</v>
      </c>
      <c r="C139" s="103">
        <v>260</v>
      </c>
      <c r="D139" s="103" t="s">
        <v>93</v>
      </c>
      <c r="E139" s="103" t="s">
        <v>433</v>
      </c>
      <c r="F139" s="102" t="s">
        <v>456</v>
      </c>
      <c r="G139" s="104">
        <v>1</v>
      </c>
      <c r="H139" s="104" t="s">
        <v>229</v>
      </c>
      <c r="I139" s="104">
        <v>5</v>
      </c>
      <c r="J139" s="104" t="s">
        <v>234</v>
      </c>
      <c r="K139" s="105">
        <v>60000000</v>
      </c>
      <c r="L139" s="105"/>
      <c r="M139" s="86">
        <f>G139*I139*K139</f>
        <v>300000000</v>
      </c>
      <c r="N139" s="105">
        <f>+M139/$N$3</f>
        <v>50598.751897453199</v>
      </c>
      <c r="O139" s="87"/>
      <c r="Q139" s="94"/>
    </row>
    <row r="140" spans="1:54" s="100" customFormat="1" ht="12.65" customHeight="1" outlineLevel="1" x14ac:dyDescent="0.35">
      <c r="A140" s="403" t="s">
        <v>780</v>
      </c>
      <c r="B140" s="106" t="s">
        <v>393</v>
      </c>
      <c r="C140" s="106"/>
      <c r="D140" s="106"/>
      <c r="E140" s="106"/>
      <c r="F140" s="226" t="s">
        <v>457</v>
      </c>
      <c r="G140" s="107"/>
      <c r="H140" s="107"/>
      <c r="I140" s="107"/>
      <c r="J140" s="107"/>
      <c r="K140" s="108"/>
      <c r="L140" s="108"/>
      <c r="M140" s="108">
        <f>M141</f>
        <v>273486983</v>
      </c>
      <c r="N140" s="108">
        <f>N141</f>
        <v>46127</v>
      </c>
      <c r="O140" s="87"/>
      <c r="P140" s="99"/>
      <c r="Q140" s="94"/>
      <c r="R140" s="99"/>
      <c r="S140" s="99"/>
      <c r="T140" s="99"/>
      <c r="U140" s="99"/>
      <c r="V140" s="99"/>
      <c r="W140" s="99"/>
      <c r="X140" s="99"/>
      <c r="Y140" s="99"/>
      <c r="Z140" s="99"/>
      <c r="AA140" s="99"/>
      <c r="AB140" s="99"/>
      <c r="AC140" s="99"/>
      <c r="AD140" s="99"/>
      <c r="AE140" s="99"/>
      <c r="AF140" s="99"/>
      <c r="AG140" s="99"/>
      <c r="AH140" s="99"/>
      <c r="AI140" s="99"/>
      <c r="AJ140" s="99"/>
      <c r="AK140" s="99"/>
      <c r="AL140" s="99"/>
      <c r="AM140" s="99"/>
      <c r="AN140" s="99"/>
      <c r="AO140" s="99"/>
      <c r="AP140" s="99"/>
      <c r="AQ140" s="99"/>
      <c r="AR140" s="99"/>
      <c r="AS140" s="99"/>
      <c r="AT140" s="99"/>
      <c r="AU140" s="99"/>
      <c r="AV140" s="99"/>
      <c r="AW140" s="99"/>
      <c r="AX140" s="99"/>
      <c r="AY140" s="99"/>
      <c r="AZ140" s="99"/>
      <c r="BA140" s="99"/>
      <c r="BB140" s="99"/>
    </row>
    <row r="141" spans="1:54" s="88" customFormat="1" ht="12.65" customHeight="1" outlineLevel="1" x14ac:dyDescent="0.35">
      <c r="A141" s="402" t="s">
        <v>783</v>
      </c>
      <c r="B141" s="103" t="s">
        <v>393</v>
      </c>
      <c r="C141" s="103">
        <v>260</v>
      </c>
      <c r="D141" s="103" t="s">
        <v>389</v>
      </c>
      <c r="E141" s="103" t="s">
        <v>95</v>
      </c>
      <c r="F141" s="102" t="s">
        <v>463</v>
      </c>
      <c r="G141" s="104">
        <v>1</v>
      </c>
      <c r="H141" s="104" t="s">
        <v>428</v>
      </c>
      <c r="I141" s="104">
        <v>1</v>
      </c>
      <c r="J141" s="104"/>
      <c r="K141" s="105">
        <f>46127*N3</f>
        <v>273486983</v>
      </c>
      <c r="L141" s="105"/>
      <c r="M141" s="86">
        <f>G141*I141*K141</f>
        <v>273486983</v>
      </c>
      <c r="N141" s="105">
        <f>+M141/$N$3</f>
        <v>46127</v>
      </c>
      <c r="O141" s="87"/>
      <c r="Q141" s="94"/>
    </row>
    <row r="142" spans="1:54" ht="12.65" customHeight="1" x14ac:dyDescent="0.35">
      <c r="A142" s="401" t="s">
        <v>651</v>
      </c>
      <c r="B142" s="96" t="s">
        <v>393</v>
      </c>
      <c r="C142" s="96"/>
      <c r="D142" s="96"/>
      <c r="E142" s="96"/>
      <c r="F142" s="95" t="s">
        <v>447</v>
      </c>
      <c r="G142" s="97"/>
      <c r="H142" s="97"/>
      <c r="I142" s="97"/>
      <c r="J142" s="97"/>
      <c r="K142" s="98"/>
      <c r="L142" s="98"/>
      <c r="M142" s="98">
        <f>SUM(M143:M145)</f>
        <v>502296000</v>
      </c>
      <c r="N142" s="98">
        <f>SUM(N143:N145)</f>
        <v>84718.502276943836</v>
      </c>
      <c r="Q142" s="94"/>
    </row>
    <row r="143" spans="1:54" ht="12.65" customHeight="1" outlineLevel="1" x14ac:dyDescent="0.35">
      <c r="A143" s="404" t="s">
        <v>784</v>
      </c>
      <c r="B143" s="92" t="s">
        <v>393</v>
      </c>
      <c r="C143" s="92">
        <v>145</v>
      </c>
      <c r="D143" s="92" t="s">
        <v>387</v>
      </c>
      <c r="E143" s="92" t="s">
        <v>91</v>
      </c>
      <c r="F143" s="101" t="s">
        <v>285</v>
      </c>
      <c r="G143" s="93">
        <v>2</v>
      </c>
      <c r="H143" s="93" t="s">
        <v>223</v>
      </c>
      <c r="I143" s="93">
        <v>8</v>
      </c>
      <c r="J143" s="93" t="s">
        <v>219</v>
      </c>
      <c r="K143" s="86">
        <v>10000000</v>
      </c>
      <c r="L143" s="86"/>
      <c r="M143" s="86">
        <f>+G143*I143*K143</f>
        <v>160000000</v>
      </c>
      <c r="N143" s="105">
        <f t="shared" ref="N143" si="13">+M143/$N$3</f>
        <v>26986.001011975037</v>
      </c>
      <c r="Q143" s="94"/>
    </row>
    <row r="144" spans="1:54" ht="12.65" customHeight="1" outlineLevel="1" x14ac:dyDescent="0.35">
      <c r="A144" s="404" t="s">
        <v>663</v>
      </c>
      <c r="B144" s="92" t="s">
        <v>393</v>
      </c>
      <c r="C144" s="92">
        <v>840</v>
      </c>
      <c r="D144" s="92" t="s">
        <v>398</v>
      </c>
      <c r="E144" s="92" t="s">
        <v>92</v>
      </c>
      <c r="F144" s="101" t="s">
        <v>426</v>
      </c>
      <c r="G144" s="93">
        <v>1</v>
      </c>
      <c r="H144" s="93" t="s">
        <v>288</v>
      </c>
      <c r="I144" s="93">
        <v>1</v>
      </c>
      <c r="J144" s="93"/>
      <c r="K144" s="86">
        <v>200000000</v>
      </c>
      <c r="L144" s="86"/>
      <c r="M144" s="86">
        <f>+G144*I144*K144</f>
        <v>200000000</v>
      </c>
      <c r="N144" s="105">
        <f t="shared" ref="N144" si="14">+M144/$N$3</f>
        <v>33732.5012649688</v>
      </c>
      <c r="Q144" s="94"/>
    </row>
    <row r="145" spans="1:54" ht="12.65" customHeight="1" outlineLevel="1" x14ac:dyDescent="0.35">
      <c r="A145" s="404" t="s">
        <v>785</v>
      </c>
      <c r="B145" s="92" t="s">
        <v>393</v>
      </c>
      <c r="C145" s="92">
        <v>260</v>
      </c>
      <c r="D145" s="92" t="s">
        <v>424</v>
      </c>
      <c r="E145" s="92" t="s">
        <v>433</v>
      </c>
      <c r="F145" s="101" t="s">
        <v>287</v>
      </c>
      <c r="G145" s="93">
        <v>2000</v>
      </c>
      <c r="H145" s="93" t="s">
        <v>229</v>
      </c>
      <c r="I145" s="93">
        <v>1</v>
      </c>
      <c r="J145" s="93"/>
      <c r="K145" s="86">
        <f>12*N3</f>
        <v>71148</v>
      </c>
      <c r="L145" s="86"/>
      <c r="M145" s="86">
        <f>+G145*I145*K145</f>
        <v>142296000</v>
      </c>
      <c r="N145" s="105">
        <f>+M145/$N$3</f>
        <v>24000</v>
      </c>
      <c r="Q145" s="94"/>
    </row>
    <row r="146" spans="1:54" s="100" customFormat="1" ht="12.65" customHeight="1" x14ac:dyDescent="0.35">
      <c r="A146" s="401" t="s">
        <v>655</v>
      </c>
      <c r="B146" s="96" t="s">
        <v>393</v>
      </c>
      <c r="C146" s="96"/>
      <c r="D146" s="96"/>
      <c r="E146" s="96"/>
      <c r="F146" s="95" t="s">
        <v>445</v>
      </c>
      <c r="G146" s="97"/>
      <c r="H146" s="97"/>
      <c r="I146" s="97"/>
      <c r="J146" s="97"/>
      <c r="K146" s="98"/>
      <c r="L146" s="98"/>
      <c r="M146" s="98">
        <f>SUM(M147:M157)</f>
        <v>5466900000</v>
      </c>
      <c r="N146" s="98">
        <f>SUM(N147:N157)</f>
        <v>922061.05582728959</v>
      </c>
      <c r="O146" s="87"/>
      <c r="P146" s="99"/>
      <c r="Q146" s="94"/>
      <c r="R146" s="99"/>
      <c r="S146" s="99"/>
      <c r="T146" s="99"/>
      <c r="U146" s="99"/>
      <c r="V146" s="99"/>
      <c r="W146" s="99"/>
      <c r="X146" s="99"/>
      <c r="Y146" s="99"/>
      <c r="Z146" s="99"/>
      <c r="AA146" s="99"/>
      <c r="AB146" s="99"/>
      <c r="AC146" s="99"/>
      <c r="AD146" s="99"/>
      <c r="AE146" s="99"/>
      <c r="AF146" s="99"/>
      <c r="AG146" s="99"/>
      <c r="AH146" s="99"/>
      <c r="AI146" s="99"/>
      <c r="AJ146" s="99"/>
      <c r="AK146" s="99"/>
      <c r="AL146" s="99"/>
      <c r="AM146" s="99"/>
      <c r="AN146" s="99"/>
      <c r="AO146" s="99"/>
      <c r="AP146" s="99"/>
      <c r="AQ146" s="99"/>
      <c r="AR146" s="99"/>
      <c r="AS146" s="99"/>
      <c r="AT146" s="99"/>
      <c r="AU146" s="99"/>
      <c r="AV146" s="99"/>
      <c r="AW146" s="99"/>
      <c r="AX146" s="99"/>
      <c r="AY146" s="99"/>
      <c r="AZ146" s="99"/>
      <c r="BA146" s="99"/>
      <c r="BB146" s="99"/>
    </row>
    <row r="147" spans="1:54" ht="12.65" customHeight="1" outlineLevel="1" x14ac:dyDescent="0.35">
      <c r="A147" s="400" t="s">
        <v>719</v>
      </c>
      <c r="B147" s="92" t="s">
        <v>393</v>
      </c>
      <c r="C147" s="92">
        <v>145</v>
      </c>
      <c r="D147" s="92" t="s">
        <v>387</v>
      </c>
      <c r="E147" s="92" t="s">
        <v>91</v>
      </c>
      <c r="F147" s="101" t="s">
        <v>51</v>
      </c>
      <c r="G147" s="104">
        <v>3</v>
      </c>
      <c r="H147" s="93" t="s">
        <v>223</v>
      </c>
      <c r="I147" s="104">
        <v>4</v>
      </c>
      <c r="J147" s="104" t="s">
        <v>219</v>
      </c>
      <c r="K147" s="105">
        <v>12000000</v>
      </c>
      <c r="L147" s="105"/>
      <c r="M147" s="105">
        <f>+G147*I147*K147</f>
        <v>144000000</v>
      </c>
      <c r="N147" s="105">
        <f t="shared" ref="N147:N157" si="15">+M147/$N$3</f>
        <v>24287.400910777535</v>
      </c>
      <c r="Q147" s="94"/>
    </row>
    <row r="148" spans="1:54" ht="12.65" customHeight="1" outlineLevel="1" x14ac:dyDescent="0.35">
      <c r="A148" s="400" t="s">
        <v>786</v>
      </c>
      <c r="B148" s="92" t="s">
        <v>393</v>
      </c>
      <c r="C148" s="92">
        <v>145</v>
      </c>
      <c r="D148" s="92" t="s">
        <v>387</v>
      </c>
      <c r="E148" s="92" t="s">
        <v>91</v>
      </c>
      <c r="F148" s="101" t="s">
        <v>53</v>
      </c>
      <c r="G148" s="93">
        <v>3</v>
      </c>
      <c r="H148" s="93" t="s">
        <v>223</v>
      </c>
      <c r="I148" s="93">
        <v>2</v>
      </c>
      <c r="J148" s="93" t="s">
        <v>219</v>
      </c>
      <c r="K148" s="86">
        <v>10000000</v>
      </c>
      <c r="L148" s="86"/>
      <c r="M148" s="105">
        <f t="shared" ref="M148:M157" si="16">+G148*I148*K148</f>
        <v>60000000</v>
      </c>
      <c r="N148" s="86">
        <f t="shared" si="15"/>
        <v>10119.750379490639</v>
      </c>
      <c r="Q148" s="94"/>
    </row>
    <row r="149" spans="1:54" ht="12.65" customHeight="1" outlineLevel="1" x14ac:dyDescent="0.35">
      <c r="A149" s="400" t="s">
        <v>787</v>
      </c>
      <c r="B149" s="92" t="s">
        <v>393</v>
      </c>
      <c r="C149" s="92">
        <v>145</v>
      </c>
      <c r="D149" s="92" t="s">
        <v>387</v>
      </c>
      <c r="E149" s="92" t="s">
        <v>91</v>
      </c>
      <c r="F149" s="101" t="s">
        <v>52</v>
      </c>
      <c r="G149" s="93">
        <v>1</v>
      </c>
      <c r="H149" s="93" t="s">
        <v>225</v>
      </c>
      <c r="I149" s="93">
        <v>2</v>
      </c>
      <c r="J149" s="93" t="s">
        <v>219</v>
      </c>
      <c r="K149" s="86">
        <v>10000000</v>
      </c>
      <c r="L149" s="86"/>
      <c r="M149" s="105">
        <f>+G149*I149*K149</f>
        <v>20000000</v>
      </c>
      <c r="N149" s="86">
        <f t="shared" si="15"/>
        <v>3373.2501264968796</v>
      </c>
      <c r="Q149" s="94"/>
    </row>
    <row r="150" spans="1:54" ht="12.65" customHeight="1" outlineLevel="1" x14ac:dyDescent="0.35">
      <c r="A150" s="400" t="s">
        <v>788</v>
      </c>
      <c r="B150" s="92" t="s">
        <v>393</v>
      </c>
      <c r="C150" s="92">
        <v>145</v>
      </c>
      <c r="D150" s="92" t="s">
        <v>387</v>
      </c>
      <c r="E150" s="92" t="s">
        <v>91</v>
      </c>
      <c r="F150" s="101" t="s">
        <v>251</v>
      </c>
      <c r="G150" s="93">
        <v>1</v>
      </c>
      <c r="H150" s="93" t="s">
        <v>225</v>
      </c>
      <c r="I150" s="93">
        <v>2</v>
      </c>
      <c r="J150" s="93" t="s">
        <v>219</v>
      </c>
      <c r="K150" s="86">
        <v>10000000</v>
      </c>
      <c r="L150" s="86"/>
      <c r="M150" s="105">
        <f t="shared" si="16"/>
        <v>20000000</v>
      </c>
      <c r="N150" s="86">
        <f t="shared" si="15"/>
        <v>3373.2501264968796</v>
      </c>
      <c r="Q150" s="94"/>
    </row>
    <row r="151" spans="1:54" ht="12.65" customHeight="1" outlineLevel="1" x14ac:dyDescent="0.35">
      <c r="A151" s="400" t="s">
        <v>704</v>
      </c>
      <c r="B151" s="92" t="s">
        <v>393</v>
      </c>
      <c r="C151" s="92">
        <v>145</v>
      </c>
      <c r="D151" s="92" t="s">
        <v>387</v>
      </c>
      <c r="E151" s="92" t="s">
        <v>91</v>
      </c>
      <c r="F151" s="101" t="s">
        <v>54</v>
      </c>
      <c r="G151" s="93">
        <v>3</v>
      </c>
      <c r="H151" s="93" t="s">
        <v>223</v>
      </c>
      <c r="I151" s="93">
        <v>1</v>
      </c>
      <c r="J151" s="93" t="s">
        <v>221</v>
      </c>
      <c r="K151" s="86">
        <v>10000000</v>
      </c>
      <c r="L151" s="86"/>
      <c r="M151" s="105">
        <f t="shared" si="16"/>
        <v>30000000</v>
      </c>
      <c r="N151" s="86">
        <f t="shared" si="15"/>
        <v>5059.8751897453194</v>
      </c>
      <c r="Q151" s="94"/>
    </row>
    <row r="152" spans="1:54" ht="12.65" customHeight="1" outlineLevel="1" x14ac:dyDescent="0.35">
      <c r="A152" s="400" t="s">
        <v>789</v>
      </c>
      <c r="B152" s="92" t="s">
        <v>393</v>
      </c>
      <c r="C152" s="92">
        <v>145</v>
      </c>
      <c r="D152" s="92" t="s">
        <v>387</v>
      </c>
      <c r="E152" s="92" t="s">
        <v>91</v>
      </c>
      <c r="F152" s="101" t="s">
        <v>417</v>
      </c>
      <c r="G152" s="93">
        <v>1</v>
      </c>
      <c r="H152" s="93" t="s">
        <v>225</v>
      </c>
      <c r="I152" s="93">
        <v>2</v>
      </c>
      <c r="J152" s="93" t="s">
        <v>219</v>
      </c>
      <c r="K152" s="86">
        <v>10000000</v>
      </c>
      <c r="L152" s="86"/>
      <c r="M152" s="105">
        <f t="shared" si="16"/>
        <v>20000000</v>
      </c>
      <c r="N152" s="86">
        <f t="shared" si="15"/>
        <v>3373.2501264968796</v>
      </c>
      <c r="Q152" s="94"/>
    </row>
    <row r="153" spans="1:54" ht="12.65" customHeight="1" outlineLevel="1" x14ac:dyDescent="0.35">
      <c r="A153" s="400" t="s">
        <v>775</v>
      </c>
      <c r="B153" s="92" t="s">
        <v>393</v>
      </c>
      <c r="C153" s="92">
        <v>145</v>
      </c>
      <c r="D153" s="92" t="s">
        <v>387</v>
      </c>
      <c r="E153" s="92" t="s">
        <v>91</v>
      </c>
      <c r="F153" s="101" t="s">
        <v>55</v>
      </c>
      <c r="G153" s="93">
        <v>1</v>
      </c>
      <c r="H153" s="93" t="s">
        <v>225</v>
      </c>
      <c r="I153" s="93">
        <v>2</v>
      </c>
      <c r="J153" s="93" t="s">
        <v>219</v>
      </c>
      <c r="K153" s="105">
        <v>15000000</v>
      </c>
      <c r="L153" s="105"/>
      <c r="M153" s="105">
        <f t="shared" si="16"/>
        <v>30000000</v>
      </c>
      <c r="N153" s="105">
        <f t="shared" si="15"/>
        <v>5059.8751897453194</v>
      </c>
      <c r="Q153" s="94"/>
    </row>
    <row r="154" spans="1:54" ht="12.65" customHeight="1" outlineLevel="1" x14ac:dyDescent="0.35">
      <c r="A154" s="400" t="s">
        <v>790</v>
      </c>
      <c r="B154" s="92" t="s">
        <v>393</v>
      </c>
      <c r="C154" s="92">
        <v>145</v>
      </c>
      <c r="D154" s="92" t="s">
        <v>387</v>
      </c>
      <c r="E154" s="92" t="s">
        <v>91</v>
      </c>
      <c r="F154" s="101" t="s">
        <v>56</v>
      </c>
      <c r="G154" s="93">
        <v>1</v>
      </c>
      <c r="H154" s="93" t="s">
        <v>225</v>
      </c>
      <c r="I154" s="93">
        <v>1</v>
      </c>
      <c r="J154" s="93" t="s">
        <v>221</v>
      </c>
      <c r="K154" s="105">
        <v>30000000</v>
      </c>
      <c r="L154" s="105"/>
      <c r="M154" s="105">
        <f t="shared" si="16"/>
        <v>30000000</v>
      </c>
      <c r="N154" s="105">
        <f t="shared" si="15"/>
        <v>5059.8751897453194</v>
      </c>
      <c r="Q154" s="94"/>
    </row>
    <row r="155" spans="1:54" ht="12.65" customHeight="1" outlineLevel="1" x14ac:dyDescent="0.35">
      <c r="A155" s="400" t="s">
        <v>781</v>
      </c>
      <c r="B155" s="92" t="s">
        <v>393</v>
      </c>
      <c r="C155" s="92">
        <v>145</v>
      </c>
      <c r="D155" s="92" t="s">
        <v>387</v>
      </c>
      <c r="E155" s="92" t="s">
        <v>91</v>
      </c>
      <c r="F155" s="101" t="s">
        <v>160</v>
      </c>
      <c r="G155" s="93">
        <v>1</v>
      </c>
      <c r="H155" s="93" t="s">
        <v>225</v>
      </c>
      <c r="I155" s="93">
        <v>2</v>
      </c>
      <c r="J155" s="93" t="s">
        <v>219</v>
      </c>
      <c r="K155" s="86">
        <v>10000000</v>
      </c>
      <c r="L155" s="86"/>
      <c r="M155" s="105">
        <f t="shared" si="16"/>
        <v>20000000</v>
      </c>
      <c r="N155" s="86">
        <f t="shared" si="15"/>
        <v>3373.2501264968796</v>
      </c>
      <c r="Q155" s="94"/>
    </row>
    <row r="156" spans="1:54" ht="12.65" customHeight="1" outlineLevel="1" x14ac:dyDescent="0.35">
      <c r="A156" s="400" t="s">
        <v>791</v>
      </c>
      <c r="B156" s="92" t="s">
        <v>393</v>
      </c>
      <c r="C156" s="92">
        <v>260</v>
      </c>
      <c r="D156" s="92" t="s">
        <v>389</v>
      </c>
      <c r="E156" s="92" t="s">
        <v>96</v>
      </c>
      <c r="F156" s="101" t="s">
        <v>283</v>
      </c>
      <c r="G156" s="104">
        <v>1</v>
      </c>
      <c r="H156" s="104" t="s">
        <v>428</v>
      </c>
      <c r="I156" s="104">
        <v>2</v>
      </c>
      <c r="J156" s="104" t="s">
        <v>65</v>
      </c>
      <c r="K156" s="105">
        <f>300000*7500</f>
        <v>2250000000</v>
      </c>
      <c r="L156" s="105"/>
      <c r="M156" s="105">
        <f t="shared" si="16"/>
        <v>4500000000</v>
      </c>
      <c r="N156" s="105">
        <f t="shared" si="15"/>
        <v>758981.27846179798</v>
      </c>
      <c r="Q156" s="94"/>
    </row>
    <row r="157" spans="1:54" ht="12.65" customHeight="1" outlineLevel="1" x14ac:dyDescent="0.35">
      <c r="A157" s="400" t="s">
        <v>792</v>
      </c>
      <c r="B157" s="92" t="s">
        <v>393</v>
      </c>
      <c r="C157" s="92">
        <v>260</v>
      </c>
      <c r="D157" s="92" t="s">
        <v>93</v>
      </c>
      <c r="E157" s="92" t="s">
        <v>433</v>
      </c>
      <c r="F157" s="102" t="s">
        <v>68</v>
      </c>
      <c r="G157" s="104">
        <v>2</v>
      </c>
      <c r="H157" s="104" t="s">
        <v>229</v>
      </c>
      <c r="I157" s="104">
        <v>2</v>
      </c>
      <c r="J157" s="104" t="s">
        <v>41</v>
      </c>
      <c r="K157" s="105">
        <f>100000*N3/4</f>
        <v>148225000</v>
      </c>
      <c r="L157" s="105"/>
      <c r="M157" s="105">
        <f t="shared" si="16"/>
        <v>592900000</v>
      </c>
      <c r="N157" s="105">
        <f t="shared" si="15"/>
        <v>100000</v>
      </c>
      <c r="Q157" s="94"/>
    </row>
    <row r="158" spans="1:54" s="100" customFormat="1" ht="12.65" customHeight="1" x14ac:dyDescent="0.35">
      <c r="A158" s="401" t="s">
        <v>656</v>
      </c>
      <c r="B158" s="96" t="s">
        <v>393</v>
      </c>
      <c r="C158" s="96"/>
      <c r="D158" s="96"/>
      <c r="E158" s="96"/>
      <c r="F158" s="95" t="s">
        <v>566</v>
      </c>
      <c r="G158" s="97"/>
      <c r="H158" s="97"/>
      <c r="I158" s="97"/>
      <c r="J158" s="97"/>
      <c r="K158" s="98"/>
      <c r="L158" s="98"/>
      <c r="M158" s="98">
        <f>SUM(M159)</f>
        <v>480000000</v>
      </c>
      <c r="N158" s="98">
        <f>SUM(N159)</f>
        <v>80958.00303592511</v>
      </c>
      <c r="O158" s="87"/>
      <c r="P158" s="99"/>
      <c r="Q158" s="94"/>
      <c r="R158" s="99"/>
      <c r="S158" s="99"/>
      <c r="T158" s="99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  <c r="AZ158" s="99"/>
      <c r="BA158" s="99"/>
      <c r="BB158" s="99"/>
    </row>
    <row r="159" spans="1:54" ht="12.65" customHeight="1" outlineLevel="1" x14ac:dyDescent="0.35">
      <c r="A159" s="400" t="s">
        <v>793</v>
      </c>
      <c r="B159" s="92" t="s">
        <v>393</v>
      </c>
      <c r="C159" s="92">
        <v>145</v>
      </c>
      <c r="D159" s="92" t="s">
        <v>387</v>
      </c>
      <c r="E159" s="92" t="s">
        <v>91</v>
      </c>
      <c r="F159" s="101" t="s">
        <v>453</v>
      </c>
      <c r="G159" s="93">
        <v>3</v>
      </c>
      <c r="H159" s="93" t="s">
        <v>225</v>
      </c>
      <c r="I159" s="93">
        <v>4</v>
      </c>
      <c r="J159" s="93" t="s">
        <v>219</v>
      </c>
      <c r="K159" s="86">
        <v>40000000</v>
      </c>
      <c r="L159" s="86"/>
      <c r="M159" s="105">
        <f>+G159*I159*K159</f>
        <v>480000000</v>
      </c>
      <c r="N159" s="86">
        <f t="shared" ref="N159" si="17">+M159/$N$3</f>
        <v>80958.00303592511</v>
      </c>
      <c r="Q159" s="94" t="s">
        <v>427</v>
      </c>
    </row>
    <row r="160" spans="1:54" s="124" customFormat="1" ht="12.65" customHeight="1" x14ac:dyDescent="0.35">
      <c r="A160" s="399">
        <v>3</v>
      </c>
      <c r="B160" s="82" t="s">
        <v>394</v>
      </c>
      <c r="C160" s="82"/>
      <c r="D160" s="82"/>
      <c r="E160" s="82"/>
      <c r="F160" s="80" t="s">
        <v>862</v>
      </c>
      <c r="G160" s="83"/>
      <c r="H160" s="83"/>
      <c r="I160" s="83"/>
      <c r="J160" s="83"/>
      <c r="K160" s="84"/>
      <c r="L160" s="84"/>
      <c r="M160" s="85">
        <f>M161+M167+M170</f>
        <v>4215640000</v>
      </c>
      <c r="N160" s="85">
        <f>N161+N167+N170</f>
        <v>711020.40816326533</v>
      </c>
      <c r="O160" s="122">
        <f>N160/$N$173</f>
        <v>4.7401361537708853E-2</v>
      </c>
      <c r="P160" s="123"/>
      <c r="Q160" s="125"/>
      <c r="R160" s="123"/>
      <c r="S160" s="123"/>
      <c r="T160" s="123"/>
      <c r="U160" s="123"/>
      <c r="V160" s="123"/>
      <c r="W160" s="123"/>
      <c r="X160" s="123"/>
      <c r="Y160" s="123"/>
      <c r="Z160" s="123"/>
      <c r="AA160" s="123"/>
      <c r="AB160" s="123"/>
      <c r="AC160" s="123"/>
      <c r="AD160" s="123"/>
      <c r="AE160" s="123"/>
      <c r="AF160" s="123"/>
      <c r="AG160" s="123"/>
      <c r="AH160" s="123"/>
      <c r="AI160" s="123"/>
      <c r="AJ160" s="123"/>
      <c r="AK160" s="123"/>
      <c r="AL160" s="123"/>
      <c r="AM160" s="123"/>
      <c r="AN160" s="123"/>
      <c r="AO160" s="123"/>
      <c r="AP160" s="123"/>
      <c r="AQ160" s="123"/>
      <c r="AR160" s="123"/>
      <c r="AS160" s="123"/>
      <c r="AT160" s="123"/>
      <c r="AU160" s="123"/>
      <c r="AV160" s="123"/>
      <c r="AW160" s="123"/>
      <c r="AX160" s="123"/>
      <c r="AY160" s="123"/>
      <c r="AZ160" s="123"/>
      <c r="BA160" s="123"/>
      <c r="BB160" s="123"/>
    </row>
    <row r="161" spans="1:54" s="100" customFormat="1" ht="12.65" customHeight="1" x14ac:dyDescent="0.35">
      <c r="A161" s="401" t="s">
        <v>657</v>
      </c>
      <c r="B161" s="96" t="s">
        <v>394</v>
      </c>
      <c r="C161" s="96"/>
      <c r="D161" s="96"/>
      <c r="E161" s="96"/>
      <c r="F161" s="95" t="s">
        <v>161</v>
      </c>
      <c r="G161" s="97"/>
      <c r="H161" s="97"/>
      <c r="I161" s="97"/>
      <c r="J161" s="97"/>
      <c r="K161" s="98"/>
      <c r="L161" s="98"/>
      <c r="M161" s="98">
        <f>SUM(M162:M166)</f>
        <v>3267000000</v>
      </c>
      <c r="N161" s="98">
        <f>SUM(N162:N166)</f>
        <v>551020.40816326533</v>
      </c>
      <c r="O161" s="87"/>
      <c r="P161" s="99"/>
      <c r="Q161" s="94"/>
      <c r="R161" s="99"/>
      <c r="S161" s="99"/>
      <c r="T161" s="99"/>
      <c r="U161" s="99"/>
      <c r="V161" s="99"/>
      <c r="W161" s="99"/>
      <c r="X161" s="99"/>
      <c r="Y161" s="99"/>
      <c r="Z161" s="99"/>
      <c r="AA161" s="99"/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</row>
    <row r="162" spans="1:54" ht="12.65" customHeight="1" outlineLevel="1" x14ac:dyDescent="0.35">
      <c r="A162" s="400" t="s">
        <v>794</v>
      </c>
      <c r="B162" s="92" t="s">
        <v>394</v>
      </c>
      <c r="C162" s="92">
        <v>145</v>
      </c>
      <c r="D162" s="92" t="s">
        <v>387</v>
      </c>
      <c r="E162" s="92" t="s">
        <v>91</v>
      </c>
      <c r="F162" s="101" t="s">
        <v>48</v>
      </c>
      <c r="G162" s="93">
        <v>1</v>
      </c>
      <c r="H162" s="93" t="s">
        <v>225</v>
      </c>
      <c r="I162" s="93">
        <v>57</v>
      </c>
      <c r="J162" s="93" t="s">
        <v>219</v>
      </c>
      <c r="K162" s="105">
        <v>15000000</v>
      </c>
      <c r="L162" s="86"/>
      <c r="M162" s="86">
        <f t="shared" ref="M162:M165" si="18">+G162*I162*K162</f>
        <v>855000000</v>
      </c>
      <c r="N162" s="86">
        <f t="shared" ref="N162:N165" si="19">+M162/$N$3</f>
        <v>144206.44290774161</v>
      </c>
      <c r="Q162" s="94"/>
    </row>
    <row r="163" spans="1:54" ht="12.65" customHeight="1" outlineLevel="1" x14ac:dyDescent="0.35">
      <c r="A163" s="400" t="s">
        <v>795</v>
      </c>
      <c r="B163" s="92" t="s">
        <v>394</v>
      </c>
      <c r="C163" s="92">
        <v>145</v>
      </c>
      <c r="D163" s="92" t="s">
        <v>387</v>
      </c>
      <c r="E163" s="92" t="s">
        <v>91</v>
      </c>
      <c r="F163" s="101" t="s">
        <v>284</v>
      </c>
      <c r="G163" s="93">
        <v>1</v>
      </c>
      <c r="H163" s="93" t="s">
        <v>225</v>
      </c>
      <c r="I163" s="93">
        <v>48</v>
      </c>
      <c r="J163" s="93" t="s">
        <v>219</v>
      </c>
      <c r="K163" s="105">
        <v>12000000</v>
      </c>
      <c r="L163" s="86"/>
      <c r="M163" s="86">
        <f t="shared" ref="M163" si="20">+G163*I163*K163</f>
        <v>576000000</v>
      </c>
      <c r="N163" s="86">
        <f t="shared" ref="N163" si="21">+M163/$N$3</f>
        <v>97149.603643110138</v>
      </c>
      <c r="Q163" s="94"/>
    </row>
    <row r="164" spans="1:54" ht="12.65" customHeight="1" outlineLevel="1" x14ac:dyDescent="0.35">
      <c r="A164" s="400" t="s">
        <v>731</v>
      </c>
      <c r="B164" s="92" t="s">
        <v>394</v>
      </c>
      <c r="C164" s="92">
        <v>145</v>
      </c>
      <c r="D164" s="92" t="s">
        <v>387</v>
      </c>
      <c r="E164" s="92" t="s">
        <v>91</v>
      </c>
      <c r="F164" s="101" t="s">
        <v>46</v>
      </c>
      <c r="G164" s="93">
        <v>1</v>
      </c>
      <c r="H164" s="93" t="s">
        <v>225</v>
      </c>
      <c r="I164" s="93">
        <v>57</v>
      </c>
      <c r="J164" s="93" t="s">
        <v>219</v>
      </c>
      <c r="K164" s="105">
        <v>12000000</v>
      </c>
      <c r="L164" s="86"/>
      <c r="M164" s="86">
        <f t="shared" si="18"/>
        <v>684000000</v>
      </c>
      <c r="N164" s="86">
        <f t="shared" si="19"/>
        <v>115365.15432619328</v>
      </c>
      <c r="Q164" s="94"/>
    </row>
    <row r="165" spans="1:54" ht="12.65" customHeight="1" outlineLevel="1" x14ac:dyDescent="0.35">
      <c r="A165" s="400" t="s">
        <v>796</v>
      </c>
      <c r="B165" s="92" t="s">
        <v>394</v>
      </c>
      <c r="C165" s="92">
        <v>145</v>
      </c>
      <c r="D165" s="92" t="s">
        <v>387</v>
      </c>
      <c r="E165" s="92" t="s">
        <v>91</v>
      </c>
      <c r="F165" s="101" t="s">
        <v>47</v>
      </c>
      <c r="G165" s="93">
        <v>2</v>
      </c>
      <c r="H165" s="93" t="s">
        <v>225</v>
      </c>
      <c r="I165" s="93">
        <v>48</v>
      </c>
      <c r="J165" s="93" t="s">
        <v>219</v>
      </c>
      <c r="K165" s="105">
        <v>12000000</v>
      </c>
      <c r="L165" s="86"/>
      <c r="M165" s="86">
        <f t="shared" si="18"/>
        <v>1152000000</v>
      </c>
      <c r="N165" s="86">
        <f t="shared" si="19"/>
        <v>194299.20728622028</v>
      </c>
      <c r="Q165" s="94"/>
    </row>
    <row r="166" spans="1:54" ht="12.65" customHeight="1" outlineLevel="1" x14ac:dyDescent="0.35">
      <c r="A166" s="400" t="s">
        <v>797</v>
      </c>
      <c r="B166" s="92" t="s">
        <v>394</v>
      </c>
      <c r="C166" s="92"/>
      <c r="D166" s="92"/>
      <c r="E166" s="92" t="s">
        <v>430</v>
      </c>
      <c r="F166" s="101" t="s">
        <v>50</v>
      </c>
      <c r="G166" s="93"/>
      <c r="H166" s="93"/>
      <c r="I166" s="93"/>
      <c r="J166" s="93"/>
      <c r="K166" s="86"/>
      <c r="L166" s="86"/>
      <c r="M166" s="86"/>
      <c r="N166" s="86">
        <v>0</v>
      </c>
      <c r="Q166" s="94"/>
    </row>
    <row r="167" spans="1:54" s="100" customFormat="1" ht="12.65" customHeight="1" x14ac:dyDescent="0.35">
      <c r="A167" s="401" t="s">
        <v>863</v>
      </c>
      <c r="B167" s="96" t="s">
        <v>395</v>
      </c>
      <c r="C167" s="96"/>
      <c r="D167" s="96"/>
      <c r="E167" s="96"/>
      <c r="F167" s="95" t="s">
        <v>659</v>
      </c>
      <c r="G167" s="97"/>
      <c r="H167" s="97"/>
      <c r="I167" s="97"/>
      <c r="J167" s="97"/>
      <c r="K167" s="98"/>
      <c r="L167" s="98"/>
      <c r="M167" s="98">
        <f>SUM(M168:M169)</f>
        <v>355740000</v>
      </c>
      <c r="N167" s="98">
        <f>SUM(N168:N169)</f>
        <v>60000</v>
      </c>
      <c r="O167" s="87"/>
      <c r="P167" s="99"/>
      <c r="Q167" s="94"/>
      <c r="R167" s="99"/>
      <c r="S167" s="99"/>
      <c r="T167" s="99"/>
      <c r="U167" s="99"/>
      <c r="V167" s="99"/>
      <c r="W167" s="99"/>
      <c r="X167" s="99"/>
      <c r="Y167" s="99"/>
      <c r="Z167" s="99"/>
      <c r="AA167" s="99"/>
      <c r="AB167" s="99"/>
      <c r="AC167" s="99"/>
      <c r="AD167" s="99"/>
      <c r="AE167" s="99"/>
      <c r="AF167" s="99"/>
      <c r="AG167" s="99"/>
      <c r="AH167" s="99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9"/>
      <c r="AW167" s="99"/>
      <c r="AX167" s="99"/>
      <c r="AY167" s="99"/>
      <c r="AZ167" s="99"/>
      <c r="BA167" s="99"/>
      <c r="BB167" s="99"/>
    </row>
    <row r="168" spans="1:54" ht="12.65" customHeight="1" outlineLevel="1" x14ac:dyDescent="0.35">
      <c r="A168" s="400" t="s">
        <v>869</v>
      </c>
      <c r="B168" s="92" t="s">
        <v>395</v>
      </c>
      <c r="C168" s="92">
        <v>260</v>
      </c>
      <c r="D168" s="92" t="s">
        <v>389</v>
      </c>
      <c r="E168" s="92" t="s">
        <v>95</v>
      </c>
      <c r="F168" s="101" t="s">
        <v>143</v>
      </c>
      <c r="G168" s="93">
        <v>1</v>
      </c>
      <c r="H168" s="93" t="s">
        <v>428</v>
      </c>
      <c r="I168" s="93">
        <v>4</v>
      </c>
      <c r="J168" s="93" t="s">
        <v>219</v>
      </c>
      <c r="K168" s="86"/>
      <c r="L168" s="86"/>
      <c r="M168" s="86">
        <f>30000*$N$3</f>
        <v>177870000</v>
      </c>
      <c r="N168" s="86">
        <f t="shared" ref="N168:N169" si="22">+M168/$N$3</f>
        <v>30000</v>
      </c>
      <c r="Q168" s="94"/>
    </row>
    <row r="169" spans="1:54" ht="12.65" customHeight="1" outlineLevel="1" x14ac:dyDescent="0.35">
      <c r="A169" s="400" t="s">
        <v>870</v>
      </c>
      <c r="B169" s="92" t="s">
        <v>395</v>
      </c>
      <c r="C169" s="92">
        <v>260</v>
      </c>
      <c r="D169" s="92" t="s">
        <v>389</v>
      </c>
      <c r="E169" s="92" t="s">
        <v>95</v>
      </c>
      <c r="F169" s="101" t="s">
        <v>144</v>
      </c>
      <c r="G169" s="93">
        <v>1</v>
      </c>
      <c r="H169" s="93" t="s">
        <v>428</v>
      </c>
      <c r="I169" s="93">
        <v>4</v>
      </c>
      <c r="J169" s="93" t="s">
        <v>219</v>
      </c>
      <c r="K169" s="86"/>
      <c r="L169" s="86"/>
      <c r="M169" s="86">
        <f>30000*$N$3</f>
        <v>177870000</v>
      </c>
      <c r="N169" s="86">
        <f t="shared" si="22"/>
        <v>30000</v>
      </c>
      <c r="Q169" s="94"/>
    </row>
    <row r="170" spans="1:54" s="100" customFormat="1" ht="12.65" customHeight="1" x14ac:dyDescent="0.35">
      <c r="A170" s="401" t="s">
        <v>864</v>
      </c>
      <c r="B170" s="96" t="s">
        <v>395</v>
      </c>
      <c r="C170" s="96"/>
      <c r="D170" s="96"/>
      <c r="E170" s="96"/>
      <c r="F170" s="95" t="s">
        <v>658</v>
      </c>
      <c r="G170" s="97"/>
      <c r="H170" s="97"/>
      <c r="I170" s="97"/>
      <c r="J170" s="97"/>
      <c r="K170" s="98"/>
      <c r="L170" s="98"/>
      <c r="M170" s="98">
        <f>M171</f>
        <v>592900000</v>
      </c>
      <c r="N170" s="98">
        <f>N171</f>
        <v>100000</v>
      </c>
      <c r="O170" s="87"/>
      <c r="P170" s="99"/>
      <c r="Q170" s="94"/>
      <c r="R170" s="99"/>
      <c r="S170" s="99"/>
      <c r="T170" s="99"/>
      <c r="U170" s="99"/>
      <c r="V170" s="99"/>
      <c r="W170" s="99"/>
      <c r="X170" s="99"/>
      <c r="Y170" s="99"/>
      <c r="Z170" s="99"/>
      <c r="AA170" s="99"/>
      <c r="AB170" s="99"/>
      <c r="AC170" s="99"/>
      <c r="AD170" s="99"/>
      <c r="AE170" s="99"/>
      <c r="AF170" s="99"/>
      <c r="AG170" s="99"/>
      <c r="AH170" s="99"/>
      <c r="AI170" s="99"/>
      <c r="AJ170" s="99"/>
      <c r="AK170" s="99"/>
      <c r="AL170" s="99"/>
      <c r="AM170" s="99"/>
      <c r="AN170" s="99"/>
      <c r="AO170" s="99"/>
      <c r="AP170" s="99"/>
      <c r="AQ170" s="99"/>
      <c r="AR170" s="99"/>
      <c r="AS170" s="99"/>
      <c r="AT170" s="99"/>
      <c r="AU170" s="99"/>
      <c r="AV170" s="99"/>
      <c r="AW170" s="99"/>
      <c r="AX170" s="99"/>
      <c r="AY170" s="99"/>
      <c r="AZ170" s="99"/>
      <c r="BA170" s="99"/>
      <c r="BB170" s="99"/>
    </row>
    <row r="171" spans="1:54" ht="12.65" customHeight="1" outlineLevel="1" x14ac:dyDescent="0.35">
      <c r="A171" s="400" t="s">
        <v>871</v>
      </c>
      <c r="B171" s="92" t="s">
        <v>395</v>
      </c>
      <c r="C171" s="92">
        <v>260</v>
      </c>
      <c r="D171" s="92" t="s">
        <v>389</v>
      </c>
      <c r="E171" s="92" t="s">
        <v>96</v>
      </c>
      <c r="F171" s="101" t="s">
        <v>49</v>
      </c>
      <c r="G171" s="93">
        <v>1</v>
      </c>
      <c r="H171" s="93" t="s">
        <v>428</v>
      </c>
      <c r="I171" s="93">
        <v>5</v>
      </c>
      <c r="J171" s="93" t="s">
        <v>234</v>
      </c>
      <c r="K171" s="86"/>
      <c r="L171" s="86"/>
      <c r="M171" s="86">
        <f>(100000*$N$3)</f>
        <v>592900000</v>
      </c>
      <c r="N171" s="86">
        <f t="shared" ref="N171" si="23">+M171/$N$3</f>
        <v>100000</v>
      </c>
      <c r="Q171" s="94"/>
    </row>
    <row r="172" spans="1:54" s="124" customFormat="1" ht="12.65" customHeight="1" x14ac:dyDescent="0.35">
      <c r="A172" s="399"/>
      <c r="B172" s="82"/>
      <c r="C172" s="82"/>
      <c r="D172" s="82"/>
      <c r="E172" s="82" t="s">
        <v>458</v>
      </c>
      <c r="F172" s="80" t="s">
        <v>419</v>
      </c>
      <c r="G172" s="83"/>
      <c r="H172" s="83"/>
      <c r="I172" s="83"/>
      <c r="J172" s="83"/>
      <c r="K172" s="84"/>
      <c r="L172" s="84"/>
      <c r="M172" s="85">
        <f>N172*$N$3</f>
        <v>1778700000</v>
      </c>
      <c r="N172" s="85">
        <v>300000</v>
      </c>
      <c r="O172" s="122">
        <f>N172/$N$173</f>
        <v>2.0000000419182554E-2</v>
      </c>
      <c r="P172" s="123"/>
      <c r="Q172" s="125"/>
      <c r="R172" s="123"/>
      <c r="S172" s="123"/>
      <c r="T172" s="123"/>
      <c r="U172" s="123"/>
      <c r="V172" s="123"/>
      <c r="W172" s="123"/>
      <c r="X172" s="123"/>
      <c r="Y172" s="123"/>
      <c r="Z172" s="123"/>
      <c r="AA172" s="123"/>
      <c r="AB172" s="123"/>
      <c r="AC172" s="123"/>
      <c r="AD172" s="123"/>
      <c r="AE172" s="123"/>
      <c r="AF172" s="123"/>
      <c r="AG172" s="123"/>
      <c r="AH172" s="123"/>
      <c r="AI172" s="123"/>
      <c r="AJ172" s="123"/>
      <c r="AK172" s="123"/>
      <c r="AL172" s="123"/>
      <c r="AM172" s="123"/>
      <c r="AN172" s="123"/>
      <c r="AO172" s="123"/>
      <c r="AP172" s="123"/>
      <c r="AQ172" s="123"/>
      <c r="AR172" s="123"/>
      <c r="AS172" s="123"/>
      <c r="AT172" s="123"/>
      <c r="AU172" s="123"/>
      <c r="AV172" s="123"/>
      <c r="AW172" s="123"/>
      <c r="AX172" s="123"/>
      <c r="AY172" s="123"/>
      <c r="AZ172" s="123"/>
      <c r="BA172" s="123"/>
      <c r="BB172" s="123"/>
    </row>
    <row r="173" spans="1:54" s="124" customFormat="1" ht="12.65" customHeight="1" collapsed="1" x14ac:dyDescent="0.35">
      <c r="A173" s="427"/>
      <c r="B173" s="428"/>
      <c r="C173" s="428"/>
      <c r="D173" s="428"/>
      <c r="E173" s="428"/>
      <c r="F173" s="382" t="s">
        <v>69</v>
      </c>
      <c r="G173" s="429"/>
      <c r="H173" s="429"/>
      <c r="I173" s="429"/>
      <c r="J173" s="429"/>
      <c r="K173" s="430"/>
      <c r="L173" s="430"/>
      <c r="M173" s="383">
        <f>M16+M80+M160+M172</f>
        <v>83634156153</v>
      </c>
      <c r="N173" s="383">
        <f>N16+N80+N160+N172</f>
        <v>14999999.685613092</v>
      </c>
      <c r="O173" s="122">
        <f>N173/$N$173</f>
        <v>1</v>
      </c>
      <c r="P173" s="123"/>
      <c r="Q173" s="125"/>
      <c r="R173" s="123"/>
      <c r="S173" s="123"/>
      <c r="T173" s="123"/>
      <c r="U173" s="123"/>
      <c r="V173" s="123"/>
      <c r="W173" s="123"/>
      <c r="X173" s="123"/>
      <c r="Y173" s="123"/>
      <c r="Z173" s="123"/>
      <c r="AA173" s="123"/>
      <c r="AB173" s="123"/>
      <c r="AC173" s="123"/>
      <c r="AD173" s="123"/>
      <c r="AE173" s="123"/>
      <c r="AF173" s="123"/>
      <c r="AG173" s="123"/>
      <c r="AH173" s="123"/>
      <c r="AI173" s="123"/>
      <c r="AJ173" s="123"/>
      <c r="AK173" s="123"/>
      <c r="AL173" s="123"/>
      <c r="AM173" s="123"/>
      <c r="AN173" s="123"/>
      <c r="AO173" s="123"/>
      <c r="AP173" s="123"/>
      <c r="AQ173" s="123"/>
      <c r="AR173" s="123"/>
      <c r="AS173" s="123"/>
      <c r="AT173" s="123"/>
      <c r="AU173" s="123"/>
      <c r="AV173" s="123"/>
      <c r="AW173" s="123"/>
      <c r="AX173" s="123"/>
      <c r="AY173" s="123"/>
      <c r="AZ173" s="123"/>
      <c r="BA173" s="123"/>
      <c r="BB173" s="123"/>
    </row>
    <row r="175" spans="1:54" ht="12.65" customHeight="1" x14ac:dyDescent="0.35">
      <c r="N175" s="245">
        <f>15000000-N173</f>
        <v>0.31438690796494484</v>
      </c>
    </row>
    <row r="176" spans="1:54" ht="12.65" customHeight="1" x14ac:dyDescent="0.35">
      <c r="F176" s="227"/>
    </row>
  </sheetData>
  <autoFilter ref="A4:BB173" xr:uid="{00000000-0009-0000-0000-000004000000}"/>
  <mergeCells count="2">
    <mergeCell ref="A1:N1"/>
    <mergeCell ref="A3:L3"/>
  </mergeCells>
  <pageMargins left="0.70866141732283472" right="0.70866141732283472" top="0.74803149606299213" bottom="0.74803149606299213" header="0.31496062992125984" footer="0.31496062992125984"/>
  <pageSetup paperSize="5" scale="90" orientation="portrait" r:id="rId1"/>
  <ignoredErrors>
    <ignoredError sqref="N27 N55 N63 M50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L133"/>
  <sheetViews>
    <sheetView showGridLines="0" topLeftCell="C1" zoomScale="60" zoomScaleNormal="60" zoomScaleSheetLayoutView="90" workbookViewId="0">
      <pane xSplit="4" ySplit="7" topLeftCell="BJ103" activePane="bottomRight" state="frozen"/>
      <selection activeCell="C1" sqref="C1"/>
      <selection pane="topRight" activeCell="F1" sqref="F1"/>
      <selection pane="bottomLeft" activeCell="C5" sqref="C5"/>
      <selection pane="bottomRight" activeCell="D116" sqref="D116"/>
    </sheetView>
  </sheetViews>
  <sheetFormatPr defaultColWidth="11.453125" defaultRowHeight="13.25" customHeight="1" outlineLevelRow="1" outlineLevelCol="1" x14ac:dyDescent="0.3"/>
  <cols>
    <col min="1" max="1" width="4.81640625" style="446" bestFit="1" customWidth="1"/>
    <col min="2" max="2" width="6.1796875" style="447" bestFit="1" customWidth="1"/>
    <col min="3" max="3" width="6.1796875" style="599" bestFit="1" customWidth="1"/>
    <col min="4" max="4" width="48.08984375" style="600" customWidth="1"/>
    <col min="5" max="5" width="12.6328125" style="450" bestFit="1" customWidth="1"/>
    <col min="6" max="6" width="6" style="456" customWidth="1"/>
    <col min="7" max="9" width="8.81640625" style="448" customWidth="1" outlineLevel="1"/>
    <col min="10" max="11" width="9.1796875" style="448" customWidth="1" outlineLevel="1"/>
    <col min="12" max="12" width="10.36328125" style="448" customWidth="1" outlineLevel="1"/>
    <col min="13" max="13" width="9.1796875" style="448" customWidth="1" outlineLevel="1"/>
    <col min="14" max="15" width="10.36328125" style="448" customWidth="1" outlineLevel="1"/>
    <col min="16" max="17" width="9.1796875" style="448" customWidth="1" outlineLevel="1"/>
    <col min="18" max="18" width="10.36328125" style="448" customWidth="1" outlineLevel="1"/>
    <col min="19" max="19" width="9.1796875" style="448" customWidth="1" outlineLevel="1"/>
    <col min="20" max="20" width="11.54296875" style="448" customWidth="1" outlineLevel="1"/>
    <col min="21" max="21" width="9.1796875" style="448" customWidth="1" outlineLevel="1"/>
    <col min="22" max="22" width="9.90625" style="448" customWidth="1" outlineLevel="1"/>
    <col min="23" max="23" width="11.54296875" style="448" customWidth="1" outlineLevel="1"/>
    <col min="24" max="24" width="9.90625" style="448" customWidth="1" outlineLevel="1"/>
    <col min="25" max="25" width="11.54296875" style="448" customWidth="1" outlineLevel="1"/>
    <col min="26" max="26" width="9.90625" style="448" customWidth="1" outlineLevel="1"/>
    <col min="27" max="27" width="11.54296875" style="448" customWidth="1" outlineLevel="1"/>
    <col min="28" max="28" width="9.1796875" style="448" customWidth="1" outlineLevel="1"/>
    <col min="29" max="29" width="11.1796875" style="448" customWidth="1" outlineLevel="1"/>
    <col min="30" max="30" width="9.1796875" style="448" customWidth="1" outlineLevel="1"/>
    <col min="31" max="33" width="9.90625" style="448" customWidth="1" outlineLevel="1"/>
    <col min="34" max="36" width="9.1796875" style="448" customWidth="1" outlineLevel="1"/>
    <col min="37" max="37" width="10.453125" style="448" customWidth="1" outlineLevel="1"/>
    <col min="38" max="46" width="9" style="448" customWidth="1" outlineLevel="1"/>
    <col min="47" max="47" width="8.81640625" style="448" customWidth="1" outlineLevel="1"/>
    <col min="48" max="50" width="9" style="448" customWidth="1" outlineLevel="1"/>
    <col min="51" max="52" width="9.90625" style="448" customWidth="1" outlineLevel="1"/>
    <col min="53" max="54" width="9.1796875" style="448" customWidth="1" outlineLevel="1"/>
    <col min="55" max="56" width="9" style="448" customWidth="1" outlineLevel="1"/>
    <col min="57" max="57" width="8.81640625" style="448" customWidth="1" outlineLevel="1"/>
    <col min="58" max="60" width="9" style="448" customWidth="1" outlineLevel="1"/>
    <col min="61" max="62" width="9.90625" style="448" customWidth="1" outlineLevel="1"/>
    <col min="63" max="64" width="9.1796875" style="448" customWidth="1" outlineLevel="1"/>
    <col min="65" max="65" width="9" style="448" customWidth="1" outlineLevel="1"/>
    <col min="66" max="66" width="10.453125" style="448" customWidth="1" outlineLevel="1"/>
    <col min="67" max="67" width="12.36328125" style="448" bestFit="1" customWidth="1"/>
    <col min="68" max="68" width="6.1796875" style="449" bestFit="1" customWidth="1"/>
    <col min="69" max="69" width="11.1796875" style="450" bestFit="1" customWidth="1" outlineLevel="1"/>
    <col min="70" max="70" width="12" style="450" customWidth="1" outlineLevel="1"/>
    <col min="71" max="71" width="10.36328125" style="450" customWidth="1" outlineLevel="1"/>
    <col min="72" max="72" width="10.36328125" style="450" bestFit="1" customWidth="1" outlineLevel="1"/>
    <col min="73" max="73" width="9.90625" style="450" customWidth="1" outlineLevel="1"/>
    <col min="74" max="74" width="12.6328125" style="450" bestFit="1" customWidth="1"/>
    <col min="75" max="75" width="6.1796875" style="451" bestFit="1" customWidth="1"/>
    <col min="76" max="76" width="2.90625" style="452" customWidth="1"/>
    <col min="77" max="77" width="2.90625" style="453" customWidth="1"/>
    <col min="78" max="80" width="20.08984375" style="452" customWidth="1"/>
    <col min="81" max="81" width="20.08984375" style="453" customWidth="1"/>
    <col min="82" max="84" width="2.90625" style="452" customWidth="1"/>
    <col min="85" max="85" width="2.90625" style="453" customWidth="1"/>
    <col min="86" max="87" width="2.90625" style="452" customWidth="1"/>
    <col min="88" max="88" width="24.54296875" style="452" bestFit="1" customWidth="1"/>
    <col min="89" max="90" width="11.453125" style="454"/>
    <col min="91" max="16384" width="11.453125" style="455"/>
  </cols>
  <sheetData>
    <row r="1" spans="1:90" ht="40.75" customHeight="1" x14ac:dyDescent="0.35">
      <c r="C1" s="705" t="s">
        <v>661</v>
      </c>
      <c r="D1" s="705"/>
      <c r="E1" s="705"/>
      <c r="F1" s="705"/>
    </row>
    <row r="3" spans="1:90" ht="13.25" customHeight="1" x14ac:dyDescent="0.35">
      <c r="A3" s="707"/>
      <c r="B3" s="707"/>
      <c r="C3" s="707"/>
      <c r="D3" s="707"/>
    </row>
    <row r="4" spans="1:90" ht="13.25" customHeight="1" x14ac:dyDescent="0.3">
      <c r="A4" s="457"/>
      <c r="B4" s="458"/>
      <c r="C4" s="706" t="s">
        <v>817</v>
      </c>
      <c r="D4" s="706"/>
      <c r="E4" s="706"/>
      <c r="G4" s="702" t="s">
        <v>204</v>
      </c>
      <c r="H4" s="703"/>
      <c r="I4" s="703"/>
      <c r="J4" s="703"/>
      <c r="K4" s="703"/>
      <c r="L4" s="703"/>
      <c r="M4" s="703"/>
      <c r="N4" s="703"/>
      <c r="O4" s="703"/>
      <c r="P4" s="703"/>
      <c r="Q4" s="703"/>
      <c r="R4" s="704"/>
      <c r="S4" s="702" t="s">
        <v>205</v>
      </c>
      <c r="T4" s="703"/>
      <c r="U4" s="703"/>
      <c r="V4" s="703"/>
      <c r="W4" s="703"/>
      <c r="X4" s="703"/>
      <c r="Y4" s="703"/>
      <c r="Z4" s="703"/>
      <c r="AA4" s="703"/>
      <c r="AB4" s="703"/>
      <c r="AC4" s="703"/>
      <c r="AD4" s="704"/>
      <c r="AE4" s="702" t="s">
        <v>206</v>
      </c>
      <c r="AF4" s="703"/>
      <c r="AG4" s="703"/>
      <c r="AH4" s="703"/>
      <c r="AI4" s="703"/>
      <c r="AJ4" s="703"/>
      <c r="AK4" s="703"/>
      <c r="AL4" s="703"/>
      <c r="AM4" s="703"/>
      <c r="AN4" s="703"/>
      <c r="AO4" s="703"/>
      <c r="AP4" s="704"/>
      <c r="AQ4" s="702" t="s">
        <v>207</v>
      </c>
      <c r="AR4" s="703"/>
      <c r="AS4" s="703"/>
      <c r="AT4" s="703"/>
      <c r="AU4" s="703"/>
      <c r="AV4" s="703"/>
      <c r="AW4" s="703"/>
      <c r="AX4" s="703"/>
      <c r="AY4" s="703"/>
      <c r="AZ4" s="703"/>
      <c r="BA4" s="703"/>
      <c r="BB4" s="704"/>
      <c r="BC4" s="702" t="s">
        <v>208</v>
      </c>
      <c r="BD4" s="703"/>
      <c r="BE4" s="703"/>
      <c r="BF4" s="703"/>
      <c r="BG4" s="703"/>
      <c r="BH4" s="703"/>
      <c r="BI4" s="703"/>
      <c r="BJ4" s="703"/>
      <c r="BK4" s="703"/>
      <c r="BL4" s="703"/>
      <c r="BM4" s="703"/>
      <c r="BN4" s="704"/>
      <c r="BO4" s="700" t="s">
        <v>69</v>
      </c>
      <c r="BP4" s="459"/>
      <c r="BQ4" s="453"/>
      <c r="BR4" s="453"/>
      <c r="BS4" s="453"/>
      <c r="BT4" s="453"/>
      <c r="BU4" s="453"/>
      <c r="BV4" s="453"/>
    </row>
    <row r="5" spans="1:90" ht="13.25" customHeight="1" x14ac:dyDescent="0.3">
      <c r="A5" s="457"/>
      <c r="B5" s="458"/>
      <c r="C5" s="460"/>
      <c r="D5" s="461"/>
      <c r="E5" s="462"/>
      <c r="G5" s="697" t="s">
        <v>37</v>
      </c>
      <c r="H5" s="698"/>
      <c r="I5" s="699"/>
      <c r="J5" s="697" t="s">
        <v>38</v>
      </c>
      <c r="K5" s="698"/>
      <c r="L5" s="699"/>
      <c r="M5" s="697" t="s">
        <v>39</v>
      </c>
      <c r="N5" s="698"/>
      <c r="O5" s="699"/>
      <c r="P5" s="697" t="s">
        <v>40</v>
      </c>
      <c r="Q5" s="698"/>
      <c r="R5" s="699"/>
      <c r="S5" s="697" t="s">
        <v>37</v>
      </c>
      <c r="T5" s="698"/>
      <c r="U5" s="699"/>
      <c r="V5" s="697" t="s">
        <v>38</v>
      </c>
      <c r="W5" s="698"/>
      <c r="X5" s="699"/>
      <c r="Y5" s="697" t="s">
        <v>39</v>
      </c>
      <c r="Z5" s="698"/>
      <c r="AA5" s="699"/>
      <c r="AB5" s="697" t="s">
        <v>40</v>
      </c>
      <c r="AC5" s="698"/>
      <c r="AD5" s="699"/>
      <c r="AE5" s="697" t="s">
        <v>37</v>
      </c>
      <c r="AF5" s="698"/>
      <c r="AG5" s="699"/>
      <c r="AH5" s="697" t="s">
        <v>38</v>
      </c>
      <c r="AI5" s="698"/>
      <c r="AJ5" s="699"/>
      <c r="AK5" s="697" t="s">
        <v>39</v>
      </c>
      <c r="AL5" s="698"/>
      <c r="AM5" s="699"/>
      <c r="AN5" s="697" t="s">
        <v>40</v>
      </c>
      <c r="AO5" s="698"/>
      <c r="AP5" s="699"/>
      <c r="AQ5" s="697" t="s">
        <v>37</v>
      </c>
      <c r="AR5" s="698"/>
      <c r="AS5" s="699"/>
      <c r="AT5" s="697" t="s">
        <v>38</v>
      </c>
      <c r="AU5" s="698"/>
      <c r="AV5" s="699"/>
      <c r="AW5" s="697" t="s">
        <v>39</v>
      </c>
      <c r="AX5" s="698"/>
      <c r="AY5" s="699"/>
      <c r="AZ5" s="697" t="s">
        <v>40</v>
      </c>
      <c r="BA5" s="698"/>
      <c r="BB5" s="699"/>
      <c r="BC5" s="697" t="s">
        <v>37</v>
      </c>
      <c r="BD5" s="698"/>
      <c r="BE5" s="699"/>
      <c r="BF5" s="697" t="s">
        <v>38</v>
      </c>
      <c r="BG5" s="698"/>
      <c r="BH5" s="699"/>
      <c r="BI5" s="697" t="s">
        <v>39</v>
      </c>
      <c r="BJ5" s="698"/>
      <c r="BK5" s="699"/>
      <c r="BL5" s="697" t="s">
        <v>40</v>
      </c>
      <c r="BM5" s="698"/>
      <c r="BN5" s="699"/>
      <c r="BO5" s="700"/>
      <c r="BP5" s="459"/>
      <c r="BQ5" s="453"/>
      <c r="BR5" s="453"/>
      <c r="BS5" s="453"/>
      <c r="BT5" s="453"/>
      <c r="BU5" s="453"/>
      <c r="BV5" s="453"/>
    </row>
    <row r="6" spans="1:90" s="479" customFormat="1" ht="13.25" customHeight="1" x14ac:dyDescent="0.3">
      <c r="A6" s="463"/>
      <c r="B6" s="464"/>
      <c r="C6" s="465"/>
      <c r="D6" s="466"/>
      <c r="E6" s="467"/>
      <c r="F6" s="456"/>
      <c r="G6" s="468" t="s">
        <v>236</v>
      </c>
      <c r="H6" s="468" t="s">
        <v>237</v>
      </c>
      <c r="I6" s="468" t="s">
        <v>238</v>
      </c>
      <c r="J6" s="468" t="s">
        <v>239</v>
      </c>
      <c r="K6" s="469" t="s">
        <v>240</v>
      </c>
      <c r="L6" s="470" t="s">
        <v>241</v>
      </c>
      <c r="M6" s="468" t="s">
        <v>242</v>
      </c>
      <c r="N6" s="469" t="s">
        <v>243</v>
      </c>
      <c r="O6" s="470" t="s">
        <v>244</v>
      </c>
      <c r="P6" s="468" t="s">
        <v>245</v>
      </c>
      <c r="Q6" s="469" t="s">
        <v>246</v>
      </c>
      <c r="R6" s="470" t="s">
        <v>247</v>
      </c>
      <c r="S6" s="468" t="s">
        <v>236</v>
      </c>
      <c r="T6" s="468" t="s">
        <v>237</v>
      </c>
      <c r="U6" s="468" t="s">
        <v>238</v>
      </c>
      <c r="V6" s="468" t="s">
        <v>239</v>
      </c>
      <c r="W6" s="469" t="s">
        <v>240</v>
      </c>
      <c r="X6" s="470" t="s">
        <v>241</v>
      </c>
      <c r="Y6" s="468" t="s">
        <v>242</v>
      </c>
      <c r="Z6" s="471" t="s">
        <v>243</v>
      </c>
      <c r="AA6" s="472" t="s">
        <v>244</v>
      </c>
      <c r="AB6" s="473" t="s">
        <v>245</v>
      </c>
      <c r="AC6" s="473" t="s">
        <v>246</v>
      </c>
      <c r="AD6" s="473" t="s">
        <v>247</v>
      </c>
      <c r="AE6" s="468" t="s">
        <v>236</v>
      </c>
      <c r="AF6" s="468" t="s">
        <v>237</v>
      </c>
      <c r="AG6" s="468" t="s">
        <v>238</v>
      </c>
      <c r="AH6" s="468" t="s">
        <v>239</v>
      </c>
      <c r="AI6" s="469" t="s">
        <v>240</v>
      </c>
      <c r="AJ6" s="470" t="s">
        <v>241</v>
      </c>
      <c r="AK6" s="468" t="s">
        <v>242</v>
      </c>
      <c r="AL6" s="469" t="s">
        <v>243</v>
      </c>
      <c r="AM6" s="470" t="s">
        <v>244</v>
      </c>
      <c r="AN6" s="468" t="s">
        <v>245</v>
      </c>
      <c r="AO6" s="469" t="s">
        <v>246</v>
      </c>
      <c r="AP6" s="470" t="s">
        <v>247</v>
      </c>
      <c r="AQ6" s="468" t="s">
        <v>236</v>
      </c>
      <c r="AR6" s="468" t="s">
        <v>237</v>
      </c>
      <c r="AS6" s="468" t="s">
        <v>238</v>
      </c>
      <c r="AT6" s="468" t="s">
        <v>239</v>
      </c>
      <c r="AU6" s="469" t="s">
        <v>240</v>
      </c>
      <c r="AV6" s="470" t="s">
        <v>241</v>
      </c>
      <c r="AW6" s="468" t="s">
        <v>242</v>
      </c>
      <c r="AX6" s="469" t="s">
        <v>243</v>
      </c>
      <c r="AY6" s="472" t="s">
        <v>244</v>
      </c>
      <c r="AZ6" s="473" t="s">
        <v>245</v>
      </c>
      <c r="BA6" s="469" t="s">
        <v>246</v>
      </c>
      <c r="BB6" s="470" t="s">
        <v>247</v>
      </c>
      <c r="BC6" s="468" t="s">
        <v>236</v>
      </c>
      <c r="BD6" s="468" t="s">
        <v>237</v>
      </c>
      <c r="BE6" s="468" t="s">
        <v>238</v>
      </c>
      <c r="BF6" s="468" t="s">
        <v>239</v>
      </c>
      <c r="BG6" s="469" t="s">
        <v>240</v>
      </c>
      <c r="BH6" s="470" t="s">
        <v>241</v>
      </c>
      <c r="BI6" s="472" t="s">
        <v>242</v>
      </c>
      <c r="BJ6" s="473" t="s">
        <v>243</v>
      </c>
      <c r="BK6" s="470" t="s">
        <v>244</v>
      </c>
      <c r="BL6" s="468" t="s">
        <v>245</v>
      </c>
      <c r="BM6" s="469" t="s">
        <v>246</v>
      </c>
      <c r="BN6" s="470" t="s">
        <v>247</v>
      </c>
      <c r="BO6" s="700"/>
      <c r="BP6" s="474"/>
      <c r="BQ6" s="475"/>
      <c r="BR6" s="475"/>
      <c r="BS6" s="475"/>
      <c r="BT6" s="475"/>
      <c r="BU6" s="475"/>
      <c r="BV6" s="475"/>
      <c r="BW6" s="476"/>
      <c r="BX6" s="477"/>
      <c r="BY6" s="475"/>
      <c r="BZ6" s="477"/>
      <c r="CA6" s="477"/>
      <c r="CB6" s="477"/>
      <c r="CC6" s="475"/>
      <c r="CD6" s="477"/>
      <c r="CE6" s="477"/>
      <c r="CF6" s="477"/>
      <c r="CG6" s="475"/>
      <c r="CH6" s="477"/>
      <c r="CI6" s="477"/>
      <c r="CJ6" s="477"/>
      <c r="CK6" s="478"/>
      <c r="CL6" s="478"/>
    </row>
    <row r="7" spans="1:90" s="492" customFormat="1" ht="13.25" customHeight="1" x14ac:dyDescent="0.35">
      <c r="A7" s="480" t="s">
        <v>90</v>
      </c>
      <c r="B7" s="481"/>
      <c r="C7" s="482" t="s">
        <v>90</v>
      </c>
      <c r="D7" s="483" t="s">
        <v>0</v>
      </c>
      <c r="E7" s="484"/>
      <c r="F7" s="485"/>
      <c r="G7" s="486" t="s">
        <v>18</v>
      </c>
      <c r="H7" s="486" t="s">
        <v>19</v>
      </c>
      <c r="I7" s="486" t="s">
        <v>20</v>
      </c>
      <c r="J7" s="486" t="s">
        <v>21</v>
      </c>
      <c r="K7" s="486" t="s">
        <v>22</v>
      </c>
      <c r="L7" s="486" t="s">
        <v>23</v>
      </c>
      <c r="M7" s="486" t="s">
        <v>24</v>
      </c>
      <c r="N7" s="486" t="s">
        <v>25</v>
      </c>
      <c r="O7" s="486" t="s">
        <v>26</v>
      </c>
      <c r="P7" s="486" t="s">
        <v>27</v>
      </c>
      <c r="Q7" s="486" t="s">
        <v>28</v>
      </c>
      <c r="R7" s="486" t="s">
        <v>29</v>
      </c>
      <c r="S7" s="486" t="s">
        <v>30</v>
      </c>
      <c r="T7" s="486" t="s">
        <v>31</v>
      </c>
      <c r="U7" s="486" t="s">
        <v>33</v>
      </c>
      <c r="V7" s="486" t="s">
        <v>34</v>
      </c>
      <c r="W7" s="486" t="s">
        <v>35</v>
      </c>
      <c r="X7" s="486" t="s">
        <v>36</v>
      </c>
      <c r="Y7" s="486" t="s">
        <v>162</v>
      </c>
      <c r="Z7" s="486" t="s">
        <v>163</v>
      </c>
      <c r="AA7" s="486" t="s">
        <v>164</v>
      </c>
      <c r="AB7" s="486" t="s">
        <v>165</v>
      </c>
      <c r="AC7" s="486" t="s">
        <v>166</v>
      </c>
      <c r="AD7" s="486" t="s">
        <v>167</v>
      </c>
      <c r="AE7" s="486" t="s">
        <v>168</v>
      </c>
      <c r="AF7" s="486" t="s">
        <v>169</v>
      </c>
      <c r="AG7" s="486" t="s">
        <v>170</v>
      </c>
      <c r="AH7" s="486" t="s">
        <v>171</v>
      </c>
      <c r="AI7" s="486" t="s">
        <v>172</v>
      </c>
      <c r="AJ7" s="486" t="s">
        <v>173</v>
      </c>
      <c r="AK7" s="486" t="s">
        <v>174</v>
      </c>
      <c r="AL7" s="486" t="s">
        <v>175</v>
      </c>
      <c r="AM7" s="486" t="s">
        <v>176</v>
      </c>
      <c r="AN7" s="486" t="s">
        <v>177</v>
      </c>
      <c r="AO7" s="486" t="s">
        <v>178</v>
      </c>
      <c r="AP7" s="486" t="s">
        <v>179</v>
      </c>
      <c r="AQ7" s="486" t="s">
        <v>180</v>
      </c>
      <c r="AR7" s="486" t="s">
        <v>181</v>
      </c>
      <c r="AS7" s="486" t="s">
        <v>182</v>
      </c>
      <c r="AT7" s="486" t="s">
        <v>183</v>
      </c>
      <c r="AU7" s="486" t="s">
        <v>184</v>
      </c>
      <c r="AV7" s="486" t="s">
        <v>185</v>
      </c>
      <c r="AW7" s="486" t="s">
        <v>186</v>
      </c>
      <c r="AX7" s="486" t="s">
        <v>187</v>
      </c>
      <c r="AY7" s="486" t="s">
        <v>188</v>
      </c>
      <c r="AZ7" s="486" t="s">
        <v>189</v>
      </c>
      <c r="BA7" s="486" t="s">
        <v>190</v>
      </c>
      <c r="BB7" s="486" t="s">
        <v>191</v>
      </c>
      <c r="BC7" s="486" t="s">
        <v>192</v>
      </c>
      <c r="BD7" s="486" t="s">
        <v>193</v>
      </c>
      <c r="BE7" s="486" t="s">
        <v>194</v>
      </c>
      <c r="BF7" s="486" t="s">
        <v>195</v>
      </c>
      <c r="BG7" s="486" t="s">
        <v>196</v>
      </c>
      <c r="BH7" s="486" t="s">
        <v>197</v>
      </c>
      <c r="BI7" s="486" t="s">
        <v>198</v>
      </c>
      <c r="BJ7" s="486" t="s">
        <v>199</v>
      </c>
      <c r="BK7" s="486" t="s">
        <v>200</v>
      </c>
      <c r="BL7" s="486" t="s">
        <v>201</v>
      </c>
      <c r="BM7" s="486" t="s">
        <v>202</v>
      </c>
      <c r="BN7" s="486" t="s">
        <v>203</v>
      </c>
      <c r="BO7" s="701"/>
      <c r="BP7" s="459"/>
      <c r="BQ7" s="487" t="s">
        <v>6</v>
      </c>
      <c r="BR7" s="487" t="s">
        <v>209</v>
      </c>
      <c r="BS7" s="487" t="s">
        <v>210</v>
      </c>
      <c r="BT7" s="487" t="s">
        <v>211</v>
      </c>
      <c r="BU7" s="487" t="s">
        <v>212</v>
      </c>
      <c r="BV7" s="487" t="s">
        <v>69</v>
      </c>
      <c r="BW7" s="488"/>
      <c r="BX7" s="489"/>
      <c r="BY7" s="490"/>
      <c r="BZ7" s="489"/>
      <c r="CA7" s="489"/>
      <c r="CB7" s="489"/>
      <c r="CC7" s="490"/>
      <c r="CD7" s="489"/>
      <c r="CE7" s="489"/>
      <c r="CF7" s="489"/>
      <c r="CG7" s="490"/>
      <c r="CH7" s="489"/>
      <c r="CI7" s="489"/>
      <c r="CJ7" s="489"/>
      <c r="CK7" s="491"/>
      <c r="CL7" s="491"/>
    </row>
    <row r="8" spans="1:90" ht="13.25" customHeight="1" x14ac:dyDescent="0.3">
      <c r="A8" s="493"/>
      <c r="B8" s="494"/>
      <c r="C8" s="495"/>
      <c r="D8" s="496" t="str">
        <f>'CC detallado'!F5</f>
        <v>A. Planificación</v>
      </c>
      <c r="E8" s="497">
        <v>0</v>
      </c>
      <c r="BP8" s="459">
        <f t="shared" ref="BP8:BP39" si="0">E8-BO8</f>
        <v>0</v>
      </c>
      <c r="BT8" s="498"/>
      <c r="BU8" s="498"/>
      <c r="BV8" s="498"/>
    </row>
    <row r="9" spans="1:90" ht="13.25" customHeight="1" outlineLevel="1" x14ac:dyDescent="0.3">
      <c r="A9" s="499"/>
      <c r="B9" s="500"/>
      <c r="C9" s="501"/>
      <c r="D9" s="502" t="str">
        <f>'CC detallado'!F6</f>
        <v xml:space="preserve">Revisión bibliográfica (Propuesta de la nueva metodología). </v>
      </c>
      <c r="E9" s="503">
        <v>0</v>
      </c>
      <c r="BP9" s="459">
        <f t="shared" si="0"/>
        <v>0</v>
      </c>
    </row>
    <row r="10" spans="1:90" ht="13.25" customHeight="1" outlineLevel="1" x14ac:dyDescent="0.3">
      <c r="A10" s="499"/>
      <c r="B10" s="500"/>
      <c r="C10" s="501"/>
      <c r="D10" s="502" t="str">
        <f>'CC detallado'!F7</f>
        <v xml:space="preserve">Definición de actividades para el operativo. </v>
      </c>
      <c r="E10" s="503">
        <v>0</v>
      </c>
      <c r="BP10" s="459">
        <f t="shared" si="0"/>
        <v>0</v>
      </c>
      <c r="BW10" s="504"/>
      <c r="BX10" s="709"/>
      <c r="BY10" s="709"/>
      <c r="BZ10" s="709"/>
      <c r="CA10" s="709"/>
      <c r="CB10" s="709"/>
      <c r="CC10" s="709"/>
      <c r="CD10" s="709"/>
      <c r="CE10" s="709"/>
      <c r="CF10" s="709"/>
      <c r="CG10" s="709"/>
      <c r="CH10" s="709"/>
      <c r="CI10" s="709"/>
    </row>
    <row r="11" spans="1:90" ht="13.25" customHeight="1" outlineLevel="1" x14ac:dyDescent="0.3">
      <c r="A11" s="499"/>
      <c r="B11" s="500"/>
      <c r="C11" s="501"/>
      <c r="D11" s="502" t="str">
        <f>'CC detallado'!F8</f>
        <v>Elaboración de presupuesto.</v>
      </c>
      <c r="E11" s="503">
        <v>0</v>
      </c>
      <c r="BP11" s="459">
        <f t="shared" si="0"/>
        <v>0</v>
      </c>
    </row>
    <row r="12" spans="1:90" ht="13.25" customHeight="1" outlineLevel="1" x14ac:dyDescent="0.3">
      <c r="A12" s="499"/>
      <c r="B12" s="500"/>
      <c r="C12" s="501"/>
      <c r="D12" s="502" t="str">
        <f>'CC detallado'!F9</f>
        <v>Elaboración de cronogramas de actividades.</v>
      </c>
      <c r="E12" s="503">
        <v>0</v>
      </c>
      <c r="BP12" s="459">
        <f t="shared" si="0"/>
        <v>0</v>
      </c>
    </row>
    <row r="13" spans="1:90" ht="13.25" customHeight="1" outlineLevel="1" x14ac:dyDescent="0.3">
      <c r="A13" s="499"/>
      <c r="B13" s="500"/>
      <c r="C13" s="501"/>
      <c r="D13" s="502" t="str">
        <f>'CC detallado'!F10</f>
        <v>Elaboración del plan operativo (Proyecto CAN 2018)</v>
      </c>
      <c r="E13" s="503">
        <v>0</v>
      </c>
      <c r="BP13" s="459">
        <f t="shared" si="0"/>
        <v>0</v>
      </c>
    </row>
    <row r="14" spans="1:90" ht="13.25" customHeight="1" outlineLevel="1" x14ac:dyDescent="0.3">
      <c r="A14" s="499"/>
      <c r="B14" s="500"/>
      <c r="C14" s="501"/>
      <c r="D14" s="502" t="str">
        <f>'CC detallado'!F11</f>
        <v>Gestión de recursos (Cooperantes)</v>
      </c>
      <c r="E14" s="503">
        <v>0</v>
      </c>
      <c r="BP14" s="459">
        <f t="shared" si="0"/>
        <v>0</v>
      </c>
    </row>
    <row r="15" spans="1:90" ht="13.25" customHeight="1" outlineLevel="1" x14ac:dyDescent="0.3">
      <c r="A15" s="499"/>
      <c r="B15" s="500"/>
      <c r="C15" s="501"/>
      <c r="D15" s="502" t="str">
        <f>'CC detallado'!F12</f>
        <v>Gestión de las documentaciones legales para el censo.</v>
      </c>
      <c r="E15" s="503">
        <v>0</v>
      </c>
      <c r="BP15" s="459">
        <f t="shared" si="0"/>
        <v>0</v>
      </c>
    </row>
    <row r="16" spans="1:90" ht="13.25" customHeight="1" outlineLevel="1" x14ac:dyDescent="0.3">
      <c r="A16" s="499"/>
      <c r="B16" s="500"/>
      <c r="C16" s="501"/>
      <c r="D16" s="502" t="str">
        <f>'CC detallado'!F13</f>
        <v>Conformación de la Comisión Nacional CAN 2018.</v>
      </c>
      <c r="E16" s="503">
        <v>0</v>
      </c>
      <c r="BP16" s="459">
        <f t="shared" si="0"/>
        <v>0</v>
      </c>
    </row>
    <row r="17" spans="1:90" ht="13.25" customHeight="1" outlineLevel="1" x14ac:dyDescent="0.3">
      <c r="A17" s="499"/>
      <c r="B17" s="500"/>
      <c r="C17" s="501"/>
      <c r="D17" s="502" t="str">
        <f>'CC detallado'!F14</f>
        <v>Socialización y validación de la nueva metodología y presupuesto.</v>
      </c>
      <c r="E17" s="503">
        <v>0</v>
      </c>
      <c r="BP17" s="459">
        <f t="shared" si="0"/>
        <v>0</v>
      </c>
    </row>
    <row r="18" spans="1:90" ht="13.25" customHeight="1" outlineLevel="1" x14ac:dyDescent="0.3">
      <c r="A18" s="499"/>
      <c r="B18" s="500"/>
      <c r="C18" s="501"/>
      <c r="D18" s="502" t="str">
        <f>'CC detallado'!F15</f>
        <v xml:space="preserve">Validación del plan Operativo  y  boleta censal. </v>
      </c>
      <c r="E18" s="503">
        <v>0</v>
      </c>
      <c r="BP18" s="459">
        <f t="shared" si="0"/>
        <v>0</v>
      </c>
    </row>
    <row r="19" spans="1:90" ht="13.25" customHeight="1" x14ac:dyDescent="0.3">
      <c r="A19" s="493"/>
      <c r="B19" s="494"/>
      <c r="C19" s="505">
        <f>'CC detallado'!A16</f>
        <v>1</v>
      </c>
      <c r="D19" s="496" t="str">
        <f>'CC detallado'!F16</f>
        <v>Componente 1 - Diseño e implementación del Sistema del Censo Agropecuario</v>
      </c>
      <c r="E19" s="506">
        <f>E20+E29+E73+E77</f>
        <v>10319559.142013833</v>
      </c>
      <c r="F19" s="507">
        <f>E19/$E$131</f>
        <v>0.68797062388685271</v>
      </c>
      <c r="G19" s="508">
        <f t="shared" ref="G19:AL19" si="1">G20+G29+G73+G77</f>
        <v>19791.982908866026</v>
      </c>
      <c r="H19" s="508">
        <f t="shared" si="1"/>
        <v>19791.982908866026</v>
      </c>
      <c r="I19" s="508">
        <f t="shared" si="1"/>
        <v>19791.982908866026</v>
      </c>
      <c r="J19" s="508">
        <f t="shared" si="1"/>
        <v>24851.858098611345</v>
      </c>
      <c r="K19" s="508">
        <f t="shared" si="1"/>
        <v>38007.533591949177</v>
      </c>
      <c r="L19" s="508">
        <f t="shared" si="1"/>
        <v>63977.03373843513</v>
      </c>
      <c r="M19" s="508">
        <f t="shared" si="1"/>
        <v>80505.959358269844</v>
      </c>
      <c r="N19" s="508">
        <f t="shared" si="1"/>
        <v>80505.959358269844</v>
      </c>
      <c r="O19" s="508">
        <f t="shared" si="1"/>
        <v>178330.21302667935</v>
      </c>
      <c r="P19" s="508">
        <f t="shared" si="1"/>
        <v>90794.372244085331</v>
      </c>
      <c r="Q19" s="508">
        <f t="shared" si="1"/>
        <v>87421.122117588442</v>
      </c>
      <c r="R19" s="508">
        <f t="shared" si="1"/>
        <v>234157.50262020272</v>
      </c>
      <c r="S19" s="508">
        <f t="shared" si="1"/>
        <v>87421.122117588442</v>
      </c>
      <c r="T19" s="508">
        <f t="shared" si="1"/>
        <v>1560346.4046272864</v>
      </c>
      <c r="U19" s="508">
        <f t="shared" si="1"/>
        <v>87421.122117588442</v>
      </c>
      <c r="V19" s="508">
        <f t="shared" si="1"/>
        <v>129924.07371144913</v>
      </c>
      <c r="W19" s="508">
        <f t="shared" si="1"/>
        <v>1564900.2922980573</v>
      </c>
      <c r="X19" s="508">
        <f t="shared" si="1"/>
        <v>205147.55153232955</v>
      </c>
      <c r="Y19" s="508">
        <f t="shared" si="1"/>
        <v>1617488.5203964894</v>
      </c>
      <c r="Z19" s="508">
        <f t="shared" si="1"/>
        <v>141527.31277294422</v>
      </c>
      <c r="AA19" s="508">
        <f t="shared" si="1"/>
        <v>1606356.7949790498</v>
      </c>
      <c r="AB19" s="508">
        <f t="shared" si="1"/>
        <v>67147.147483688022</v>
      </c>
      <c r="AC19" s="508">
        <f t="shared" si="1"/>
        <v>1523880.8293862012</v>
      </c>
      <c r="AD19" s="508">
        <f t="shared" si="1"/>
        <v>41869.135452429233</v>
      </c>
      <c r="AE19" s="508">
        <f t="shared" si="1"/>
        <v>138431.57729197497</v>
      </c>
      <c r="AF19" s="508">
        <f t="shared" si="1"/>
        <v>134576.43429026427</v>
      </c>
      <c r="AG19" s="508">
        <f t="shared" si="1"/>
        <v>133306.96782599261</v>
      </c>
      <c r="AH19" s="508">
        <f t="shared" si="1"/>
        <v>16800.746821888471</v>
      </c>
      <c r="AI19" s="508">
        <f t="shared" si="1"/>
        <v>16800.746821888471</v>
      </c>
      <c r="AJ19" s="508">
        <f t="shared" si="1"/>
        <v>13090.171682741902</v>
      </c>
      <c r="AK19" s="508">
        <f t="shared" si="1"/>
        <v>44461.397859162884</v>
      </c>
      <c r="AL19" s="508">
        <f t="shared" si="1"/>
        <v>10728.896594194088</v>
      </c>
      <c r="AM19" s="508">
        <f t="shared" ref="AM19:BO19" si="2">AM20+AM29+AM73+AM77</f>
        <v>59641.023428398847</v>
      </c>
      <c r="AN19" s="508">
        <f t="shared" si="2"/>
        <v>9042.2715309456471</v>
      </c>
      <c r="AO19" s="508">
        <f t="shared" si="2"/>
        <v>9042.2715309456471</v>
      </c>
      <c r="AP19" s="508">
        <f t="shared" si="2"/>
        <v>9042.2715309456471</v>
      </c>
      <c r="AQ19" s="508">
        <f t="shared" si="2"/>
        <v>9042.2715309456471</v>
      </c>
      <c r="AR19" s="508">
        <f t="shared" si="2"/>
        <v>9042.2715309456471</v>
      </c>
      <c r="AS19" s="508">
        <f t="shared" si="2"/>
        <v>9042.2715309456471</v>
      </c>
      <c r="AT19" s="508">
        <f t="shared" si="2"/>
        <v>9042.2715309456471</v>
      </c>
      <c r="AU19" s="508">
        <f t="shared" si="2"/>
        <v>9042.2715309456471</v>
      </c>
      <c r="AV19" s="508">
        <f t="shared" si="2"/>
        <v>9042.2715309456471</v>
      </c>
      <c r="AW19" s="508">
        <f t="shared" si="2"/>
        <v>9042.2715309456471</v>
      </c>
      <c r="AX19" s="508">
        <f t="shared" si="2"/>
        <v>9042.2715309456471</v>
      </c>
      <c r="AY19" s="508">
        <f t="shared" si="2"/>
        <v>9042.2715309456471</v>
      </c>
      <c r="AZ19" s="508">
        <f t="shared" si="2"/>
        <v>9042.2715309456471</v>
      </c>
      <c r="BA19" s="508">
        <f t="shared" si="2"/>
        <v>9042.2715309456471</v>
      </c>
      <c r="BB19" s="508">
        <f t="shared" si="2"/>
        <v>9042.2715309456471</v>
      </c>
      <c r="BC19" s="508">
        <f t="shared" si="2"/>
        <v>3727.4413897790519</v>
      </c>
      <c r="BD19" s="508">
        <f t="shared" si="2"/>
        <v>3727.4413897790519</v>
      </c>
      <c r="BE19" s="508">
        <f t="shared" si="2"/>
        <v>3727.4413897790519</v>
      </c>
      <c r="BF19" s="508">
        <f t="shared" si="2"/>
        <v>3727.4413897790519</v>
      </c>
      <c r="BG19" s="508">
        <f t="shared" si="2"/>
        <v>3727.4413897790519</v>
      </c>
      <c r="BH19" s="508">
        <f t="shared" si="2"/>
        <v>3727.4413897790519</v>
      </c>
      <c r="BI19" s="508">
        <f t="shared" si="2"/>
        <v>3727.4413897790519</v>
      </c>
      <c r="BJ19" s="508">
        <f t="shared" si="2"/>
        <v>3727.4413897790519</v>
      </c>
      <c r="BK19" s="508">
        <f t="shared" si="2"/>
        <v>3727.4413897790519</v>
      </c>
      <c r="BL19" s="508">
        <f t="shared" si="2"/>
        <v>3727.4413897790519</v>
      </c>
      <c r="BM19" s="508">
        <f t="shared" si="2"/>
        <v>3727.4413897790519</v>
      </c>
      <c r="BN19" s="508">
        <f t="shared" si="2"/>
        <v>3727.4413897790519</v>
      </c>
      <c r="BO19" s="508">
        <f t="shared" si="2"/>
        <v>10319559.142013833</v>
      </c>
      <c r="BP19" s="459">
        <f t="shared" si="0"/>
        <v>0</v>
      </c>
      <c r="BQ19" s="506">
        <f t="shared" ref="BQ19:BV19" si="3">BQ20+BQ29+BQ73+BQ77</f>
        <v>645972.70443238434</v>
      </c>
      <c r="BR19" s="506">
        <f t="shared" si="3"/>
        <v>8925385.1053234059</v>
      </c>
      <c r="BS19" s="506">
        <f t="shared" si="3"/>
        <v>594964.77720934339</v>
      </c>
      <c r="BT19" s="506">
        <f t="shared" si="3"/>
        <v>108507.25837134778</v>
      </c>
      <c r="BU19" s="506">
        <f t="shared" si="3"/>
        <v>44729.296677348633</v>
      </c>
      <c r="BV19" s="506">
        <f t="shared" si="3"/>
        <v>10319559.142013833</v>
      </c>
      <c r="BW19" s="509">
        <f>BO19-BV19</f>
        <v>0</v>
      </c>
    </row>
    <row r="20" spans="1:90" s="522" customFormat="1" ht="13.25" customHeight="1" x14ac:dyDescent="0.3">
      <c r="A20" s="510"/>
      <c r="B20" s="511"/>
      <c r="C20" s="512" t="str">
        <f>'CC detallado'!A17</f>
        <v>1.1</v>
      </c>
      <c r="D20" s="513" t="str">
        <f>'CC detallado'!F17</f>
        <v>Producto 1: Cartografía actualizada</v>
      </c>
      <c r="E20" s="514">
        <f>SUM(E21:E28)</f>
        <v>596896.60988362285</v>
      </c>
      <c r="F20" s="515"/>
      <c r="G20" s="516">
        <f>SUM(G21:G28)</f>
        <v>0</v>
      </c>
      <c r="H20" s="516">
        <f t="shared" ref="H20:BO20" si="4">SUM(H21:H28)</f>
        <v>0</v>
      </c>
      <c r="I20" s="516">
        <f t="shared" si="4"/>
        <v>0</v>
      </c>
      <c r="J20" s="516">
        <f t="shared" si="4"/>
        <v>0</v>
      </c>
      <c r="K20" s="516">
        <f t="shared" si="4"/>
        <v>0</v>
      </c>
      <c r="L20" s="516">
        <f t="shared" si="4"/>
        <v>4844.14407700424</v>
      </c>
      <c r="M20" s="516">
        <f t="shared" si="4"/>
        <v>31492.82007632959</v>
      </c>
      <c r="N20" s="516">
        <f t="shared" si="4"/>
        <v>31492.82007632959</v>
      </c>
      <c r="O20" s="516">
        <f t="shared" si="4"/>
        <v>31492.82007632959</v>
      </c>
      <c r="P20" s="516">
        <f t="shared" si="4"/>
        <v>37227.345291374288</v>
      </c>
      <c r="Q20" s="516">
        <f t="shared" si="4"/>
        <v>37227.345291374288</v>
      </c>
      <c r="R20" s="516">
        <f t="shared" si="4"/>
        <v>37227.345291374288</v>
      </c>
      <c r="S20" s="516">
        <f t="shared" si="4"/>
        <v>37227.345291374288</v>
      </c>
      <c r="T20" s="516">
        <f t="shared" si="4"/>
        <v>37227.345291374288</v>
      </c>
      <c r="U20" s="516">
        <f t="shared" si="4"/>
        <v>37227.345291374288</v>
      </c>
      <c r="V20" s="516">
        <f t="shared" si="4"/>
        <v>37227.345291374288</v>
      </c>
      <c r="W20" s="516">
        <f t="shared" si="4"/>
        <v>37227.345291374288</v>
      </c>
      <c r="X20" s="516">
        <f t="shared" si="4"/>
        <v>37227.345291374288</v>
      </c>
      <c r="Y20" s="516">
        <f t="shared" si="4"/>
        <v>10578.669292048937</v>
      </c>
      <c r="Z20" s="516">
        <f t="shared" si="4"/>
        <v>10578.669292048937</v>
      </c>
      <c r="AA20" s="516">
        <f t="shared" si="4"/>
        <v>10578.669292048937</v>
      </c>
      <c r="AB20" s="516">
        <f t="shared" si="4"/>
        <v>4844.14407700424</v>
      </c>
      <c r="AC20" s="516">
        <f t="shared" si="4"/>
        <v>4844.14407700424</v>
      </c>
      <c r="AD20" s="516">
        <f t="shared" si="4"/>
        <v>4844.14407700424</v>
      </c>
      <c r="AE20" s="516">
        <f t="shared" si="4"/>
        <v>4844.14407700424</v>
      </c>
      <c r="AF20" s="516">
        <f t="shared" si="4"/>
        <v>4844.14407700424</v>
      </c>
      <c r="AG20" s="516">
        <f t="shared" si="4"/>
        <v>4844.14407700424</v>
      </c>
      <c r="AH20" s="516">
        <f t="shared" si="4"/>
        <v>4844.14407700424</v>
      </c>
      <c r="AI20" s="516">
        <f t="shared" si="4"/>
        <v>4844.14407700424</v>
      </c>
      <c r="AJ20" s="516">
        <f t="shared" si="4"/>
        <v>4844.14407700424</v>
      </c>
      <c r="AK20" s="516">
        <f t="shared" si="4"/>
        <v>4844.14407700424</v>
      </c>
      <c r="AL20" s="516">
        <f t="shared" si="4"/>
        <v>4844.14407700424</v>
      </c>
      <c r="AM20" s="516">
        <f t="shared" si="4"/>
        <v>4844.14407700424</v>
      </c>
      <c r="AN20" s="516">
        <f t="shared" si="4"/>
        <v>4844.14407700424</v>
      </c>
      <c r="AO20" s="516">
        <f t="shared" si="4"/>
        <v>4844.14407700424</v>
      </c>
      <c r="AP20" s="516">
        <f t="shared" si="4"/>
        <v>4844.14407700424</v>
      </c>
      <c r="AQ20" s="516">
        <f t="shared" si="4"/>
        <v>4844.14407700424</v>
      </c>
      <c r="AR20" s="516">
        <f t="shared" si="4"/>
        <v>4844.14407700424</v>
      </c>
      <c r="AS20" s="516">
        <f t="shared" si="4"/>
        <v>4844.14407700424</v>
      </c>
      <c r="AT20" s="516">
        <f t="shared" si="4"/>
        <v>4844.14407700424</v>
      </c>
      <c r="AU20" s="516">
        <f t="shared" si="4"/>
        <v>4844.14407700424</v>
      </c>
      <c r="AV20" s="516">
        <f t="shared" si="4"/>
        <v>4844.14407700424</v>
      </c>
      <c r="AW20" s="516">
        <f t="shared" si="4"/>
        <v>4844.14407700424</v>
      </c>
      <c r="AX20" s="516">
        <f t="shared" si="4"/>
        <v>4844.14407700424</v>
      </c>
      <c r="AY20" s="516">
        <f t="shared" si="4"/>
        <v>4844.14407700424</v>
      </c>
      <c r="AZ20" s="516">
        <f t="shared" si="4"/>
        <v>4844.14407700424</v>
      </c>
      <c r="BA20" s="516">
        <f t="shared" si="4"/>
        <v>4844.14407700424</v>
      </c>
      <c r="BB20" s="516">
        <f t="shared" si="4"/>
        <v>4844.14407700424</v>
      </c>
      <c r="BC20" s="516">
        <f t="shared" si="4"/>
        <v>0</v>
      </c>
      <c r="BD20" s="516">
        <f t="shared" si="4"/>
        <v>0</v>
      </c>
      <c r="BE20" s="516">
        <f t="shared" si="4"/>
        <v>0</v>
      </c>
      <c r="BF20" s="516">
        <f t="shared" si="4"/>
        <v>0</v>
      </c>
      <c r="BG20" s="516">
        <f t="shared" si="4"/>
        <v>0</v>
      </c>
      <c r="BH20" s="516">
        <f t="shared" si="4"/>
        <v>0</v>
      </c>
      <c r="BI20" s="516">
        <f t="shared" si="4"/>
        <v>0</v>
      </c>
      <c r="BJ20" s="516">
        <f t="shared" si="4"/>
        <v>0</v>
      </c>
      <c r="BK20" s="516">
        <f t="shared" si="4"/>
        <v>0</v>
      </c>
      <c r="BL20" s="516">
        <f t="shared" si="4"/>
        <v>0</v>
      </c>
      <c r="BM20" s="516">
        <f t="shared" si="4"/>
        <v>0</v>
      </c>
      <c r="BN20" s="516">
        <f t="shared" si="4"/>
        <v>0</v>
      </c>
      <c r="BO20" s="516">
        <f t="shared" si="4"/>
        <v>596896.60988362285</v>
      </c>
      <c r="BP20" s="517">
        <f t="shared" si="0"/>
        <v>0</v>
      </c>
      <c r="BQ20" s="514">
        <f t="shared" ref="BQ20" si="5">SUM(BQ21:BQ28)</f>
        <v>211004.64018011588</v>
      </c>
      <c r="BR20" s="514">
        <f t="shared" ref="BR20" si="6">SUM(BR21:BR28)</f>
        <v>269632.51185540523</v>
      </c>
      <c r="BS20" s="514">
        <f t="shared" ref="BS20" si="7">SUM(BS21:BS28)</f>
        <v>58129.728924050884</v>
      </c>
      <c r="BT20" s="514">
        <f t="shared" ref="BT20" si="8">SUM(BT21:BT28)</f>
        <v>58129.728924050884</v>
      </c>
      <c r="BU20" s="514">
        <f t="shared" ref="BU20" si="9">SUM(BU21:BU28)</f>
        <v>0</v>
      </c>
      <c r="BV20" s="514">
        <f t="shared" ref="BV20" si="10">SUM(BV21:BV28)</f>
        <v>596896.60988362285</v>
      </c>
      <c r="BW20" s="518">
        <f t="shared" ref="BW20:BW83" si="11">BO20-BV20</f>
        <v>0</v>
      </c>
      <c r="BX20" s="519"/>
      <c r="BY20" s="520"/>
      <c r="BZ20" s="519"/>
      <c r="CA20" s="519"/>
      <c r="CB20" s="519"/>
      <c r="CC20" s="520"/>
      <c r="CD20" s="519"/>
      <c r="CE20" s="519"/>
      <c r="CF20" s="519"/>
      <c r="CG20" s="520"/>
      <c r="CH20" s="519"/>
      <c r="CI20" s="519"/>
      <c r="CJ20" s="519"/>
      <c r="CK20" s="521"/>
      <c r="CL20" s="521"/>
    </row>
    <row r="21" spans="1:90" s="537" customFormat="1" ht="13.25" customHeight="1" outlineLevel="1" x14ac:dyDescent="0.3">
      <c r="A21" s="523"/>
      <c r="B21" s="524" t="s">
        <v>91</v>
      </c>
      <c r="C21" s="525" t="str">
        <f>'CC detallado'!A18</f>
        <v>1.1.1</v>
      </c>
      <c r="D21" s="526" t="str">
        <f>'CC detallado'!F18</f>
        <v>Técnico en SIG - Coordinador de Campo</v>
      </c>
      <c r="E21" s="527">
        <f>'CC detallado'!N18</f>
        <v>16191.600607185022</v>
      </c>
      <c r="F21" s="515"/>
      <c r="G21" s="528"/>
      <c r="H21" s="528"/>
      <c r="I21" s="528"/>
      <c r="J21" s="528"/>
      <c r="K21" s="529"/>
      <c r="L21" s="529"/>
      <c r="M21" s="530">
        <f>E21/12</f>
        <v>1349.3000505987518</v>
      </c>
      <c r="N21" s="530">
        <f t="shared" ref="N21:X26" si="12">M21</f>
        <v>1349.3000505987518</v>
      </c>
      <c r="O21" s="530">
        <f t="shared" si="12"/>
        <v>1349.3000505987518</v>
      </c>
      <c r="P21" s="530">
        <f t="shared" si="12"/>
        <v>1349.3000505987518</v>
      </c>
      <c r="Q21" s="530">
        <f t="shared" si="12"/>
        <v>1349.3000505987518</v>
      </c>
      <c r="R21" s="530">
        <f t="shared" si="12"/>
        <v>1349.3000505987518</v>
      </c>
      <c r="S21" s="530">
        <f t="shared" si="12"/>
        <v>1349.3000505987518</v>
      </c>
      <c r="T21" s="530">
        <f t="shared" si="12"/>
        <v>1349.3000505987518</v>
      </c>
      <c r="U21" s="530">
        <f t="shared" si="12"/>
        <v>1349.3000505987518</v>
      </c>
      <c r="V21" s="530">
        <f t="shared" si="12"/>
        <v>1349.3000505987518</v>
      </c>
      <c r="W21" s="530">
        <f t="shared" si="12"/>
        <v>1349.3000505987518</v>
      </c>
      <c r="X21" s="530">
        <f t="shared" si="12"/>
        <v>1349.3000505987518</v>
      </c>
      <c r="Y21" s="531"/>
      <c r="Z21" s="531"/>
      <c r="AA21" s="531"/>
      <c r="AB21" s="531"/>
      <c r="AC21" s="531"/>
      <c r="AD21" s="531"/>
      <c r="AE21" s="531"/>
      <c r="AF21" s="531"/>
      <c r="AG21" s="531"/>
      <c r="AH21" s="531"/>
      <c r="AI21" s="531"/>
      <c r="AJ21" s="531"/>
      <c r="AK21" s="531"/>
      <c r="AL21" s="531"/>
      <c r="AM21" s="531"/>
      <c r="AN21" s="531"/>
      <c r="AO21" s="531"/>
      <c r="AP21" s="531"/>
      <c r="AQ21" s="531"/>
      <c r="AR21" s="531"/>
      <c r="AS21" s="531"/>
      <c r="AT21" s="531"/>
      <c r="AU21" s="531"/>
      <c r="AV21" s="531"/>
      <c r="AW21" s="531"/>
      <c r="AX21" s="531"/>
      <c r="AY21" s="531"/>
      <c r="AZ21" s="531"/>
      <c r="BA21" s="531"/>
      <c r="BB21" s="531"/>
      <c r="BC21" s="531"/>
      <c r="BD21" s="531"/>
      <c r="BE21" s="531"/>
      <c r="BF21" s="531"/>
      <c r="BG21" s="531"/>
      <c r="BH21" s="531"/>
      <c r="BI21" s="531"/>
      <c r="BJ21" s="531"/>
      <c r="BK21" s="531"/>
      <c r="BL21" s="531"/>
      <c r="BM21" s="531"/>
      <c r="BN21" s="531"/>
      <c r="BO21" s="528">
        <f t="shared" ref="BO21:BO28" si="13">SUM(G21:BN21)</f>
        <v>16191.600607185019</v>
      </c>
      <c r="BP21" s="517">
        <f t="shared" si="0"/>
        <v>0</v>
      </c>
      <c r="BQ21" s="532">
        <f t="shared" ref="BQ21" si="14">SUM(G21:R21)</f>
        <v>8095.8003035925112</v>
      </c>
      <c r="BR21" s="532">
        <f t="shared" ref="BR21" si="15">SUM(S21:AD21)</f>
        <v>8095.8003035925112</v>
      </c>
      <c r="BS21" s="532">
        <f t="shared" ref="BS21" si="16">SUM(AE21:AP21)</f>
        <v>0</v>
      </c>
      <c r="BT21" s="532">
        <f t="shared" ref="BT21" si="17">SUM(AQ21:BB21)</f>
        <v>0</v>
      </c>
      <c r="BU21" s="532">
        <f t="shared" ref="BU21" si="18">SUM(BC21:BN21)</f>
        <v>0</v>
      </c>
      <c r="BV21" s="532">
        <f t="shared" ref="BV21" si="19">SUM(BQ21:BU21)</f>
        <v>16191.600607185022</v>
      </c>
      <c r="BW21" s="518">
        <f t="shared" si="11"/>
        <v>0</v>
      </c>
      <c r="BX21" s="533"/>
      <c r="BY21" s="534"/>
      <c r="BZ21" s="535"/>
      <c r="CA21" s="535"/>
      <c r="CB21" s="533"/>
      <c r="CC21" s="534"/>
      <c r="CD21" s="535"/>
      <c r="CE21" s="535"/>
      <c r="CF21" s="533"/>
      <c r="CG21" s="534"/>
      <c r="CH21" s="535"/>
      <c r="CI21" s="535"/>
      <c r="CJ21" s="535"/>
      <c r="CK21" s="536"/>
      <c r="CL21" s="536"/>
    </row>
    <row r="22" spans="1:90" s="537" customFormat="1" ht="13.25" customHeight="1" outlineLevel="1" x14ac:dyDescent="0.3">
      <c r="A22" s="523"/>
      <c r="B22" s="524" t="s">
        <v>91</v>
      </c>
      <c r="C22" s="525" t="str">
        <f>'CC detallado'!A19</f>
        <v>1.1.2</v>
      </c>
      <c r="D22" s="526" t="str">
        <f>'CC detallado'!F19</f>
        <v>Técnico en SIG - Supervisor de Campo</v>
      </c>
      <c r="E22" s="527">
        <f>'CC detallado'!N19</f>
        <v>20239.500758981278</v>
      </c>
      <c r="F22" s="515"/>
      <c r="G22" s="528"/>
      <c r="H22" s="528"/>
      <c r="I22" s="528"/>
      <c r="J22" s="528"/>
      <c r="K22" s="529"/>
      <c r="L22" s="529"/>
      <c r="M22" s="530">
        <f>E22/12</f>
        <v>1686.6250632484398</v>
      </c>
      <c r="N22" s="530">
        <f t="shared" ref="N22:X22" si="20">M22</f>
        <v>1686.6250632484398</v>
      </c>
      <c r="O22" s="530">
        <f t="shared" si="20"/>
        <v>1686.6250632484398</v>
      </c>
      <c r="P22" s="530">
        <f t="shared" si="20"/>
        <v>1686.6250632484398</v>
      </c>
      <c r="Q22" s="530">
        <f t="shared" si="20"/>
        <v>1686.6250632484398</v>
      </c>
      <c r="R22" s="530">
        <f t="shared" si="20"/>
        <v>1686.6250632484398</v>
      </c>
      <c r="S22" s="530">
        <f t="shared" si="20"/>
        <v>1686.6250632484398</v>
      </c>
      <c r="T22" s="530">
        <f t="shared" si="20"/>
        <v>1686.6250632484398</v>
      </c>
      <c r="U22" s="530">
        <f t="shared" si="20"/>
        <v>1686.6250632484398</v>
      </c>
      <c r="V22" s="530">
        <f t="shared" si="20"/>
        <v>1686.6250632484398</v>
      </c>
      <c r="W22" s="530">
        <f t="shared" si="20"/>
        <v>1686.6250632484398</v>
      </c>
      <c r="X22" s="530">
        <f t="shared" si="20"/>
        <v>1686.6250632484398</v>
      </c>
      <c r="Y22" s="531"/>
      <c r="Z22" s="531"/>
      <c r="AA22" s="531"/>
      <c r="AB22" s="531"/>
      <c r="AC22" s="531"/>
      <c r="AD22" s="531"/>
      <c r="AE22" s="531"/>
      <c r="AF22" s="531"/>
      <c r="AG22" s="531"/>
      <c r="AH22" s="531"/>
      <c r="AI22" s="531"/>
      <c r="AJ22" s="531"/>
      <c r="AK22" s="531"/>
      <c r="AL22" s="531"/>
      <c r="AM22" s="531"/>
      <c r="AN22" s="531"/>
      <c r="AO22" s="531"/>
      <c r="AP22" s="531"/>
      <c r="AQ22" s="531"/>
      <c r="AR22" s="531"/>
      <c r="AS22" s="531"/>
      <c r="AT22" s="531"/>
      <c r="AU22" s="531"/>
      <c r="AV22" s="531"/>
      <c r="AW22" s="531"/>
      <c r="AX22" s="531"/>
      <c r="AY22" s="531"/>
      <c r="AZ22" s="531"/>
      <c r="BA22" s="531"/>
      <c r="BB22" s="531"/>
      <c r="BC22" s="531"/>
      <c r="BD22" s="531"/>
      <c r="BE22" s="531"/>
      <c r="BF22" s="531"/>
      <c r="BG22" s="531"/>
      <c r="BH22" s="531"/>
      <c r="BI22" s="531"/>
      <c r="BJ22" s="531"/>
      <c r="BK22" s="531"/>
      <c r="BL22" s="531"/>
      <c r="BM22" s="531"/>
      <c r="BN22" s="531"/>
      <c r="BO22" s="528">
        <f t="shared" si="13"/>
        <v>20239.500758981285</v>
      </c>
      <c r="BP22" s="517">
        <f t="shared" si="0"/>
        <v>0</v>
      </c>
      <c r="BQ22" s="532">
        <f>SUM(G22:R22)</f>
        <v>10119.750379490641</v>
      </c>
      <c r="BR22" s="532">
        <f>SUM(S22:AD22)</f>
        <v>10119.750379490641</v>
      </c>
      <c r="BS22" s="532">
        <f>SUM(AE22:AP22)</f>
        <v>0</v>
      </c>
      <c r="BT22" s="532">
        <f>SUM(AQ22:BB22)</f>
        <v>0</v>
      </c>
      <c r="BU22" s="532">
        <f>SUM(BC22:BN22)</f>
        <v>0</v>
      </c>
      <c r="BV22" s="532">
        <f>SUM(BQ22:BU22)</f>
        <v>20239.500758981281</v>
      </c>
      <c r="BW22" s="518">
        <f t="shared" si="11"/>
        <v>0</v>
      </c>
      <c r="BX22" s="538"/>
      <c r="BY22" s="534"/>
      <c r="BZ22" s="535"/>
      <c r="CA22" s="535"/>
      <c r="CB22" s="538"/>
      <c r="CC22" s="534"/>
      <c r="CD22" s="535"/>
      <c r="CE22" s="535"/>
      <c r="CF22" s="538"/>
      <c r="CG22" s="534"/>
      <c r="CH22" s="535"/>
      <c r="CI22" s="535"/>
      <c r="CJ22" s="535"/>
      <c r="CK22" s="536"/>
      <c r="CL22" s="536"/>
    </row>
    <row r="23" spans="1:90" s="537" customFormat="1" ht="13.25" customHeight="1" outlineLevel="1" x14ac:dyDescent="0.3">
      <c r="A23" s="523"/>
      <c r="B23" s="524" t="s">
        <v>91</v>
      </c>
      <c r="C23" s="539" t="str">
        <f>'CC detallado'!A20</f>
        <v>1.1.3</v>
      </c>
      <c r="D23" s="540" t="str">
        <f>'CC detallado'!F20</f>
        <v>Técnico en SIG - Supervisor en Gabinete</v>
      </c>
      <c r="E23" s="527">
        <f>'CC detallado'!N20</f>
        <v>20239.500758981278</v>
      </c>
      <c r="F23" s="515"/>
      <c r="G23" s="528"/>
      <c r="H23" s="528"/>
      <c r="I23" s="528"/>
      <c r="J23" s="528"/>
      <c r="K23" s="528"/>
      <c r="L23" s="528"/>
      <c r="M23" s="528"/>
      <c r="N23" s="529"/>
      <c r="O23" s="529"/>
      <c r="P23" s="530">
        <f>E23/12</f>
        <v>1686.6250632484398</v>
      </c>
      <c r="Q23" s="530">
        <f t="shared" ref="Q23:AA23" si="21">P23</f>
        <v>1686.6250632484398</v>
      </c>
      <c r="R23" s="530">
        <f t="shared" si="21"/>
        <v>1686.6250632484398</v>
      </c>
      <c r="S23" s="530">
        <f t="shared" si="21"/>
        <v>1686.6250632484398</v>
      </c>
      <c r="T23" s="530">
        <f t="shared" si="21"/>
        <v>1686.6250632484398</v>
      </c>
      <c r="U23" s="530">
        <f t="shared" si="21"/>
        <v>1686.6250632484398</v>
      </c>
      <c r="V23" s="530">
        <f t="shared" si="21"/>
        <v>1686.6250632484398</v>
      </c>
      <c r="W23" s="530">
        <f t="shared" si="21"/>
        <v>1686.6250632484398</v>
      </c>
      <c r="X23" s="530">
        <f t="shared" si="21"/>
        <v>1686.6250632484398</v>
      </c>
      <c r="Y23" s="530">
        <f t="shared" si="21"/>
        <v>1686.6250632484398</v>
      </c>
      <c r="Z23" s="530">
        <f t="shared" si="21"/>
        <v>1686.6250632484398</v>
      </c>
      <c r="AA23" s="530">
        <f t="shared" si="21"/>
        <v>1686.6250632484398</v>
      </c>
      <c r="AB23" s="531"/>
      <c r="AC23" s="531"/>
      <c r="AD23" s="531"/>
      <c r="AE23" s="531"/>
      <c r="AF23" s="531"/>
      <c r="AG23" s="531"/>
      <c r="AH23" s="531"/>
      <c r="AI23" s="531"/>
      <c r="AJ23" s="531"/>
      <c r="AK23" s="531"/>
      <c r="AL23" s="531"/>
      <c r="AM23" s="531"/>
      <c r="AN23" s="531"/>
      <c r="AO23" s="531"/>
      <c r="AP23" s="531"/>
      <c r="AQ23" s="531"/>
      <c r="AR23" s="531"/>
      <c r="AS23" s="531"/>
      <c r="AT23" s="531"/>
      <c r="AU23" s="531"/>
      <c r="AV23" s="531"/>
      <c r="AW23" s="531"/>
      <c r="AX23" s="531"/>
      <c r="AY23" s="531"/>
      <c r="AZ23" s="531"/>
      <c r="BA23" s="531"/>
      <c r="BB23" s="531"/>
      <c r="BC23" s="531"/>
      <c r="BD23" s="531"/>
      <c r="BE23" s="531"/>
      <c r="BF23" s="531"/>
      <c r="BG23" s="531"/>
      <c r="BH23" s="531"/>
      <c r="BI23" s="531"/>
      <c r="BJ23" s="531"/>
      <c r="BK23" s="531"/>
      <c r="BL23" s="531"/>
      <c r="BM23" s="531"/>
      <c r="BN23" s="531"/>
      <c r="BO23" s="528">
        <f t="shared" si="13"/>
        <v>20239.500758981285</v>
      </c>
      <c r="BP23" s="517">
        <f t="shared" si="0"/>
        <v>0</v>
      </c>
      <c r="BQ23" s="532">
        <f>SUM(G23:R23)</f>
        <v>5059.8751897453194</v>
      </c>
      <c r="BR23" s="532">
        <f>SUM(S23:AD23)</f>
        <v>15179.625569235963</v>
      </c>
      <c r="BS23" s="532">
        <f>SUM(AE23:AP23)</f>
        <v>0</v>
      </c>
      <c r="BT23" s="532">
        <f>SUM(AQ23:BB23)</f>
        <v>0</v>
      </c>
      <c r="BU23" s="532">
        <f>SUM(BC23:BN23)</f>
        <v>0</v>
      </c>
      <c r="BV23" s="532">
        <f>SUM(BQ23:BU23)</f>
        <v>20239.500758981281</v>
      </c>
      <c r="BW23" s="518">
        <f t="shared" si="11"/>
        <v>0</v>
      </c>
      <c r="BX23" s="538"/>
      <c r="BY23" s="534"/>
      <c r="BZ23" s="535"/>
      <c r="CA23" s="535"/>
      <c r="CB23" s="538"/>
      <c r="CC23" s="534"/>
      <c r="CD23" s="535"/>
      <c r="CE23" s="535"/>
      <c r="CF23" s="538"/>
      <c r="CG23" s="534"/>
      <c r="CH23" s="535"/>
      <c r="CI23" s="535"/>
      <c r="CJ23" s="535"/>
      <c r="CK23" s="536"/>
      <c r="CL23" s="536"/>
    </row>
    <row r="24" spans="1:90" s="537" customFormat="1" ht="13.25" customHeight="1" outlineLevel="1" x14ac:dyDescent="0.3">
      <c r="A24" s="523"/>
      <c r="B24" s="524" t="s">
        <v>91</v>
      </c>
      <c r="C24" s="539" t="str">
        <f>'CC detallado'!A21</f>
        <v>1.1.4</v>
      </c>
      <c r="D24" s="540" t="str">
        <f>'CC detallado'!F21</f>
        <v>Técnicos en SIG - Gabinete</v>
      </c>
      <c r="E24" s="527">
        <f>'CC detallado'!N21</f>
        <v>48574.801821555069</v>
      </c>
      <c r="F24" s="515"/>
      <c r="G24" s="528"/>
      <c r="H24" s="528"/>
      <c r="I24" s="528"/>
      <c r="J24" s="528"/>
      <c r="K24" s="528"/>
      <c r="L24" s="528"/>
      <c r="M24" s="528"/>
      <c r="N24" s="529"/>
      <c r="O24" s="529"/>
      <c r="P24" s="530">
        <f>E24/12</f>
        <v>4047.9001517962556</v>
      </c>
      <c r="Q24" s="530">
        <f t="shared" ref="Q24:AA24" si="22">P24</f>
        <v>4047.9001517962556</v>
      </c>
      <c r="R24" s="530">
        <f t="shared" si="22"/>
        <v>4047.9001517962556</v>
      </c>
      <c r="S24" s="530">
        <f t="shared" si="22"/>
        <v>4047.9001517962556</v>
      </c>
      <c r="T24" s="530">
        <f t="shared" si="22"/>
        <v>4047.9001517962556</v>
      </c>
      <c r="U24" s="530">
        <f t="shared" si="22"/>
        <v>4047.9001517962556</v>
      </c>
      <c r="V24" s="530">
        <f t="shared" si="22"/>
        <v>4047.9001517962556</v>
      </c>
      <c r="W24" s="530">
        <f t="shared" si="22"/>
        <v>4047.9001517962556</v>
      </c>
      <c r="X24" s="530">
        <f t="shared" si="22"/>
        <v>4047.9001517962556</v>
      </c>
      <c r="Y24" s="530">
        <f t="shared" si="22"/>
        <v>4047.9001517962556</v>
      </c>
      <c r="Z24" s="530">
        <f t="shared" si="22"/>
        <v>4047.9001517962556</v>
      </c>
      <c r="AA24" s="530">
        <f t="shared" si="22"/>
        <v>4047.9001517962556</v>
      </c>
      <c r="AB24" s="531"/>
      <c r="AC24" s="531"/>
      <c r="AD24" s="531"/>
      <c r="AE24" s="531"/>
      <c r="AF24" s="531"/>
      <c r="AG24" s="531"/>
      <c r="AH24" s="531"/>
      <c r="AI24" s="531"/>
      <c r="AJ24" s="531"/>
      <c r="AK24" s="531"/>
      <c r="AL24" s="531"/>
      <c r="AM24" s="531"/>
      <c r="AN24" s="531"/>
      <c r="AO24" s="531"/>
      <c r="AP24" s="531"/>
      <c r="AQ24" s="531"/>
      <c r="AR24" s="531"/>
      <c r="AS24" s="531"/>
      <c r="AT24" s="531"/>
      <c r="AU24" s="531"/>
      <c r="AV24" s="531"/>
      <c r="AW24" s="531"/>
      <c r="AX24" s="531"/>
      <c r="AY24" s="531"/>
      <c r="AZ24" s="531"/>
      <c r="BA24" s="531"/>
      <c r="BB24" s="531"/>
      <c r="BC24" s="531"/>
      <c r="BD24" s="531"/>
      <c r="BE24" s="531"/>
      <c r="BF24" s="531"/>
      <c r="BG24" s="531"/>
      <c r="BH24" s="531"/>
      <c r="BI24" s="531"/>
      <c r="BJ24" s="531"/>
      <c r="BK24" s="531"/>
      <c r="BL24" s="531"/>
      <c r="BM24" s="531"/>
      <c r="BN24" s="531"/>
      <c r="BO24" s="528">
        <f t="shared" si="13"/>
        <v>48574.801821555062</v>
      </c>
      <c r="BP24" s="517">
        <f t="shared" si="0"/>
        <v>0</v>
      </c>
      <c r="BQ24" s="532">
        <f>SUM(G24:R24)</f>
        <v>12143.700455388767</v>
      </c>
      <c r="BR24" s="532">
        <f>SUM(S24:AD24)</f>
        <v>36431.101366166302</v>
      </c>
      <c r="BS24" s="532">
        <f>SUM(AE24:AP24)</f>
        <v>0</v>
      </c>
      <c r="BT24" s="532">
        <f>SUM(AQ24:BB24)</f>
        <v>0</v>
      </c>
      <c r="BU24" s="532">
        <f>SUM(BC24:BN24)</f>
        <v>0</v>
      </c>
      <c r="BV24" s="532">
        <f>SUM(BQ24:BU24)</f>
        <v>48574.801821555069</v>
      </c>
      <c r="BW24" s="518">
        <f t="shared" si="11"/>
        <v>0</v>
      </c>
      <c r="BX24" s="538"/>
      <c r="BY24" s="534"/>
      <c r="BZ24" s="535"/>
      <c r="CA24" s="535"/>
      <c r="CB24" s="538"/>
      <c r="CC24" s="534"/>
      <c r="CD24" s="535"/>
      <c r="CE24" s="535"/>
      <c r="CF24" s="538"/>
      <c r="CG24" s="534"/>
      <c r="CH24" s="535"/>
      <c r="CI24" s="535"/>
      <c r="CJ24" s="535"/>
      <c r="CK24" s="536"/>
      <c r="CL24" s="536"/>
    </row>
    <row r="25" spans="1:90" s="537" customFormat="1" ht="13.25" customHeight="1" outlineLevel="1" x14ac:dyDescent="0.3">
      <c r="A25" s="523"/>
      <c r="B25" s="524" t="s">
        <v>92</v>
      </c>
      <c r="C25" s="525" t="str">
        <f>'CC detallado'!A22</f>
        <v>1.1.5</v>
      </c>
      <c r="D25" s="526" t="str">
        <f>'CC detallado'!F22</f>
        <v>Viáticos - Técnicos actualizadores de Campo</v>
      </c>
      <c r="E25" s="527">
        <f>'CC detallado'!N22</f>
        <v>141676.50531286895</v>
      </c>
      <c r="F25" s="515"/>
      <c r="G25" s="528"/>
      <c r="H25" s="528"/>
      <c r="I25" s="528"/>
      <c r="J25" s="528"/>
      <c r="K25" s="529"/>
      <c r="L25" s="529"/>
      <c r="M25" s="530">
        <f>E25/12</f>
        <v>11806.37544273908</v>
      </c>
      <c r="N25" s="530">
        <f t="shared" si="12"/>
        <v>11806.37544273908</v>
      </c>
      <c r="O25" s="530">
        <f t="shared" si="12"/>
        <v>11806.37544273908</v>
      </c>
      <c r="P25" s="530">
        <f t="shared" si="12"/>
        <v>11806.37544273908</v>
      </c>
      <c r="Q25" s="530">
        <f t="shared" si="12"/>
        <v>11806.37544273908</v>
      </c>
      <c r="R25" s="530">
        <f t="shared" si="12"/>
        <v>11806.37544273908</v>
      </c>
      <c r="S25" s="530">
        <f t="shared" si="12"/>
        <v>11806.37544273908</v>
      </c>
      <c r="T25" s="530">
        <f t="shared" si="12"/>
        <v>11806.37544273908</v>
      </c>
      <c r="U25" s="530">
        <f t="shared" si="12"/>
        <v>11806.37544273908</v>
      </c>
      <c r="V25" s="530">
        <f t="shared" si="12"/>
        <v>11806.37544273908</v>
      </c>
      <c r="W25" s="530">
        <f t="shared" si="12"/>
        <v>11806.37544273908</v>
      </c>
      <c r="X25" s="530">
        <f t="shared" si="12"/>
        <v>11806.37544273908</v>
      </c>
      <c r="Y25" s="531"/>
      <c r="Z25" s="531"/>
      <c r="AA25" s="531"/>
      <c r="AB25" s="531"/>
      <c r="AC25" s="531"/>
      <c r="AD25" s="531"/>
      <c r="AE25" s="531"/>
      <c r="AF25" s="531"/>
      <c r="AG25" s="531"/>
      <c r="AH25" s="531"/>
      <c r="AI25" s="531"/>
      <c r="AJ25" s="531"/>
      <c r="AK25" s="531"/>
      <c r="AL25" s="531"/>
      <c r="AM25" s="531"/>
      <c r="AN25" s="531"/>
      <c r="AO25" s="531"/>
      <c r="AP25" s="531"/>
      <c r="AQ25" s="531"/>
      <c r="AR25" s="531"/>
      <c r="AS25" s="531"/>
      <c r="AT25" s="531"/>
      <c r="AU25" s="531"/>
      <c r="AV25" s="531"/>
      <c r="AW25" s="531"/>
      <c r="AX25" s="531"/>
      <c r="AY25" s="531"/>
      <c r="AZ25" s="531"/>
      <c r="BA25" s="531"/>
      <c r="BB25" s="531"/>
      <c r="BC25" s="531"/>
      <c r="BD25" s="531"/>
      <c r="BE25" s="531"/>
      <c r="BF25" s="531"/>
      <c r="BG25" s="531"/>
      <c r="BH25" s="531"/>
      <c r="BI25" s="531"/>
      <c r="BJ25" s="531"/>
      <c r="BK25" s="531"/>
      <c r="BL25" s="531"/>
      <c r="BM25" s="531"/>
      <c r="BN25" s="531"/>
      <c r="BO25" s="528">
        <f t="shared" si="13"/>
        <v>141676.50531286895</v>
      </c>
      <c r="BP25" s="517">
        <f t="shared" si="0"/>
        <v>0</v>
      </c>
      <c r="BQ25" s="532">
        <f t="shared" ref="BQ25:BQ28" si="23">SUM(G25:R25)</f>
        <v>70838.252656434473</v>
      </c>
      <c r="BR25" s="532">
        <f t="shared" ref="BR25:BR28" si="24">SUM(S25:AD25)</f>
        <v>70838.252656434473</v>
      </c>
      <c r="BS25" s="532">
        <f t="shared" ref="BS25:BS28" si="25">SUM(AE25:AP25)</f>
        <v>0</v>
      </c>
      <c r="BT25" s="532">
        <f t="shared" ref="BT25:BT28" si="26">SUM(AQ25:BB25)</f>
        <v>0</v>
      </c>
      <c r="BU25" s="532">
        <f t="shared" ref="BU25:BU28" si="27">SUM(BC25:BN25)</f>
        <v>0</v>
      </c>
      <c r="BV25" s="532">
        <f t="shared" ref="BV25:BV28" si="28">SUM(BQ25:BU25)</f>
        <v>141676.50531286895</v>
      </c>
      <c r="BW25" s="518">
        <f t="shared" si="11"/>
        <v>0</v>
      </c>
      <c r="BX25" s="538"/>
      <c r="BY25" s="534"/>
      <c r="BZ25" s="535"/>
      <c r="CA25" s="535"/>
      <c r="CB25" s="538"/>
      <c r="CC25" s="534"/>
      <c r="CD25" s="535"/>
      <c r="CE25" s="535"/>
      <c r="CF25" s="538"/>
      <c r="CG25" s="534"/>
      <c r="CH25" s="535"/>
      <c r="CI25" s="535"/>
      <c r="CJ25" s="535"/>
      <c r="CK25" s="536"/>
      <c r="CL25" s="536"/>
    </row>
    <row r="26" spans="1:90" s="537" customFormat="1" ht="13.25" customHeight="1" outlineLevel="1" x14ac:dyDescent="0.3">
      <c r="A26" s="523"/>
      <c r="B26" s="524" t="s">
        <v>92</v>
      </c>
      <c r="C26" s="525" t="str">
        <f>'CC detallado'!A23</f>
        <v>1.1.6</v>
      </c>
      <c r="D26" s="526" t="str">
        <f>'CC detallado'!F23</f>
        <v>Viáticos - Conductores de vehículos</v>
      </c>
      <c r="E26" s="527">
        <f>'CC detallado'!N23</f>
        <v>141676.50531286895</v>
      </c>
      <c r="F26" s="515"/>
      <c r="G26" s="528"/>
      <c r="H26" s="528"/>
      <c r="I26" s="528"/>
      <c r="J26" s="528"/>
      <c r="K26" s="529"/>
      <c r="L26" s="529"/>
      <c r="M26" s="530">
        <f>E26/12</f>
        <v>11806.37544273908</v>
      </c>
      <c r="N26" s="530">
        <f t="shared" si="12"/>
        <v>11806.37544273908</v>
      </c>
      <c r="O26" s="530">
        <f t="shared" si="12"/>
        <v>11806.37544273908</v>
      </c>
      <c r="P26" s="530">
        <f t="shared" si="12"/>
        <v>11806.37544273908</v>
      </c>
      <c r="Q26" s="530">
        <f t="shared" si="12"/>
        <v>11806.37544273908</v>
      </c>
      <c r="R26" s="530">
        <f t="shared" si="12"/>
        <v>11806.37544273908</v>
      </c>
      <c r="S26" s="530">
        <f t="shared" si="12"/>
        <v>11806.37544273908</v>
      </c>
      <c r="T26" s="530">
        <f t="shared" si="12"/>
        <v>11806.37544273908</v>
      </c>
      <c r="U26" s="530">
        <f t="shared" si="12"/>
        <v>11806.37544273908</v>
      </c>
      <c r="V26" s="530">
        <f t="shared" si="12"/>
        <v>11806.37544273908</v>
      </c>
      <c r="W26" s="530">
        <f t="shared" si="12"/>
        <v>11806.37544273908</v>
      </c>
      <c r="X26" s="530">
        <f t="shared" si="12"/>
        <v>11806.37544273908</v>
      </c>
      <c r="Y26" s="531"/>
      <c r="Z26" s="531"/>
      <c r="AA26" s="531"/>
      <c r="AB26" s="531"/>
      <c r="AC26" s="531"/>
      <c r="AD26" s="531"/>
      <c r="AE26" s="531"/>
      <c r="AF26" s="531"/>
      <c r="AG26" s="531"/>
      <c r="AH26" s="531"/>
      <c r="AI26" s="531"/>
      <c r="AJ26" s="531"/>
      <c r="AK26" s="531"/>
      <c r="AL26" s="531"/>
      <c r="AM26" s="531"/>
      <c r="AN26" s="531"/>
      <c r="AO26" s="531"/>
      <c r="AP26" s="531"/>
      <c r="AQ26" s="531"/>
      <c r="AR26" s="531"/>
      <c r="AS26" s="531"/>
      <c r="AT26" s="531"/>
      <c r="AU26" s="531"/>
      <c r="AV26" s="531"/>
      <c r="AW26" s="531"/>
      <c r="AX26" s="531"/>
      <c r="AY26" s="531"/>
      <c r="AZ26" s="531"/>
      <c r="BA26" s="531"/>
      <c r="BB26" s="531"/>
      <c r="BC26" s="531"/>
      <c r="BD26" s="531"/>
      <c r="BE26" s="531"/>
      <c r="BF26" s="531"/>
      <c r="BG26" s="531"/>
      <c r="BH26" s="531"/>
      <c r="BI26" s="531"/>
      <c r="BJ26" s="531"/>
      <c r="BK26" s="531"/>
      <c r="BL26" s="531"/>
      <c r="BM26" s="531"/>
      <c r="BN26" s="531"/>
      <c r="BO26" s="528">
        <f t="shared" si="13"/>
        <v>141676.50531286895</v>
      </c>
      <c r="BP26" s="517">
        <f t="shared" si="0"/>
        <v>0</v>
      </c>
      <c r="BQ26" s="532">
        <f t="shared" si="23"/>
        <v>70838.252656434473</v>
      </c>
      <c r="BR26" s="532">
        <f t="shared" si="24"/>
        <v>70838.252656434473</v>
      </c>
      <c r="BS26" s="532">
        <f t="shared" si="25"/>
        <v>0</v>
      </c>
      <c r="BT26" s="532">
        <f t="shared" si="26"/>
        <v>0</v>
      </c>
      <c r="BU26" s="532">
        <f t="shared" si="27"/>
        <v>0</v>
      </c>
      <c r="BV26" s="532">
        <f t="shared" si="28"/>
        <v>141676.50531286895</v>
      </c>
      <c r="BW26" s="518">
        <f t="shared" si="11"/>
        <v>0</v>
      </c>
      <c r="BX26" s="538"/>
      <c r="BY26" s="534"/>
      <c r="BZ26" s="535"/>
      <c r="CA26" s="535"/>
      <c r="CB26" s="538"/>
      <c r="CC26" s="534"/>
      <c r="CD26" s="535"/>
      <c r="CE26" s="535"/>
      <c r="CF26" s="538"/>
      <c r="CG26" s="534"/>
      <c r="CH26" s="535"/>
      <c r="CI26" s="535"/>
      <c r="CJ26" s="535"/>
      <c r="CK26" s="536"/>
      <c r="CL26" s="536"/>
    </row>
    <row r="27" spans="1:90" s="537" customFormat="1" ht="13.25" customHeight="1" outlineLevel="1" x14ac:dyDescent="0.3">
      <c r="A27" s="523"/>
      <c r="B27" s="524" t="s">
        <v>94</v>
      </c>
      <c r="C27" s="525" t="str">
        <f>'CC detallado'!A24</f>
        <v>1.1.7</v>
      </c>
      <c r="D27" s="526" t="str">
        <f>'CC detallado'!F24</f>
        <v>Combustible (675.000 km a recorrer)</v>
      </c>
      <c r="E27" s="527">
        <f>'CC detallado'!N24</f>
        <v>175409.00657783775</v>
      </c>
      <c r="F27" s="515"/>
      <c r="G27" s="528"/>
      <c r="H27" s="528"/>
      <c r="I27" s="528"/>
      <c r="J27" s="529"/>
      <c r="K27" s="529"/>
      <c r="L27" s="530">
        <f>E27/43</f>
        <v>4079.2792227404129</v>
      </c>
      <c r="M27" s="530">
        <f>L27</f>
        <v>4079.2792227404129</v>
      </c>
      <c r="N27" s="530">
        <f t="shared" ref="N27:BB28" si="29">M27</f>
        <v>4079.2792227404129</v>
      </c>
      <c r="O27" s="530">
        <f t="shared" si="29"/>
        <v>4079.2792227404129</v>
      </c>
      <c r="P27" s="530">
        <f t="shared" si="29"/>
        <v>4079.2792227404129</v>
      </c>
      <c r="Q27" s="530">
        <f t="shared" si="29"/>
        <v>4079.2792227404129</v>
      </c>
      <c r="R27" s="530">
        <f t="shared" si="29"/>
        <v>4079.2792227404129</v>
      </c>
      <c r="S27" s="530">
        <f t="shared" si="29"/>
        <v>4079.2792227404129</v>
      </c>
      <c r="T27" s="530">
        <f t="shared" si="29"/>
        <v>4079.2792227404129</v>
      </c>
      <c r="U27" s="530">
        <f t="shared" si="29"/>
        <v>4079.2792227404129</v>
      </c>
      <c r="V27" s="530">
        <f t="shared" si="29"/>
        <v>4079.2792227404129</v>
      </c>
      <c r="W27" s="530">
        <f t="shared" si="29"/>
        <v>4079.2792227404129</v>
      </c>
      <c r="X27" s="530">
        <f t="shared" si="29"/>
        <v>4079.2792227404129</v>
      </c>
      <c r="Y27" s="530">
        <f t="shared" si="29"/>
        <v>4079.2792227404129</v>
      </c>
      <c r="Z27" s="530">
        <f t="shared" si="29"/>
        <v>4079.2792227404129</v>
      </c>
      <c r="AA27" s="530">
        <f t="shared" si="29"/>
        <v>4079.2792227404129</v>
      </c>
      <c r="AB27" s="530">
        <f t="shared" si="29"/>
        <v>4079.2792227404129</v>
      </c>
      <c r="AC27" s="530">
        <f t="shared" si="29"/>
        <v>4079.2792227404129</v>
      </c>
      <c r="AD27" s="530">
        <f t="shared" si="29"/>
        <v>4079.2792227404129</v>
      </c>
      <c r="AE27" s="530">
        <f t="shared" si="29"/>
        <v>4079.2792227404129</v>
      </c>
      <c r="AF27" s="530">
        <f t="shared" si="29"/>
        <v>4079.2792227404129</v>
      </c>
      <c r="AG27" s="530">
        <f t="shared" si="29"/>
        <v>4079.2792227404129</v>
      </c>
      <c r="AH27" s="530">
        <f t="shared" si="29"/>
        <v>4079.2792227404129</v>
      </c>
      <c r="AI27" s="530">
        <f t="shared" si="29"/>
        <v>4079.2792227404129</v>
      </c>
      <c r="AJ27" s="530">
        <f t="shared" si="29"/>
        <v>4079.2792227404129</v>
      </c>
      <c r="AK27" s="530">
        <f t="shared" si="29"/>
        <v>4079.2792227404129</v>
      </c>
      <c r="AL27" s="530">
        <f t="shared" si="29"/>
        <v>4079.2792227404129</v>
      </c>
      <c r="AM27" s="530">
        <f t="shared" si="29"/>
        <v>4079.2792227404129</v>
      </c>
      <c r="AN27" s="530">
        <f t="shared" si="29"/>
        <v>4079.2792227404129</v>
      </c>
      <c r="AO27" s="530">
        <f t="shared" si="29"/>
        <v>4079.2792227404129</v>
      </c>
      <c r="AP27" s="530">
        <f t="shared" si="29"/>
        <v>4079.2792227404129</v>
      </c>
      <c r="AQ27" s="530">
        <f t="shared" si="29"/>
        <v>4079.2792227404129</v>
      </c>
      <c r="AR27" s="530">
        <f t="shared" si="29"/>
        <v>4079.2792227404129</v>
      </c>
      <c r="AS27" s="530">
        <f t="shared" si="29"/>
        <v>4079.2792227404129</v>
      </c>
      <c r="AT27" s="530">
        <f t="shared" si="29"/>
        <v>4079.2792227404129</v>
      </c>
      <c r="AU27" s="530">
        <f t="shared" si="29"/>
        <v>4079.2792227404129</v>
      </c>
      <c r="AV27" s="530">
        <f t="shared" si="29"/>
        <v>4079.2792227404129</v>
      </c>
      <c r="AW27" s="530">
        <f t="shared" si="29"/>
        <v>4079.2792227404129</v>
      </c>
      <c r="AX27" s="530">
        <f t="shared" si="29"/>
        <v>4079.2792227404129</v>
      </c>
      <c r="AY27" s="530">
        <f t="shared" si="29"/>
        <v>4079.2792227404129</v>
      </c>
      <c r="AZ27" s="530">
        <f t="shared" si="29"/>
        <v>4079.2792227404129</v>
      </c>
      <c r="BA27" s="530">
        <f t="shared" si="29"/>
        <v>4079.2792227404129</v>
      </c>
      <c r="BB27" s="530">
        <f t="shared" si="29"/>
        <v>4079.2792227404129</v>
      </c>
      <c r="BC27" s="531"/>
      <c r="BD27" s="531"/>
      <c r="BE27" s="531"/>
      <c r="BF27" s="531"/>
      <c r="BG27" s="531"/>
      <c r="BH27" s="531"/>
      <c r="BI27" s="531"/>
      <c r="BJ27" s="531"/>
      <c r="BK27" s="531"/>
      <c r="BL27" s="531"/>
      <c r="BM27" s="531"/>
      <c r="BN27" s="531"/>
      <c r="BO27" s="528">
        <f t="shared" si="13"/>
        <v>175409.00657783775</v>
      </c>
      <c r="BP27" s="517">
        <f t="shared" si="0"/>
        <v>0</v>
      </c>
      <c r="BQ27" s="532">
        <f t="shared" si="23"/>
        <v>28554.95455918289</v>
      </c>
      <c r="BR27" s="532">
        <f t="shared" si="24"/>
        <v>48951.350672884953</v>
      </c>
      <c r="BS27" s="532">
        <f t="shared" si="25"/>
        <v>48951.350672884953</v>
      </c>
      <c r="BT27" s="532">
        <f t="shared" si="26"/>
        <v>48951.350672884953</v>
      </c>
      <c r="BU27" s="532">
        <f t="shared" si="27"/>
        <v>0</v>
      </c>
      <c r="BV27" s="532">
        <f t="shared" si="28"/>
        <v>175409.00657783775</v>
      </c>
      <c r="BW27" s="518">
        <f t="shared" si="11"/>
        <v>0</v>
      </c>
      <c r="BX27" s="538"/>
      <c r="BY27" s="534"/>
      <c r="BZ27" s="535"/>
      <c r="CA27" s="535"/>
      <c r="CB27" s="538"/>
      <c r="CC27" s="534"/>
      <c r="CD27" s="535"/>
      <c r="CE27" s="535"/>
      <c r="CF27" s="538"/>
      <c r="CG27" s="534"/>
      <c r="CH27" s="535"/>
      <c r="CI27" s="535"/>
      <c r="CJ27" s="535"/>
      <c r="CK27" s="536"/>
      <c r="CL27" s="536"/>
    </row>
    <row r="28" spans="1:90" s="537" customFormat="1" ht="13.25" customHeight="1" outlineLevel="1" x14ac:dyDescent="0.3">
      <c r="A28" s="523"/>
      <c r="B28" s="524" t="s">
        <v>94</v>
      </c>
      <c r="C28" s="525" t="str">
        <f>'CC detallado'!A25</f>
        <v>1.1.8</v>
      </c>
      <c r="D28" s="526" t="str">
        <f>'CC detallado'!F25</f>
        <v>Mantenimiento de vehículos</v>
      </c>
      <c r="E28" s="527">
        <f>'CC detallado'!N25</f>
        <v>32889.188733344577</v>
      </c>
      <c r="F28" s="515"/>
      <c r="G28" s="528"/>
      <c r="H28" s="528"/>
      <c r="I28" s="528"/>
      <c r="J28" s="529"/>
      <c r="K28" s="529"/>
      <c r="L28" s="530">
        <f>E28/43</f>
        <v>764.8648542638274</v>
      </c>
      <c r="M28" s="530">
        <f>L28</f>
        <v>764.8648542638274</v>
      </c>
      <c r="N28" s="530">
        <f t="shared" si="29"/>
        <v>764.8648542638274</v>
      </c>
      <c r="O28" s="530">
        <f t="shared" si="29"/>
        <v>764.8648542638274</v>
      </c>
      <c r="P28" s="530">
        <f t="shared" si="29"/>
        <v>764.8648542638274</v>
      </c>
      <c r="Q28" s="530">
        <f t="shared" si="29"/>
        <v>764.8648542638274</v>
      </c>
      <c r="R28" s="530">
        <f t="shared" si="29"/>
        <v>764.8648542638274</v>
      </c>
      <c r="S28" s="530">
        <f t="shared" si="29"/>
        <v>764.8648542638274</v>
      </c>
      <c r="T28" s="530">
        <f t="shared" si="29"/>
        <v>764.8648542638274</v>
      </c>
      <c r="U28" s="530">
        <f t="shared" si="29"/>
        <v>764.8648542638274</v>
      </c>
      <c r="V28" s="530">
        <f t="shared" si="29"/>
        <v>764.8648542638274</v>
      </c>
      <c r="W28" s="530">
        <f t="shared" si="29"/>
        <v>764.8648542638274</v>
      </c>
      <c r="X28" s="530">
        <f t="shared" si="29"/>
        <v>764.8648542638274</v>
      </c>
      <c r="Y28" s="530">
        <f t="shared" si="29"/>
        <v>764.8648542638274</v>
      </c>
      <c r="Z28" s="530">
        <f t="shared" si="29"/>
        <v>764.8648542638274</v>
      </c>
      <c r="AA28" s="530">
        <f t="shared" si="29"/>
        <v>764.8648542638274</v>
      </c>
      <c r="AB28" s="530">
        <f t="shared" si="29"/>
        <v>764.8648542638274</v>
      </c>
      <c r="AC28" s="530">
        <f t="shared" si="29"/>
        <v>764.8648542638274</v>
      </c>
      <c r="AD28" s="530">
        <f t="shared" si="29"/>
        <v>764.8648542638274</v>
      </c>
      <c r="AE28" s="530">
        <f t="shared" si="29"/>
        <v>764.8648542638274</v>
      </c>
      <c r="AF28" s="530">
        <f t="shared" si="29"/>
        <v>764.8648542638274</v>
      </c>
      <c r="AG28" s="530">
        <f t="shared" si="29"/>
        <v>764.8648542638274</v>
      </c>
      <c r="AH28" s="530">
        <f t="shared" si="29"/>
        <v>764.8648542638274</v>
      </c>
      <c r="AI28" s="530">
        <f t="shared" si="29"/>
        <v>764.8648542638274</v>
      </c>
      <c r="AJ28" s="530">
        <f t="shared" si="29"/>
        <v>764.8648542638274</v>
      </c>
      <c r="AK28" s="530">
        <f t="shared" si="29"/>
        <v>764.8648542638274</v>
      </c>
      <c r="AL28" s="530">
        <f t="shared" si="29"/>
        <v>764.8648542638274</v>
      </c>
      <c r="AM28" s="530">
        <f t="shared" si="29"/>
        <v>764.8648542638274</v>
      </c>
      <c r="AN28" s="530">
        <f t="shared" si="29"/>
        <v>764.8648542638274</v>
      </c>
      <c r="AO28" s="530">
        <f t="shared" si="29"/>
        <v>764.8648542638274</v>
      </c>
      <c r="AP28" s="530">
        <f t="shared" si="29"/>
        <v>764.8648542638274</v>
      </c>
      <c r="AQ28" s="530">
        <f t="shared" si="29"/>
        <v>764.8648542638274</v>
      </c>
      <c r="AR28" s="530">
        <f t="shared" si="29"/>
        <v>764.8648542638274</v>
      </c>
      <c r="AS28" s="530">
        <f t="shared" si="29"/>
        <v>764.8648542638274</v>
      </c>
      <c r="AT28" s="530">
        <f t="shared" si="29"/>
        <v>764.8648542638274</v>
      </c>
      <c r="AU28" s="530">
        <f t="shared" si="29"/>
        <v>764.8648542638274</v>
      </c>
      <c r="AV28" s="530">
        <f t="shared" si="29"/>
        <v>764.8648542638274</v>
      </c>
      <c r="AW28" s="530">
        <f t="shared" si="29"/>
        <v>764.8648542638274</v>
      </c>
      <c r="AX28" s="530">
        <f t="shared" si="29"/>
        <v>764.8648542638274</v>
      </c>
      <c r="AY28" s="530">
        <f t="shared" si="29"/>
        <v>764.8648542638274</v>
      </c>
      <c r="AZ28" s="530">
        <f t="shared" si="29"/>
        <v>764.8648542638274</v>
      </c>
      <c r="BA28" s="530">
        <f t="shared" si="29"/>
        <v>764.8648542638274</v>
      </c>
      <c r="BB28" s="530">
        <f t="shared" si="29"/>
        <v>764.8648542638274</v>
      </c>
      <c r="BC28" s="528"/>
      <c r="BD28" s="528"/>
      <c r="BE28" s="528"/>
      <c r="BF28" s="528"/>
      <c r="BG28" s="528"/>
      <c r="BH28" s="528"/>
      <c r="BI28" s="528"/>
      <c r="BJ28" s="528"/>
      <c r="BK28" s="528"/>
      <c r="BL28" s="528"/>
      <c r="BM28" s="528"/>
      <c r="BN28" s="528"/>
      <c r="BO28" s="528">
        <f t="shared" si="13"/>
        <v>32889.188733344541</v>
      </c>
      <c r="BP28" s="517">
        <f t="shared" si="0"/>
        <v>0</v>
      </c>
      <c r="BQ28" s="532">
        <f t="shared" si="23"/>
        <v>5354.0539798467917</v>
      </c>
      <c r="BR28" s="532">
        <f t="shared" si="24"/>
        <v>9178.3782511659283</v>
      </c>
      <c r="BS28" s="532">
        <f t="shared" si="25"/>
        <v>9178.3782511659283</v>
      </c>
      <c r="BT28" s="532">
        <f t="shared" si="26"/>
        <v>9178.3782511659283</v>
      </c>
      <c r="BU28" s="532">
        <f t="shared" si="27"/>
        <v>0</v>
      </c>
      <c r="BV28" s="532">
        <f t="shared" si="28"/>
        <v>32889.188733344577</v>
      </c>
      <c r="BW28" s="518">
        <f t="shared" si="11"/>
        <v>0</v>
      </c>
      <c r="BX28" s="538"/>
      <c r="BY28" s="534"/>
      <c r="BZ28" s="535"/>
      <c r="CA28" s="535"/>
      <c r="CB28" s="538"/>
      <c r="CC28" s="534"/>
      <c r="CD28" s="535"/>
      <c r="CE28" s="535"/>
      <c r="CF28" s="538"/>
      <c r="CG28" s="534"/>
      <c r="CH28" s="535"/>
      <c r="CI28" s="535"/>
      <c r="CJ28" s="535"/>
      <c r="CK28" s="536"/>
      <c r="CL28" s="536"/>
    </row>
    <row r="29" spans="1:90" s="522" customFormat="1" ht="13.25" customHeight="1" x14ac:dyDescent="0.35">
      <c r="A29" s="541"/>
      <c r="B29" s="542"/>
      <c r="C29" s="543" t="str">
        <f>'CC detallado'!A26</f>
        <v>1.2</v>
      </c>
      <c r="D29" s="541" t="str">
        <f>'CC detallado'!F26</f>
        <v>Producto 2: Censo realizado</v>
      </c>
      <c r="E29" s="514">
        <f>E30+E36+E43+E45+E58+E61</f>
        <v>9247055.1526395697</v>
      </c>
      <c r="F29" s="515"/>
      <c r="G29" s="516">
        <f>G30+G36+G43+G45+G58+G61</f>
        <v>19791.982908866026</v>
      </c>
      <c r="H29" s="516">
        <f t="shared" ref="H29:BS29" si="30">H30+H36+H43+H45+H58+H61</f>
        <v>19791.982908866026</v>
      </c>
      <c r="I29" s="516">
        <f t="shared" si="30"/>
        <v>19791.982908866026</v>
      </c>
      <c r="J29" s="516">
        <f t="shared" si="30"/>
        <v>24851.858098611345</v>
      </c>
      <c r="K29" s="516">
        <f t="shared" si="30"/>
        <v>38007.533591949177</v>
      </c>
      <c r="L29" s="516">
        <f t="shared" si="30"/>
        <v>59132.889661430891</v>
      </c>
      <c r="M29" s="516">
        <f t="shared" si="30"/>
        <v>49013.139281940254</v>
      </c>
      <c r="N29" s="516">
        <f t="shared" si="30"/>
        <v>49013.139281940254</v>
      </c>
      <c r="O29" s="516">
        <f t="shared" si="30"/>
        <v>146837.39295034978</v>
      </c>
      <c r="P29" s="516">
        <f t="shared" si="30"/>
        <v>53567.026952711036</v>
      </c>
      <c r="Q29" s="516">
        <f t="shared" si="30"/>
        <v>50193.776826214162</v>
      </c>
      <c r="R29" s="516">
        <f t="shared" si="30"/>
        <v>196930.15732882844</v>
      </c>
      <c r="S29" s="516">
        <f t="shared" si="30"/>
        <v>50193.776826214162</v>
      </c>
      <c r="T29" s="516">
        <f t="shared" si="30"/>
        <v>1523119.0593359121</v>
      </c>
      <c r="U29" s="516">
        <f t="shared" si="30"/>
        <v>50193.776826214162</v>
      </c>
      <c r="V29" s="516">
        <f t="shared" si="30"/>
        <v>92696.72842007484</v>
      </c>
      <c r="W29" s="516">
        <f t="shared" si="30"/>
        <v>1527672.9470066831</v>
      </c>
      <c r="X29" s="516">
        <f t="shared" si="30"/>
        <v>167920.20624095527</v>
      </c>
      <c r="Y29" s="516">
        <f t="shared" si="30"/>
        <v>1606909.8511044404</v>
      </c>
      <c r="Z29" s="516">
        <f t="shared" si="30"/>
        <v>130948.64348089529</v>
      </c>
      <c r="AA29" s="516">
        <f t="shared" si="30"/>
        <v>1595778.1256870008</v>
      </c>
      <c r="AB29" s="516">
        <f t="shared" si="30"/>
        <v>62303.003406683776</v>
      </c>
      <c r="AC29" s="516">
        <f t="shared" si="30"/>
        <v>1519036.6853091971</v>
      </c>
      <c r="AD29" s="516">
        <f t="shared" si="30"/>
        <v>30358.32470875833</v>
      </c>
      <c r="AE29" s="516">
        <f t="shared" si="30"/>
        <v>12607.158126422913</v>
      </c>
      <c r="AF29" s="516">
        <f t="shared" si="30"/>
        <v>8752.0151247121939</v>
      </c>
      <c r="AG29" s="516">
        <f t="shared" si="30"/>
        <v>8752.0151247121939</v>
      </c>
      <c r="AH29" s="516">
        <f t="shared" si="30"/>
        <v>4198.1274539414071</v>
      </c>
      <c r="AI29" s="516">
        <f t="shared" si="30"/>
        <v>4198.1274539414071</v>
      </c>
      <c r="AJ29" s="516">
        <f t="shared" si="30"/>
        <v>4198.1274539414071</v>
      </c>
      <c r="AK29" s="516">
        <f t="shared" si="30"/>
        <v>4198.1274539414071</v>
      </c>
      <c r="AL29" s="516">
        <f t="shared" si="30"/>
        <v>4198.1274539414071</v>
      </c>
      <c r="AM29" s="516">
        <f t="shared" si="30"/>
        <v>4198.1274539414071</v>
      </c>
      <c r="AN29" s="516">
        <f t="shared" si="30"/>
        <v>4198.1274539414071</v>
      </c>
      <c r="AO29" s="516">
        <f t="shared" si="30"/>
        <v>4198.1274539414071</v>
      </c>
      <c r="AP29" s="516">
        <f t="shared" si="30"/>
        <v>4198.1274539414071</v>
      </c>
      <c r="AQ29" s="516">
        <f t="shared" si="30"/>
        <v>4198.1274539414071</v>
      </c>
      <c r="AR29" s="516">
        <f t="shared" si="30"/>
        <v>4198.1274539414071</v>
      </c>
      <c r="AS29" s="516">
        <f t="shared" si="30"/>
        <v>4198.1274539414071</v>
      </c>
      <c r="AT29" s="516">
        <f t="shared" si="30"/>
        <v>4198.1274539414071</v>
      </c>
      <c r="AU29" s="516">
        <f t="shared" si="30"/>
        <v>4198.1274539414071</v>
      </c>
      <c r="AV29" s="516">
        <f t="shared" si="30"/>
        <v>4198.1274539414071</v>
      </c>
      <c r="AW29" s="516">
        <f t="shared" si="30"/>
        <v>4198.1274539414071</v>
      </c>
      <c r="AX29" s="516">
        <f t="shared" si="30"/>
        <v>4198.1274539414071</v>
      </c>
      <c r="AY29" s="516">
        <f t="shared" si="30"/>
        <v>4198.1274539414071</v>
      </c>
      <c r="AZ29" s="516">
        <f t="shared" si="30"/>
        <v>4198.1274539414071</v>
      </c>
      <c r="BA29" s="516">
        <f t="shared" si="30"/>
        <v>4198.1274539414071</v>
      </c>
      <c r="BB29" s="516">
        <f t="shared" si="30"/>
        <v>4198.1274539414071</v>
      </c>
      <c r="BC29" s="516">
        <f t="shared" si="30"/>
        <v>3727.4413897790519</v>
      </c>
      <c r="BD29" s="516">
        <f t="shared" si="30"/>
        <v>3727.4413897790519</v>
      </c>
      <c r="BE29" s="516">
        <f t="shared" si="30"/>
        <v>3727.4413897790519</v>
      </c>
      <c r="BF29" s="516">
        <f t="shared" si="30"/>
        <v>3727.4413897790519</v>
      </c>
      <c r="BG29" s="516">
        <f t="shared" si="30"/>
        <v>3727.4413897790519</v>
      </c>
      <c r="BH29" s="516">
        <f t="shared" si="30"/>
        <v>3727.4413897790519</v>
      </c>
      <c r="BI29" s="516">
        <f t="shared" si="30"/>
        <v>3727.4413897790519</v>
      </c>
      <c r="BJ29" s="516">
        <f t="shared" si="30"/>
        <v>3727.4413897790519</v>
      </c>
      <c r="BK29" s="516">
        <f t="shared" si="30"/>
        <v>3727.4413897790519</v>
      </c>
      <c r="BL29" s="516">
        <f t="shared" si="30"/>
        <v>3727.4413897790519</v>
      </c>
      <c r="BM29" s="516">
        <f t="shared" si="30"/>
        <v>3727.4413897790519</v>
      </c>
      <c r="BN29" s="516">
        <f t="shared" si="30"/>
        <v>3727.4413897790519</v>
      </c>
      <c r="BO29" s="516">
        <f t="shared" si="30"/>
        <v>9247055.1526395697</v>
      </c>
      <c r="BP29" s="517">
        <f t="shared" si="0"/>
        <v>0</v>
      </c>
      <c r="BQ29" s="514">
        <f t="shared" si="30"/>
        <v>434968.06425226846</v>
      </c>
      <c r="BR29" s="514">
        <f t="shared" si="30"/>
        <v>8649085.9268013351</v>
      </c>
      <c r="BS29" s="514">
        <f t="shared" si="30"/>
        <v>67894.335461319977</v>
      </c>
      <c r="BT29" s="514">
        <f t="shared" ref="BT29:BV29" si="31">BT30+BT36+BT43+BT45+BT58+BT61</f>
        <v>50377.529447296896</v>
      </c>
      <c r="BU29" s="514">
        <f t="shared" si="31"/>
        <v>44729.296677348633</v>
      </c>
      <c r="BV29" s="514">
        <f t="shared" si="31"/>
        <v>9247055.1526395697</v>
      </c>
      <c r="BW29" s="518">
        <f t="shared" si="11"/>
        <v>0</v>
      </c>
      <c r="BX29" s="519"/>
      <c r="BY29" s="520"/>
      <c r="BZ29" s="519"/>
      <c r="CA29" s="519"/>
      <c r="CB29" s="519"/>
      <c r="CC29" s="520"/>
      <c r="CD29" s="519"/>
      <c r="CE29" s="519"/>
      <c r="CF29" s="519"/>
      <c r="CG29" s="520"/>
      <c r="CH29" s="519"/>
      <c r="CI29" s="519"/>
      <c r="CJ29" s="519"/>
      <c r="CK29" s="521"/>
      <c r="CL29" s="521"/>
    </row>
    <row r="30" spans="1:90" s="537" customFormat="1" ht="13.25" customHeight="1" outlineLevel="1" x14ac:dyDescent="0.35">
      <c r="A30" s="544"/>
      <c r="B30" s="545"/>
      <c r="C30" s="546" t="str">
        <f>'CC detallado'!A27</f>
        <v>1.2.1</v>
      </c>
      <c r="D30" s="547" t="str">
        <f>'CC detallado'!F27</f>
        <v>Sistema de captura de datos desarrollado</v>
      </c>
      <c r="E30" s="548">
        <f>SUM(E31:E35)</f>
        <v>134930.00505987517</v>
      </c>
      <c r="F30" s="515"/>
      <c r="G30" s="549">
        <f>SUM(G31:G35)</f>
        <v>0</v>
      </c>
      <c r="H30" s="549">
        <f t="shared" ref="H30:BS30" si="32">SUM(H31:H35)</f>
        <v>0</v>
      </c>
      <c r="I30" s="549">
        <f t="shared" si="32"/>
        <v>0</v>
      </c>
      <c r="J30" s="549">
        <f t="shared" si="32"/>
        <v>0</v>
      </c>
      <c r="K30" s="549">
        <f t="shared" si="32"/>
        <v>8095.8003035925112</v>
      </c>
      <c r="L30" s="549">
        <f t="shared" si="32"/>
        <v>8095.8003035925112</v>
      </c>
      <c r="M30" s="549">
        <f t="shared" si="32"/>
        <v>8095.8003035925112</v>
      </c>
      <c r="N30" s="549">
        <f t="shared" si="32"/>
        <v>8095.8003035925112</v>
      </c>
      <c r="O30" s="549">
        <f t="shared" si="32"/>
        <v>8095.8003035925112</v>
      </c>
      <c r="P30" s="549">
        <f t="shared" si="32"/>
        <v>12649.6879743633</v>
      </c>
      <c r="Q30" s="549">
        <f t="shared" si="32"/>
        <v>9276.4378478664185</v>
      </c>
      <c r="R30" s="549">
        <f t="shared" si="32"/>
        <v>9276.4378478664185</v>
      </c>
      <c r="S30" s="549">
        <f t="shared" si="32"/>
        <v>9276.4378478664185</v>
      </c>
      <c r="T30" s="549">
        <f t="shared" si="32"/>
        <v>9276.4378478664185</v>
      </c>
      <c r="U30" s="549">
        <f t="shared" si="32"/>
        <v>9276.4378478664185</v>
      </c>
      <c r="V30" s="549">
        <f t="shared" si="32"/>
        <v>9276.4378478664185</v>
      </c>
      <c r="W30" s="549">
        <f t="shared" si="32"/>
        <v>9276.4378478664185</v>
      </c>
      <c r="X30" s="549">
        <f t="shared" si="32"/>
        <v>9276.4378478664185</v>
      </c>
      <c r="Y30" s="549">
        <f t="shared" si="32"/>
        <v>4553.8876707707877</v>
      </c>
      <c r="Z30" s="549">
        <f t="shared" si="32"/>
        <v>1517.9625569235959</v>
      </c>
      <c r="AA30" s="549">
        <f t="shared" si="32"/>
        <v>1517.9625569235959</v>
      </c>
      <c r="AB30" s="549">
        <f t="shared" si="32"/>
        <v>0</v>
      </c>
      <c r="AC30" s="549">
        <f t="shared" si="32"/>
        <v>0</v>
      </c>
      <c r="AD30" s="549">
        <f t="shared" si="32"/>
        <v>0</v>
      </c>
      <c r="AE30" s="549">
        <f t="shared" si="32"/>
        <v>0</v>
      </c>
      <c r="AF30" s="549">
        <f t="shared" si="32"/>
        <v>0</v>
      </c>
      <c r="AG30" s="549">
        <f t="shared" si="32"/>
        <v>0</v>
      </c>
      <c r="AH30" s="549">
        <f t="shared" si="32"/>
        <v>0</v>
      </c>
      <c r="AI30" s="549">
        <f t="shared" si="32"/>
        <v>0</v>
      </c>
      <c r="AJ30" s="549">
        <f t="shared" si="32"/>
        <v>0</v>
      </c>
      <c r="AK30" s="549">
        <f t="shared" si="32"/>
        <v>0</v>
      </c>
      <c r="AL30" s="549">
        <f t="shared" si="32"/>
        <v>0</v>
      </c>
      <c r="AM30" s="549">
        <f t="shared" si="32"/>
        <v>0</v>
      </c>
      <c r="AN30" s="549">
        <f t="shared" si="32"/>
        <v>0</v>
      </c>
      <c r="AO30" s="549">
        <f t="shared" si="32"/>
        <v>0</v>
      </c>
      <c r="AP30" s="549">
        <f t="shared" si="32"/>
        <v>0</v>
      </c>
      <c r="AQ30" s="549">
        <f t="shared" si="32"/>
        <v>0</v>
      </c>
      <c r="AR30" s="549">
        <f t="shared" si="32"/>
        <v>0</v>
      </c>
      <c r="AS30" s="549">
        <f t="shared" si="32"/>
        <v>0</v>
      </c>
      <c r="AT30" s="549">
        <f t="shared" si="32"/>
        <v>0</v>
      </c>
      <c r="AU30" s="549">
        <f t="shared" si="32"/>
        <v>0</v>
      </c>
      <c r="AV30" s="549">
        <f t="shared" si="32"/>
        <v>0</v>
      </c>
      <c r="AW30" s="549">
        <f t="shared" si="32"/>
        <v>0</v>
      </c>
      <c r="AX30" s="549">
        <f t="shared" si="32"/>
        <v>0</v>
      </c>
      <c r="AY30" s="549">
        <f t="shared" si="32"/>
        <v>0</v>
      </c>
      <c r="AZ30" s="549">
        <f t="shared" si="32"/>
        <v>0</v>
      </c>
      <c r="BA30" s="549">
        <f t="shared" si="32"/>
        <v>0</v>
      </c>
      <c r="BB30" s="549">
        <f t="shared" si="32"/>
        <v>0</v>
      </c>
      <c r="BC30" s="549">
        <f t="shared" si="32"/>
        <v>0</v>
      </c>
      <c r="BD30" s="549">
        <f t="shared" si="32"/>
        <v>0</v>
      </c>
      <c r="BE30" s="549">
        <f t="shared" si="32"/>
        <v>0</v>
      </c>
      <c r="BF30" s="549">
        <f t="shared" si="32"/>
        <v>0</v>
      </c>
      <c r="BG30" s="549">
        <f t="shared" si="32"/>
        <v>0</v>
      </c>
      <c r="BH30" s="549">
        <f t="shared" si="32"/>
        <v>0</v>
      </c>
      <c r="BI30" s="549">
        <f t="shared" si="32"/>
        <v>0</v>
      </c>
      <c r="BJ30" s="549">
        <f t="shared" si="32"/>
        <v>0</v>
      </c>
      <c r="BK30" s="549">
        <f t="shared" si="32"/>
        <v>0</v>
      </c>
      <c r="BL30" s="549">
        <f t="shared" si="32"/>
        <v>0</v>
      </c>
      <c r="BM30" s="549">
        <f t="shared" si="32"/>
        <v>0</v>
      </c>
      <c r="BN30" s="549">
        <f t="shared" si="32"/>
        <v>0</v>
      </c>
      <c r="BO30" s="549">
        <f t="shared" si="32"/>
        <v>134930.0050598752</v>
      </c>
      <c r="BP30" s="517">
        <f t="shared" si="0"/>
        <v>0</v>
      </c>
      <c r="BQ30" s="548">
        <f t="shared" si="32"/>
        <v>24287.400910777535</v>
      </c>
      <c r="BR30" s="548">
        <f t="shared" si="32"/>
        <v>110642.60414909766</v>
      </c>
      <c r="BS30" s="548">
        <f t="shared" si="32"/>
        <v>0</v>
      </c>
      <c r="BT30" s="548">
        <f t="shared" ref="BT30:BV30" si="33">SUM(BT31:BT35)</f>
        <v>0</v>
      </c>
      <c r="BU30" s="548">
        <f t="shared" si="33"/>
        <v>0</v>
      </c>
      <c r="BV30" s="548">
        <f t="shared" si="33"/>
        <v>134930.00505987517</v>
      </c>
      <c r="BW30" s="518">
        <f t="shared" si="11"/>
        <v>0</v>
      </c>
      <c r="BX30" s="538"/>
      <c r="BY30" s="534"/>
      <c r="BZ30" s="535"/>
      <c r="CA30" s="535"/>
      <c r="CB30" s="538"/>
      <c r="CC30" s="534"/>
      <c r="CD30" s="535"/>
      <c r="CE30" s="535"/>
      <c r="CF30" s="538"/>
      <c r="CG30" s="534"/>
      <c r="CH30" s="535"/>
      <c r="CI30" s="535"/>
      <c r="CJ30" s="535"/>
      <c r="CK30" s="536"/>
      <c r="CL30" s="536"/>
    </row>
    <row r="31" spans="1:90" s="537" customFormat="1" ht="13.25" customHeight="1" outlineLevel="1" x14ac:dyDescent="0.3">
      <c r="A31" s="523"/>
      <c r="B31" s="524" t="s">
        <v>91</v>
      </c>
      <c r="C31" s="525" t="str">
        <f>'CC detallado'!A28</f>
        <v>1.2.1.1</v>
      </c>
      <c r="D31" s="526" t="str">
        <f>'CC detallado'!F28</f>
        <v>Programador principal</v>
      </c>
      <c r="E31" s="527">
        <f>'CC detallado'!N28</f>
        <v>66115.702479338841</v>
      </c>
      <c r="F31" s="515"/>
      <c r="G31" s="550"/>
      <c r="H31" s="531"/>
      <c r="I31" s="529"/>
      <c r="J31" s="529"/>
      <c r="K31" s="530">
        <f>E31/14</f>
        <v>4722.5501770956316</v>
      </c>
      <c r="L31" s="530">
        <f>K31</f>
        <v>4722.5501770956316</v>
      </c>
      <c r="M31" s="530">
        <f t="shared" ref="M31:P32" si="34">L31</f>
        <v>4722.5501770956316</v>
      </c>
      <c r="N31" s="530">
        <f t="shared" si="34"/>
        <v>4722.5501770956316</v>
      </c>
      <c r="O31" s="530">
        <f t="shared" si="34"/>
        <v>4722.5501770956316</v>
      </c>
      <c r="P31" s="530">
        <f t="shared" si="34"/>
        <v>4722.5501770956316</v>
      </c>
      <c r="Q31" s="530">
        <f t="shared" ref="Q31:X31" si="35">P31</f>
        <v>4722.5501770956316</v>
      </c>
      <c r="R31" s="530">
        <f t="shared" si="35"/>
        <v>4722.5501770956316</v>
      </c>
      <c r="S31" s="530">
        <f t="shared" si="35"/>
        <v>4722.5501770956316</v>
      </c>
      <c r="T31" s="530">
        <f t="shared" si="35"/>
        <v>4722.5501770956316</v>
      </c>
      <c r="U31" s="530">
        <f t="shared" si="35"/>
        <v>4722.5501770956316</v>
      </c>
      <c r="V31" s="530">
        <f t="shared" si="35"/>
        <v>4722.5501770956316</v>
      </c>
      <c r="W31" s="530">
        <f t="shared" si="35"/>
        <v>4722.5501770956316</v>
      </c>
      <c r="X31" s="530">
        <f t="shared" si="35"/>
        <v>4722.5501770956316</v>
      </c>
      <c r="Y31" s="528"/>
      <c r="Z31" s="531"/>
      <c r="AA31" s="531"/>
      <c r="AB31" s="531"/>
      <c r="AC31" s="531"/>
      <c r="AD31" s="531"/>
      <c r="AE31" s="531"/>
      <c r="AF31" s="531"/>
      <c r="AG31" s="531"/>
      <c r="AH31" s="531"/>
      <c r="AI31" s="531"/>
      <c r="AJ31" s="531"/>
      <c r="AK31" s="531"/>
      <c r="AL31" s="531"/>
      <c r="AM31" s="531"/>
      <c r="AN31" s="531"/>
      <c r="AO31" s="531"/>
      <c r="AP31" s="531"/>
      <c r="AQ31" s="531"/>
      <c r="AR31" s="531"/>
      <c r="AS31" s="531"/>
      <c r="AT31" s="531"/>
      <c r="AU31" s="531"/>
      <c r="AV31" s="531"/>
      <c r="AW31" s="531"/>
      <c r="AX31" s="531"/>
      <c r="AY31" s="531"/>
      <c r="AZ31" s="531"/>
      <c r="BA31" s="531"/>
      <c r="BB31" s="531"/>
      <c r="BC31" s="531"/>
      <c r="BD31" s="531"/>
      <c r="BE31" s="531"/>
      <c r="BF31" s="531"/>
      <c r="BG31" s="531"/>
      <c r="BH31" s="531"/>
      <c r="BI31" s="531"/>
      <c r="BJ31" s="531"/>
      <c r="BK31" s="531"/>
      <c r="BL31" s="531"/>
      <c r="BM31" s="531"/>
      <c r="BN31" s="531"/>
      <c r="BO31" s="528">
        <f>SUM(G31:BN31)</f>
        <v>66115.702479338841</v>
      </c>
      <c r="BP31" s="517">
        <f t="shared" si="0"/>
        <v>0</v>
      </c>
      <c r="BQ31" s="532">
        <f>SUM(G31:M31)</f>
        <v>14167.650531286894</v>
      </c>
      <c r="BR31" s="532">
        <f>SUM(N31:AD31)</f>
        <v>51948.051948051951</v>
      </c>
      <c r="BS31" s="532">
        <f>SUM(AE31:AP31)</f>
        <v>0</v>
      </c>
      <c r="BT31" s="532">
        <f>SUM(AQ31:BB31)</f>
        <v>0</v>
      </c>
      <c r="BU31" s="532">
        <f>SUM(BC31:BN31)</f>
        <v>0</v>
      </c>
      <c r="BV31" s="532">
        <f>SUM(BQ31:BU31)</f>
        <v>66115.702479338841</v>
      </c>
      <c r="BW31" s="518">
        <f t="shared" si="11"/>
        <v>0</v>
      </c>
      <c r="BX31" s="538"/>
      <c r="BY31" s="534"/>
      <c r="BZ31" s="535"/>
      <c r="CA31" s="535"/>
      <c r="CB31" s="538"/>
      <c r="CC31" s="534"/>
      <c r="CD31" s="535"/>
      <c r="CE31" s="535"/>
      <c r="CF31" s="538"/>
      <c r="CG31" s="534"/>
      <c r="CH31" s="535"/>
      <c r="CI31" s="535"/>
      <c r="CJ31" s="535"/>
      <c r="CK31" s="536"/>
      <c r="CL31" s="536"/>
    </row>
    <row r="32" spans="1:90" s="537" customFormat="1" ht="13.25" customHeight="1" outlineLevel="1" x14ac:dyDescent="0.3">
      <c r="A32" s="523"/>
      <c r="B32" s="524" t="s">
        <v>91</v>
      </c>
      <c r="C32" s="525" t="str">
        <f>'CC detallado'!A29</f>
        <v>1.2.1.2</v>
      </c>
      <c r="D32" s="526" t="str">
        <f>'CC detallado'!F29</f>
        <v>Programador asistente</v>
      </c>
      <c r="E32" s="527">
        <f>'CC detallado'!N29</f>
        <v>20239.500758981278</v>
      </c>
      <c r="F32" s="515"/>
      <c r="G32" s="550"/>
      <c r="H32" s="531"/>
      <c r="I32" s="529"/>
      <c r="J32" s="529"/>
      <c r="K32" s="530">
        <f>E32/6</f>
        <v>3373.2501264968796</v>
      </c>
      <c r="L32" s="530">
        <f>K32</f>
        <v>3373.2501264968796</v>
      </c>
      <c r="M32" s="530">
        <f t="shared" si="34"/>
        <v>3373.2501264968796</v>
      </c>
      <c r="N32" s="530">
        <f t="shared" si="34"/>
        <v>3373.2501264968796</v>
      </c>
      <c r="O32" s="530">
        <f t="shared" si="34"/>
        <v>3373.2501264968796</v>
      </c>
      <c r="P32" s="530">
        <f t="shared" si="34"/>
        <v>3373.2501264968796</v>
      </c>
      <c r="Q32" s="531"/>
      <c r="R32" s="531"/>
      <c r="S32" s="531"/>
      <c r="T32" s="531"/>
      <c r="U32" s="531"/>
      <c r="V32" s="531"/>
      <c r="W32" s="531"/>
      <c r="X32" s="531"/>
      <c r="Y32" s="531"/>
      <c r="Z32" s="531"/>
      <c r="AA32" s="531"/>
      <c r="AB32" s="531"/>
      <c r="AC32" s="531"/>
      <c r="AD32" s="531"/>
      <c r="AE32" s="531"/>
      <c r="AF32" s="531"/>
      <c r="AG32" s="531"/>
      <c r="AH32" s="531"/>
      <c r="AI32" s="531"/>
      <c r="AJ32" s="531"/>
      <c r="AK32" s="531"/>
      <c r="AL32" s="531"/>
      <c r="AM32" s="531"/>
      <c r="AN32" s="531"/>
      <c r="AO32" s="531"/>
      <c r="AP32" s="531"/>
      <c r="AQ32" s="531"/>
      <c r="AR32" s="531"/>
      <c r="AS32" s="531"/>
      <c r="AT32" s="531"/>
      <c r="AU32" s="531"/>
      <c r="AV32" s="531"/>
      <c r="AW32" s="531"/>
      <c r="AX32" s="531"/>
      <c r="AY32" s="531"/>
      <c r="AZ32" s="531"/>
      <c r="BA32" s="531"/>
      <c r="BB32" s="531"/>
      <c r="BC32" s="531"/>
      <c r="BD32" s="531"/>
      <c r="BE32" s="531"/>
      <c r="BF32" s="531"/>
      <c r="BG32" s="531"/>
      <c r="BH32" s="531"/>
      <c r="BI32" s="531"/>
      <c r="BJ32" s="531"/>
      <c r="BK32" s="531"/>
      <c r="BL32" s="531"/>
      <c r="BM32" s="531"/>
      <c r="BN32" s="531"/>
      <c r="BO32" s="528">
        <f t="shared" ref="BO32:BO82" si="36">SUM(G32:BN32)</f>
        <v>20239.500758981281</v>
      </c>
      <c r="BP32" s="517">
        <f t="shared" si="0"/>
        <v>0</v>
      </c>
      <c r="BQ32" s="532">
        <f t="shared" ref="BQ32:BQ35" si="37">SUM(G32:M32)</f>
        <v>10119.750379490639</v>
      </c>
      <c r="BR32" s="532">
        <f t="shared" ref="BR32:BR35" si="38">SUM(N32:AD32)</f>
        <v>10119.750379490639</v>
      </c>
      <c r="BS32" s="532">
        <f t="shared" ref="BS32:BS35" si="39">SUM(AE32:AP32)</f>
        <v>0</v>
      </c>
      <c r="BT32" s="532">
        <f t="shared" ref="BT32:BT35" si="40">SUM(AQ32:BB32)</f>
        <v>0</v>
      </c>
      <c r="BU32" s="532">
        <f t="shared" ref="BU32:BU35" si="41">SUM(BC32:BN32)</f>
        <v>0</v>
      </c>
      <c r="BV32" s="532">
        <f t="shared" ref="BV32:BV35" si="42">SUM(BQ32:BU32)</f>
        <v>20239.500758981278</v>
      </c>
      <c r="BW32" s="518">
        <f t="shared" si="11"/>
        <v>0</v>
      </c>
      <c r="BX32" s="533"/>
      <c r="BY32" s="534"/>
      <c r="BZ32" s="535"/>
      <c r="CA32" s="535"/>
      <c r="CB32" s="533"/>
      <c r="CC32" s="534"/>
      <c r="CD32" s="535"/>
      <c r="CE32" s="535"/>
      <c r="CF32" s="533"/>
      <c r="CG32" s="534"/>
      <c r="CH32" s="535"/>
      <c r="CI32" s="535"/>
      <c r="CJ32" s="535"/>
      <c r="CK32" s="536"/>
      <c r="CL32" s="536"/>
    </row>
    <row r="33" spans="1:90" s="537" customFormat="1" ht="13.25" customHeight="1" outlineLevel="1" x14ac:dyDescent="0.3">
      <c r="A33" s="523"/>
      <c r="B33" s="524" t="s">
        <v>91</v>
      </c>
      <c r="C33" s="539" t="str">
        <f>'CC detallado'!A30</f>
        <v>1.2.1.3</v>
      </c>
      <c r="D33" s="540" t="str">
        <f>'CC detallado'!F30</f>
        <v>Administrador de Sistema</v>
      </c>
      <c r="E33" s="527">
        <f>'CC detallado'!N30</f>
        <v>15179.625569235959</v>
      </c>
      <c r="F33" s="515"/>
      <c r="G33" s="528"/>
      <c r="H33" s="528"/>
      <c r="I33" s="528"/>
      <c r="J33" s="528"/>
      <c r="K33" s="531"/>
      <c r="L33" s="531"/>
      <c r="M33" s="531"/>
      <c r="N33" s="529"/>
      <c r="O33" s="529"/>
      <c r="P33" s="530">
        <f>E33/10</f>
        <v>1517.9625569235959</v>
      </c>
      <c r="Q33" s="530">
        <f t="shared" ref="Q33:Y33" si="43">P33</f>
        <v>1517.9625569235959</v>
      </c>
      <c r="R33" s="530">
        <f t="shared" si="43"/>
        <v>1517.9625569235959</v>
      </c>
      <c r="S33" s="530">
        <f t="shared" si="43"/>
        <v>1517.9625569235959</v>
      </c>
      <c r="T33" s="530">
        <f t="shared" si="43"/>
        <v>1517.9625569235959</v>
      </c>
      <c r="U33" s="530">
        <f t="shared" si="43"/>
        <v>1517.9625569235959</v>
      </c>
      <c r="V33" s="530">
        <f t="shared" si="43"/>
        <v>1517.9625569235959</v>
      </c>
      <c r="W33" s="530">
        <f t="shared" si="43"/>
        <v>1517.9625569235959</v>
      </c>
      <c r="X33" s="530">
        <f t="shared" si="43"/>
        <v>1517.9625569235959</v>
      </c>
      <c r="Y33" s="530">
        <f t="shared" si="43"/>
        <v>1517.9625569235959</v>
      </c>
      <c r="Z33" s="531"/>
      <c r="AA33" s="531"/>
      <c r="AB33" s="551"/>
      <c r="AC33" s="551"/>
      <c r="AD33" s="551"/>
      <c r="AE33" s="551"/>
      <c r="AF33" s="551"/>
      <c r="AG33" s="551"/>
      <c r="AH33" s="531"/>
      <c r="AI33" s="531"/>
      <c r="AJ33" s="531"/>
      <c r="AK33" s="531"/>
      <c r="AL33" s="531"/>
      <c r="AM33" s="531"/>
      <c r="AN33" s="531"/>
      <c r="AO33" s="531"/>
      <c r="AP33" s="531"/>
      <c r="AQ33" s="531"/>
      <c r="AR33" s="531"/>
      <c r="AS33" s="531"/>
      <c r="AT33" s="531"/>
      <c r="AU33" s="531"/>
      <c r="AV33" s="531"/>
      <c r="AW33" s="531"/>
      <c r="AX33" s="531"/>
      <c r="AY33" s="531"/>
      <c r="AZ33" s="531"/>
      <c r="BA33" s="531"/>
      <c r="BB33" s="531"/>
      <c r="BC33" s="531"/>
      <c r="BD33" s="531"/>
      <c r="BE33" s="531"/>
      <c r="BF33" s="531"/>
      <c r="BG33" s="531"/>
      <c r="BH33" s="531"/>
      <c r="BI33" s="531"/>
      <c r="BJ33" s="531"/>
      <c r="BK33" s="531"/>
      <c r="BL33" s="531"/>
      <c r="BM33" s="531"/>
      <c r="BN33" s="531"/>
      <c r="BO33" s="528">
        <f t="shared" si="36"/>
        <v>15179.625569235959</v>
      </c>
      <c r="BP33" s="517">
        <f t="shared" si="0"/>
        <v>0</v>
      </c>
      <c r="BQ33" s="532">
        <f t="shared" si="37"/>
        <v>0</v>
      </c>
      <c r="BR33" s="532">
        <f t="shared" si="38"/>
        <v>15179.625569235959</v>
      </c>
      <c r="BS33" s="532">
        <f t="shared" si="39"/>
        <v>0</v>
      </c>
      <c r="BT33" s="532">
        <f t="shared" si="40"/>
        <v>0</v>
      </c>
      <c r="BU33" s="532">
        <f t="shared" si="41"/>
        <v>0</v>
      </c>
      <c r="BV33" s="532">
        <f t="shared" si="42"/>
        <v>15179.625569235959</v>
      </c>
      <c r="BW33" s="518">
        <f t="shared" si="11"/>
        <v>0</v>
      </c>
      <c r="BX33" s="538"/>
      <c r="BY33" s="534"/>
      <c r="BZ33" s="535"/>
      <c r="CA33" s="535"/>
      <c r="CB33" s="538"/>
      <c r="CC33" s="534"/>
      <c r="CD33" s="535"/>
      <c r="CE33" s="535"/>
      <c r="CF33" s="538"/>
      <c r="CG33" s="534"/>
      <c r="CH33" s="535"/>
      <c r="CI33" s="535"/>
      <c r="CJ33" s="535"/>
      <c r="CK33" s="536"/>
      <c r="CL33" s="536"/>
    </row>
    <row r="34" spans="1:90" s="537" customFormat="1" ht="13.25" customHeight="1" outlineLevel="1" x14ac:dyDescent="0.3">
      <c r="A34" s="523"/>
      <c r="B34" s="524" t="s">
        <v>91</v>
      </c>
      <c r="C34" s="539" t="str">
        <f>'CC detallado'!A31</f>
        <v>1.2.1.4</v>
      </c>
      <c r="D34" s="540" t="str">
        <f>'CC detallado'!F31</f>
        <v>Administrador de red</v>
      </c>
      <c r="E34" s="527">
        <f>'CC detallado'!N31</f>
        <v>15179.625569235959</v>
      </c>
      <c r="F34" s="515"/>
      <c r="G34" s="528"/>
      <c r="H34" s="528"/>
      <c r="I34" s="528"/>
      <c r="J34" s="528"/>
      <c r="K34" s="531"/>
      <c r="L34" s="531"/>
      <c r="M34" s="531"/>
      <c r="N34" s="529"/>
      <c r="O34" s="529"/>
      <c r="P34" s="530">
        <f>E34/10</f>
        <v>1517.9625569235959</v>
      </c>
      <c r="Q34" s="530">
        <f t="shared" ref="Q34:Y34" si="44">P34</f>
        <v>1517.9625569235959</v>
      </c>
      <c r="R34" s="530">
        <f t="shared" si="44"/>
        <v>1517.9625569235959</v>
      </c>
      <c r="S34" s="530">
        <f t="shared" si="44"/>
        <v>1517.9625569235959</v>
      </c>
      <c r="T34" s="530">
        <f t="shared" si="44"/>
        <v>1517.9625569235959</v>
      </c>
      <c r="U34" s="530">
        <f t="shared" si="44"/>
        <v>1517.9625569235959</v>
      </c>
      <c r="V34" s="530">
        <f t="shared" si="44"/>
        <v>1517.9625569235959</v>
      </c>
      <c r="W34" s="530">
        <f t="shared" si="44"/>
        <v>1517.9625569235959</v>
      </c>
      <c r="X34" s="530">
        <f t="shared" si="44"/>
        <v>1517.9625569235959</v>
      </c>
      <c r="Y34" s="530">
        <f t="shared" si="44"/>
        <v>1517.9625569235959</v>
      </c>
      <c r="Z34" s="531"/>
      <c r="AA34" s="531"/>
      <c r="AB34" s="551"/>
      <c r="AC34" s="551"/>
      <c r="AD34" s="551"/>
      <c r="AE34" s="551"/>
      <c r="AF34" s="551"/>
      <c r="AG34" s="551"/>
      <c r="AH34" s="531"/>
      <c r="AI34" s="531"/>
      <c r="AJ34" s="531"/>
      <c r="AK34" s="531"/>
      <c r="AL34" s="531"/>
      <c r="AM34" s="531"/>
      <c r="AN34" s="531"/>
      <c r="AO34" s="531"/>
      <c r="AP34" s="531"/>
      <c r="AQ34" s="531"/>
      <c r="AR34" s="531"/>
      <c r="AS34" s="531"/>
      <c r="AT34" s="531"/>
      <c r="AU34" s="531"/>
      <c r="AV34" s="531"/>
      <c r="AW34" s="531"/>
      <c r="AX34" s="531"/>
      <c r="AY34" s="531"/>
      <c r="AZ34" s="531"/>
      <c r="BA34" s="531"/>
      <c r="BB34" s="531"/>
      <c r="BC34" s="531"/>
      <c r="BD34" s="531"/>
      <c r="BE34" s="531"/>
      <c r="BF34" s="531"/>
      <c r="BG34" s="531"/>
      <c r="BH34" s="531"/>
      <c r="BI34" s="531"/>
      <c r="BJ34" s="531"/>
      <c r="BK34" s="531"/>
      <c r="BL34" s="531"/>
      <c r="BM34" s="531"/>
      <c r="BN34" s="531"/>
      <c r="BO34" s="528">
        <f t="shared" si="36"/>
        <v>15179.625569235959</v>
      </c>
      <c r="BP34" s="517">
        <f t="shared" si="0"/>
        <v>0</v>
      </c>
      <c r="BQ34" s="532">
        <f t="shared" si="37"/>
        <v>0</v>
      </c>
      <c r="BR34" s="532">
        <f t="shared" si="38"/>
        <v>15179.625569235959</v>
      </c>
      <c r="BS34" s="532">
        <f t="shared" si="39"/>
        <v>0</v>
      </c>
      <c r="BT34" s="532">
        <f t="shared" si="40"/>
        <v>0</v>
      </c>
      <c r="BU34" s="532">
        <f t="shared" si="41"/>
        <v>0</v>
      </c>
      <c r="BV34" s="532">
        <f t="shared" si="42"/>
        <v>15179.625569235959</v>
      </c>
      <c r="BW34" s="518">
        <f t="shared" si="11"/>
        <v>0</v>
      </c>
      <c r="BX34" s="533"/>
      <c r="BY34" s="534"/>
      <c r="BZ34" s="535"/>
      <c r="CA34" s="535"/>
      <c r="CB34" s="533"/>
      <c r="CC34" s="534"/>
      <c r="CD34" s="535"/>
      <c r="CE34" s="535"/>
      <c r="CF34" s="533"/>
      <c r="CG34" s="534"/>
      <c r="CH34" s="535"/>
      <c r="CI34" s="535"/>
      <c r="CJ34" s="535"/>
      <c r="CK34" s="536"/>
      <c r="CL34" s="536"/>
    </row>
    <row r="35" spans="1:90" s="537" customFormat="1" ht="13.25" customHeight="1" outlineLevel="1" x14ac:dyDescent="0.3">
      <c r="A35" s="523"/>
      <c r="B35" s="524" t="s">
        <v>91</v>
      </c>
      <c r="C35" s="525" t="str">
        <f>'CC detallado'!A32</f>
        <v>1.2.1.5</v>
      </c>
      <c r="D35" s="526" t="str">
        <f>'CC detallado'!F32</f>
        <v>Experto en aplicaciones web</v>
      </c>
      <c r="E35" s="527">
        <f>'CC detallado'!N32</f>
        <v>18215.550683083151</v>
      </c>
      <c r="F35" s="515"/>
      <c r="G35" s="528"/>
      <c r="H35" s="528"/>
      <c r="I35" s="528"/>
      <c r="J35" s="528"/>
      <c r="K35" s="531"/>
      <c r="L35" s="531"/>
      <c r="M35" s="531"/>
      <c r="N35" s="529"/>
      <c r="O35" s="529"/>
      <c r="P35" s="530">
        <f>E35/12</f>
        <v>1517.9625569235959</v>
      </c>
      <c r="Q35" s="530">
        <f t="shared" ref="Q35:AA35" si="45">P35</f>
        <v>1517.9625569235959</v>
      </c>
      <c r="R35" s="530">
        <f t="shared" si="45"/>
        <v>1517.9625569235959</v>
      </c>
      <c r="S35" s="530">
        <f t="shared" si="45"/>
        <v>1517.9625569235959</v>
      </c>
      <c r="T35" s="530">
        <f t="shared" si="45"/>
        <v>1517.9625569235959</v>
      </c>
      <c r="U35" s="530">
        <f t="shared" si="45"/>
        <v>1517.9625569235959</v>
      </c>
      <c r="V35" s="530">
        <f t="shared" si="45"/>
        <v>1517.9625569235959</v>
      </c>
      <c r="W35" s="530">
        <f t="shared" si="45"/>
        <v>1517.9625569235959</v>
      </c>
      <c r="X35" s="530">
        <f t="shared" si="45"/>
        <v>1517.9625569235959</v>
      </c>
      <c r="Y35" s="530">
        <f t="shared" si="45"/>
        <v>1517.9625569235959</v>
      </c>
      <c r="Z35" s="530">
        <f t="shared" si="45"/>
        <v>1517.9625569235959</v>
      </c>
      <c r="AA35" s="530">
        <f t="shared" si="45"/>
        <v>1517.9625569235959</v>
      </c>
      <c r="AB35" s="551"/>
      <c r="AC35" s="551"/>
      <c r="AD35" s="551"/>
      <c r="AE35" s="551"/>
      <c r="AF35" s="551"/>
      <c r="AG35" s="551"/>
      <c r="AH35" s="531"/>
      <c r="AI35" s="531"/>
      <c r="AJ35" s="531"/>
      <c r="AK35" s="531"/>
      <c r="AL35" s="531"/>
      <c r="AM35" s="531"/>
      <c r="AN35" s="531"/>
      <c r="AO35" s="531"/>
      <c r="AP35" s="531"/>
      <c r="AQ35" s="531"/>
      <c r="AR35" s="531"/>
      <c r="AS35" s="531"/>
      <c r="AT35" s="531"/>
      <c r="AU35" s="531"/>
      <c r="AV35" s="531"/>
      <c r="AW35" s="531"/>
      <c r="AX35" s="531"/>
      <c r="AY35" s="531"/>
      <c r="AZ35" s="531"/>
      <c r="BA35" s="531"/>
      <c r="BB35" s="531"/>
      <c r="BC35" s="531"/>
      <c r="BD35" s="531"/>
      <c r="BE35" s="531"/>
      <c r="BF35" s="531"/>
      <c r="BG35" s="531"/>
      <c r="BH35" s="531"/>
      <c r="BI35" s="531"/>
      <c r="BJ35" s="531"/>
      <c r="BK35" s="531"/>
      <c r="BL35" s="531"/>
      <c r="BM35" s="531"/>
      <c r="BN35" s="531"/>
      <c r="BO35" s="528">
        <f t="shared" si="36"/>
        <v>18215.550683083151</v>
      </c>
      <c r="BP35" s="517">
        <f t="shared" si="0"/>
        <v>0</v>
      </c>
      <c r="BQ35" s="532">
        <f t="shared" si="37"/>
        <v>0</v>
      </c>
      <c r="BR35" s="532">
        <f t="shared" si="38"/>
        <v>18215.550683083151</v>
      </c>
      <c r="BS35" s="532">
        <f t="shared" si="39"/>
        <v>0</v>
      </c>
      <c r="BT35" s="532">
        <f t="shared" si="40"/>
        <v>0</v>
      </c>
      <c r="BU35" s="532">
        <f t="shared" si="41"/>
        <v>0</v>
      </c>
      <c r="BV35" s="532">
        <f t="shared" si="42"/>
        <v>18215.550683083151</v>
      </c>
      <c r="BW35" s="518">
        <f t="shared" si="11"/>
        <v>0</v>
      </c>
      <c r="BX35" s="534"/>
      <c r="BY35" s="534"/>
      <c r="BZ35" s="535"/>
      <c r="CA35" s="535"/>
      <c r="CB35" s="538"/>
      <c r="CC35" s="534"/>
      <c r="CD35" s="535"/>
      <c r="CE35" s="535"/>
      <c r="CF35" s="538"/>
      <c r="CG35" s="534"/>
      <c r="CH35" s="535"/>
      <c r="CI35" s="535"/>
      <c r="CJ35" s="535"/>
      <c r="CK35" s="536"/>
      <c r="CL35" s="536"/>
    </row>
    <row r="36" spans="1:90" s="537" customFormat="1" ht="13.25" customHeight="1" outlineLevel="1" x14ac:dyDescent="0.35">
      <c r="A36" s="544"/>
      <c r="B36" s="545"/>
      <c r="C36" s="546" t="str">
        <f>'CC detallado'!A33</f>
        <v>1.2.2</v>
      </c>
      <c r="D36" s="547" t="str">
        <f>'CC detallado'!F33</f>
        <v>Pre Censo</v>
      </c>
      <c r="E36" s="548">
        <f>SUM(E37:E42)</f>
        <v>897945.69067296328</v>
      </c>
      <c r="F36" s="515"/>
      <c r="G36" s="549">
        <f t="shared" ref="G36:BQ36" si="46">SUM(G37:G42)</f>
        <v>19791.982908866026</v>
      </c>
      <c r="H36" s="549">
        <f t="shared" si="46"/>
        <v>19791.982908866026</v>
      </c>
      <c r="I36" s="549">
        <f t="shared" si="46"/>
        <v>19791.982908866026</v>
      </c>
      <c r="J36" s="549">
        <f t="shared" si="46"/>
        <v>19791.982908866026</v>
      </c>
      <c r="K36" s="549">
        <f t="shared" si="46"/>
        <v>19791.982908866026</v>
      </c>
      <c r="L36" s="549">
        <f t="shared" si="46"/>
        <v>40917.33897834774</v>
      </c>
      <c r="M36" s="549">
        <f t="shared" si="46"/>
        <v>40917.33897834774</v>
      </c>
      <c r="N36" s="549">
        <f t="shared" si="46"/>
        <v>40917.33897834774</v>
      </c>
      <c r="O36" s="549">
        <f t="shared" si="46"/>
        <v>40917.33897834774</v>
      </c>
      <c r="P36" s="549">
        <f t="shared" si="46"/>
        <v>40917.33897834774</v>
      </c>
      <c r="Q36" s="549">
        <f t="shared" si="46"/>
        <v>40917.33897834774</v>
      </c>
      <c r="R36" s="549">
        <f t="shared" si="46"/>
        <v>40917.33897834774</v>
      </c>
      <c r="S36" s="549">
        <f t="shared" si="46"/>
        <v>40917.33897834774</v>
      </c>
      <c r="T36" s="549">
        <f t="shared" si="46"/>
        <v>40917.33897834774</v>
      </c>
      <c r="U36" s="549">
        <f t="shared" si="46"/>
        <v>40917.33897834774</v>
      </c>
      <c r="V36" s="549">
        <f t="shared" si="46"/>
        <v>40917.33897834774</v>
      </c>
      <c r="W36" s="549">
        <f t="shared" si="46"/>
        <v>40917.33897834774</v>
      </c>
      <c r="X36" s="549">
        <f t="shared" si="46"/>
        <v>40917.33897834774</v>
      </c>
      <c r="Y36" s="549">
        <f t="shared" si="46"/>
        <v>20262.668973028383</v>
      </c>
      <c r="Z36" s="549">
        <f t="shared" si="46"/>
        <v>20262.668973028383</v>
      </c>
      <c r="AA36" s="549">
        <f t="shared" si="46"/>
        <v>20262.668973028383</v>
      </c>
      <c r="AB36" s="549">
        <f t="shared" si="46"/>
        <v>20262.668973028383</v>
      </c>
      <c r="AC36" s="549">
        <f t="shared" si="46"/>
        <v>20262.668973028383</v>
      </c>
      <c r="AD36" s="549">
        <f t="shared" si="46"/>
        <v>20262.668973028383</v>
      </c>
      <c r="AE36" s="549">
        <f t="shared" si="46"/>
        <v>4198.1274539414071</v>
      </c>
      <c r="AF36" s="549">
        <f t="shared" si="46"/>
        <v>4198.1274539414071</v>
      </c>
      <c r="AG36" s="549">
        <f t="shared" si="46"/>
        <v>4198.1274539414071</v>
      </c>
      <c r="AH36" s="549">
        <f t="shared" si="46"/>
        <v>4198.1274539414071</v>
      </c>
      <c r="AI36" s="549">
        <f t="shared" si="46"/>
        <v>4198.1274539414071</v>
      </c>
      <c r="AJ36" s="549">
        <f t="shared" si="46"/>
        <v>4198.1274539414071</v>
      </c>
      <c r="AK36" s="549">
        <f t="shared" si="46"/>
        <v>4198.1274539414071</v>
      </c>
      <c r="AL36" s="549">
        <f t="shared" si="46"/>
        <v>4198.1274539414071</v>
      </c>
      <c r="AM36" s="549">
        <f t="shared" si="46"/>
        <v>4198.1274539414071</v>
      </c>
      <c r="AN36" s="549">
        <f t="shared" si="46"/>
        <v>4198.1274539414071</v>
      </c>
      <c r="AO36" s="549">
        <f t="shared" si="46"/>
        <v>4198.1274539414071</v>
      </c>
      <c r="AP36" s="549">
        <f t="shared" si="46"/>
        <v>4198.1274539414071</v>
      </c>
      <c r="AQ36" s="549">
        <f t="shared" si="46"/>
        <v>4198.1274539414071</v>
      </c>
      <c r="AR36" s="549">
        <f t="shared" si="46"/>
        <v>4198.1274539414071</v>
      </c>
      <c r="AS36" s="549">
        <f t="shared" si="46"/>
        <v>4198.1274539414071</v>
      </c>
      <c r="AT36" s="549">
        <f t="shared" si="46"/>
        <v>4198.1274539414071</v>
      </c>
      <c r="AU36" s="549">
        <f t="shared" si="46"/>
        <v>4198.1274539414071</v>
      </c>
      <c r="AV36" s="549">
        <f t="shared" si="46"/>
        <v>4198.1274539414071</v>
      </c>
      <c r="AW36" s="549">
        <f t="shared" si="46"/>
        <v>4198.1274539414071</v>
      </c>
      <c r="AX36" s="549">
        <f t="shared" si="46"/>
        <v>4198.1274539414071</v>
      </c>
      <c r="AY36" s="549">
        <f t="shared" si="46"/>
        <v>4198.1274539414071</v>
      </c>
      <c r="AZ36" s="549">
        <f t="shared" si="46"/>
        <v>4198.1274539414071</v>
      </c>
      <c r="BA36" s="549">
        <f t="shared" si="46"/>
        <v>4198.1274539414071</v>
      </c>
      <c r="BB36" s="549">
        <f t="shared" si="46"/>
        <v>4198.1274539414071</v>
      </c>
      <c r="BC36" s="549">
        <f t="shared" si="46"/>
        <v>3727.4413897790519</v>
      </c>
      <c r="BD36" s="549">
        <f t="shared" si="46"/>
        <v>3727.4413897790519</v>
      </c>
      <c r="BE36" s="549">
        <f t="shared" si="46"/>
        <v>3727.4413897790519</v>
      </c>
      <c r="BF36" s="549">
        <f t="shared" si="46"/>
        <v>3727.4413897790519</v>
      </c>
      <c r="BG36" s="549">
        <f t="shared" si="46"/>
        <v>3727.4413897790519</v>
      </c>
      <c r="BH36" s="549">
        <f t="shared" si="46"/>
        <v>3727.4413897790519</v>
      </c>
      <c r="BI36" s="549">
        <f t="shared" si="46"/>
        <v>3727.4413897790519</v>
      </c>
      <c r="BJ36" s="549">
        <f t="shared" si="46"/>
        <v>3727.4413897790519</v>
      </c>
      <c r="BK36" s="549">
        <f t="shared" si="46"/>
        <v>3727.4413897790519</v>
      </c>
      <c r="BL36" s="549">
        <f t="shared" si="46"/>
        <v>3727.4413897790519</v>
      </c>
      <c r="BM36" s="549">
        <f t="shared" si="46"/>
        <v>3727.4413897790519</v>
      </c>
      <c r="BN36" s="549">
        <f t="shared" si="46"/>
        <v>3727.4413897790519</v>
      </c>
      <c r="BO36" s="549">
        <f t="shared" si="46"/>
        <v>897945.69067296339</v>
      </c>
      <c r="BP36" s="517">
        <f t="shared" si="0"/>
        <v>0</v>
      </c>
      <c r="BQ36" s="548">
        <f t="shared" si="46"/>
        <v>385381.28739276429</v>
      </c>
      <c r="BR36" s="548">
        <f t="shared" ref="BR36:BV36" si="47">SUM(BR37:BR42)</f>
        <v>367080.04770825675</v>
      </c>
      <c r="BS36" s="548">
        <f t="shared" si="47"/>
        <v>50377.529447296896</v>
      </c>
      <c r="BT36" s="548">
        <f t="shared" si="47"/>
        <v>50377.529447296896</v>
      </c>
      <c r="BU36" s="548">
        <f t="shared" si="47"/>
        <v>44729.296677348633</v>
      </c>
      <c r="BV36" s="548">
        <f t="shared" si="47"/>
        <v>897945.69067296362</v>
      </c>
      <c r="BW36" s="518">
        <f t="shared" si="11"/>
        <v>0</v>
      </c>
      <c r="BX36" s="533"/>
      <c r="BY36" s="534"/>
      <c r="BZ36" s="535"/>
      <c r="CA36" s="535"/>
      <c r="CB36" s="533"/>
      <c r="CC36" s="534"/>
      <c r="CD36" s="535"/>
      <c r="CE36" s="535"/>
      <c r="CF36" s="533"/>
      <c r="CG36" s="534"/>
      <c r="CH36" s="535"/>
      <c r="CI36" s="535"/>
      <c r="CJ36" s="535"/>
      <c r="CK36" s="536"/>
      <c r="CL36" s="536"/>
    </row>
    <row r="37" spans="1:90" s="537" customFormat="1" ht="13.25" customHeight="1" outlineLevel="1" x14ac:dyDescent="0.3">
      <c r="A37" s="523"/>
      <c r="B37" s="524" t="s">
        <v>92</v>
      </c>
      <c r="C37" s="525" t="str">
        <f>'CC detallado'!A34</f>
        <v>1.2.2.1</v>
      </c>
      <c r="D37" s="526" t="str">
        <f>'CC detallado'!F34</f>
        <v xml:space="preserve">Provisión de Viatico </v>
      </c>
      <c r="E37" s="527">
        <f>'CC detallado'!N34</f>
        <v>160566.70602125148</v>
      </c>
      <c r="F37" s="515"/>
      <c r="G37" s="550"/>
      <c r="H37" s="550"/>
      <c r="I37" s="550"/>
      <c r="J37" s="528"/>
      <c r="K37" s="528"/>
      <c r="L37" s="530">
        <f>E37/13</f>
        <v>12351.285078557807</v>
      </c>
      <c r="M37" s="530">
        <f>L37</f>
        <v>12351.285078557807</v>
      </c>
      <c r="N37" s="530">
        <f t="shared" ref="N37:X40" si="48">M37</f>
        <v>12351.285078557807</v>
      </c>
      <c r="O37" s="530">
        <f t="shared" si="48"/>
        <v>12351.285078557807</v>
      </c>
      <c r="P37" s="530">
        <f t="shared" si="48"/>
        <v>12351.285078557807</v>
      </c>
      <c r="Q37" s="530">
        <f t="shared" si="48"/>
        <v>12351.285078557807</v>
      </c>
      <c r="R37" s="530">
        <f t="shared" si="48"/>
        <v>12351.285078557807</v>
      </c>
      <c r="S37" s="530">
        <f t="shared" si="48"/>
        <v>12351.285078557807</v>
      </c>
      <c r="T37" s="530">
        <f t="shared" si="48"/>
        <v>12351.285078557807</v>
      </c>
      <c r="U37" s="530">
        <f t="shared" si="48"/>
        <v>12351.285078557807</v>
      </c>
      <c r="V37" s="530">
        <f t="shared" si="48"/>
        <v>12351.285078557807</v>
      </c>
      <c r="W37" s="530">
        <f t="shared" si="48"/>
        <v>12351.285078557807</v>
      </c>
      <c r="X37" s="530">
        <f t="shared" si="48"/>
        <v>12351.285078557807</v>
      </c>
      <c r="Y37" s="531"/>
      <c r="Z37" s="531"/>
      <c r="AA37" s="531"/>
      <c r="AB37" s="531"/>
      <c r="AC37" s="531"/>
      <c r="AD37" s="531"/>
      <c r="AE37" s="531"/>
      <c r="AF37" s="531"/>
      <c r="AG37" s="531"/>
      <c r="AH37" s="531"/>
      <c r="AI37" s="531"/>
      <c r="AJ37" s="531"/>
      <c r="AK37" s="531"/>
      <c r="AL37" s="531"/>
      <c r="AM37" s="531"/>
      <c r="AN37" s="531"/>
      <c r="AO37" s="531"/>
      <c r="AP37" s="531"/>
      <c r="AQ37" s="531"/>
      <c r="AR37" s="531"/>
      <c r="AS37" s="531"/>
      <c r="AT37" s="531"/>
      <c r="AU37" s="531"/>
      <c r="AV37" s="531"/>
      <c r="AW37" s="531"/>
      <c r="AX37" s="531"/>
      <c r="AY37" s="531"/>
      <c r="AZ37" s="531"/>
      <c r="BA37" s="531"/>
      <c r="BB37" s="531"/>
      <c r="BC37" s="531"/>
      <c r="BD37" s="531"/>
      <c r="BE37" s="531"/>
      <c r="BF37" s="531"/>
      <c r="BG37" s="531"/>
      <c r="BH37" s="531"/>
      <c r="BI37" s="531"/>
      <c r="BJ37" s="531"/>
      <c r="BK37" s="531"/>
      <c r="BL37" s="531"/>
      <c r="BM37" s="531"/>
      <c r="BN37" s="531"/>
      <c r="BO37" s="528">
        <f t="shared" ref="BO37:BO42" si="49">SUM(G37:BN37)</f>
        <v>160566.70602125151</v>
      </c>
      <c r="BP37" s="517">
        <f t="shared" si="0"/>
        <v>0</v>
      </c>
      <c r="BQ37" s="532">
        <f>SUM(G37:R37)</f>
        <v>86458.995549904648</v>
      </c>
      <c r="BR37" s="532">
        <f>SUM(S37:AD37)</f>
        <v>74107.710471346843</v>
      </c>
      <c r="BS37" s="532">
        <f>SUM(AE37:AP37)</f>
        <v>0</v>
      </c>
      <c r="BT37" s="532">
        <f>SUM(AQ37:BB37)</f>
        <v>0</v>
      </c>
      <c r="BU37" s="532">
        <f>SUM(BC37:BN37)</f>
        <v>0</v>
      </c>
      <c r="BV37" s="532">
        <f>SUM(BQ37:BU37)</f>
        <v>160566.70602125151</v>
      </c>
      <c r="BW37" s="518">
        <f t="shared" si="11"/>
        <v>0</v>
      </c>
      <c r="BX37" s="535"/>
      <c r="BY37" s="534"/>
      <c r="BZ37" s="535"/>
      <c r="CA37" s="535"/>
      <c r="CB37" s="535"/>
      <c r="CC37" s="534"/>
      <c r="CD37" s="535"/>
      <c r="CE37" s="535"/>
      <c r="CF37" s="535"/>
      <c r="CG37" s="534"/>
      <c r="CH37" s="535"/>
      <c r="CI37" s="535"/>
      <c r="CJ37" s="535"/>
      <c r="CK37" s="536"/>
      <c r="CL37" s="536"/>
    </row>
    <row r="38" spans="1:90" s="537" customFormat="1" ht="13.25" customHeight="1" outlineLevel="1" x14ac:dyDescent="0.3">
      <c r="A38" s="523"/>
      <c r="B38" s="524" t="s">
        <v>92</v>
      </c>
      <c r="C38" s="525" t="str">
        <f>'CC detallado'!A35</f>
        <v>1.2.2.2</v>
      </c>
      <c r="D38" s="526" t="str">
        <f>'CC detallado'!F35</f>
        <v>Combustible (450.000 km a recorrer)</v>
      </c>
      <c r="E38" s="527">
        <f>'CC detallado'!N35</f>
        <v>107944.00404790015</v>
      </c>
      <c r="F38" s="515"/>
      <c r="G38" s="550"/>
      <c r="H38" s="550"/>
      <c r="I38" s="550"/>
      <c r="J38" s="529"/>
      <c r="K38" s="529"/>
      <c r="L38" s="530">
        <f>E38/13</f>
        <v>8303.3849267615497</v>
      </c>
      <c r="M38" s="530">
        <f>L38</f>
        <v>8303.3849267615497</v>
      </c>
      <c r="N38" s="530">
        <f t="shared" si="48"/>
        <v>8303.3849267615497</v>
      </c>
      <c r="O38" s="530">
        <f t="shared" si="48"/>
        <v>8303.3849267615497</v>
      </c>
      <c r="P38" s="530">
        <f t="shared" si="48"/>
        <v>8303.3849267615497</v>
      </c>
      <c r="Q38" s="530">
        <f t="shared" si="48"/>
        <v>8303.3849267615497</v>
      </c>
      <c r="R38" s="530">
        <f t="shared" si="48"/>
        <v>8303.3849267615497</v>
      </c>
      <c r="S38" s="530">
        <f t="shared" si="48"/>
        <v>8303.3849267615497</v>
      </c>
      <c r="T38" s="530">
        <f t="shared" si="48"/>
        <v>8303.3849267615497</v>
      </c>
      <c r="U38" s="530">
        <f t="shared" si="48"/>
        <v>8303.3849267615497</v>
      </c>
      <c r="V38" s="530">
        <f t="shared" si="48"/>
        <v>8303.3849267615497</v>
      </c>
      <c r="W38" s="530">
        <f t="shared" si="48"/>
        <v>8303.3849267615497</v>
      </c>
      <c r="X38" s="530">
        <f t="shared" si="48"/>
        <v>8303.3849267615497</v>
      </c>
      <c r="Y38" s="531"/>
      <c r="Z38" s="531"/>
      <c r="AA38" s="531"/>
      <c r="AB38" s="531"/>
      <c r="AC38" s="531"/>
      <c r="AD38" s="531"/>
      <c r="AE38" s="531"/>
      <c r="AF38" s="531"/>
      <c r="AG38" s="531"/>
      <c r="AH38" s="531"/>
      <c r="AI38" s="531"/>
      <c r="AJ38" s="531"/>
      <c r="AK38" s="531"/>
      <c r="AL38" s="531"/>
      <c r="AM38" s="531"/>
      <c r="AN38" s="531"/>
      <c r="AO38" s="531"/>
      <c r="AP38" s="531"/>
      <c r="AQ38" s="531"/>
      <c r="AR38" s="531"/>
      <c r="AS38" s="531"/>
      <c r="AT38" s="531"/>
      <c r="AU38" s="531"/>
      <c r="AV38" s="531"/>
      <c r="AW38" s="531"/>
      <c r="AX38" s="531"/>
      <c r="AY38" s="531"/>
      <c r="AZ38" s="531"/>
      <c r="BA38" s="531"/>
      <c r="BB38" s="531"/>
      <c r="BC38" s="531"/>
      <c r="BD38" s="531"/>
      <c r="BE38" s="531"/>
      <c r="BF38" s="531"/>
      <c r="BG38" s="531"/>
      <c r="BH38" s="531"/>
      <c r="BI38" s="531"/>
      <c r="BJ38" s="531"/>
      <c r="BK38" s="531"/>
      <c r="BL38" s="531"/>
      <c r="BM38" s="531"/>
      <c r="BN38" s="531"/>
      <c r="BO38" s="528">
        <f t="shared" si="49"/>
        <v>107944.00404790012</v>
      </c>
      <c r="BP38" s="517">
        <f t="shared" si="0"/>
        <v>0</v>
      </c>
      <c r="BQ38" s="532">
        <f t="shared" ref="BQ38:BQ41" si="50">SUM(G38:R38)</f>
        <v>58123.694487330853</v>
      </c>
      <c r="BR38" s="532">
        <f t="shared" ref="BR38:BR41" si="51">SUM(S38:AD38)</f>
        <v>49820.309560569302</v>
      </c>
      <c r="BS38" s="532">
        <f t="shared" ref="BS38:BS41" si="52">SUM(AE38:AP38)</f>
        <v>0</v>
      </c>
      <c r="BT38" s="532">
        <f t="shared" ref="BT38:BT41" si="53">SUM(AQ38:BB38)</f>
        <v>0</v>
      </c>
      <c r="BU38" s="532">
        <f t="shared" ref="BU38:BU41" si="54">SUM(BC38:BN38)</f>
        <v>0</v>
      </c>
      <c r="BV38" s="532">
        <f t="shared" ref="BV38:BV41" si="55">SUM(BQ38:BU38)</f>
        <v>107944.00404790015</v>
      </c>
      <c r="BW38" s="518">
        <f t="shared" si="11"/>
        <v>0</v>
      </c>
      <c r="BX38" s="538"/>
      <c r="BY38" s="534"/>
      <c r="BZ38" s="535"/>
      <c r="CA38" s="535"/>
      <c r="CB38" s="538"/>
      <c r="CC38" s="534"/>
      <c r="CD38" s="535"/>
      <c r="CE38" s="535"/>
      <c r="CF38" s="538"/>
      <c r="CG38" s="534"/>
      <c r="CH38" s="535"/>
      <c r="CI38" s="535"/>
      <c r="CJ38" s="535"/>
      <c r="CK38" s="536"/>
      <c r="CL38" s="536"/>
    </row>
    <row r="39" spans="1:90" s="537" customFormat="1" ht="13.25" customHeight="1" outlineLevel="1" x14ac:dyDescent="0.3">
      <c r="A39" s="523"/>
      <c r="B39" s="524"/>
      <c r="C39" s="539" t="str">
        <f>'CC detallado'!A36</f>
        <v>1.2.2.3</v>
      </c>
      <c r="D39" s="540" t="str">
        <f>'CC detallado'!F36</f>
        <v>Mantenimiento de vehículos</v>
      </c>
      <c r="E39" s="527">
        <f>'CC detallado'!N36</f>
        <v>20239.500758981278</v>
      </c>
      <c r="F39" s="515"/>
      <c r="G39" s="528"/>
      <c r="H39" s="528"/>
      <c r="I39" s="528"/>
      <c r="J39" s="529"/>
      <c r="K39" s="529"/>
      <c r="L39" s="530">
        <f>E39/43</f>
        <v>470.68606416235531</v>
      </c>
      <c r="M39" s="530">
        <f>L39</f>
        <v>470.68606416235531</v>
      </c>
      <c r="N39" s="530">
        <f t="shared" si="48"/>
        <v>470.68606416235531</v>
      </c>
      <c r="O39" s="530">
        <f t="shared" si="48"/>
        <v>470.68606416235531</v>
      </c>
      <c r="P39" s="530">
        <f t="shared" si="48"/>
        <v>470.68606416235531</v>
      </c>
      <c r="Q39" s="530">
        <f t="shared" si="48"/>
        <v>470.68606416235531</v>
      </c>
      <c r="R39" s="530">
        <f t="shared" si="48"/>
        <v>470.68606416235531</v>
      </c>
      <c r="S39" s="530">
        <f t="shared" si="48"/>
        <v>470.68606416235531</v>
      </c>
      <c r="T39" s="530">
        <f t="shared" si="48"/>
        <v>470.68606416235531</v>
      </c>
      <c r="U39" s="530">
        <f t="shared" si="48"/>
        <v>470.68606416235531</v>
      </c>
      <c r="V39" s="530">
        <f t="shared" si="48"/>
        <v>470.68606416235531</v>
      </c>
      <c r="W39" s="530">
        <f t="shared" si="48"/>
        <v>470.68606416235531</v>
      </c>
      <c r="X39" s="530">
        <f t="shared" si="48"/>
        <v>470.68606416235531</v>
      </c>
      <c r="Y39" s="530">
        <f t="shared" ref="Y39:Y40" si="56">X39</f>
        <v>470.68606416235531</v>
      </c>
      <c r="Z39" s="530">
        <f t="shared" ref="Z39:Z40" si="57">Y39</f>
        <v>470.68606416235531</v>
      </c>
      <c r="AA39" s="530">
        <f t="shared" ref="AA39:AA40" si="58">Z39</f>
        <v>470.68606416235531</v>
      </c>
      <c r="AB39" s="530">
        <f t="shared" ref="AB39:AB40" si="59">AA39</f>
        <v>470.68606416235531</v>
      </c>
      <c r="AC39" s="530">
        <f t="shared" ref="AC39:AC40" si="60">AB39</f>
        <v>470.68606416235531</v>
      </c>
      <c r="AD39" s="530">
        <f t="shared" ref="AD39:AD40" si="61">AC39</f>
        <v>470.68606416235531</v>
      </c>
      <c r="AE39" s="530">
        <f t="shared" ref="AE39" si="62">AD39</f>
        <v>470.68606416235531</v>
      </c>
      <c r="AF39" s="530">
        <f t="shared" ref="AF39:AF40" si="63">AE39</f>
        <v>470.68606416235531</v>
      </c>
      <c r="AG39" s="530">
        <f t="shared" ref="AG39:AG40" si="64">AF39</f>
        <v>470.68606416235531</v>
      </c>
      <c r="AH39" s="530">
        <f t="shared" ref="AH39:AH40" si="65">AG39</f>
        <v>470.68606416235531</v>
      </c>
      <c r="AI39" s="530">
        <f t="shared" ref="AI39:AI40" si="66">AH39</f>
        <v>470.68606416235531</v>
      </c>
      <c r="AJ39" s="530">
        <f t="shared" ref="AJ39:AJ40" si="67">AI39</f>
        <v>470.68606416235531</v>
      </c>
      <c r="AK39" s="530">
        <f t="shared" ref="AK39:AK40" si="68">AJ39</f>
        <v>470.68606416235531</v>
      </c>
      <c r="AL39" s="530">
        <f t="shared" ref="AL39:AL40" si="69">AK39</f>
        <v>470.68606416235531</v>
      </c>
      <c r="AM39" s="530">
        <f t="shared" ref="AM39:AM40" si="70">AL39</f>
        <v>470.68606416235531</v>
      </c>
      <c r="AN39" s="530">
        <f t="shared" ref="AN39:AN40" si="71">AM39</f>
        <v>470.68606416235531</v>
      </c>
      <c r="AO39" s="530">
        <f t="shared" ref="AO39:AO40" si="72">AN39</f>
        <v>470.68606416235531</v>
      </c>
      <c r="AP39" s="530">
        <f t="shared" ref="AP39:AP40" si="73">AO39</f>
        <v>470.68606416235531</v>
      </c>
      <c r="AQ39" s="530">
        <f t="shared" ref="AQ39:AQ40" si="74">AP39</f>
        <v>470.68606416235531</v>
      </c>
      <c r="AR39" s="530">
        <f t="shared" ref="AR39:AR40" si="75">AQ39</f>
        <v>470.68606416235531</v>
      </c>
      <c r="AS39" s="530">
        <f t="shared" ref="AS39:AS40" si="76">AR39</f>
        <v>470.68606416235531</v>
      </c>
      <c r="AT39" s="530">
        <f t="shared" ref="AT39:AT40" si="77">AS39</f>
        <v>470.68606416235531</v>
      </c>
      <c r="AU39" s="530">
        <f t="shared" ref="AU39:AU40" si="78">AT39</f>
        <v>470.68606416235531</v>
      </c>
      <c r="AV39" s="530">
        <f t="shared" ref="AV39:AV40" si="79">AU39</f>
        <v>470.68606416235531</v>
      </c>
      <c r="AW39" s="530">
        <f t="shared" ref="AW39:AW40" si="80">AV39</f>
        <v>470.68606416235531</v>
      </c>
      <c r="AX39" s="530">
        <f t="shared" ref="AX39:AX40" si="81">AW39</f>
        <v>470.68606416235531</v>
      </c>
      <c r="AY39" s="530">
        <f t="shared" ref="AY39:AY40" si="82">AX39</f>
        <v>470.68606416235531</v>
      </c>
      <c r="AZ39" s="530">
        <f t="shared" ref="AZ39:AZ40" si="83">AY39</f>
        <v>470.68606416235531</v>
      </c>
      <c r="BA39" s="530">
        <f t="shared" ref="BA39:BA40" si="84">AZ39</f>
        <v>470.68606416235531</v>
      </c>
      <c r="BB39" s="530">
        <f t="shared" ref="BB39:BB40" si="85">BA39</f>
        <v>470.68606416235531</v>
      </c>
      <c r="BC39" s="531"/>
      <c r="BD39" s="531"/>
      <c r="BE39" s="531"/>
      <c r="BF39" s="531"/>
      <c r="BG39" s="531"/>
      <c r="BH39" s="531"/>
      <c r="BI39" s="531"/>
      <c r="BJ39" s="531"/>
      <c r="BK39" s="531"/>
      <c r="BL39" s="531"/>
      <c r="BM39" s="531"/>
      <c r="BN39" s="531"/>
      <c r="BO39" s="528">
        <f t="shared" si="49"/>
        <v>20239.500758981292</v>
      </c>
      <c r="BP39" s="517">
        <f t="shared" si="0"/>
        <v>0</v>
      </c>
      <c r="BQ39" s="532">
        <f t="shared" si="50"/>
        <v>3294.8024491364872</v>
      </c>
      <c r="BR39" s="532">
        <f t="shared" si="51"/>
        <v>5648.2327699482639</v>
      </c>
      <c r="BS39" s="532">
        <f t="shared" si="52"/>
        <v>5648.2327699482639</v>
      </c>
      <c r="BT39" s="532">
        <f t="shared" si="53"/>
        <v>5648.2327699482639</v>
      </c>
      <c r="BU39" s="532">
        <f t="shared" si="54"/>
        <v>0</v>
      </c>
      <c r="BV39" s="532">
        <f t="shared" si="55"/>
        <v>20239.500758981278</v>
      </c>
      <c r="BW39" s="518">
        <f t="shared" si="11"/>
        <v>0</v>
      </c>
      <c r="BX39" s="538"/>
      <c r="BY39" s="534"/>
      <c r="BZ39" s="535"/>
      <c r="CA39" s="535"/>
      <c r="CB39" s="538"/>
      <c r="CC39" s="534"/>
      <c r="CD39" s="535"/>
      <c r="CE39" s="535"/>
      <c r="CF39" s="538"/>
      <c r="CG39" s="534"/>
      <c r="CH39" s="535"/>
      <c r="CI39" s="535"/>
      <c r="CJ39" s="535"/>
      <c r="CK39" s="536"/>
      <c r="CL39" s="536"/>
    </row>
    <row r="40" spans="1:90" s="537" customFormat="1" ht="13.25" customHeight="1" outlineLevel="1" x14ac:dyDescent="0.3">
      <c r="A40" s="523"/>
      <c r="B40" s="524" t="s">
        <v>92</v>
      </c>
      <c r="C40" s="539" t="str">
        <f>'CC detallado'!A37</f>
        <v>1.2.2.4</v>
      </c>
      <c r="D40" s="540" t="str">
        <f>'CC detallado'!F37</f>
        <v>Remuneración Extraordinaria</v>
      </c>
      <c r="E40" s="527">
        <f>'CC detallado'!N37</f>
        <v>161200.87704503289</v>
      </c>
      <c r="F40" s="515"/>
      <c r="G40" s="530">
        <f>'Rem Adic'!B123</f>
        <v>5072.2437735424746</v>
      </c>
      <c r="H40" s="530">
        <f>G40</f>
        <v>5072.2437735424746</v>
      </c>
      <c r="I40" s="530">
        <f t="shared" ref="I40:M40" si="86">H40</f>
        <v>5072.2437735424746</v>
      </c>
      <c r="J40" s="530">
        <f t="shared" si="86"/>
        <v>5072.2437735424746</v>
      </c>
      <c r="K40" s="530">
        <f t="shared" si="86"/>
        <v>5072.2437735424746</v>
      </c>
      <c r="L40" s="530">
        <f t="shared" si="86"/>
        <v>5072.2437735424746</v>
      </c>
      <c r="M40" s="530">
        <f t="shared" si="86"/>
        <v>5072.2437735424746</v>
      </c>
      <c r="N40" s="530">
        <f t="shared" si="48"/>
        <v>5072.2437735424746</v>
      </c>
      <c r="O40" s="530">
        <f t="shared" si="48"/>
        <v>5072.2437735424746</v>
      </c>
      <c r="P40" s="530">
        <f t="shared" si="48"/>
        <v>5072.2437735424746</v>
      </c>
      <c r="Q40" s="530">
        <f t="shared" si="48"/>
        <v>5072.2437735424746</v>
      </c>
      <c r="R40" s="530">
        <f t="shared" si="48"/>
        <v>5072.2437735424746</v>
      </c>
      <c r="S40" s="530">
        <f t="shared" si="48"/>
        <v>5072.2437735424746</v>
      </c>
      <c r="T40" s="530">
        <f t="shared" si="48"/>
        <v>5072.2437735424746</v>
      </c>
      <c r="U40" s="530">
        <f t="shared" si="48"/>
        <v>5072.2437735424746</v>
      </c>
      <c r="V40" s="530">
        <f t="shared" si="48"/>
        <v>5072.2437735424746</v>
      </c>
      <c r="W40" s="530">
        <f t="shared" si="48"/>
        <v>5072.2437735424746</v>
      </c>
      <c r="X40" s="530">
        <f t="shared" si="48"/>
        <v>5072.2437735424746</v>
      </c>
      <c r="Y40" s="530">
        <f t="shared" si="56"/>
        <v>5072.2437735424746</v>
      </c>
      <c r="Z40" s="530">
        <f t="shared" si="57"/>
        <v>5072.2437735424746</v>
      </c>
      <c r="AA40" s="530">
        <f t="shared" si="58"/>
        <v>5072.2437735424746</v>
      </c>
      <c r="AB40" s="530">
        <f t="shared" si="59"/>
        <v>5072.2437735424746</v>
      </c>
      <c r="AC40" s="530">
        <f t="shared" si="60"/>
        <v>5072.2437735424746</v>
      </c>
      <c r="AD40" s="530">
        <f t="shared" si="61"/>
        <v>5072.2437735424746</v>
      </c>
      <c r="AE40" s="530">
        <f>'Rem Adic'!Z123</f>
        <v>1096.3062911114857</v>
      </c>
      <c r="AF40" s="530">
        <f t="shared" si="63"/>
        <v>1096.3062911114857</v>
      </c>
      <c r="AG40" s="530">
        <f t="shared" si="64"/>
        <v>1096.3062911114857</v>
      </c>
      <c r="AH40" s="530">
        <f t="shared" si="65"/>
        <v>1096.3062911114857</v>
      </c>
      <c r="AI40" s="530">
        <f t="shared" si="66"/>
        <v>1096.3062911114857</v>
      </c>
      <c r="AJ40" s="530">
        <f t="shared" si="67"/>
        <v>1096.3062911114857</v>
      </c>
      <c r="AK40" s="530">
        <f t="shared" si="68"/>
        <v>1096.3062911114857</v>
      </c>
      <c r="AL40" s="530">
        <f t="shared" si="69"/>
        <v>1096.3062911114857</v>
      </c>
      <c r="AM40" s="530">
        <f t="shared" si="70"/>
        <v>1096.3062911114857</v>
      </c>
      <c r="AN40" s="530">
        <f t="shared" si="71"/>
        <v>1096.3062911114857</v>
      </c>
      <c r="AO40" s="530">
        <f t="shared" si="72"/>
        <v>1096.3062911114857</v>
      </c>
      <c r="AP40" s="530">
        <f t="shared" si="73"/>
        <v>1096.3062911114857</v>
      </c>
      <c r="AQ40" s="530">
        <f t="shared" si="74"/>
        <v>1096.3062911114857</v>
      </c>
      <c r="AR40" s="530">
        <f t="shared" si="75"/>
        <v>1096.3062911114857</v>
      </c>
      <c r="AS40" s="530">
        <f t="shared" si="76"/>
        <v>1096.3062911114857</v>
      </c>
      <c r="AT40" s="530">
        <f t="shared" si="77"/>
        <v>1096.3062911114857</v>
      </c>
      <c r="AU40" s="530">
        <f t="shared" si="78"/>
        <v>1096.3062911114857</v>
      </c>
      <c r="AV40" s="530">
        <f t="shared" si="79"/>
        <v>1096.3062911114857</v>
      </c>
      <c r="AW40" s="530">
        <f t="shared" si="80"/>
        <v>1096.3062911114857</v>
      </c>
      <c r="AX40" s="530">
        <f t="shared" si="81"/>
        <v>1096.3062911114857</v>
      </c>
      <c r="AY40" s="530">
        <f t="shared" si="82"/>
        <v>1096.3062911114857</v>
      </c>
      <c r="AZ40" s="530">
        <f t="shared" si="83"/>
        <v>1096.3062911114857</v>
      </c>
      <c r="BA40" s="530">
        <f t="shared" si="84"/>
        <v>1096.3062911114857</v>
      </c>
      <c r="BB40" s="530">
        <f t="shared" si="85"/>
        <v>1096.3062911114857</v>
      </c>
      <c r="BC40" s="530">
        <f t="shared" ref="BC40:BN40" si="87">BB40</f>
        <v>1096.3062911114857</v>
      </c>
      <c r="BD40" s="530">
        <f t="shared" si="87"/>
        <v>1096.3062911114857</v>
      </c>
      <c r="BE40" s="530">
        <f t="shared" si="87"/>
        <v>1096.3062911114857</v>
      </c>
      <c r="BF40" s="530">
        <f t="shared" si="87"/>
        <v>1096.3062911114857</v>
      </c>
      <c r="BG40" s="530">
        <f t="shared" si="87"/>
        <v>1096.3062911114857</v>
      </c>
      <c r="BH40" s="530">
        <f t="shared" si="87"/>
        <v>1096.3062911114857</v>
      </c>
      <c r="BI40" s="530">
        <f t="shared" si="87"/>
        <v>1096.3062911114857</v>
      </c>
      <c r="BJ40" s="530">
        <f t="shared" si="87"/>
        <v>1096.3062911114857</v>
      </c>
      <c r="BK40" s="530">
        <f t="shared" si="87"/>
        <v>1096.3062911114857</v>
      </c>
      <c r="BL40" s="530">
        <f t="shared" si="87"/>
        <v>1096.3062911114857</v>
      </c>
      <c r="BM40" s="530">
        <f t="shared" si="87"/>
        <v>1096.3062911114857</v>
      </c>
      <c r="BN40" s="530">
        <f t="shared" si="87"/>
        <v>1096.3062911114857</v>
      </c>
      <c r="BO40" s="528">
        <f t="shared" si="49"/>
        <v>161200.8770450328</v>
      </c>
      <c r="BP40" s="517">
        <f t="shared" ref="BP40:BP71" si="88">E40-BO40</f>
        <v>0</v>
      </c>
      <c r="BQ40" s="532">
        <f t="shared" si="50"/>
        <v>60866.925282509699</v>
      </c>
      <c r="BR40" s="532">
        <f t="shared" si="51"/>
        <v>60866.925282509699</v>
      </c>
      <c r="BS40" s="532">
        <f t="shared" si="52"/>
        <v>13155.675493337832</v>
      </c>
      <c r="BT40" s="532">
        <f t="shared" si="53"/>
        <v>13155.675493337832</v>
      </c>
      <c r="BU40" s="532">
        <f t="shared" si="54"/>
        <v>13155.675493337832</v>
      </c>
      <c r="BV40" s="532">
        <f t="shared" si="55"/>
        <v>161200.87704503289</v>
      </c>
      <c r="BW40" s="518">
        <f t="shared" si="11"/>
        <v>0</v>
      </c>
      <c r="BX40" s="535"/>
      <c r="BY40" s="534"/>
      <c r="BZ40" s="535"/>
      <c r="CA40" s="535"/>
      <c r="CB40" s="535"/>
      <c r="CC40" s="534"/>
      <c r="CD40" s="535"/>
      <c r="CE40" s="535"/>
      <c r="CF40" s="535"/>
      <c r="CG40" s="534"/>
      <c r="CH40" s="535"/>
      <c r="CI40" s="535"/>
      <c r="CJ40" s="535"/>
      <c r="CK40" s="536"/>
      <c r="CL40" s="536"/>
    </row>
    <row r="41" spans="1:90" s="537" customFormat="1" ht="13.25" customHeight="1" outlineLevel="1" x14ac:dyDescent="0.3">
      <c r="A41" s="523"/>
      <c r="B41" s="524" t="s">
        <v>92</v>
      </c>
      <c r="C41" s="525" t="str">
        <f>'CC detallado'!A38</f>
        <v>1.2.2.5</v>
      </c>
      <c r="D41" s="526" t="str">
        <f>'CC detallado'!F38</f>
        <v>Remuneración Adicional</v>
      </c>
      <c r="E41" s="527">
        <f>'CC detallado'!N38</f>
        <v>121733.85056501941</v>
      </c>
      <c r="F41" s="515"/>
      <c r="G41" s="530">
        <f>'Rem Adic'!B124</f>
        <v>5072.2437735424746</v>
      </c>
      <c r="H41" s="530">
        <f t="shared" ref="H41:H42" si="89">G41</f>
        <v>5072.2437735424746</v>
      </c>
      <c r="I41" s="530">
        <f t="shared" ref="I41:BN41" si="90">H41</f>
        <v>5072.2437735424746</v>
      </c>
      <c r="J41" s="530">
        <f t="shared" si="90"/>
        <v>5072.2437735424746</v>
      </c>
      <c r="K41" s="530">
        <f t="shared" si="90"/>
        <v>5072.2437735424746</v>
      </c>
      <c r="L41" s="530">
        <f t="shared" si="90"/>
        <v>5072.2437735424746</v>
      </c>
      <c r="M41" s="530">
        <f t="shared" si="90"/>
        <v>5072.2437735424746</v>
      </c>
      <c r="N41" s="530">
        <f t="shared" si="90"/>
        <v>5072.2437735424746</v>
      </c>
      <c r="O41" s="530">
        <f t="shared" si="90"/>
        <v>5072.2437735424746</v>
      </c>
      <c r="P41" s="530">
        <f t="shared" si="90"/>
        <v>5072.2437735424746</v>
      </c>
      <c r="Q41" s="530">
        <f t="shared" si="90"/>
        <v>5072.2437735424746</v>
      </c>
      <c r="R41" s="530">
        <f t="shared" si="90"/>
        <v>5072.2437735424746</v>
      </c>
      <c r="S41" s="530">
        <f t="shared" si="90"/>
        <v>5072.2437735424746</v>
      </c>
      <c r="T41" s="530">
        <f t="shared" si="90"/>
        <v>5072.2437735424746</v>
      </c>
      <c r="U41" s="530">
        <f t="shared" si="90"/>
        <v>5072.2437735424746</v>
      </c>
      <c r="V41" s="530">
        <f t="shared" si="90"/>
        <v>5072.2437735424746</v>
      </c>
      <c r="W41" s="530">
        <f t="shared" si="90"/>
        <v>5072.2437735424746</v>
      </c>
      <c r="X41" s="530">
        <f t="shared" si="90"/>
        <v>5072.2437735424746</v>
      </c>
      <c r="Y41" s="530">
        <f t="shared" si="90"/>
        <v>5072.2437735424746</v>
      </c>
      <c r="Z41" s="530">
        <f t="shared" si="90"/>
        <v>5072.2437735424746</v>
      </c>
      <c r="AA41" s="530">
        <f t="shared" si="90"/>
        <v>5072.2437735424746</v>
      </c>
      <c r="AB41" s="530">
        <f t="shared" si="90"/>
        <v>5072.2437735424746</v>
      </c>
      <c r="AC41" s="530">
        <f t="shared" si="90"/>
        <v>5072.2437735424746</v>
      </c>
      <c r="AD41" s="530">
        <f t="shared" si="90"/>
        <v>5072.2437735424746</v>
      </c>
      <c r="AE41" s="530">
        <f>'Rem Adic'!Z124</f>
        <v>0</v>
      </c>
      <c r="AF41" s="530">
        <f t="shared" si="90"/>
        <v>0</v>
      </c>
      <c r="AG41" s="530">
        <f t="shared" si="90"/>
        <v>0</v>
      </c>
      <c r="AH41" s="530">
        <f t="shared" si="90"/>
        <v>0</v>
      </c>
      <c r="AI41" s="530">
        <f t="shared" si="90"/>
        <v>0</v>
      </c>
      <c r="AJ41" s="530">
        <f t="shared" si="90"/>
        <v>0</v>
      </c>
      <c r="AK41" s="530">
        <f t="shared" si="90"/>
        <v>0</v>
      </c>
      <c r="AL41" s="530">
        <f t="shared" si="90"/>
        <v>0</v>
      </c>
      <c r="AM41" s="530">
        <f t="shared" si="90"/>
        <v>0</v>
      </c>
      <c r="AN41" s="530">
        <f t="shared" si="90"/>
        <v>0</v>
      </c>
      <c r="AO41" s="530">
        <f t="shared" si="90"/>
        <v>0</v>
      </c>
      <c r="AP41" s="530">
        <f t="shared" si="90"/>
        <v>0</v>
      </c>
      <c r="AQ41" s="530">
        <f t="shared" si="90"/>
        <v>0</v>
      </c>
      <c r="AR41" s="530">
        <f t="shared" si="90"/>
        <v>0</v>
      </c>
      <c r="AS41" s="530">
        <f t="shared" si="90"/>
        <v>0</v>
      </c>
      <c r="AT41" s="530">
        <f t="shared" si="90"/>
        <v>0</v>
      </c>
      <c r="AU41" s="530">
        <f t="shared" si="90"/>
        <v>0</v>
      </c>
      <c r="AV41" s="530">
        <f t="shared" si="90"/>
        <v>0</v>
      </c>
      <c r="AW41" s="530">
        <f t="shared" si="90"/>
        <v>0</v>
      </c>
      <c r="AX41" s="530">
        <f t="shared" si="90"/>
        <v>0</v>
      </c>
      <c r="AY41" s="530">
        <f t="shared" si="90"/>
        <v>0</v>
      </c>
      <c r="AZ41" s="530">
        <f t="shared" si="90"/>
        <v>0</v>
      </c>
      <c r="BA41" s="530">
        <f t="shared" si="90"/>
        <v>0</v>
      </c>
      <c r="BB41" s="530">
        <f t="shared" si="90"/>
        <v>0</v>
      </c>
      <c r="BC41" s="530">
        <f t="shared" si="90"/>
        <v>0</v>
      </c>
      <c r="BD41" s="530">
        <f t="shared" si="90"/>
        <v>0</v>
      </c>
      <c r="BE41" s="530">
        <f t="shared" si="90"/>
        <v>0</v>
      </c>
      <c r="BF41" s="530">
        <f t="shared" si="90"/>
        <v>0</v>
      </c>
      <c r="BG41" s="530">
        <f t="shared" si="90"/>
        <v>0</v>
      </c>
      <c r="BH41" s="530">
        <f t="shared" si="90"/>
        <v>0</v>
      </c>
      <c r="BI41" s="530">
        <f t="shared" si="90"/>
        <v>0</v>
      </c>
      <c r="BJ41" s="530">
        <f t="shared" si="90"/>
        <v>0</v>
      </c>
      <c r="BK41" s="530">
        <f t="shared" si="90"/>
        <v>0</v>
      </c>
      <c r="BL41" s="530">
        <f t="shared" si="90"/>
        <v>0</v>
      </c>
      <c r="BM41" s="530">
        <f t="shared" si="90"/>
        <v>0</v>
      </c>
      <c r="BN41" s="530">
        <f t="shared" si="90"/>
        <v>0</v>
      </c>
      <c r="BO41" s="528">
        <f t="shared" si="49"/>
        <v>121733.8505650194</v>
      </c>
      <c r="BP41" s="517">
        <f t="shared" si="88"/>
        <v>0</v>
      </c>
      <c r="BQ41" s="532">
        <f t="shared" si="50"/>
        <v>60866.925282509699</v>
      </c>
      <c r="BR41" s="532">
        <f t="shared" si="51"/>
        <v>60866.925282509699</v>
      </c>
      <c r="BS41" s="532">
        <f t="shared" si="52"/>
        <v>0</v>
      </c>
      <c r="BT41" s="532">
        <f t="shared" si="53"/>
        <v>0</v>
      </c>
      <c r="BU41" s="532">
        <f t="shared" si="54"/>
        <v>0</v>
      </c>
      <c r="BV41" s="532">
        <f t="shared" si="55"/>
        <v>121733.8505650194</v>
      </c>
      <c r="BW41" s="518">
        <f t="shared" si="11"/>
        <v>0</v>
      </c>
      <c r="BX41" s="535"/>
      <c r="BY41" s="534"/>
      <c r="BZ41" s="535"/>
      <c r="CA41" s="535"/>
      <c r="CB41" s="535"/>
      <c r="CC41" s="534"/>
      <c r="CD41" s="535"/>
      <c r="CE41" s="535"/>
      <c r="CF41" s="535"/>
      <c r="CG41" s="534"/>
      <c r="CH41" s="535"/>
      <c r="CI41" s="535"/>
      <c r="CJ41" s="535"/>
      <c r="CK41" s="536"/>
      <c r="CL41" s="536"/>
    </row>
    <row r="42" spans="1:90" s="537" customFormat="1" ht="13.25" customHeight="1" outlineLevel="1" x14ac:dyDescent="0.3">
      <c r="A42" s="523"/>
      <c r="B42" s="524"/>
      <c r="C42" s="525" t="str">
        <f>'CC detallado'!A39</f>
        <v>1.2.2.6</v>
      </c>
      <c r="D42" s="526" t="str">
        <f>'CC detallado'!F39</f>
        <v xml:space="preserve">Gratificaciones </v>
      </c>
      <c r="E42" s="527">
        <f>'CC detallado'!N39</f>
        <v>326260.75223477813</v>
      </c>
      <c r="F42" s="515"/>
      <c r="G42" s="530">
        <f>'Rem Adic'!B125</f>
        <v>9647.495361781077</v>
      </c>
      <c r="H42" s="530">
        <f t="shared" si="89"/>
        <v>9647.495361781077</v>
      </c>
      <c r="I42" s="530">
        <f t="shared" ref="I42:BN42" si="91">H42</f>
        <v>9647.495361781077</v>
      </c>
      <c r="J42" s="530">
        <f t="shared" si="91"/>
        <v>9647.495361781077</v>
      </c>
      <c r="K42" s="530">
        <f t="shared" si="91"/>
        <v>9647.495361781077</v>
      </c>
      <c r="L42" s="530">
        <f t="shared" si="91"/>
        <v>9647.495361781077</v>
      </c>
      <c r="M42" s="530">
        <f t="shared" si="91"/>
        <v>9647.495361781077</v>
      </c>
      <c r="N42" s="530">
        <f t="shared" si="91"/>
        <v>9647.495361781077</v>
      </c>
      <c r="O42" s="530">
        <f t="shared" si="91"/>
        <v>9647.495361781077</v>
      </c>
      <c r="P42" s="530">
        <f t="shared" si="91"/>
        <v>9647.495361781077</v>
      </c>
      <c r="Q42" s="530">
        <f t="shared" si="91"/>
        <v>9647.495361781077</v>
      </c>
      <c r="R42" s="530">
        <f t="shared" si="91"/>
        <v>9647.495361781077</v>
      </c>
      <c r="S42" s="530">
        <f t="shared" si="91"/>
        <v>9647.495361781077</v>
      </c>
      <c r="T42" s="530">
        <f t="shared" si="91"/>
        <v>9647.495361781077</v>
      </c>
      <c r="U42" s="530">
        <f t="shared" si="91"/>
        <v>9647.495361781077</v>
      </c>
      <c r="V42" s="530">
        <f t="shared" si="91"/>
        <v>9647.495361781077</v>
      </c>
      <c r="W42" s="530">
        <f t="shared" si="91"/>
        <v>9647.495361781077</v>
      </c>
      <c r="X42" s="530">
        <f t="shared" si="91"/>
        <v>9647.495361781077</v>
      </c>
      <c r="Y42" s="530">
        <f t="shared" si="91"/>
        <v>9647.495361781077</v>
      </c>
      <c r="Z42" s="530">
        <f t="shared" si="91"/>
        <v>9647.495361781077</v>
      </c>
      <c r="AA42" s="530">
        <f t="shared" si="91"/>
        <v>9647.495361781077</v>
      </c>
      <c r="AB42" s="530">
        <f t="shared" si="91"/>
        <v>9647.495361781077</v>
      </c>
      <c r="AC42" s="530">
        <f t="shared" si="91"/>
        <v>9647.495361781077</v>
      </c>
      <c r="AD42" s="530">
        <f t="shared" si="91"/>
        <v>9647.495361781077</v>
      </c>
      <c r="AE42" s="530">
        <f>'Rem Adic'!Z125</f>
        <v>2631.1350986675661</v>
      </c>
      <c r="AF42" s="530">
        <f t="shared" si="91"/>
        <v>2631.1350986675661</v>
      </c>
      <c r="AG42" s="530">
        <f t="shared" si="91"/>
        <v>2631.1350986675661</v>
      </c>
      <c r="AH42" s="530">
        <f t="shared" si="91"/>
        <v>2631.1350986675661</v>
      </c>
      <c r="AI42" s="530">
        <f t="shared" si="91"/>
        <v>2631.1350986675661</v>
      </c>
      <c r="AJ42" s="530">
        <f t="shared" si="91"/>
        <v>2631.1350986675661</v>
      </c>
      <c r="AK42" s="530">
        <f t="shared" si="91"/>
        <v>2631.1350986675661</v>
      </c>
      <c r="AL42" s="530">
        <f t="shared" si="91"/>
        <v>2631.1350986675661</v>
      </c>
      <c r="AM42" s="530">
        <f t="shared" si="91"/>
        <v>2631.1350986675661</v>
      </c>
      <c r="AN42" s="530">
        <f t="shared" si="91"/>
        <v>2631.1350986675661</v>
      </c>
      <c r="AO42" s="530">
        <f t="shared" si="91"/>
        <v>2631.1350986675661</v>
      </c>
      <c r="AP42" s="530">
        <f t="shared" si="91"/>
        <v>2631.1350986675661</v>
      </c>
      <c r="AQ42" s="530">
        <f t="shared" si="91"/>
        <v>2631.1350986675661</v>
      </c>
      <c r="AR42" s="530">
        <f t="shared" si="91"/>
        <v>2631.1350986675661</v>
      </c>
      <c r="AS42" s="530">
        <f t="shared" si="91"/>
        <v>2631.1350986675661</v>
      </c>
      <c r="AT42" s="530">
        <f t="shared" si="91"/>
        <v>2631.1350986675661</v>
      </c>
      <c r="AU42" s="530">
        <f t="shared" si="91"/>
        <v>2631.1350986675661</v>
      </c>
      <c r="AV42" s="530">
        <f t="shared" si="91"/>
        <v>2631.1350986675661</v>
      </c>
      <c r="AW42" s="530">
        <f t="shared" si="91"/>
        <v>2631.1350986675661</v>
      </c>
      <c r="AX42" s="530">
        <f t="shared" si="91"/>
        <v>2631.1350986675661</v>
      </c>
      <c r="AY42" s="530">
        <f t="shared" si="91"/>
        <v>2631.1350986675661</v>
      </c>
      <c r="AZ42" s="530">
        <f t="shared" si="91"/>
        <v>2631.1350986675661</v>
      </c>
      <c r="BA42" s="530">
        <f t="shared" si="91"/>
        <v>2631.1350986675661</v>
      </c>
      <c r="BB42" s="530">
        <f t="shared" si="91"/>
        <v>2631.1350986675661</v>
      </c>
      <c r="BC42" s="530">
        <f t="shared" si="91"/>
        <v>2631.1350986675661</v>
      </c>
      <c r="BD42" s="530">
        <f t="shared" si="91"/>
        <v>2631.1350986675661</v>
      </c>
      <c r="BE42" s="530">
        <f t="shared" si="91"/>
        <v>2631.1350986675661</v>
      </c>
      <c r="BF42" s="530">
        <f t="shared" si="91"/>
        <v>2631.1350986675661</v>
      </c>
      <c r="BG42" s="530">
        <f t="shared" si="91"/>
        <v>2631.1350986675661</v>
      </c>
      <c r="BH42" s="530">
        <f t="shared" si="91"/>
        <v>2631.1350986675661</v>
      </c>
      <c r="BI42" s="530">
        <f t="shared" si="91"/>
        <v>2631.1350986675661</v>
      </c>
      <c r="BJ42" s="530">
        <f t="shared" si="91"/>
        <v>2631.1350986675661</v>
      </c>
      <c r="BK42" s="530">
        <f t="shared" si="91"/>
        <v>2631.1350986675661</v>
      </c>
      <c r="BL42" s="530">
        <f t="shared" si="91"/>
        <v>2631.1350986675661</v>
      </c>
      <c r="BM42" s="530">
        <f t="shared" si="91"/>
        <v>2631.1350986675661</v>
      </c>
      <c r="BN42" s="530">
        <f t="shared" si="91"/>
        <v>2631.1350986675661</v>
      </c>
      <c r="BO42" s="528">
        <f t="shared" si="49"/>
        <v>326260.75223477843</v>
      </c>
      <c r="BP42" s="517">
        <f t="shared" si="88"/>
        <v>0</v>
      </c>
      <c r="BQ42" s="532">
        <f t="shared" ref="BQ42:BQ51" si="92">SUM(G42:R42)</f>
        <v>115769.94434137295</v>
      </c>
      <c r="BR42" s="532">
        <f t="shared" ref="BR42:BR51" si="93">SUM(S42:AD42)</f>
        <v>115769.94434137295</v>
      </c>
      <c r="BS42" s="532">
        <f t="shared" ref="BS42:BS51" si="94">SUM(AE42:AP42)</f>
        <v>31573.621184010801</v>
      </c>
      <c r="BT42" s="532">
        <f t="shared" ref="BT42:BT51" si="95">SUM(AQ42:BB42)</f>
        <v>31573.621184010801</v>
      </c>
      <c r="BU42" s="532">
        <f t="shared" ref="BU42:BU51" si="96">SUM(BC42:BN42)</f>
        <v>31573.621184010801</v>
      </c>
      <c r="BV42" s="532">
        <f t="shared" ref="BV42:BV51" si="97">SUM(BQ42:BU42)</f>
        <v>326260.75223477831</v>
      </c>
      <c r="BW42" s="518">
        <f t="shared" si="11"/>
        <v>0</v>
      </c>
      <c r="BX42" s="535"/>
      <c r="BY42" s="534"/>
      <c r="BZ42" s="535"/>
      <c r="CA42" s="535"/>
      <c r="CB42" s="535"/>
      <c r="CC42" s="534"/>
      <c r="CD42" s="535"/>
      <c r="CE42" s="535"/>
      <c r="CF42" s="535"/>
      <c r="CG42" s="534"/>
      <c r="CH42" s="535"/>
      <c r="CI42" s="535"/>
      <c r="CJ42" s="535"/>
      <c r="CK42" s="536"/>
      <c r="CL42" s="536"/>
    </row>
    <row r="43" spans="1:90" s="537" customFormat="1" ht="13.25" customHeight="1" outlineLevel="1" x14ac:dyDescent="0.3">
      <c r="A43" s="523"/>
      <c r="B43" s="524"/>
      <c r="C43" s="552" t="str">
        <f>'CC detallado'!A40</f>
        <v>1.2.3</v>
      </c>
      <c r="D43" s="553" t="str">
        <f>'CC detallado'!F40</f>
        <v>Prueba piloto realizada</v>
      </c>
      <c r="E43" s="548">
        <f>E44</f>
        <v>75898.127846179792</v>
      </c>
      <c r="F43" s="515"/>
      <c r="G43" s="549">
        <f t="shared" ref="G43:BQ43" si="98">G44</f>
        <v>0</v>
      </c>
      <c r="H43" s="549">
        <f t="shared" si="98"/>
        <v>0</v>
      </c>
      <c r="I43" s="549">
        <f t="shared" si="98"/>
        <v>0</v>
      </c>
      <c r="J43" s="549">
        <f t="shared" si="98"/>
        <v>0</v>
      </c>
      <c r="K43" s="549">
        <f t="shared" si="98"/>
        <v>0</v>
      </c>
      <c r="L43" s="549">
        <f t="shared" si="98"/>
        <v>0</v>
      </c>
      <c r="M43" s="549">
        <f t="shared" si="98"/>
        <v>0</v>
      </c>
      <c r="N43" s="549">
        <f t="shared" si="98"/>
        <v>0</v>
      </c>
      <c r="O43" s="549">
        <f t="shared" si="98"/>
        <v>0</v>
      </c>
      <c r="P43" s="549">
        <f t="shared" si="98"/>
        <v>0</v>
      </c>
      <c r="Q43" s="549">
        <f t="shared" si="98"/>
        <v>0</v>
      </c>
      <c r="R43" s="549">
        <f t="shared" si="98"/>
        <v>0</v>
      </c>
      <c r="S43" s="549">
        <f t="shared" si="98"/>
        <v>0</v>
      </c>
      <c r="T43" s="549">
        <f t="shared" si="98"/>
        <v>0</v>
      </c>
      <c r="U43" s="549">
        <f t="shared" si="98"/>
        <v>0</v>
      </c>
      <c r="V43" s="549">
        <f t="shared" si="98"/>
        <v>37949.063923089896</v>
      </c>
      <c r="W43" s="549">
        <f t="shared" si="98"/>
        <v>0</v>
      </c>
      <c r="X43" s="549">
        <f t="shared" si="98"/>
        <v>37949.063923089896</v>
      </c>
      <c r="Y43" s="549">
        <f t="shared" si="98"/>
        <v>0</v>
      </c>
      <c r="Z43" s="549">
        <f t="shared" si="98"/>
        <v>0</v>
      </c>
      <c r="AA43" s="549">
        <f t="shared" si="98"/>
        <v>0</v>
      </c>
      <c r="AB43" s="549">
        <f t="shared" si="98"/>
        <v>0</v>
      </c>
      <c r="AC43" s="549">
        <f t="shared" si="98"/>
        <v>0</v>
      </c>
      <c r="AD43" s="549">
        <f t="shared" si="98"/>
        <v>0</v>
      </c>
      <c r="AE43" s="549">
        <f t="shared" si="98"/>
        <v>0</v>
      </c>
      <c r="AF43" s="549">
        <f t="shared" si="98"/>
        <v>0</v>
      </c>
      <c r="AG43" s="549">
        <f t="shared" si="98"/>
        <v>0</v>
      </c>
      <c r="AH43" s="549">
        <f t="shared" si="98"/>
        <v>0</v>
      </c>
      <c r="AI43" s="549">
        <f t="shared" si="98"/>
        <v>0</v>
      </c>
      <c r="AJ43" s="549">
        <f t="shared" si="98"/>
        <v>0</v>
      </c>
      <c r="AK43" s="549">
        <f t="shared" si="98"/>
        <v>0</v>
      </c>
      <c r="AL43" s="549">
        <f t="shared" si="98"/>
        <v>0</v>
      </c>
      <c r="AM43" s="549">
        <f t="shared" si="98"/>
        <v>0</v>
      </c>
      <c r="AN43" s="549">
        <f t="shared" si="98"/>
        <v>0</v>
      </c>
      <c r="AO43" s="549">
        <f t="shared" si="98"/>
        <v>0</v>
      </c>
      <c r="AP43" s="549">
        <f t="shared" si="98"/>
        <v>0</v>
      </c>
      <c r="AQ43" s="549">
        <f t="shared" si="98"/>
        <v>0</v>
      </c>
      <c r="AR43" s="549">
        <f t="shared" si="98"/>
        <v>0</v>
      </c>
      <c r="AS43" s="549">
        <f t="shared" si="98"/>
        <v>0</v>
      </c>
      <c r="AT43" s="549">
        <f t="shared" si="98"/>
        <v>0</v>
      </c>
      <c r="AU43" s="549">
        <f t="shared" si="98"/>
        <v>0</v>
      </c>
      <c r="AV43" s="549">
        <f t="shared" si="98"/>
        <v>0</v>
      </c>
      <c r="AW43" s="549">
        <f t="shared" si="98"/>
        <v>0</v>
      </c>
      <c r="AX43" s="549">
        <f t="shared" si="98"/>
        <v>0</v>
      </c>
      <c r="AY43" s="549">
        <f t="shared" si="98"/>
        <v>0</v>
      </c>
      <c r="AZ43" s="549">
        <f t="shared" si="98"/>
        <v>0</v>
      </c>
      <c r="BA43" s="549">
        <f t="shared" si="98"/>
        <v>0</v>
      </c>
      <c r="BB43" s="549">
        <f t="shared" si="98"/>
        <v>0</v>
      </c>
      <c r="BC43" s="549">
        <f t="shared" si="98"/>
        <v>0</v>
      </c>
      <c r="BD43" s="549">
        <f t="shared" si="98"/>
        <v>0</v>
      </c>
      <c r="BE43" s="549">
        <f t="shared" si="98"/>
        <v>0</v>
      </c>
      <c r="BF43" s="549">
        <f t="shared" si="98"/>
        <v>0</v>
      </c>
      <c r="BG43" s="549">
        <f t="shared" si="98"/>
        <v>0</v>
      </c>
      <c r="BH43" s="549">
        <f t="shared" si="98"/>
        <v>0</v>
      </c>
      <c r="BI43" s="549">
        <f t="shared" si="98"/>
        <v>0</v>
      </c>
      <c r="BJ43" s="549">
        <f t="shared" si="98"/>
        <v>0</v>
      </c>
      <c r="BK43" s="549">
        <f t="shared" si="98"/>
        <v>0</v>
      </c>
      <c r="BL43" s="549">
        <f t="shared" si="98"/>
        <v>0</v>
      </c>
      <c r="BM43" s="549">
        <f t="shared" si="98"/>
        <v>0</v>
      </c>
      <c r="BN43" s="549">
        <f t="shared" si="98"/>
        <v>0</v>
      </c>
      <c r="BO43" s="549">
        <f t="shared" si="98"/>
        <v>75898.127846179792</v>
      </c>
      <c r="BP43" s="517">
        <f t="shared" si="88"/>
        <v>0</v>
      </c>
      <c r="BQ43" s="548">
        <f t="shared" si="98"/>
        <v>0</v>
      </c>
      <c r="BR43" s="548">
        <f t="shared" ref="BR43:BV43" si="99">BR44</f>
        <v>75898.127846179792</v>
      </c>
      <c r="BS43" s="548">
        <f t="shared" si="99"/>
        <v>0</v>
      </c>
      <c r="BT43" s="548">
        <f t="shared" si="99"/>
        <v>0</v>
      </c>
      <c r="BU43" s="548">
        <f t="shared" si="99"/>
        <v>0</v>
      </c>
      <c r="BV43" s="548">
        <f t="shared" si="99"/>
        <v>75898.127846179792</v>
      </c>
      <c r="BW43" s="518">
        <f t="shared" si="11"/>
        <v>0</v>
      </c>
      <c r="BX43" s="535"/>
      <c r="BY43" s="534"/>
      <c r="BZ43" s="535"/>
      <c r="CA43" s="535"/>
      <c r="CB43" s="535"/>
      <c r="CC43" s="534"/>
      <c r="CD43" s="535"/>
      <c r="CE43" s="535"/>
      <c r="CF43" s="535"/>
      <c r="CG43" s="534"/>
      <c r="CH43" s="535"/>
      <c r="CI43" s="535"/>
      <c r="CJ43" s="535"/>
      <c r="CK43" s="536"/>
      <c r="CL43" s="536"/>
    </row>
    <row r="44" spans="1:90" s="537" customFormat="1" ht="13.25" customHeight="1" outlineLevel="1" x14ac:dyDescent="0.3">
      <c r="A44" s="523"/>
      <c r="B44" s="524"/>
      <c r="C44" s="525" t="str">
        <f>'CC detallado'!A41</f>
        <v>1.2.3.1</v>
      </c>
      <c r="D44" s="526" t="str">
        <f>'CC detallado'!F41</f>
        <v>Servicio de Logística para la Prueba Piloto del Censo</v>
      </c>
      <c r="E44" s="527">
        <f>'CC detallado'!N41</f>
        <v>75898.127846179792</v>
      </c>
      <c r="F44" s="515"/>
      <c r="G44" s="550"/>
      <c r="H44" s="531"/>
      <c r="I44" s="531"/>
      <c r="J44" s="550"/>
      <c r="K44" s="531"/>
      <c r="L44" s="531"/>
      <c r="M44" s="531"/>
      <c r="N44" s="531"/>
      <c r="O44" s="531"/>
      <c r="P44" s="531"/>
      <c r="Q44" s="531"/>
      <c r="R44" s="531"/>
      <c r="S44" s="529"/>
      <c r="T44" s="529"/>
      <c r="U44" s="529"/>
      <c r="V44" s="530">
        <f>E44*50%</f>
        <v>37949.063923089896</v>
      </c>
      <c r="W44" s="530">
        <v>0</v>
      </c>
      <c r="X44" s="530">
        <f>E44*50%</f>
        <v>37949.063923089896</v>
      </c>
      <c r="Y44" s="531"/>
      <c r="Z44" s="531"/>
      <c r="AA44" s="531"/>
      <c r="AB44" s="531"/>
      <c r="AC44" s="531"/>
      <c r="AD44" s="531"/>
      <c r="AE44" s="531"/>
      <c r="AF44" s="531"/>
      <c r="AG44" s="531"/>
      <c r="AH44" s="531"/>
      <c r="AI44" s="531"/>
      <c r="AJ44" s="531"/>
      <c r="AK44" s="531"/>
      <c r="AL44" s="531"/>
      <c r="AM44" s="531"/>
      <c r="AN44" s="531"/>
      <c r="AO44" s="531"/>
      <c r="AP44" s="531"/>
      <c r="AQ44" s="531"/>
      <c r="AR44" s="531"/>
      <c r="AS44" s="531"/>
      <c r="AT44" s="531"/>
      <c r="AU44" s="531"/>
      <c r="AV44" s="531"/>
      <c r="AW44" s="531"/>
      <c r="AX44" s="531"/>
      <c r="AY44" s="531"/>
      <c r="AZ44" s="531"/>
      <c r="BA44" s="531"/>
      <c r="BB44" s="531"/>
      <c r="BC44" s="531"/>
      <c r="BD44" s="531"/>
      <c r="BE44" s="531"/>
      <c r="BF44" s="531"/>
      <c r="BG44" s="531"/>
      <c r="BH44" s="531"/>
      <c r="BI44" s="531"/>
      <c r="BJ44" s="531"/>
      <c r="BK44" s="531"/>
      <c r="BL44" s="531"/>
      <c r="BM44" s="531"/>
      <c r="BN44" s="531"/>
      <c r="BO44" s="528">
        <f>SUM(G44:BN44)</f>
        <v>75898.127846179792</v>
      </c>
      <c r="BP44" s="517">
        <f t="shared" si="88"/>
        <v>0</v>
      </c>
      <c r="BQ44" s="532">
        <f t="shared" si="92"/>
        <v>0</v>
      </c>
      <c r="BR44" s="532">
        <f t="shared" si="93"/>
        <v>75898.127846179792</v>
      </c>
      <c r="BS44" s="532">
        <f t="shared" si="94"/>
        <v>0</v>
      </c>
      <c r="BT44" s="532">
        <f t="shared" si="95"/>
        <v>0</v>
      </c>
      <c r="BU44" s="532">
        <f t="shared" si="96"/>
        <v>0</v>
      </c>
      <c r="BV44" s="532">
        <f t="shared" si="97"/>
        <v>75898.127846179792</v>
      </c>
      <c r="BW44" s="518">
        <f t="shared" si="11"/>
        <v>0</v>
      </c>
      <c r="BX44" s="538"/>
      <c r="BY44" s="534"/>
      <c r="BZ44" s="535"/>
      <c r="CA44" s="535"/>
      <c r="CB44" s="538"/>
      <c r="CC44" s="534"/>
      <c r="CD44" s="535"/>
      <c r="CE44" s="535"/>
      <c r="CF44" s="538"/>
      <c r="CG44" s="534"/>
      <c r="CH44" s="535"/>
      <c r="CI44" s="535"/>
      <c r="CJ44" s="535"/>
      <c r="CK44" s="536"/>
      <c r="CL44" s="536"/>
    </row>
    <row r="45" spans="1:90" s="537" customFormat="1" ht="13.25" customHeight="1" outlineLevel="1" x14ac:dyDescent="0.3">
      <c r="A45" s="523"/>
      <c r="B45" s="524"/>
      <c r="C45" s="552" t="str">
        <f>'CC detallado'!A42</f>
        <v>1.2.4</v>
      </c>
      <c r="D45" s="553" t="str">
        <f>'CC detallado'!F42</f>
        <v>Censo</v>
      </c>
      <c r="E45" s="548">
        <f>E46+E47+E54+E55+E56+E57</f>
        <v>7531602.2938100863</v>
      </c>
      <c r="F45" s="515"/>
      <c r="G45" s="549">
        <f t="shared" ref="G45:BQ45" si="100">G46+G47+G54+G55+G56+G57</f>
        <v>0</v>
      </c>
      <c r="H45" s="549">
        <f t="shared" si="100"/>
        <v>0</v>
      </c>
      <c r="I45" s="549">
        <f t="shared" si="100"/>
        <v>0</v>
      </c>
      <c r="J45" s="549">
        <f t="shared" si="100"/>
        <v>5059.8751897453203</v>
      </c>
      <c r="K45" s="549">
        <f t="shared" si="100"/>
        <v>10119.750379490641</v>
      </c>
      <c r="L45" s="549">
        <f t="shared" si="100"/>
        <v>10119.750379490641</v>
      </c>
      <c r="M45" s="549">
        <f t="shared" si="100"/>
        <v>0</v>
      </c>
      <c r="N45" s="549">
        <f t="shared" si="100"/>
        <v>0</v>
      </c>
      <c r="O45" s="549">
        <f t="shared" si="100"/>
        <v>97824.25366840951</v>
      </c>
      <c r="P45" s="549">
        <f t="shared" si="100"/>
        <v>0</v>
      </c>
      <c r="Q45" s="549">
        <f t="shared" si="100"/>
        <v>0</v>
      </c>
      <c r="R45" s="549">
        <f t="shared" si="100"/>
        <v>146736.38050261428</v>
      </c>
      <c r="S45" s="549">
        <f t="shared" si="100"/>
        <v>0</v>
      </c>
      <c r="T45" s="549">
        <f t="shared" si="100"/>
        <v>1436156.8561308822</v>
      </c>
      <c r="U45" s="549">
        <f t="shared" si="100"/>
        <v>0</v>
      </c>
      <c r="V45" s="549">
        <f t="shared" si="100"/>
        <v>0</v>
      </c>
      <c r="W45" s="549">
        <f t="shared" si="100"/>
        <v>1436156.8561308822</v>
      </c>
      <c r="X45" s="549">
        <f t="shared" si="100"/>
        <v>16191.600607185022</v>
      </c>
      <c r="Y45" s="549">
        <f t="shared" si="100"/>
        <v>1452348.4567380671</v>
      </c>
      <c r="Z45" s="549">
        <f t="shared" si="100"/>
        <v>16191.600607185022</v>
      </c>
      <c r="AA45" s="549">
        <f t="shared" si="100"/>
        <v>1452348.4567380671</v>
      </c>
      <c r="AB45" s="549">
        <f t="shared" si="100"/>
        <v>16191.600607185022</v>
      </c>
      <c r="AC45" s="549">
        <f t="shared" si="100"/>
        <v>1436156.8561308822</v>
      </c>
      <c r="AD45" s="549">
        <f t="shared" si="100"/>
        <v>0</v>
      </c>
      <c r="AE45" s="549">
        <f t="shared" si="100"/>
        <v>0</v>
      </c>
      <c r="AF45" s="549">
        <f t="shared" si="100"/>
        <v>0</v>
      </c>
      <c r="AG45" s="549">
        <f t="shared" si="100"/>
        <v>0</v>
      </c>
      <c r="AH45" s="549">
        <f t="shared" si="100"/>
        <v>0</v>
      </c>
      <c r="AI45" s="549">
        <f t="shared" si="100"/>
        <v>0</v>
      </c>
      <c r="AJ45" s="549">
        <f t="shared" si="100"/>
        <v>0</v>
      </c>
      <c r="AK45" s="549">
        <f t="shared" si="100"/>
        <v>0</v>
      </c>
      <c r="AL45" s="549">
        <f t="shared" si="100"/>
        <v>0</v>
      </c>
      <c r="AM45" s="549">
        <f t="shared" si="100"/>
        <v>0</v>
      </c>
      <c r="AN45" s="549">
        <f t="shared" si="100"/>
        <v>0</v>
      </c>
      <c r="AO45" s="549">
        <f t="shared" si="100"/>
        <v>0</v>
      </c>
      <c r="AP45" s="549">
        <f t="shared" si="100"/>
        <v>0</v>
      </c>
      <c r="AQ45" s="549">
        <f t="shared" si="100"/>
        <v>0</v>
      </c>
      <c r="AR45" s="549">
        <f t="shared" si="100"/>
        <v>0</v>
      </c>
      <c r="AS45" s="549">
        <f t="shared" si="100"/>
        <v>0</v>
      </c>
      <c r="AT45" s="549">
        <f t="shared" si="100"/>
        <v>0</v>
      </c>
      <c r="AU45" s="549">
        <f t="shared" si="100"/>
        <v>0</v>
      </c>
      <c r="AV45" s="549">
        <f t="shared" si="100"/>
        <v>0</v>
      </c>
      <c r="AW45" s="549">
        <f t="shared" si="100"/>
        <v>0</v>
      </c>
      <c r="AX45" s="549">
        <f t="shared" si="100"/>
        <v>0</v>
      </c>
      <c r="AY45" s="549">
        <f t="shared" si="100"/>
        <v>0</v>
      </c>
      <c r="AZ45" s="549">
        <f t="shared" si="100"/>
        <v>0</v>
      </c>
      <c r="BA45" s="549">
        <f t="shared" si="100"/>
        <v>0</v>
      </c>
      <c r="BB45" s="549">
        <f t="shared" si="100"/>
        <v>0</v>
      </c>
      <c r="BC45" s="549">
        <f t="shared" si="100"/>
        <v>0</v>
      </c>
      <c r="BD45" s="549">
        <f t="shared" si="100"/>
        <v>0</v>
      </c>
      <c r="BE45" s="549">
        <f t="shared" si="100"/>
        <v>0</v>
      </c>
      <c r="BF45" s="549">
        <f t="shared" si="100"/>
        <v>0</v>
      </c>
      <c r="BG45" s="549">
        <f t="shared" si="100"/>
        <v>0</v>
      </c>
      <c r="BH45" s="549">
        <f t="shared" si="100"/>
        <v>0</v>
      </c>
      <c r="BI45" s="549">
        <f t="shared" si="100"/>
        <v>0</v>
      </c>
      <c r="BJ45" s="549">
        <f t="shared" si="100"/>
        <v>0</v>
      </c>
      <c r="BK45" s="549">
        <f t="shared" si="100"/>
        <v>0</v>
      </c>
      <c r="BL45" s="549">
        <f t="shared" si="100"/>
        <v>0</v>
      </c>
      <c r="BM45" s="549">
        <f t="shared" si="100"/>
        <v>0</v>
      </c>
      <c r="BN45" s="549">
        <f t="shared" si="100"/>
        <v>0</v>
      </c>
      <c r="BO45" s="549">
        <f t="shared" si="100"/>
        <v>7531602.2938100863</v>
      </c>
      <c r="BP45" s="517">
        <f t="shared" si="88"/>
        <v>0</v>
      </c>
      <c r="BQ45" s="548">
        <f t="shared" si="100"/>
        <v>25299.3759487266</v>
      </c>
      <c r="BR45" s="548">
        <f t="shared" ref="BR45:BV45" si="101">BR46+BR47+BR54+BR55+BR56+BR57</f>
        <v>7506302.9178613601</v>
      </c>
      <c r="BS45" s="548">
        <f t="shared" si="101"/>
        <v>0</v>
      </c>
      <c r="BT45" s="548">
        <f t="shared" si="101"/>
        <v>0</v>
      </c>
      <c r="BU45" s="548">
        <f t="shared" si="101"/>
        <v>0</v>
      </c>
      <c r="BV45" s="548">
        <f t="shared" si="101"/>
        <v>7531602.2938100863</v>
      </c>
      <c r="BW45" s="518">
        <f t="shared" si="11"/>
        <v>0</v>
      </c>
      <c r="BX45" s="535"/>
      <c r="BY45" s="534"/>
      <c r="BZ45" s="535"/>
      <c r="CA45" s="535"/>
      <c r="CB45" s="535"/>
      <c r="CC45" s="534"/>
      <c r="CD45" s="535"/>
      <c r="CE45" s="535"/>
      <c r="CF45" s="535"/>
      <c r="CG45" s="534"/>
      <c r="CH45" s="535"/>
      <c r="CI45" s="535"/>
      <c r="CJ45" s="535"/>
      <c r="CK45" s="536"/>
      <c r="CL45" s="536"/>
    </row>
    <row r="46" spans="1:90" s="536" customFormat="1" ht="13.25" customHeight="1" outlineLevel="1" x14ac:dyDescent="0.3">
      <c r="A46" s="554"/>
      <c r="B46" s="555"/>
      <c r="C46" s="525" t="str">
        <f>'CC detallado'!A43</f>
        <v>1.2.4.1</v>
      </c>
      <c r="D46" s="526" t="str">
        <f>'CC detallado'!F43</f>
        <v>Consultoría para desarrollo de las especificaciones técnicas para la contratación de RRHH para el Censo</v>
      </c>
      <c r="E46" s="527">
        <f>'CC detallado'!N43</f>
        <v>25299.3759487266</v>
      </c>
      <c r="F46" s="515"/>
      <c r="G46" s="528"/>
      <c r="H46" s="528"/>
      <c r="I46" s="529"/>
      <c r="J46" s="530">
        <f>E46*20%</f>
        <v>5059.8751897453203</v>
      </c>
      <c r="K46" s="530">
        <f>E46*40%</f>
        <v>10119.750379490641</v>
      </c>
      <c r="L46" s="530">
        <f>E46*40%</f>
        <v>10119.750379490641</v>
      </c>
      <c r="M46" s="528"/>
      <c r="N46" s="528"/>
      <c r="O46" s="528"/>
      <c r="P46" s="528"/>
      <c r="Q46" s="528"/>
      <c r="R46" s="528"/>
      <c r="S46" s="528"/>
      <c r="T46" s="528"/>
      <c r="U46" s="528"/>
      <c r="V46" s="528"/>
      <c r="W46" s="528"/>
      <c r="X46" s="528"/>
      <c r="Y46" s="528"/>
      <c r="Z46" s="528"/>
      <c r="AA46" s="528"/>
      <c r="AB46" s="528"/>
      <c r="AC46" s="528"/>
      <c r="AD46" s="528"/>
      <c r="AE46" s="528"/>
      <c r="AF46" s="528"/>
      <c r="AG46" s="528"/>
      <c r="AH46" s="528"/>
      <c r="AI46" s="528"/>
      <c r="AJ46" s="528"/>
      <c r="AK46" s="528"/>
      <c r="AL46" s="528"/>
      <c r="AM46" s="528"/>
      <c r="AN46" s="528"/>
      <c r="AO46" s="528"/>
      <c r="AP46" s="528"/>
      <c r="AQ46" s="528"/>
      <c r="AR46" s="528"/>
      <c r="AS46" s="528"/>
      <c r="AT46" s="528"/>
      <c r="AU46" s="528"/>
      <c r="AV46" s="528"/>
      <c r="AW46" s="528"/>
      <c r="AX46" s="528"/>
      <c r="AY46" s="528"/>
      <c r="AZ46" s="528"/>
      <c r="BA46" s="528"/>
      <c r="BB46" s="528"/>
      <c r="BC46" s="528"/>
      <c r="BD46" s="528"/>
      <c r="BE46" s="528"/>
      <c r="BF46" s="528"/>
      <c r="BG46" s="528"/>
      <c r="BH46" s="528"/>
      <c r="BI46" s="528"/>
      <c r="BJ46" s="528"/>
      <c r="BK46" s="528"/>
      <c r="BL46" s="528"/>
      <c r="BM46" s="528"/>
      <c r="BN46" s="528"/>
      <c r="BO46" s="528">
        <f>SUM(G46:BN46)</f>
        <v>25299.3759487266</v>
      </c>
      <c r="BP46" s="517">
        <f t="shared" si="88"/>
        <v>0</v>
      </c>
      <c r="BQ46" s="532">
        <f t="shared" si="92"/>
        <v>25299.3759487266</v>
      </c>
      <c r="BR46" s="532">
        <f t="shared" si="93"/>
        <v>0</v>
      </c>
      <c r="BS46" s="532">
        <f t="shared" si="94"/>
        <v>0</v>
      </c>
      <c r="BT46" s="532">
        <f t="shared" si="95"/>
        <v>0</v>
      </c>
      <c r="BU46" s="532">
        <f t="shared" si="96"/>
        <v>0</v>
      </c>
      <c r="BV46" s="532">
        <f t="shared" si="97"/>
        <v>25299.3759487266</v>
      </c>
      <c r="BW46" s="518">
        <f t="shared" si="11"/>
        <v>0</v>
      </c>
      <c r="BX46" s="533"/>
      <c r="BY46" s="534"/>
      <c r="BZ46" s="535"/>
      <c r="CA46" s="535"/>
      <c r="CB46" s="533"/>
      <c r="CC46" s="534"/>
      <c r="CD46" s="535"/>
      <c r="CE46" s="535"/>
      <c r="CF46" s="533"/>
      <c r="CG46" s="534"/>
      <c r="CH46" s="535"/>
      <c r="CI46" s="535"/>
      <c r="CJ46" s="535"/>
    </row>
    <row r="47" spans="1:90" s="537" customFormat="1" ht="13.25" customHeight="1" outlineLevel="1" x14ac:dyDescent="0.3">
      <c r="A47" s="523"/>
      <c r="B47" s="524" t="s">
        <v>93</v>
      </c>
      <c r="C47" s="525" t="str">
        <f>'CC detallado'!A44</f>
        <v>1.2.4.2</v>
      </c>
      <c r="D47" s="526" t="str">
        <f>'CC detallado'!F44</f>
        <v>Firma para contratación y gestión del personal para el trabajo de campo</v>
      </c>
      <c r="E47" s="527">
        <f>'CC detallado'!N44</f>
        <v>7180784.2806544108</v>
      </c>
      <c r="F47" s="515"/>
      <c r="G47" s="550"/>
      <c r="H47" s="550"/>
      <c r="I47" s="550"/>
      <c r="J47" s="528"/>
      <c r="K47" s="528"/>
      <c r="L47" s="528"/>
      <c r="M47" s="529"/>
      <c r="N47" s="529"/>
      <c r="O47" s="529"/>
      <c r="P47" s="529"/>
      <c r="Q47" s="529"/>
      <c r="R47" s="529"/>
      <c r="S47" s="529"/>
      <c r="T47" s="530">
        <f>E47*20%</f>
        <v>1436156.8561308822</v>
      </c>
      <c r="U47" s="530">
        <v>0</v>
      </c>
      <c r="V47" s="530">
        <v>0</v>
      </c>
      <c r="W47" s="530">
        <f>E47*20%</f>
        <v>1436156.8561308822</v>
      </c>
      <c r="X47" s="530"/>
      <c r="Y47" s="530">
        <f>E47*20%</f>
        <v>1436156.8561308822</v>
      </c>
      <c r="Z47" s="530"/>
      <c r="AA47" s="530">
        <f>E47*20%</f>
        <v>1436156.8561308822</v>
      </c>
      <c r="AB47" s="530">
        <v>0</v>
      </c>
      <c r="AC47" s="530">
        <f>E47*20%</f>
        <v>1436156.8561308822</v>
      </c>
      <c r="AD47" s="531"/>
      <c r="AE47" s="531"/>
      <c r="AF47" s="531"/>
      <c r="AG47" s="531"/>
      <c r="AH47" s="531"/>
      <c r="AI47" s="531"/>
      <c r="AJ47" s="531"/>
      <c r="AK47" s="531"/>
      <c r="AL47" s="531"/>
      <c r="AM47" s="531"/>
      <c r="AN47" s="531"/>
      <c r="AO47" s="531"/>
      <c r="AP47" s="531"/>
      <c r="AQ47" s="531"/>
      <c r="AR47" s="531"/>
      <c r="AS47" s="531"/>
      <c r="AT47" s="531"/>
      <c r="AU47" s="531"/>
      <c r="AV47" s="531"/>
      <c r="AW47" s="531"/>
      <c r="AX47" s="531"/>
      <c r="AY47" s="531"/>
      <c r="AZ47" s="531"/>
      <c r="BA47" s="531"/>
      <c r="BB47" s="531"/>
      <c r="BC47" s="531"/>
      <c r="BD47" s="531"/>
      <c r="BE47" s="531"/>
      <c r="BF47" s="531"/>
      <c r="BG47" s="531"/>
      <c r="BH47" s="531"/>
      <c r="BI47" s="531"/>
      <c r="BJ47" s="531"/>
      <c r="BK47" s="531"/>
      <c r="BL47" s="531"/>
      <c r="BM47" s="531"/>
      <c r="BN47" s="531"/>
      <c r="BO47" s="528">
        <f>SUM(G47:BN47)</f>
        <v>7180784.2806544108</v>
      </c>
      <c r="BP47" s="517">
        <f t="shared" si="88"/>
        <v>0</v>
      </c>
      <c r="BQ47" s="532">
        <f t="shared" si="92"/>
        <v>0</v>
      </c>
      <c r="BR47" s="532">
        <f t="shared" si="93"/>
        <v>7180784.2806544108</v>
      </c>
      <c r="BS47" s="532">
        <f t="shared" si="94"/>
        <v>0</v>
      </c>
      <c r="BT47" s="532">
        <f t="shared" si="95"/>
        <v>0</v>
      </c>
      <c r="BU47" s="532">
        <f t="shared" si="96"/>
        <v>0</v>
      </c>
      <c r="BV47" s="532">
        <f t="shared" si="97"/>
        <v>7180784.2806544108</v>
      </c>
      <c r="BW47" s="518">
        <f t="shared" si="11"/>
        <v>0</v>
      </c>
      <c r="BX47" s="538"/>
      <c r="BY47" s="534"/>
      <c r="BZ47" s="535"/>
      <c r="CA47" s="535"/>
      <c r="CB47" s="538"/>
      <c r="CC47" s="534"/>
      <c r="CD47" s="535"/>
      <c r="CE47" s="535"/>
      <c r="CF47" s="538"/>
      <c r="CG47" s="534"/>
      <c r="CH47" s="535"/>
      <c r="CI47" s="535"/>
      <c r="CJ47" s="535"/>
      <c r="CK47" s="536"/>
      <c r="CL47" s="536"/>
    </row>
    <row r="48" spans="1:90" s="537" customFormat="1" ht="13.25" customHeight="1" outlineLevel="1" x14ac:dyDescent="0.3">
      <c r="A48" s="523"/>
      <c r="B48" s="524" t="s">
        <v>91</v>
      </c>
      <c r="C48" s="539" t="str">
        <f>'CC detallado'!A45</f>
        <v>1.2.4.3</v>
      </c>
      <c r="D48" s="556" t="str">
        <f>'CC detallado'!F45</f>
        <v>Costo del Servicio</v>
      </c>
      <c r="E48" s="527"/>
      <c r="F48" s="515"/>
      <c r="G48" s="550"/>
      <c r="H48" s="550"/>
      <c r="I48" s="550"/>
      <c r="J48" s="550"/>
      <c r="K48" s="531"/>
      <c r="L48" s="531"/>
      <c r="M48" s="531"/>
      <c r="N48" s="531"/>
      <c r="O48" s="531"/>
      <c r="P48" s="531"/>
      <c r="Q48" s="531"/>
      <c r="R48" s="531"/>
      <c r="S48" s="531"/>
      <c r="T48" s="529"/>
      <c r="U48" s="529"/>
      <c r="V48" s="530"/>
      <c r="W48" s="530"/>
      <c r="X48" s="530"/>
      <c r="Y48" s="528"/>
      <c r="Z48" s="528"/>
      <c r="AA48" s="528"/>
      <c r="AB48" s="531"/>
      <c r="AC48" s="531"/>
      <c r="AD48" s="531"/>
      <c r="AE48" s="531"/>
      <c r="AF48" s="531"/>
      <c r="AG48" s="531"/>
      <c r="AH48" s="531"/>
      <c r="AI48" s="531"/>
      <c r="AJ48" s="531"/>
      <c r="AK48" s="531"/>
      <c r="AL48" s="531"/>
      <c r="AM48" s="531"/>
      <c r="AN48" s="531"/>
      <c r="AO48" s="531"/>
      <c r="AP48" s="531"/>
      <c r="AQ48" s="531"/>
      <c r="AR48" s="531"/>
      <c r="AS48" s="531"/>
      <c r="AT48" s="531"/>
      <c r="AU48" s="531"/>
      <c r="AV48" s="531"/>
      <c r="AW48" s="531"/>
      <c r="AX48" s="531"/>
      <c r="AY48" s="531"/>
      <c r="AZ48" s="531"/>
      <c r="BA48" s="531"/>
      <c r="BB48" s="531"/>
      <c r="BC48" s="531"/>
      <c r="BD48" s="531"/>
      <c r="BE48" s="531"/>
      <c r="BF48" s="531"/>
      <c r="BG48" s="531"/>
      <c r="BH48" s="531"/>
      <c r="BI48" s="531"/>
      <c r="BJ48" s="531"/>
      <c r="BK48" s="531"/>
      <c r="BL48" s="531"/>
      <c r="BM48" s="531"/>
      <c r="BN48" s="531"/>
      <c r="BO48" s="528">
        <f t="shared" si="36"/>
        <v>0</v>
      </c>
      <c r="BP48" s="517">
        <f t="shared" si="88"/>
        <v>0</v>
      </c>
      <c r="BQ48" s="532">
        <f t="shared" si="92"/>
        <v>0</v>
      </c>
      <c r="BR48" s="532">
        <f t="shared" si="93"/>
        <v>0</v>
      </c>
      <c r="BS48" s="532">
        <f t="shared" si="94"/>
        <v>0</v>
      </c>
      <c r="BT48" s="532">
        <f t="shared" si="95"/>
        <v>0</v>
      </c>
      <c r="BU48" s="532">
        <f t="shared" si="96"/>
        <v>0</v>
      </c>
      <c r="BV48" s="532">
        <f t="shared" si="97"/>
        <v>0</v>
      </c>
      <c r="BW48" s="518">
        <f t="shared" si="11"/>
        <v>0</v>
      </c>
      <c r="BX48" s="538"/>
      <c r="BY48" s="534"/>
      <c r="BZ48" s="535"/>
      <c r="CA48" s="535"/>
      <c r="CB48" s="538"/>
      <c r="CC48" s="534"/>
      <c r="CD48" s="535"/>
      <c r="CE48" s="535"/>
      <c r="CF48" s="538"/>
      <c r="CG48" s="534"/>
      <c r="CH48" s="535"/>
      <c r="CI48" s="535"/>
      <c r="CJ48" s="535"/>
      <c r="CK48" s="536"/>
      <c r="CL48" s="536"/>
    </row>
    <row r="49" spans="1:90" s="537" customFormat="1" ht="13.25" customHeight="1" outlineLevel="1" x14ac:dyDescent="0.3">
      <c r="A49" s="523"/>
      <c r="B49" s="524" t="s">
        <v>91</v>
      </c>
      <c r="C49" s="539" t="str">
        <f>'CC detallado'!A46</f>
        <v>1.2.4.4</v>
      </c>
      <c r="D49" s="556" t="str">
        <f>'CC detallado'!F46</f>
        <v>Técnico de Capacitación</v>
      </c>
      <c r="E49" s="527"/>
      <c r="F49" s="515"/>
      <c r="G49" s="550"/>
      <c r="H49" s="550"/>
      <c r="I49" s="550"/>
      <c r="J49" s="550"/>
      <c r="K49" s="531"/>
      <c r="L49" s="531"/>
      <c r="M49" s="531"/>
      <c r="N49" s="531"/>
      <c r="O49" s="531"/>
      <c r="P49" s="531"/>
      <c r="Q49" s="531"/>
      <c r="R49" s="531"/>
      <c r="S49" s="531"/>
      <c r="T49" s="531"/>
      <c r="U49" s="529"/>
      <c r="V49" s="529"/>
      <c r="W49" s="529"/>
      <c r="X49" s="529"/>
      <c r="Y49" s="530"/>
      <c r="Z49" s="530"/>
      <c r="AA49" s="530"/>
      <c r="AB49" s="530"/>
      <c r="AC49" s="530"/>
      <c r="AD49" s="531"/>
      <c r="AE49" s="531"/>
      <c r="AF49" s="531"/>
      <c r="AG49" s="531"/>
      <c r="AH49" s="531"/>
      <c r="AI49" s="531"/>
      <c r="AJ49" s="531"/>
      <c r="AK49" s="531"/>
      <c r="AL49" s="531"/>
      <c r="AM49" s="531"/>
      <c r="AN49" s="531"/>
      <c r="AO49" s="531"/>
      <c r="AP49" s="531"/>
      <c r="AQ49" s="531"/>
      <c r="AR49" s="531"/>
      <c r="AS49" s="531"/>
      <c r="AT49" s="531"/>
      <c r="AU49" s="531"/>
      <c r="AV49" s="531"/>
      <c r="AW49" s="531"/>
      <c r="AX49" s="531"/>
      <c r="AY49" s="531"/>
      <c r="AZ49" s="531"/>
      <c r="BA49" s="531"/>
      <c r="BB49" s="531"/>
      <c r="BC49" s="531"/>
      <c r="BD49" s="531"/>
      <c r="BE49" s="531"/>
      <c r="BF49" s="531"/>
      <c r="BG49" s="531"/>
      <c r="BH49" s="531"/>
      <c r="BI49" s="531"/>
      <c r="BJ49" s="531"/>
      <c r="BK49" s="531"/>
      <c r="BL49" s="531"/>
      <c r="BM49" s="531"/>
      <c r="BN49" s="531"/>
      <c r="BO49" s="528">
        <f t="shared" si="36"/>
        <v>0</v>
      </c>
      <c r="BP49" s="517">
        <f t="shared" si="88"/>
        <v>0</v>
      </c>
      <c r="BQ49" s="532">
        <f t="shared" si="92"/>
        <v>0</v>
      </c>
      <c r="BR49" s="532">
        <f t="shared" si="93"/>
        <v>0</v>
      </c>
      <c r="BS49" s="532">
        <f t="shared" si="94"/>
        <v>0</v>
      </c>
      <c r="BT49" s="532">
        <f t="shared" si="95"/>
        <v>0</v>
      </c>
      <c r="BU49" s="532">
        <f t="shared" si="96"/>
        <v>0</v>
      </c>
      <c r="BV49" s="532">
        <f t="shared" si="97"/>
        <v>0</v>
      </c>
      <c r="BW49" s="518">
        <f t="shared" si="11"/>
        <v>0</v>
      </c>
      <c r="BX49" s="538"/>
      <c r="BY49" s="534"/>
      <c r="BZ49" s="535"/>
      <c r="CA49" s="535"/>
      <c r="CB49" s="538"/>
      <c r="CC49" s="534"/>
      <c r="CD49" s="535"/>
      <c r="CE49" s="535"/>
      <c r="CF49" s="538"/>
      <c r="CG49" s="534"/>
      <c r="CH49" s="535"/>
      <c r="CI49" s="535"/>
      <c r="CJ49" s="535"/>
      <c r="CK49" s="536"/>
      <c r="CL49" s="536"/>
    </row>
    <row r="50" spans="1:90" s="537" customFormat="1" ht="13.25" customHeight="1" outlineLevel="1" x14ac:dyDescent="0.3">
      <c r="A50" s="523"/>
      <c r="B50" s="524" t="s">
        <v>91</v>
      </c>
      <c r="C50" s="525" t="str">
        <f>'CC detallado'!A47</f>
        <v>1.2.4.5</v>
      </c>
      <c r="D50" s="557" t="str">
        <f>'CC detallado'!F47</f>
        <v>Jefe departamental</v>
      </c>
      <c r="E50" s="527"/>
      <c r="F50" s="515"/>
      <c r="G50" s="550"/>
      <c r="H50" s="550"/>
      <c r="I50" s="550"/>
      <c r="J50" s="550"/>
      <c r="K50" s="531"/>
      <c r="L50" s="531"/>
      <c r="M50" s="531"/>
      <c r="N50" s="531"/>
      <c r="O50" s="531"/>
      <c r="P50" s="531"/>
      <c r="Q50" s="531"/>
      <c r="R50" s="531"/>
      <c r="S50" s="531"/>
      <c r="T50" s="531"/>
      <c r="U50" s="529"/>
      <c r="V50" s="529"/>
      <c r="W50" s="558"/>
      <c r="X50" s="529"/>
      <c r="Y50" s="529"/>
      <c r="Z50" s="530"/>
      <c r="AA50" s="530"/>
      <c r="AB50" s="530"/>
      <c r="AC50" s="531"/>
      <c r="AD50" s="531"/>
      <c r="AE50" s="531"/>
      <c r="AF50" s="531"/>
      <c r="AG50" s="531"/>
      <c r="AH50" s="531"/>
      <c r="AI50" s="531"/>
      <c r="AJ50" s="531"/>
      <c r="AK50" s="531"/>
      <c r="AL50" s="531"/>
      <c r="AM50" s="531"/>
      <c r="AN50" s="531"/>
      <c r="AO50" s="531"/>
      <c r="AP50" s="531"/>
      <c r="AQ50" s="531"/>
      <c r="AR50" s="531"/>
      <c r="AS50" s="531"/>
      <c r="AT50" s="531"/>
      <c r="AU50" s="531"/>
      <c r="AV50" s="531"/>
      <c r="AW50" s="531"/>
      <c r="AX50" s="531"/>
      <c r="AY50" s="531"/>
      <c r="AZ50" s="531"/>
      <c r="BA50" s="531"/>
      <c r="BB50" s="531"/>
      <c r="BC50" s="531"/>
      <c r="BD50" s="531"/>
      <c r="BE50" s="531"/>
      <c r="BF50" s="531"/>
      <c r="BG50" s="531"/>
      <c r="BH50" s="531"/>
      <c r="BI50" s="531"/>
      <c r="BJ50" s="531"/>
      <c r="BK50" s="531"/>
      <c r="BL50" s="531"/>
      <c r="BM50" s="531"/>
      <c r="BN50" s="531"/>
      <c r="BO50" s="528">
        <f t="shared" si="36"/>
        <v>0</v>
      </c>
      <c r="BP50" s="517">
        <f t="shared" si="88"/>
        <v>0</v>
      </c>
      <c r="BQ50" s="532">
        <f t="shared" si="92"/>
        <v>0</v>
      </c>
      <c r="BR50" s="532">
        <f t="shared" si="93"/>
        <v>0</v>
      </c>
      <c r="BS50" s="532">
        <f t="shared" si="94"/>
        <v>0</v>
      </c>
      <c r="BT50" s="532">
        <f t="shared" si="95"/>
        <v>0</v>
      </c>
      <c r="BU50" s="532">
        <f t="shared" si="96"/>
        <v>0</v>
      </c>
      <c r="BV50" s="532">
        <f t="shared" si="97"/>
        <v>0</v>
      </c>
      <c r="BW50" s="518">
        <f t="shared" si="11"/>
        <v>0</v>
      </c>
      <c r="BX50" s="538"/>
      <c r="BY50" s="534"/>
      <c r="BZ50" s="535"/>
      <c r="CA50" s="535"/>
      <c r="CB50" s="538"/>
      <c r="CC50" s="534"/>
      <c r="CD50" s="535"/>
      <c r="CE50" s="535"/>
      <c r="CF50" s="538"/>
      <c r="CG50" s="534"/>
      <c r="CH50" s="535"/>
      <c r="CI50" s="535"/>
      <c r="CJ50" s="535"/>
      <c r="CK50" s="536"/>
      <c r="CL50" s="536"/>
    </row>
    <row r="51" spans="1:90" s="537" customFormat="1" ht="13.25" customHeight="1" outlineLevel="1" x14ac:dyDescent="0.3">
      <c r="A51" s="523"/>
      <c r="B51" s="524" t="s">
        <v>91</v>
      </c>
      <c r="C51" s="525" t="str">
        <f>'CC detallado'!A48</f>
        <v>1.2.4.6</v>
      </c>
      <c r="D51" s="557" t="str">
        <f>'CC detallado'!F48</f>
        <v>Jefe Distrital</v>
      </c>
      <c r="E51" s="527"/>
      <c r="F51" s="515"/>
      <c r="G51" s="550"/>
      <c r="H51" s="550"/>
      <c r="I51" s="550"/>
      <c r="J51" s="550"/>
      <c r="K51" s="531"/>
      <c r="L51" s="531"/>
      <c r="M51" s="531"/>
      <c r="N51" s="531"/>
      <c r="O51" s="531"/>
      <c r="P51" s="531"/>
      <c r="Q51" s="531"/>
      <c r="R51" s="531"/>
      <c r="S51" s="531"/>
      <c r="T51" s="531"/>
      <c r="U51" s="529"/>
      <c r="V51" s="529"/>
      <c r="W51" s="529"/>
      <c r="X51" s="529"/>
      <c r="Y51" s="529"/>
      <c r="Z51" s="530"/>
      <c r="AA51" s="530"/>
      <c r="AB51" s="530"/>
      <c r="AC51" s="531"/>
      <c r="AD51" s="531"/>
      <c r="AE51" s="531"/>
      <c r="AF51" s="531"/>
      <c r="AG51" s="531"/>
      <c r="AH51" s="531"/>
      <c r="AI51" s="531"/>
      <c r="AJ51" s="531"/>
      <c r="AK51" s="531"/>
      <c r="AL51" s="531"/>
      <c r="AM51" s="531"/>
      <c r="AN51" s="531"/>
      <c r="AO51" s="531"/>
      <c r="AP51" s="531"/>
      <c r="AQ51" s="531"/>
      <c r="AR51" s="531"/>
      <c r="AS51" s="531"/>
      <c r="AT51" s="531"/>
      <c r="AU51" s="531"/>
      <c r="AV51" s="531"/>
      <c r="AW51" s="531"/>
      <c r="AX51" s="531"/>
      <c r="AY51" s="531"/>
      <c r="AZ51" s="531"/>
      <c r="BA51" s="531"/>
      <c r="BB51" s="531"/>
      <c r="BC51" s="531"/>
      <c r="BD51" s="531"/>
      <c r="BE51" s="531"/>
      <c r="BF51" s="531"/>
      <c r="BG51" s="531"/>
      <c r="BH51" s="531"/>
      <c r="BI51" s="531"/>
      <c r="BJ51" s="531"/>
      <c r="BK51" s="531"/>
      <c r="BL51" s="531"/>
      <c r="BM51" s="531"/>
      <c r="BN51" s="531"/>
      <c r="BO51" s="528">
        <f t="shared" si="36"/>
        <v>0</v>
      </c>
      <c r="BP51" s="517">
        <f t="shared" si="88"/>
        <v>0</v>
      </c>
      <c r="BQ51" s="532">
        <f t="shared" si="92"/>
        <v>0</v>
      </c>
      <c r="BR51" s="532">
        <f t="shared" si="93"/>
        <v>0</v>
      </c>
      <c r="BS51" s="532">
        <f t="shared" si="94"/>
        <v>0</v>
      </c>
      <c r="BT51" s="532">
        <f t="shared" si="95"/>
        <v>0</v>
      </c>
      <c r="BU51" s="532">
        <f t="shared" si="96"/>
        <v>0</v>
      </c>
      <c r="BV51" s="532">
        <f t="shared" si="97"/>
        <v>0</v>
      </c>
      <c r="BW51" s="518">
        <f t="shared" si="11"/>
        <v>0</v>
      </c>
      <c r="BX51" s="538"/>
      <c r="BY51" s="534"/>
      <c r="BZ51" s="535"/>
      <c r="CA51" s="535"/>
      <c r="CB51" s="538"/>
      <c r="CC51" s="534"/>
      <c r="CD51" s="535"/>
      <c r="CE51" s="535"/>
      <c r="CF51" s="538"/>
      <c r="CG51" s="534"/>
      <c r="CH51" s="535"/>
      <c r="CI51" s="535"/>
      <c r="CJ51" s="535"/>
      <c r="CK51" s="536"/>
      <c r="CL51" s="536"/>
    </row>
    <row r="52" spans="1:90" s="537" customFormat="1" ht="13.25" customHeight="1" outlineLevel="1" x14ac:dyDescent="0.3">
      <c r="A52" s="523"/>
      <c r="B52" s="524" t="s">
        <v>91</v>
      </c>
      <c r="C52" s="525" t="str">
        <f>'CC detallado'!A49</f>
        <v>1.2.4.7</v>
      </c>
      <c r="D52" s="557" t="str">
        <f>'CC detallado'!F49</f>
        <v>Supervisor</v>
      </c>
      <c r="E52" s="527"/>
      <c r="F52" s="515"/>
      <c r="G52" s="550"/>
      <c r="H52" s="550"/>
      <c r="I52" s="550"/>
      <c r="J52" s="550"/>
      <c r="K52" s="531"/>
      <c r="L52" s="531"/>
      <c r="M52" s="531"/>
      <c r="N52" s="531"/>
      <c r="O52" s="531"/>
      <c r="P52" s="531"/>
      <c r="Q52" s="531"/>
      <c r="R52" s="531"/>
      <c r="S52" s="531"/>
      <c r="T52" s="531"/>
      <c r="U52" s="529"/>
      <c r="V52" s="529"/>
      <c r="W52" s="529"/>
      <c r="X52" s="529"/>
      <c r="Y52" s="529"/>
      <c r="Z52" s="559"/>
      <c r="AA52" s="559"/>
      <c r="AB52" s="559"/>
      <c r="AC52" s="559"/>
      <c r="AD52" s="531"/>
      <c r="AE52" s="531"/>
      <c r="AF52" s="531"/>
      <c r="AG52" s="531"/>
      <c r="AH52" s="531"/>
      <c r="AI52" s="531"/>
      <c r="AJ52" s="531"/>
      <c r="AK52" s="531"/>
      <c r="AL52" s="531"/>
      <c r="AM52" s="531"/>
      <c r="AN52" s="531"/>
      <c r="AO52" s="531"/>
      <c r="AP52" s="531"/>
      <c r="AQ52" s="531"/>
      <c r="AR52" s="531"/>
      <c r="AS52" s="531"/>
      <c r="AT52" s="531"/>
      <c r="AU52" s="531"/>
      <c r="AV52" s="531"/>
      <c r="AW52" s="531"/>
      <c r="AX52" s="531"/>
      <c r="AY52" s="531"/>
      <c r="AZ52" s="531"/>
      <c r="BA52" s="531"/>
      <c r="BB52" s="531"/>
      <c r="BC52" s="531"/>
      <c r="BD52" s="531"/>
      <c r="BE52" s="531"/>
      <c r="BF52" s="531"/>
      <c r="BG52" s="531"/>
      <c r="BH52" s="531"/>
      <c r="BI52" s="531"/>
      <c r="BJ52" s="531"/>
      <c r="BK52" s="531"/>
      <c r="BL52" s="531"/>
      <c r="BM52" s="531"/>
      <c r="BN52" s="531"/>
      <c r="BO52" s="528">
        <f t="shared" si="36"/>
        <v>0</v>
      </c>
      <c r="BP52" s="517">
        <f t="shared" si="88"/>
        <v>0</v>
      </c>
      <c r="BQ52" s="532">
        <f t="shared" ref="BQ52:BQ56" si="102">SUM(G52:M52)</f>
        <v>0</v>
      </c>
      <c r="BR52" s="532">
        <f t="shared" ref="BR52:BR56" si="103">SUM(N52:AD52)</f>
        <v>0</v>
      </c>
      <c r="BS52" s="532">
        <f t="shared" ref="BS52:BS56" si="104">SUM(AE52:AP52)</f>
        <v>0</v>
      </c>
      <c r="BT52" s="532">
        <f t="shared" ref="BT52:BT56" si="105">SUM(AQ52:BB52)</f>
        <v>0</v>
      </c>
      <c r="BU52" s="532">
        <f t="shared" ref="BU52:BU56" si="106">SUM(BC52:BN52)</f>
        <v>0</v>
      </c>
      <c r="BV52" s="532">
        <f t="shared" ref="BV52:BV56" si="107">SUM(BQ52:BU52)</f>
        <v>0</v>
      </c>
      <c r="BW52" s="518">
        <f t="shared" si="11"/>
        <v>0</v>
      </c>
      <c r="BX52" s="538"/>
      <c r="BY52" s="534"/>
      <c r="BZ52" s="535"/>
      <c r="CA52" s="535"/>
      <c r="CB52" s="538"/>
      <c r="CC52" s="534"/>
      <c r="CD52" s="535"/>
      <c r="CE52" s="535"/>
      <c r="CF52" s="538"/>
      <c r="CG52" s="534"/>
      <c r="CH52" s="535"/>
      <c r="CI52" s="535"/>
      <c r="CJ52" s="535"/>
      <c r="CK52" s="536"/>
      <c r="CL52" s="536"/>
    </row>
    <row r="53" spans="1:90" s="537" customFormat="1" ht="13.25" customHeight="1" outlineLevel="1" x14ac:dyDescent="0.3">
      <c r="A53" s="523"/>
      <c r="B53" s="524" t="s">
        <v>93</v>
      </c>
      <c r="C53" s="525" t="str">
        <f>'CC detallado'!A50</f>
        <v>1.2.4.8</v>
      </c>
      <c r="D53" s="557" t="str">
        <f>'CC detallado'!F50</f>
        <v>Censista</v>
      </c>
      <c r="E53" s="527"/>
      <c r="F53" s="515"/>
      <c r="G53" s="550"/>
      <c r="H53" s="550"/>
      <c r="I53" s="550"/>
      <c r="J53" s="550"/>
      <c r="K53" s="531"/>
      <c r="L53" s="531"/>
      <c r="M53" s="531"/>
      <c r="N53" s="531"/>
      <c r="O53" s="531"/>
      <c r="P53" s="531"/>
      <c r="Q53" s="531"/>
      <c r="R53" s="531"/>
      <c r="S53" s="529"/>
      <c r="T53" s="529"/>
      <c r="U53" s="529"/>
      <c r="V53" s="529"/>
      <c r="W53" s="529"/>
      <c r="X53" s="529"/>
      <c r="Y53" s="530"/>
      <c r="Z53" s="530"/>
      <c r="AA53" s="530"/>
      <c r="AB53" s="530"/>
      <c r="AC53" s="530"/>
      <c r="AD53" s="531"/>
      <c r="AE53" s="551"/>
      <c r="AF53" s="531"/>
      <c r="AG53" s="531"/>
      <c r="AH53" s="531"/>
      <c r="AI53" s="531"/>
      <c r="AJ53" s="531"/>
      <c r="AK53" s="531"/>
      <c r="AL53" s="531"/>
      <c r="AM53" s="531"/>
      <c r="AN53" s="531"/>
      <c r="AO53" s="531"/>
      <c r="AP53" s="531"/>
      <c r="AQ53" s="531"/>
      <c r="AR53" s="531"/>
      <c r="AS53" s="531"/>
      <c r="AT53" s="531"/>
      <c r="AU53" s="531"/>
      <c r="AV53" s="531"/>
      <c r="AW53" s="531"/>
      <c r="AX53" s="531"/>
      <c r="AY53" s="531"/>
      <c r="AZ53" s="531"/>
      <c r="BA53" s="531"/>
      <c r="BB53" s="531"/>
      <c r="BC53" s="531"/>
      <c r="BD53" s="531"/>
      <c r="BE53" s="531"/>
      <c r="BF53" s="531"/>
      <c r="BG53" s="531"/>
      <c r="BH53" s="531"/>
      <c r="BI53" s="531"/>
      <c r="BJ53" s="531"/>
      <c r="BK53" s="531"/>
      <c r="BL53" s="531"/>
      <c r="BM53" s="531"/>
      <c r="BN53" s="531"/>
      <c r="BO53" s="528">
        <f t="shared" si="36"/>
        <v>0</v>
      </c>
      <c r="BP53" s="517">
        <f t="shared" si="88"/>
        <v>0</v>
      </c>
      <c r="BQ53" s="532">
        <f t="shared" si="102"/>
        <v>0</v>
      </c>
      <c r="BR53" s="532">
        <f t="shared" si="103"/>
        <v>0</v>
      </c>
      <c r="BS53" s="532">
        <f t="shared" si="104"/>
        <v>0</v>
      </c>
      <c r="BT53" s="532">
        <f t="shared" si="105"/>
        <v>0</v>
      </c>
      <c r="BU53" s="532">
        <f t="shared" si="106"/>
        <v>0</v>
      </c>
      <c r="BV53" s="532">
        <f t="shared" si="107"/>
        <v>0</v>
      </c>
      <c r="BW53" s="518">
        <f t="shared" si="11"/>
        <v>0</v>
      </c>
      <c r="BX53" s="538"/>
      <c r="BY53" s="534"/>
      <c r="BZ53" s="535"/>
      <c r="CA53" s="535"/>
      <c r="CB53" s="538"/>
      <c r="CC53" s="534"/>
      <c r="CD53" s="535"/>
      <c r="CE53" s="535"/>
      <c r="CF53" s="538"/>
      <c r="CG53" s="534"/>
      <c r="CH53" s="535"/>
      <c r="CI53" s="535"/>
      <c r="CJ53" s="535"/>
      <c r="CK53" s="536"/>
      <c r="CL53" s="536"/>
    </row>
    <row r="54" spans="1:90" s="537" customFormat="1" ht="13.25" customHeight="1" outlineLevel="1" x14ac:dyDescent="0.3">
      <c r="A54" s="523"/>
      <c r="B54" s="524" t="s">
        <v>93</v>
      </c>
      <c r="C54" s="539" t="str">
        <f>'CC detallado'!A51</f>
        <v>1.2.4.9</v>
      </c>
      <c r="D54" s="540" t="str">
        <f>'CC detallado'!F51</f>
        <v>Apoyo Logístico para Censo (Alquiler y mantenimiento de subcentros operativos)</v>
      </c>
      <c r="E54" s="527">
        <f>'CC detallado'!N51</f>
        <v>80958.00303592511</v>
      </c>
      <c r="F54" s="515"/>
      <c r="G54" s="550"/>
      <c r="H54" s="550"/>
      <c r="I54" s="550"/>
      <c r="J54" s="550"/>
      <c r="K54" s="531"/>
      <c r="L54" s="531"/>
      <c r="M54" s="531"/>
      <c r="N54" s="531"/>
      <c r="O54" s="531"/>
      <c r="P54" s="531"/>
      <c r="Q54" s="531"/>
      <c r="R54" s="531"/>
      <c r="S54" s="528"/>
      <c r="T54" s="529"/>
      <c r="U54" s="529"/>
      <c r="V54" s="529"/>
      <c r="W54" s="529"/>
      <c r="X54" s="530">
        <f>E54/5</f>
        <v>16191.600607185022</v>
      </c>
      <c r="Y54" s="530">
        <f>X54</f>
        <v>16191.600607185022</v>
      </c>
      <c r="Z54" s="530">
        <f>Y54</f>
        <v>16191.600607185022</v>
      </c>
      <c r="AA54" s="530">
        <f>Z54</f>
        <v>16191.600607185022</v>
      </c>
      <c r="AB54" s="530">
        <f>AA54</f>
        <v>16191.600607185022</v>
      </c>
      <c r="AC54" s="528">
        <v>0</v>
      </c>
      <c r="AD54" s="528">
        <v>0</v>
      </c>
      <c r="AE54" s="531"/>
      <c r="AF54" s="531"/>
      <c r="AG54" s="531"/>
      <c r="AH54" s="531"/>
      <c r="AI54" s="531"/>
      <c r="AJ54" s="531"/>
      <c r="AK54" s="531"/>
      <c r="AL54" s="531"/>
      <c r="AM54" s="531"/>
      <c r="AN54" s="531"/>
      <c r="AO54" s="531"/>
      <c r="AP54" s="531"/>
      <c r="AQ54" s="531"/>
      <c r="AR54" s="531"/>
      <c r="AS54" s="531"/>
      <c r="AT54" s="531"/>
      <c r="AU54" s="531"/>
      <c r="AV54" s="531"/>
      <c r="AW54" s="531"/>
      <c r="AX54" s="531"/>
      <c r="AY54" s="531"/>
      <c r="AZ54" s="531"/>
      <c r="BA54" s="531"/>
      <c r="BB54" s="531"/>
      <c r="BC54" s="531"/>
      <c r="BD54" s="531"/>
      <c r="BE54" s="531"/>
      <c r="BF54" s="531"/>
      <c r="BG54" s="531"/>
      <c r="BH54" s="531"/>
      <c r="BI54" s="531"/>
      <c r="BJ54" s="531"/>
      <c r="BK54" s="531"/>
      <c r="BL54" s="531"/>
      <c r="BM54" s="531"/>
      <c r="BN54" s="531"/>
      <c r="BO54" s="528">
        <f t="shared" si="36"/>
        <v>80958.00303592511</v>
      </c>
      <c r="BP54" s="517">
        <f t="shared" si="88"/>
        <v>0</v>
      </c>
      <c r="BQ54" s="532">
        <f t="shared" si="102"/>
        <v>0</v>
      </c>
      <c r="BR54" s="532">
        <f t="shared" si="103"/>
        <v>80958.00303592511</v>
      </c>
      <c r="BS54" s="532">
        <f t="shared" si="104"/>
        <v>0</v>
      </c>
      <c r="BT54" s="532">
        <f t="shared" si="105"/>
        <v>0</v>
      </c>
      <c r="BU54" s="532">
        <f t="shared" si="106"/>
        <v>0</v>
      </c>
      <c r="BV54" s="532">
        <f t="shared" si="107"/>
        <v>80958.00303592511</v>
      </c>
      <c r="BW54" s="518">
        <f t="shared" si="11"/>
        <v>0</v>
      </c>
      <c r="BX54" s="538"/>
      <c r="BY54" s="534"/>
      <c r="BZ54" s="535"/>
      <c r="CA54" s="535"/>
      <c r="CB54" s="538"/>
      <c r="CC54" s="534"/>
      <c r="CD54" s="535"/>
      <c r="CE54" s="535"/>
      <c r="CF54" s="538"/>
      <c r="CG54" s="534"/>
      <c r="CH54" s="535"/>
      <c r="CI54" s="535"/>
      <c r="CJ54" s="535"/>
      <c r="CK54" s="536"/>
      <c r="CL54" s="536"/>
    </row>
    <row r="55" spans="1:90" s="537" customFormat="1" ht="13.25" customHeight="1" outlineLevel="1" x14ac:dyDescent="0.3">
      <c r="A55" s="523"/>
      <c r="B55" s="524"/>
      <c r="C55" s="539" t="str">
        <f>'CC detallado'!A52</f>
        <v>1.2.4.10</v>
      </c>
      <c r="D55" s="540" t="str">
        <f>'CC detallado'!F52</f>
        <v>Materiales para las capacitaciones y catering</v>
      </c>
      <c r="E55" s="527">
        <f>'CC detallado'!N52</f>
        <v>168662.506324844</v>
      </c>
      <c r="F55" s="515"/>
      <c r="G55" s="550"/>
      <c r="H55" s="528"/>
      <c r="I55" s="528"/>
      <c r="J55" s="528"/>
      <c r="K55" s="529"/>
      <c r="L55" s="529"/>
      <c r="M55" s="529"/>
      <c r="N55" s="529"/>
      <c r="O55" s="530">
        <f>E55*40%</f>
        <v>67465.002529937599</v>
      </c>
      <c r="P55" s="530"/>
      <c r="Q55" s="530"/>
      <c r="R55" s="530">
        <f>E55*60%</f>
        <v>101197.5037949064</v>
      </c>
      <c r="S55" s="531"/>
      <c r="T55" s="531"/>
      <c r="U55" s="531"/>
      <c r="V55" s="531"/>
      <c r="W55" s="531"/>
      <c r="X55" s="531"/>
      <c r="Y55" s="531"/>
      <c r="Z55" s="531"/>
      <c r="AA55" s="531"/>
      <c r="AB55" s="531"/>
      <c r="AC55" s="531"/>
      <c r="AD55" s="531"/>
      <c r="AE55" s="531"/>
      <c r="AF55" s="531"/>
      <c r="AG55" s="531"/>
      <c r="AH55" s="531"/>
      <c r="AI55" s="531"/>
      <c r="AJ55" s="531"/>
      <c r="AK55" s="531"/>
      <c r="AL55" s="531"/>
      <c r="AM55" s="531"/>
      <c r="AN55" s="531"/>
      <c r="AO55" s="531"/>
      <c r="AP55" s="531"/>
      <c r="AQ55" s="531"/>
      <c r="AR55" s="531"/>
      <c r="AS55" s="531"/>
      <c r="AT55" s="531"/>
      <c r="AU55" s="531"/>
      <c r="AV55" s="531"/>
      <c r="AW55" s="531"/>
      <c r="AX55" s="531"/>
      <c r="AY55" s="531"/>
      <c r="AZ55" s="531"/>
      <c r="BA55" s="531"/>
      <c r="BB55" s="531"/>
      <c r="BC55" s="531"/>
      <c r="BD55" s="531"/>
      <c r="BE55" s="531"/>
      <c r="BF55" s="531"/>
      <c r="BG55" s="531"/>
      <c r="BH55" s="531"/>
      <c r="BI55" s="531"/>
      <c r="BJ55" s="531"/>
      <c r="BK55" s="531"/>
      <c r="BL55" s="531"/>
      <c r="BM55" s="531"/>
      <c r="BN55" s="531"/>
      <c r="BO55" s="528">
        <f t="shared" si="36"/>
        <v>168662.506324844</v>
      </c>
      <c r="BP55" s="517">
        <f t="shared" si="88"/>
        <v>0</v>
      </c>
      <c r="BQ55" s="532">
        <f t="shared" si="102"/>
        <v>0</v>
      </c>
      <c r="BR55" s="532">
        <f t="shared" si="103"/>
        <v>168662.506324844</v>
      </c>
      <c r="BS55" s="532">
        <f t="shared" si="104"/>
        <v>0</v>
      </c>
      <c r="BT55" s="532">
        <f t="shared" si="105"/>
        <v>0</v>
      </c>
      <c r="BU55" s="532">
        <f t="shared" si="106"/>
        <v>0</v>
      </c>
      <c r="BV55" s="532">
        <f t="shared" si="107"/>
        <v>168662.506324844</v>
      </c>
      <c r="BW55" s="518">
        <f t="shared" si="11"/>
        <v>0</v>
      </c>
      <c r="BX55" s="538"/>
      <c r="BY55" s="534"/>
      <c r="BZ55" s="535"/>
      <c r="CA55" s="535"/>
      <c r="CB55" s="538"/>
      <c r="CC55" s="534"/>
      <c r="CD55" s="535"/>
      <c r="CE55" s="535"/>
      <c r="CF55" s="538"/>
      <c r="CG55" s="534"/>
      <c r="CH55" s="535"/>
      <c r="CI55" s="535"/>
      <c r="CJ55" s="535"/>
      <c r="CK55" s="536"/>
      <c r="CL55" s="536"/>
    </row>
    <row r="56" spans="1:90" s="537" customFormat="1" ht="13.25" customHeight="1" outlineLevel="1" x14ac:dyDescent="0.3">
      <c r="A56" s="523"/>
      <c r="B56" s="524"/>
      <c r="C56" s="525" t="str">
        <f>'CC detallado'!A53</f>
        <v>1.2.4.11</v>
      </c>
      <c r="D56" s="526" t="str">
        <f>'CC detallado'!F53</f>
        <v>Diseño e Impresión de cuestionarios censales</v>
      </c>
      <c r="E56" s="527">
        <f>'CC detallado'!N53</f>
        <v>20239.500758981278</v>
      </c>
      <c r="F56" s="515"/>
      <c r="G56" s="550"/>
      <c r="H56" s="528"/>
      <c r="I56" s="528"/>
      <c r="J56" s="528"/>
      <c r="K56" s="529"/>
      <c r="L56" s="529"/>
      <c r="M56" s="529"/>
      <c r="N56" s="529"/>
      <c r="O56" s="530">
        <f>E56*40%</f>
        <v>8095.8003035925112</v>
      </c>
      <c r="P56" s="530"/>
      <c r="Q56" s="530"/>
      <c r="R56" s="530">
        <f>E56*60%</f>
        <v>12143.700455388765</v>
      </c>
      <c r="S56" s="531"/>
      <c r="T56" s="531"/>
      <c r="U56" s="531"/>
      <c r="V56" s="531"/>
      <c r="W56" s="531"/>
      <c r="X56" s="531"/>
      <c r="Y56" s="531"/>
      <c r="Z56" s="531"/>
      <c r="AA56" s="531"/>
      <c r="AB56" s="531"/>
      <c r="AC56" s="531"/>
      <c r="AD56" s="531"/>
      <c r="AE56" s="531"/>
      <c r="AF56" s="531"/>
      <c r="AG56" s="531"/>
      <c r="AH56" s="531"/>
      <c r="AI56" s="531"/>
      <c r="AJ56" s="531"/>
      <c r="AK56" s="531"/>
      <c r="AL56" s="531"/>
      <c r="AM56" s="531"/>
      <c r="AN56" s="531"/>
      <c r="AO56" s="531"/>
      <c r="AP56" s="531"/>
      <c r="AQ56" s="531"/>
      <c r="AR56" s="531"/>
      <c r="AS56" s="531"/>
      <c r="AT56" s="531"/>
      <c r="AU56" s="531"/>
      <c r="AV56" s="531"/>
      <c r="AW56" s="531"/>
      <c r="AX56" s="531"/>
      <c r="AY56" s="531"/>
      <c r="AZ56" s="531"/>
      <c r="BA56" s="531"/>
      <c r="BB56" s="531"/>
      <c r="BC56" s="531"/>
      <c r="BD56" s="531"/>
      <c r="BE56" s="531"/>
      <c r="BF56" s="531"/>
      <c r="BG56" s="531"/>
      <c r="BH56" s="531"/>
      <c r="BI56" s="531"/>
      <c r="BJ56" s="531"/>
      <c r="BK56" s="531"/>
      <c r="BL56" s="531"/>
      <c r="BM56" s="531"/>
      <c r="BN56" s="531"/>
      <c r="BO56" s="528">
        <f t="shared" si="36"/>
        <v>20239.500758981278</v>
      </c>
      <c r="BP56" s="517">
        <f t="shared" si="88"/>
        <v>0</v>
      </c>
      <c r="BQ56" s="532">
        <f t="shared" si="102"/>
        <v>0</v>
      </c>
      <c r="BR56" s="532">
        <f t="shared" si="103"/>
        <v>20239.500758981278</v>
      </c>
      <c r="BS56" s="532">
        <f t="shared" si="104"/>
        <v>0</v>
      </c>
      <c r="BT56" s="532">
        <f t="shared" si="105"/>
        <v>0</v>
      </c>
      <c r="BU56" s="532">
        <f t="shared" si="106"/>
        <v>0</v>
      </c>
      <c r="BV56" s="532">
        <f t="shared" si="107"/>
        <v>20239.500758981278</v>
      </c>
      <c r="BW56" s="518">
        <f t="shared" si="11"/>
        <v>0</v>
      </c>
      <c r="BX56" s="538"/>
      <c r="BY56" s="534"/>
      <c r="BZ56" s="535"/>
      <c r="CA56" s="535"/>
      <c r="CB56" s="538"/>
      <c r="CC56" s="534"/>
      <c r="CD56" s="535"/>
      <c r="CE56" s="535"/>
      <c r="CF56" s="538"/>
      <c r="CG56" s="534"/>
      <c r="CH56" s="535"/>
      <c r="CI56" s="535"/>
      <c r="CJ56" s="535"/>
      <c r="CK56" s="536"/>
      <c r="CL56" s="536"/>
    </row>
    <row r="57" spans="1:90" s="537" customFormat="1" ht="13.25" customHeight="1" outlineLevel="1" x14ac:dyDescent="0.3">
      <c r="A57" s="523"/>
      <c r="B57" s="524"/>
      <c r="C57" s="525" t="str">
        <f>'CC detallado'!A54</f>
        <v>1.2.4.12</v>
      </c>
      <c r="D57" s="526" t="str">
        <f>'CC detallado'!F54</f>
        <v>Identificador Personal(chalecos, quepis, porta nombre)</v>
      </c>
      <c r="E57" s="527">
        <f>'CC detallado'!N54</f>
        <v>55658.627087198518</v>
      </c>
      <c r="F57" s="515"/>
      <c r="G57" s="550"/>
      <c r="H57" s="528"/>
      <c r="I57" s="528"/>
      <c r="J57" s="528"/>
      <c r="K57" s="529"/>
      <c r="L57" s="529"/>
      <c r="M57" s="529"/>
      <c r="N57" s="529"/>
      <c r="O57" s="530">
        <f>E57*40%</f>
        <v>22263.450834879408</v>
      </c>
      <c r="P57" s="530"/>
      <c r="Q57" s="530"/>
      <c r="R57" s="530">
        <f>E57*60%</f>
        <v>33395.176252319106</v>
      </c>
      <c r="S57" s="531"/>
      <c r="T57" s="531"/>
      <c r="U57" s="531"/>
      <c r="V57" s="531"/>
      <c r="W57" s="531"/>
      <c r="X57" s="531"/>
      <c r="Y57" s="531"/>
      <c r="Z57" s="531"/>
      <c r="AA57" s="531"/>
      <c r="AB57" s="531"/>
      <c r="AC57" s="531"/>
      <c r="AD57" s="531"/>
      <c r="AE57" s="531"/>
      <c r="AF57" s="531"/>
      <c r="AG57" s="531"/>
      <c r="AH57" s="531"/>
      <c r="AI57" s="531"/>
      <c r="AJ57" s="531"/>
      <c r="AK57" s="531"/>
      <c r="AL57" s="531"/>
      <c r="AM57" s="531"/>
      <c r="AN57" s="531"/>
      <c r="AO57" s="531"/>
      <c r="AP57" s="531"/>
      <c r="AQ57" s="531"/>
      <c r="AR57" s="531"/>
      <c r="AS57" s="531"/>
      <c r="AT57" s="531"/>
      <c r="AU57" s="531"/>
      <c r="AV57" s="531"/>
      <c r="AW57" s="531"/>
      <c r="AX57" s="531"/>
      <c r="AY57" s="531"/>
      <c r="AZ57" s="531"/>
      <c r="BA57" s="531"/>
      <c r="BB57" s="531"/>
      <c r="BC57" s="531"/>
      <c r="BD57" s="531"/>
      <c r="BE57" s="531"/>
      <c r="BF57" s="531"/>
      <c r="BG57" s="531"/>
      <c r="BH57" s="531"/>
      <c r="BI57" s="531"/>
      <c r="BJ57" s="531"/>
      <c r="BK57" s="531"/>
      <c r="BL57" s="531"/>
      <c r="BM57" s="531"/>
      <c r="BN57" s="531"/>
      <c r="BO57" s="528">
        <f t="shared" si="36"/>
        <v>55658.627087198518</v>
      </c>
      <c r="BP57" s="517">
        <f t="shared" si="88"/>
        <v>0</v>
      </c>
      <c r="BQ57" s="532">
        <f t="shared" ref="BQ57" si="108">SUM(G57:M57)</f>
        <v>0</v>
      </c>
      <c r="BR57" s="532">
        <f t="shared" ref="BR57" si="109">SUM(N57:AD57)</f>
        <v>55658.627087198518</v>
      </c>
      <c r="BS57" s="532">
        <f t="shared" ref="BS57" si="110">SUM(AE57:AP57)</f>
        <v>0</v>
      </c>
      <c r="BT57" s="532">
        <f t="shared" ref="BT57" si="111">SUM(AQ57:BB57)</f>
        <v>0</v>
      </c>
      <c r="BU57" s="532">
        <f t="shared" ref="BU57" si="112">SUM(BC57:BN57)</f>
        <v>0</v>
      </c>
      <c r="BV57" s="532">
        <f t="shared" ref="BV57" si="113">SUM(BQ57:BU57)</f>
        <v>55658.627087198518</v>
      </c>
      <c r="BW57" s="518">
        <f t="shared" si="11"/>
        <v>0</v>
      </c>
      <c r="BX57" s="538"/>
      <c r="BY57" s="534"/>
      <c r="BZ57" s="535"/>
      <c r="CA57" s="535"/>
      <c r="CB57" s="538"/>
      <c r="CC57" s="534"/>
      <c r="CD57" s="535"/>
      <c r="CE57" s="535"/>
      <c r="CF57" s="538"/>
      <c r="CG57" s="534"/>
      <c r="CH57" s="535"/>
      <c r="CI57" s="535"/>
      <c r="CJ57" s="535"/>
      <c r="CK57" s="536"/>
      <c r="CL57" s="536"/>
    </row>
    <row r="58" spans="1:90" s="537" customFormat="1" ht="13.25" customHeight="1" outlineLevel="1" x14ac:dyDescent="0.3">
      <c r="A58" s="523"/>
      <c r="B58" s="524"/>
      <c r="C58" s="552" t="str">
        <f>'CC detallado'!A55</f>
        <v>1.2.5</v>
      </c>
      <c r="D58" s="553" t="str">
        <f>'CC detallado'!F55</f>
        <v xml:space="preserve">Diseño y difusión del Operativo Censal realizada  </v>
      </c>
      <c r="E58" s="548">
        <f>SUM(E59:E60)</f>
        <v>236127.5088547816</v>
      </c>
      <c r="F58" s="515"/>
      <c r="G58" s="549">
        <f t="shared" ref="G58:BQ58" si="114">SUM(G59:G60)</f>
        <v>0</v>
      </c>
      <c r="H58" s="549">
        <f t="shared" si="114"/>
        <v>0</v>
      </c>
      <c r="I58" s="549">
        <f t="shared" si="114"/>
        <v>0</v>
      </c>
      <c r="J58" s="549">
        <f t="shared" si="114"/>
        <v>0</v>
      </c>
      <c r="K58" s="549">
        <f t="shared" si="114"/>
        <v>0</v>
      </c>
      <c r="L58" s="549">
        <f t="shared" si="114"/>
        <v>0</v>
      </c>
      <c r="M58" s="549">
        <f t="shared" si="114"/>
        <v>0</v>
      </c>
      <c r="N58" s="549">
        <f t="shared" si="114"/>
        <v>0</v>
      </c>
      <c r="O58" s="549">
        <f t="shared" si="114"/>
        <v>0</v>
      </c>
      <c r="P58" s="549">
        <f t="shared" si="114"/>
        <v>0</v>
      </c>
      <c r="Q58" s="549">
        <f t="shared" si="114"/>
        <v>0</v>
      </c>
      <c r="R58" s="549">
        <f t="shared" si="114"/>
        <v>0</v>
      </c>
      <c r="S58" s="549">
        <f t="shared" si="114"/>
        <v>0</v>
      </c>
      <c r="T58" s="549">
        <f t="shared" si="114"/>
        <v>0</v>
      </c>
      <c r="U58" s="549">
        <f t="shared" si="114"/>
        <v>0</v>
      </c>
      <c r="V58" s="549">
        <f t="shared" si="114"/>
        <v>0</v>
      </c>
      <c r="W58" s="549">
        <f t="shared" si="114"/>
        <v>0</v>
      </c>
      <c r="X58" s="549">
        <f t="shared" si="114"/>
        <v>59031.877213695399</v>
      </c>
      <c r="Y58" s="549">
        <f t="shared" si="114"/>
        <v>59031.877213695399</v>
      </c>
      <c r="Z58" s="549">
        <f t="shared" si="114"/>
        <v>59031.877213695399</v>
      </c>
      <c r="AA58" s="549">
        <f t="shared" si="114"/>
        <v>59031.877213695399</v>
      </c>
      <c r="AB58" s="549">
        <f t="shared" si="114"/>
        <v>0</v>
      </c>
      <c r="AC58" s="549">
        <f t="shared" si="114"/>
        <v>0</v>
      </c>
      <c r="AD58" s="549">
        <f t="shared" si="114"/>
        <v>0</v>
      </c>
      <c r="AE58" s="549">
        <f t="shared" si="114"/>
        <v>0</v>
      </c>
      <c r="AF58" s="549">
        <f t="shared" si="114"/>
        <v>0</v>
      </c>
      <c r="AG58" s="549">
        <f t="shared" si="114"/>
        <v>0</v>
      </c>
      <c r="AH58" s="549">
        <f t="shared" si="114"/>
        <v>0</v>
      </c>
      <c r="AI58" s="549">
        <f t="shared" si="114"/>
        <v>0</v>
      </c>
      <c r="AJ58" s="549">
        <f t="shared" si="114"/>
        <v>0</v>
      </c>
      <c r="AK58" s="549">
        <f t="shared" si="114"/>
        <v>0</v>
      </c>
      <c r="AL58" s="549">
        <f t="shared" si="114"/>
        <v>0</v>
      </c>
      <c r="AM58" s="549">
        <f t="shared" si="114"/>
        <v>0</v>
      </c>
      <c r="AN58" s="549">
        <f t="shared" si="114"/>
        <v>0</v>
      </c>
      <c r="AO58" s="549">
        <f t="shared" si="114"/>
        <v>0</v>
      </c>
      <c r="AP58" s="549">
        <f t="shared" si="114"/>
        <v>0</v>
      </c>
      <c r="AQ58" s="549">
        <f t="shared" si="114"/>
        <v>0</v>
      </c>
      <c r="AR58" s="549">
        <f t="shared" si="114"/>
        <v>0</v>
      </c>
      <c r="AS58" s="549">
        <f t="shared" si="114"/>
        <v>0</v>
      </c>
      <c r="AT58" s="549">
        <f t="shared" si="114"/>
        <v>0</v>
      </c>
      <c r="AU58" s="549">
        <f t="shared" si="114"/>
        <v>0</v>
      </c>
      <c r="AV58" s="549">
        <f t="shared" si="114"/>
        <v>0</v>
      </c>
      <c r="AW58" s="549">
        <f t="shared" si="114"/>
        <v>0</v>
      </c>
      <c r="AX58" s="549">
        <f t="shared" si="114"/>
        <v>0</v>
      </c>
      <c r="AY58" s="549">
        <f t="shared" si="114"/>
        <v>0</v>
      </c>
      <c r="AZ58" s="549">
        <f t="shared" si="114"/>
        <v>0</v>
      </c>
      <c r="BA58" s="549">
        <f t="shared" si="114"/>
        <v>0</v>
      </c>
      <c r="BB58" s="549">
        <f t="shared" si="114"/>
        <v>0</v>
      </c>
      <c r="BC58" s="549">
        <f t="shared" si="114"/>
        <v>0</v>
      </c>
      <c r="BD58" s="549">
        <f t="shared" si="114"/>
        <v>0</v>
      </c>
      <c r="BE58" s="549">
        <f t="shared" si="114"/>
        <v>0</v>
      </c>
      <c r="BF58" s="549">
        <f t="shared" si="114"/>
        <v>0</v>
      </c>
      <c r="BG58" s="549">
        <f t="shared" si="114"/>
        <v>0</v>
      </c>
      <c r="BH58" s="549">
        <f t="shared" si="114"/>
        <v>0</v>
      </c>
      <c r="BI58" s="549">
        <f t="shared" si="114"/>
        <v>0</v>
      </c>
      <c r="BJ58" s="549">
        <f t="shared" si="114"/>
        <v>0</v>
      </c>
      <c r="BK58" s="549">
        <f t="shared" si="114"/>
        <v>0</v>
      </c>
      <c r="BL58" s="549">
        <f t="shared" si="114"/>
        <v>0</v>
      </c>
      <c r="BM58" s="549">
        <f t="shared" si="114"/>
        <v>0</v>
      </c>
      <c r="BN58" s="549">
        <f t="shared" si="114"/>
        <v>0</v>
      </c>
      <c r="BO58" s="549">
        <f t="shared" si="114"/>
        <v>236127.5088547816</v>
      </c>
      <c r="BP58" s="517">
        <f t="shared" si="88"/>
        <v>0</v>
      </c>
      <c r="BQ58" s="548">
        <f t="shared" si="114"/>
        <v>0</v>
      </c>
      <c r="BR58" s="548">
        <f t="shared" ref="BR58:BV58" si="115">SUM(BR59:BR60)</f>
        <v>236127.5088547816</v>
      </c>
      <c r="BS58" s="548">
        <f t="shared" si="115"/>
        <v>0</v>
      </c>
      <c r="BT58" s="548">
        <f t="shared" si="115"/>
        <v>0</v>
      </c>
      <c r="BU58" s="548">
        <f t="shared" si="115"/>
        <v>0</v>
      </c>
      <c r="BV58" s="548">
        <f t="shared" si="115"/>
        <v>236127.5088547816</v>
      </c>
      <c r="BW58" s="518">
        <f t="shared" si="11"/>
        <v>0</v>
      </c>
      <c r="BX58" s="535"/>
      <c r="BY58" s="534"/>
      <c r="BZ58" s="535"/>
      <c r="CA58" s="535"/>
      <c r="CB58" s="535"/>
      <c r="CC58" s="534"/>
      <c r="CD58" s="535"/>
      <c r="CE58" s="535"/>
      <c r="CF58" s="535"/>
      <c r="CG58" s="534"/>
      <c r="CH58" s="535"/>
      <c r="CI58" s="535"/>
      <c r="CJ58" s="535"/>
      <c r="CK58" s="536"/>
      <c r="CL58" s="536"/>
    </row>
    <row r="59" spans="1:90" s="537" customFormat="1" ht="13.25" customHeight="1" outlineLevel="1" x14ac:dyDescent="0.3">
      <c r="A59" s="523"/>
      <c r="B59" s="524" t="s">
        <v>93</v>
      </c>
      <c r="C59" s="525" t="str">
        <f>'CC detallado'!A56</f>
        <v>1.2.5.1</v>
      </c>
      <c r="D59" s="560" t="str">
        <f>'CC detallado'!F56</f>
        <v>Spot Publicitario en Radio</v>
      </c>
      <c r="E59" s="527">
        <f>'CC detallado'!N56</f>
        <v>101197.5037949064</v>
      </c>
      <c r="F59" s="515"/>
      <c r="G59" s="550"/>
      <c r="H59" s="550"/>
      <c r="I59" s="550"/>
      <c r="J59" s="550"/>
      <c r="K59" s="531"/>
      <c r="L59" s="531"/>
      <c r="M59" s="531"/>
      <c r="N59" s="531"/>
      <c r="O59" s="531"/>
      <c r="P59" s="531"/>
      <c r="Q59" s="531"/>
      <c r="R59" s="528"/>
      <c r="S59" s="528"/>
      <c r="T59" s="529"/>
      <c r="U59" s="529"/>
      <c r="V59" s="529"/>
      <c r="W59" s="529"/>
      <c r="X59" s="530">
        <f>E59/4</f>
        <v>25299.3759487266</v>
      </c>
      <c r="Y59" s="530">
        <f t="shared" ref="Y59:AA60" si="116">X59</f>
        <v>25299.3759487266</v>
      </c>
      <c r="Z59" s="530">
        <f t="shared" si="116"/>
        <v>25299.3759487266</v>
      </c>
      <c r="AA59" s="530">
        <f t="shared" si="116"/>
        <v>25299.3759487266</v>
      </c>
      <c r="AB59" s="528">
        <v>0</v>
      </c>
      <c r="AC59" s="531"/>
      <c r="AD59" s="531"/>
      <c r="AE59" s="531"/>
      <c r="AF59" s="531"/>
      <c r="AG59" s="531"/>
      <c r="AH59" s="531"/>
      <c r="AI59" s="531"/>
      <c r="AJ59" s="531"/>
      <c r="AK59" s="531"/>
      <c r="AL59" s="531"/>
      <c r="AM59" s="531"/>
      <c r="AN59" s="531"/>
      <c r="AO59" s="531"/>
      <c r="AP59" s="531"/>
      <c r="AQ59" s="531"/>
      <c r="AR59" s="531"/>
      <c r="AS59" s="531"/>
      <c r="AT59" s="531"/>
      <c r="AU59" s="531"/>
      <c r="AV59" s="531"/>
      <c r="AW59" s="531"/>
      <c r="AX59" s="531"/>
      <c r="AY59" s="531"/>
      <c r="AZ59" s="531"/>
      <c r="BA59" s="531"/>
      <c r="BB59" s="531"/>
      <c r="BC59" s="531"/>
      <c r="BD59" s="531"/>
      <c r="BE59" s="531"/>
      <c r="BF59" s="531"/>
      <c r="BG59" s="531"/>
      <c r="BH59" s="531"/>
      <c r="BI59" s="531"/>
      <c r="BJ59" s="531"/>
      <c r="BK59" s="531"/>
      <c r="BL59" s="531"/>
      <c r="BM59" s="531"/>
      <c r="BN59" s="531"/>
      <c r="BO59" s="528">
        <f t="shared" si="36"/>
        <v>101197.5037949064</v>
      </c>
      <c r="BP59" s="517">
        <f t="shared" si="88"/>
        <v>0</v>
      </c>
      <c r="BQ59" s="532">
        <f t="shared" ref="BQ59:BQ60" si="117">SUM(G59:M59)</f>
        <v>0</v>
      </c>
      <c r="BR59" s="532">
        <f t="shared" ref="BR59:BR60" si="118">SUM(N59:AD59)</f>
        <v>101197.5037949064</v>
      </c>
      <c r="BS59" s="532">
        <f t="shared" ref="BS59:BS60" si="119">SUM(AE59:AP59)</f>
        <v>0</v>
      </c>
      <c r="BT59" s="532">
        <f t="shared" ref="BT59:BT60" si="120">SUM(AQ59:BB59)</f>
        <v>0</v>
      </c>
      <c r="BU59" s="532">
        <f t="shared" ref="BU59:BU60" si="121">SUM(BC59:BN59)</f>
        <v>0</v>
      </c>
      <c r="BV59" s="532">
        <f t="shared" ref="BV59:BV60" si="122">SUM(BQ59:BU59)</f>
        <v>101197.5037949064</v>
      </c>
      <c r="BW59" s="518">
        <f t="shared" si="11"/>
        <v>0</v>
      </c>
      <c r="BX59" s="538"/>
      <c r="BY59" s="534"/>
      <c r="BZ59" s="535"/>
      <c r="CA59" s="535"/>
      <c r="CB59" s="538"/>
      <c r="CC59" s="534"/>
      <c r="CD59" s="535"/>
      <c r="CE59" s="535"/>
      <c r="CF59" s="538"/>
      <c r="CG59" s="534"/>
      <c r="CH59" s="535"/>
      <c r="CI59" s="535"/>
      <c r="CJ59" s="535"/>
      <c r="CK59" s="536"/>
      <c r="CL59" s="536"/>
    </row>
    <row r="60" spans="1:90" s="537" customFormat="1" ht="13.25" customHeight="1" outlineLevel="1" x14ac:dyDescent="0.3">
      <c r="A60" s="523"/>
      <c r="B60" s="524" t="s">
        <v>93</v>
      </c>
      <c r="C60" s="525" t="str">
        <f>'CC detallado'!A57</f>
        <v>1.2.5.2</v>
      </c>
      <c r="D60" s="560" t="str">
        <f>'CC detallado'!F57</f>
        <v>Spot Publicitario en T.V</v>
      </c>
      <c r="E60" s="527">
        <f>'CC detallado'!N57</f>
        <v>134930.0050598752</v>
      </c>
      <c r="F60" s="515"/>
      <c r="G60" s="550"/>
      <c r="H60" s="550"/>
      <c r="I60" s="550"/>
      <c r="J60" s="550"/>
      <c r="K60" s="531"/>
      <c r="L60" s="531"/>
      <c r="M60" s="531"/>
      <c r="N60" s="531"/>
      <c r="O60" s="531"/>
      <c r="P60" s="531"/>
      <c r="Q60" s="531"/>
      <c r="R60" s="528"/>
      <c r="S60" s="528"/>
      <c r="T60" s="529"/>
      <c r="U60" s="529"/>
      <c r="V60" s="529"/>
      <c r="W60" s="529"/>
      <c r="X60" s="530">
        <f>E60/4</f>
        <v>33732.5012649688</v>
      </c>
      <c r="Y60" s="530">
        <f t="shared" si="116"/>
        <v>33732.5012649688</v>
      </c>
      <c r="Z60" s="530">
        <f t="shared" si="116"/>
        <v>33732.5012649688</v>
      </c>
      <c r="AA60" s="530">
        <f t="shared" si="116"/>
        <v>33732.5012649688</v>
      </c>
      <c r="AB60" s="528">
        <v>0</v>
      </c>
      <c r="AC60" s="531"/>
      <c r="AD60" s="531"/>
      <c r="AE60" s="531"/>
      <c r="AF60" s="531"/>
      <c r="AG60" s="531"/>
      <c r="AH60" s="531"/>
      <c r="AI60" s="531"/>
      <c r="AJ60" s="531"/>
      <c r="AK60" s="531"/>
      <c r="AL60" s="531"/>
      <c r="AM60" s="531"/>
      <c r="AN60" s="531"/>
      <c r="AO60" s="531"/>
      <c r="AP60" s="531"/>
      <c r="AQ60" s="531"/>
      <c r="AR60" s="531"/>
      <c r="AS60" s="531"/>
      <c r="AT60" s="531"/>
      <c r="AU60" s="531"/>
      <c r="AV60" s="531"/>
      <c r="AW60" s="531"/>
      <c r="AX60" s="531"/>
      <c r="AY60" s="531"/>
      <c r="AZ60" s="531"/>
      <c r="BA60" s="531"/>
      <c r="BB60" s="531"/>
      <c r="BC60" s="531"/>
      <c r="BD60" s="531"/>
      <c r="BE60" s="531"/>
      <c r="BF60" s="531"/>
      <c r="BG60" s="531"/>
      <c r="BH60" s="531"/>
      <c r="BI60" s="531"/>
      <c r="BJ60" s="531"/>
      <c r="BK60" s="531"/>
      <c r="BL60" s="531"/>
      <c r="BM60" s="531"/>
      <c r="BN60" s="531"/>
      <c r="BO60" s="528">
        <f t="shared" si="36"/>
        <v>134930.0050598752</v>
      </c>
      <c r="BP60" s="517">
        <f t="shared" si="88"/>
        <v>0</v>
      </c>
      <c r="BQ60" s="532">
        <f t="shared" si="117"/>
        <v>0</v>
      </c>
      <c r="BR60" s="532">
        <f t="shared" si="118"/>
        <v>134930.0050598752</v>
      </c>
      <c r="BS60" s="532">
        <f t="shared" si="119"/>
        <v>0</v>
      </c>
      <c r="BT60" s="532">
        <f t="shared" si="120"/>
        <v>0</v>
      </c>
      <c r="BU60" s="532">
        <f t="shared" si="121"/>
        <v>0</v>
      </c>
      <c r="BV60" s="532">
        <f t="shared" si="122"/>
        <v>134930.0050598752</v>
      </c>
      <c r="BW60" s="518">
        <f t="shared" si="11"/>
        <v>0</v>
      </c>
      <c r="BX60" s="533"/>
      <c r="BY60" s="534"/>
      <c r="BZ60" s="535"/>
      <c r="CA60" s="535"/>
      <c r="CB60" s="533"/>
      <c r="CC60" s="534"/>
      <c r="CD60" s="535"/>
      <c r="CE60" s="535"/>
      <c r="CF60" s="533"/>
      <c r="CG60" s="534"/>
      <c r="CH60" s="535"/>
      <c r="CI60" s="535"/>
      <c r="CJ60" s="535"/>
      <c r="CK60" s="536"/>
      <c r="CL60" s="536"/>
    </row>
    <row r="61" spans="1:90" s="537" customFormat="1" ht="13.25" customHeight="1" outlineLevel="1" x14ac:dyDescent="0.3">
      <c r="A61" s="523"/>
      <c r="B61" s="524"/>
      <c r="C61" s="552" t="str">
        <f>'CC detallado'!A58</f>
        <v>1.2.6</v>
      </c>
      <c r="D61" s="553" t="str">
        <f>'CC detallado'!F58</f>
        <v>Sistema de procesamiento, análisis y difusión de datos del Censo desarrollado</v>
      </c>
      <c r="E61" s="548">
        <f>E62+E63+E64+E65+E66+E69+E70+E71+E72</f>
        <v>370551.52639568225</v>
      </c>
      <c r="F61" s="515"/>
      <c r="G61" s="549">
        <f t="shared" ref="G61:BQ61" si="123">G62+G63+G64+G65+G66+G69+G70+G71+G72</f>
        <v>0</v>
      </c>
      <c r="H61" s="549">
        <f t="shared" si="123"/>
        <v>0</v>
      </c>
      <c r="I61" s="549">
        <f t="shared" si="123"/>
        <v>0</v>
      </c>
      <c r="J61" s="549">
        <f t="shared" si="123"/>
        <v>0</v>
      </c>
      <c r="K61" s="549">
        <f t="shared" si="123"/>
        <v>0</v>
      </c>
      <c r="L61" s="549">
        <f t="shared" si="123"/>
        <v>0</v>
      </c>
      <c r="M61" s="549">
        <f t="shared" si="123"/>
        <v>0</v>
      </c>
      <c r="N61" s="549">
        <f t="shared" si="123"/>
        <v>0</v>
      </c>
      <c r="O61" s="549">
        <f t="shared" si="123"/>
        <v>0</v>
      </c>
      <c r="P61" s="549">
        <f t="shared" si="123"/>
        <v>0</v>
      </c>
      <c r="Q61" s="549">
        <f t="shared" si="123"/>
        <v>0</v>
      </c>
      <c r="R61" s="549">
        <f t="shared" si="123"/>
        <v>0</v>
      </c>
      <c r="S61" s="549">
        <f t="shared" si="123"/>
        <v>0</v>
      </c>
      <c r="T61" s="549">
        <f t="shared" si="123"/>
        <v>36768.426378815995</v>
      </c>
      <c r="U61" s="549">
        <f t="shared" si="123"/>
        <v>0</v>
      </c>
      <c r="V61" s="549">
        <f t="shared" si="123"/>
        <v>4553.8876707707877</v>
      </c>
      <c r="W61" s="549">
        <f t="shared" si="123"/>
        <v>41322.314049586785</v>
      </c>
      <c r="X61" s="549">
        <f t="shared" si="123"/>
        <v>4553.8876707707877</v>
      </c>
      <c r="Y61" s="549">
        <f t="shared" si="123"/>
        <v>70712.960508878881</v>
      </c>
      <c r="Z61" s="549">
        <f t="shared" si="123"/>
        <v>33944.534130062886</v>
      </c>
      <c r="AA61" s="549">
        <f t="shared" si="123"/>
        <v>62617.160205286367</v>
      </c>
      <c r="AB61" s="549">
        <f t="shared" si="123"/>
        <v>25848.733826470372</v>
      </c>
      <c r="AC61" s="549">
        <f t="shared" si="123"/>
        <v>62617.160205286367</v>
      </c>
      <c r="AD61" s="549">
        <f t="shared" si="123"/>
        <v>10095.655735729946</v>
      </c>
      <c r="AE61" s="549">
        <f t="shared" si="123"/>
        <v>8409.0306724815073</v>
      </c>
      <c r="AF61" s="549">
        <f t="shared" si="123"/>
        <v>4553.8876707707877</v>
      </c>
      <c r="AG61" s="549">
        <f t="shared" si="123"/>
        <v>4553.8876707707877</v>
      </c>
      <c r="AH61" s="549">
        <f t="shared" si="123"/>
        <v>0</v>
      </c>
      <c r="AI61" s="549">
        <f t="shared" si="123"/>
        <v>0</v>
      </c>
      <c r="AJ61" s="549">
        <f t="shared" si="123"/>
        <v>0</v>
      </c>
      <c r="AK61" s="549">
        <f t="shared" si="123"/>
        <v>0</v>
      </c>
      <c r="AL61" s="549">
        <f t="shared" si="123"/>
        <v>0</v>
      </c>
      <c r="AM61" s="549">
        <f t="shared" si="123"/>
        <v>0</v>
      </c>
      <c r="AN61" s="549">
        <f t="shared" si="123"/>
        <v>0</v>
      </c>
      <c r="AO61" s="549">
        <f t="shared" si="123"/>
        <v>0</v>
      </c>
      <c r="AP61" s="549">
        <f t="shared" si="123"/>
        <v>0</v>
      </c>
      <c r="AQ61" s="549">
        <f t="shared" si="123"/>
        <v>0</v>
      </c>
      <c r="AR61" s="549">
        <f t="shared" si="123"/>
        <v>0</v>
      </c>
      <c r="AS61" s="549">
        <f t="shared" si="123"/>
        <v>0</v>
      </c>
      <c r="AT61" s="549">
        <f t="shared" si="123"/>
        <v>0</v>
      </c>
      <c r="AU61" s="549">
        <f t="shared" si="123"/>
        <v>0</v>
      </c>
      <c r="AV61" s="549">
        <f t="shared" si="123"/>
        <v>0</v>
      </c>
      <c r="AW61" s="549">
        <f t="shared" si="123"/>
        <v>0</v>
      </c>
      <c r="AX61" s="549">
        <f t="shared" si="123"/>
        <v>0</v>
      </c>
      <c r="AY61" s="549">
        <f t="shared" si="123"/>
        <v>0</v>
      </c>
      <c r="AZ61" s="549">
        <f t="shared" si="123"/>
        <v>0</v>
      </c>
      <c r="BA61" s="549">
        <f t="shared" si="123"/>
        <v>0</v>
      </c>
      <c r="BB61" s="549">
        <f t="shared" si="123"/>
        <v>0</v>
      </c>
      <c r="BC61" s="549">
        <f t="shared" si="123"/>
        <v>0</v>
      </c>
      <c r="BD61" s="549">
        <f t="shared" si="123"/>
        <v>0</v>
      </c>
      <c r="BE61" s="549">
        <f t="shared" si="123"/>
        <v>0</v>
      </c>
      <c r="BF61" s="549">
        <f t="shared" si="123"/>
        <v>0</v>
      </c>
      <c r="BG61" s="549">
        <f t="shared" si="123"/>
        <v>0</v>
      </c>
      <c r="BH61" s="549">
        <f t="shared" si="123"/>
        <v>0</v>
      </c>
      <c r="BI61" s="549">
        <f t="shared" si="123"/>
        <v>0</v>
      </c>
      <c r="BJ61" s="549">
        <f t="shared" si="123"/>
        <v>0</v>
      </c>
      <c r="BK61" s="549">
        <f t="shared" si="123"/>
        <v>0</v>
      </c>
      <c r="BL61" s="549">
        <f t="shared" si="123"/>
        <v>0</v>
      </c>
      <c r="BM61" s="549">
        <f t="shared" si="123"/>
        <v>0</v>
      </c>
      <c r="BN61" s="549">
        <f t="shared" si="123"/>
        <v>0</v>
      </c>
      <c r="BO61" s="549">
        <f t="shared" si="123"/>
        <v>370551.52639568236</v>
      </c>
      <c r="BP61" s="517">
        <f t="shared" si="88"/>
        <v>0</v>
      </c>
      <c r="BQ61" s="548">
        <f t="shared" si="123"/>
        <v>0</v>
      </c>
      <c r="BR61" s="548">
        <f t="shared" ref="BR61:BV61" si="124">BR62+BR63+BR64+BR65+BR66+BR69+BR70+BR71+BR72</f>
        <v>353034.72038165922</v>
      </c>
      <c r="BS61" s="548">
        <f t="shared" si="124"/>
        <v>17516.806014023081</v>
      </c>
      <c r="BT61" s="548">
        <f t="shared" si="124"/>
        <v>0</v>
      </c>
      <c r="BU61" s="548">
        <f t="shared" si="124"/>
        <v>0</v>
      </c>
      <c r="BV61" s="548">
        <f t="shared" si="124"/>
        <v>370551.52639568236</v>
      </c>
      <c r="BW61" s="518">
        <f t="shared" si="11"/>
        <v>0</v>
      </c>
      <c r="BX61" s="535"/>
      <c r="BY61" s="534"/>
      <c r="BZ61" s="535"/>
      <c r="CA61" s="535"/>
      <c r="CB61" s="535"/>
      <c r="CC61" s="534"/>
      <c r="CD61" s="535"/>
      <c r="CE61" s="535"/>
      <c r="CF61" s="535"/>
      <c r="CG61" s="534"/>
      <c r="CH61" s="535"/>
      <c r="CI61" s="535"/>
      <c r="CJ61" s="535"/>
      <c r="CK61" s="536"/>
      <c r="CL61" s="536"/>
    </row>
    <row r="62" spans="1:90" s="537" customFormat="1" ht="13.25" customHeight="1" outlineLevel="1" x14ac:dyDescent="0.3">
      <c r="A62" s="523"/>
      <c r="B62" s="524" t="s">
        <v>91</v>
      </c>
      <c r="C62" s="525" t="str">
        <f>'CC detallado'!A59</f>
        <v>1.2.6.1</v>
      </c>
      <c r="D62" s="560" t="str">
        <f>'CC detallado'!F59</f>
        <v>Administrador de Sistema</v>
      </c>
      <c r="E62" s="527">
        <f>'CC detallado'!N59</f>
        <v>18215.550683083151</v>
      </c>
      <c r="F62" s="515"/>
      <c r="G62" s="528"/>
      <c r="H62" s="528"/>
      <c r="I62" s="528"/>
      <c r="J62" s="528"/>
      <c r="K62" s="531"/>
      <c r="L62" s="531"/>
      <c r="M62" s="531"/>
      <c r="N62" s="531"/>
      <c r="O62" s="531"/>
      <c r="P62" s="531"/>
      <c r="Q62" s="531"/>
      <c r="R62" s="531"/>
      <c r="S62" s="531"/>
      <c r="T62" s="529"/>
      <c r="U62" s="529"/>
      <c r="V62" s="530">
        <f>E62/12</f>
        <v>1517.9625569235959</v>
      </c>
      <c r="W62" s="530">
        <f t="shared" ref="W62:Z64" si="125">V62</f>
        <v>1517.9625569235959</v>
      </c>
      <c r="X62" s="530">
        <f t="shared" si="125"/>
        <v>1517.9625569235959</v>
      </c>
      <c r="Y62" s="530">
        <f t="shared" si="125"/>
        <v>1517.9625569235959</v>
      </c>
      <c r="Z62" s="530">
        <f t="shared" si="125"/>
        <v>1517.9625569235959</v>
      </c>
      <c r="AA62" s="530">
        <f t="shared" ref="AA62:AG62" si="126">Z62</f>
        <v>1517.9625569235959</v>
      </c>
      <c r="AB62" s="530">
        <f t="shared" si="126"/>
        <v>1517.9625569235959</v>
      </c>
      <c r="AC62" s="530">
        <f t="shared" si="126"/>
        <v>1517.9625569235959</v>
      </c>
      <c r="AD62" s="530">
        <f t="shared" si="126"/>
        <v>1517.9625569235959</v>
      </c>
      <c r="AE62" s="530">
        <f t="shared" si="126"/>
        <v>1517.9625569235959</v>
      </c>
      <c r="AF62" s="530">
        <f t="shared" si="126"/>
        <v>1517.9625569235959</v>
      </c>
      <c r="AG62" s="530">
        <f t="shared" si="126"/>
        <v>1517.9625569235959</v>
      </c>
      <c r="AH62" s="531"/>
      <c r="AI62" s="531"/>
      <c r="AJ62" s="531"/>
      <c r="AK62" s="531"/>
      <c r="AL62" s="531"/>
      <c r="AM62" s="531"/>
      <c r="AN62" s="531"/>
      <c r="AO62" s="531"/>
      <c r="AP62" s="531"/>
      <c r="AQ62" s="531"/>
      <c r="AR62" s="531"/>
      <c r="AS62" s="531"/>
      <c r="AT62" s="531"/>
      <c r="AU62" s="531"/>
      <c r="AV62" s="531"/>
      <c r="AW62" s="531"/>
      <c r="AX62" s="531"/>
      <c r="AY62" s="531"/>
      <c r="AZ62" s="531"/>
      <c r="BA62" s="531"/>
      <c r="BB62" s="531"/>
      <c r="BC62" s="531"/>
      <c r="BD62" s="531"/>
      <c r="BE62" s="531"/>
      <c r="BF62" s="531"/>
      <c r="BG62" s="531"/>
      <c r="BH62" s="531"/>
      <c r="BI62" s="531"/>
      <c r="BJ62" s="531"/>
      <c r="BK62" s="531"/>
      <c r="BL62" s="531"/>
      <c r="BM62" s="531"/>
      <c r="BN62" s="531"/>
      <c r="BO62" s="528">
        <f t="shared" si="36"/>
        <v>18215.550683083151</v>
      </c>
      <c r="BP62" s="517">
        <f t="shared" si="88"/>
        <v>0</v>
      </c>
      <c r="BQ62" s="532">
        <f t="shared" ref="BQ62" si="127">SUM(G62:M62)</f>
        <v>0</v>
      </c>
      <c r="BR62" s="532">
        <f t="shared" ref="BR62" si="128">SUM(N62:AD62)</f>
        <v>13661.663012312363</v>
      </c>
      <c r="BS62" s="532">
        <f t="shared" ref="BS62" si="129">SUM(AE62:AP62)</f>
        <v>4553.8876707707877</v>
      </c>
      <c r="BT62" s="532">
        <f t="shared" ref="BT62" si="130">SUM(AQ62:BB62)</f>
        <v>0</v>
      </c>
      <c r="BU62" s="532">
        <f t="shared" ref="BU62" si="131">SUM(BC62:BN62)</f>
        <v>0</v>
      </c>
      <c r="BV62" s="532">
        <f t="shared" ref="BV62" si="132">SUM(BQ62:BU62)</f>
        <v>18215.550683083151</v>
      </c>
      <c r="BW62" s="518">
        <f t="shared" si="11"/>
        <v>0</v>
      </c>
      <c r="BX62" s="538"/>
      <c r="BY62" s="534"/>
      <c r="BZ62" s="535"/>
      <c r="CA62" s="535"/>
      <c r="CB62" s="538"/>
      <c r="CC62" s="534"/>
      <c r="CD62" s="535"/>
      <c r="CE62" s="535"/>
      <c r="CF62" s="538"/>
      <c r="CG62" s="534"/>
      <c r="CH62" s="535"/>
      <c r="CI62" s="535"/>
      <c r="CJ62" s="535"/>
      <c r="CK62" s="536"/>
      <c r="CL62" s="536"/>
    </row>
    <row r="63" spans="1:90" s="537" customFormat="1" ht="13.25" customHeight="1" outlineLevel="1" x14ac:dyDescent="0.3">
      <c r="A63" s="523"/>
      <c r="B63" s="524" t="s">
        <v>91</v>
      </c>
      <c r="C63" s="525" t="str">
        <f>'CC detallado'!A60</f>
        <v>1.2.6.2</v>
      </c>
      <c r="D63" s="560" t="str">
        <f>'CC detallado'!F60</f>
        <v>Administrador de red</v>
      </c>
      <c r="E63" s="527">
        <f>'CC detallado'!N60</f>
        <v>18215.550683083151</v>
      </c>
      <c r="F63" s="515"/>
      <c r="G63" s="528"/>
      <c r="H63" s="528"/>
      <c r="I63" s="528"/>
      <c r="J63" s="528"/>
      <c r="K63" s="531"/>
      <c r="L63" s="531"/>
      <c r="M63" s="531"/>
      <c r="N63" s="531"/>
      <c r="O63" s="531"/>
      <c r="P63" s="531"/>
      <c r="Q63" s="531"/>
      <c r="R63" s="531"/>
      <c r="S63" s="531"/>
      <c r="T63" s="529"/>
      <c r="U63" s="529"/>
      <c r="V63" s="530">
        <f>E63/12</f>
        <v>1517.9625569235959</v>
      </c>
      <c r="W63" s="530">
        <f t="shared" si="125"/>
        <v>1517.9625569235959</v>
      </c>
      <c r="X63" s="530">
        <f t="shared" si="125"/>
        <v>1517.9625569235959</v>
      </c>
      <c r="Y63" s="530">
        <f t="shared" si="125"/>
        <v>1517.9625569235959</v>
      </c>
      <c r="Z63" s="530">
        <f t="shared" si="125"/>
        <v>1517.9625569235959</v>
      </c>
      <c r="AA63" s="530">
        <f t="shared" ref="AA63:AG63" si="133">Z63</f>
        <v>1517.9625569235959</v>
      </c>
      <c r="AB63" s="530">
        <f t="shared" si="133"/>
        <v>1517.9625569235959</v>
      </c>
      <c r="AC63" s="530">
        <f t="shared" si="133"/>
        <v>1517.9625569235959</v>
      </c>
      <c r="AD63" s="530">
        <f t="shared" si="133"/>
        <v>1517.9625569235959</v>
      </c>
      <c r="AE63" s="530">
        <f t="shared" si="133"/>
        <v>1517.9625569235959</v>
      </c>
      <c r="AF63" s="530">
        <f t="shared" si="133"/>
        <v>1517.9625569235959</v>
      </c>
      <c r="AG63" s="530">
        <f t="shared" si="133"/>
        <v>1517.9625569235959</v>
      </c>
      <c r="AH63" s="531"/>
      <c r="AI63" s="531"/>
      <c r="AJ63" s="531"/>
      <c r="AK63" s="531"/>
      <c r="AL63" s="531"/>
      <c r="AM63" s="531"/>
      <c r="AN63" s="531"/>
      <c r="AO63" s="531"/>
      <c r="AP63" s="531"/>
      <c r="AQ63" s="531"/>
      <c r="AR63" s="531"/>
      <c r="AS63" s="531"/>
      <c r="AT63" s="531"/>
      <c r="AU63" s="531"/>
      <c r="AV63" s="531"/>
      <c r="AW63" s="531"/>
      <c r="AX63" s="531"/>
      <c r="AY63" s="531"/>
      <c r="AZ63" s="531"/>
      <c r="BA63" s="531"/>
      <c r="BB63" s="531"/>
      <c r="BC63" s="531"/>
      <c r="BD63" s="531"/>
      <c r="BE63" s="531"/>
      <c r="BF63" s="531"/>
      <c r="BG63" s="531"/>
      <c r="BH63" s="531"/>
      <c r="BI63" s="531"/>
      <c r="BJ63" s="531"/>
      <c r="BK63" s="531"/>
      <c r="BL63" s="531"/>
      <c r="BM63" s="531"/>
      <c r="BN63" s="531"/>
      <c r="BO63" s="528">
        <f t="shared" si="36"/>
        <v>18215.550683083151</v>
      </c>
      <c r="BP63" s="517">
        <f t="shared" si="88"/>
        <v>0</v>
      </c>
      <c r="BQ63" s="532">
        <f t="shared" ref="BQ63:BQ72" si="134">SUM(G63:M63)</f>
        <v>0</v>
      </c>
      <c r="BR63" s="532">
        <f t="shared" ref="BR63:BR72" si="135">SUM(N63:AD63)</f>
        <v>13661.663012312363</v>
      </c>
      <c r="BS63" s="532">
        <f t="shared" ref="BS63:BS72" si="136">SUM(AE63:AP63)</f>
        <v>4553.8876707707877</v>
      </c>
      <c r="BT63" s="532">
        <f t="shared" ref="BT63:BT72" si="137">SUM(AQ63:BB63)</f>
        <v>0</v>
      </c>
      <c r="BU63" s="532">
        <f t="shared" ref="BU63:BU72" si="138">SUM(BC63:BN63)</f>
        <v>0</v>
      </c>
      <c r="BV63" s="532">
        <f t="shared" ref="BV63:BV72" si="139">SUM(BQ63:BU63)</f>
        <v>18215.550683083151</v>
      </c>
      <c r="BW63" s="518">
        <f t="shared" si="11"/>
        <v>0</v>
      </c>
      <c r="BX63" s="533"/>
      <c r="BY63" s="534"/>
      <c r="BZ63" s="535"/>
      <c r="CA63" s="535"/>
      <c r="CB63" s="533"/>
      <c r="CC63" s="534"/>
      <c r="CD63" s="535"/>
      <c r="CE63" s="535"/>
      <c r="CF63" s="533"/>
      <c r="CG63" s="534"/>
      <c r="CH63" s="535"/>
      <c r="CI63" s="535"/>
      <c r="CJ63" s="535"/>
      <c r="CK63" s="536"/>
      <c r="CL63" s="536"/>
    </row>
    <row r="64" spans="1:90" s="537" customFormat="1" ht="13.25" customHeight="1" outlineLevel="1" x14ac:dyDescent="0.3">
      <c r="A64" s="523"/>
      <c r="B64" s="524" t="s">
        <v>91</v>
      </c>
      <c r="C64" s="525" t="str">
        <f>'CC detallado'!A61</f>
        <v>1.2.6.3</v>
      </c>
      <c r="D64" s="560" t="str">
        <f>'CC detallado'!F61</f>
        <v>Experto en web</v>
      </c>
      <c r="E64" s="527">
        <f>'CC detallado'!N61</f>
        <v>18215.550683083151</v>
      </c>
      <c r="F64" s="515"/>
      <c r="G64" s="528"/>
      <c r="H64" s="528"/>
      <c r="I64" s="528"/>
      <c r="J64" s="528"/>
      <c r="K64" s="531"/>
      <c r="L64" s="531"/>
      <c r="M64" s="531"/>
      <c r="N64" s="531"/>
      <c r="O64" s="531"/>
      <c r="P64" s="531"/>
      <c r="Q64" s="531"/>
      <c r="R64" s="531"/>
      <c r="S64" s="531"/>
      <c r="T64" s="529"/>
      <c r="U64" s="529"/>
      <c r="V64" s="530">
        <f>E64/12</f>
        <v>1517.9625569235959</v>
      </c>
      <c r="W64" s="530">
        <f t="shared" si="125"/>
        <v>1517.9625569235959</v>
      </c>
      <c r="X64" s="530">
        <f t="shared" si="125"/>
        <v>1517.9625569235959</v>
      </c>
      <c r="Y64" s="530">
        <f t="shared" si="125"/>
        <v>1517.9625569235959</v>
      </c>
      <c r="Z64" s="530">
        <f t="shared" si="125"/>
        <v>1517.9625569235959</v>
      </c>
      <c r="AA64" s="530">
        <f t="shared" ref="AA64:AG64" si="140">Z64</f>
        <v>1517.9625569235959</v>
      </c>
      <c r="AB64" s="530">
        <f t="shared" si="140"/>
        <v>1517.9625569235959</v>
      </c>
      <c r="AC64" s="530">
        <f t="shared" si="140"/>
        <v>1517.9625569235959</v>
      </c>
      <c r="AD64" s="530">
        <f t="shared" si="140"/>
        <v>1517.9625569235959</v>
      </c>
      <c r="AE64" s="530">
        <f t="shared" si="140"/>
        <v>1517.9625569235959</v>
      </c>
      <c r="AF64" s="530">
        <f t="shared" si="140"/>
        <v>1517.9625569235959</v>
      </c>
      <c r="AG64" s="530">
        <f t="shared" si="140"/>
        <v>1517.9625569235959</v>
      </c>
      <c r="AH64" s="531"/>
      <c r="AI64" s="531"/>
      <c r="AJ64" s="531"/>
      <c r="AK64" s="531"/>
      <c r="AL64" s="531"/>
      <c r="AM64" s="531"/>
      <c r="AN64" s="531"/>
      <c r="AO64" s="531"/>
      <c r="AP64" s="531"/>
      <c r="AQ64" s="531"/>
      <c r="AR64" s="531"/>
      <c r="AS64" s="531"/>
      <c r="AT64" s="531"/>
      <c r="AU64" s="531"/>
      <c r="AV64" s="531"/>
      <c r="AW64" s="531"/>
      <c r="AX64" s="531"/>
      <c r="AY64" s="531"/>
      <c r="AZ64" s="531"/>
      <c r="BA64" s="531"/>
      <c r="BB64" s="531"/>
      <c r="BC64" s="531"/>
      <c r="BD64" s="531"/>
      <c r="BE64" s="531"/>
      <c r="BF64" s="531"/>
      <c r="BG64" s="531"/>
      <c r="BH64" s="531"/>
      <c r="BI64" s="531"/>
      <c r="BJ64" s="531"/>
      <c r="BK64" s="531"/>
      <c r="BL64" s="531"/>
      <c r="BM64" s="531"/>
      <c r="BN64" s="531"/>
      <c r="BO64" s="528">
        <f t="shared" si="36"/>
        <v>18215.550683083151</v>
      </c>
      <c r="BP64" s="517">
        <f t="shared" si="88"/>
        <v>0</v>
      </c>
      <c r="BQ64" s="532">
        <f t="shared" si="134"/>
        <v>0</v>
      </c>
      <c r="BR64" s="532">
        <f t="shared" si="135"/>
        <v>13661.663012312363</v>
      </c>
      <c r="BS64" s="532">
        <f t="shared" si="136"/>
        <v>4553.8876707707877</v>
      </c>
      <c r="BT64" s="532">
        <f t="shared" si="137"/>
        <v>0</v>
      </c>
      <c r="BU64" s="532">
        <f t="shared" si="138"/>
        <v>0</v>
      </c>
      <c r="BV64" s="532">
        <f t="shared" si="139"/>
        <v>18215.550683083151</v>
      </c>
      <c r="BW64" s="518">
        <f t="shared" si="11"/>
        <v>0</v>
      </c>
      <c r="BX64" s="534"/>
      <c r="BY64" s="534"/>
      <c r="BZ64" s="535"/>
      <c r="CA64" s="535"/>
      <c r="CB64" s="538"/>
      <c r="CC64" s="534"/>
      <c r="CD64" s="535"/>
      <c r="CE64" s="535"/>
      <c r="CF64" s="538"/>
      <c r="CG64" s="534"/>
      <c r="CH64" s="535"/>
      <c r="CI64" s="535"/>
      <c r="CJ64" s="535"/>
      <c r="CK64" s="536"/>
      <c r="CL64" s="536"/>
    </row>
    <row r="65" spans="1:90" s="537" customFormat="1" ht="13.25" customHeight="1" outlineLevel="1" x14ac:dyDescent="0.3">
      <c r="A65" s="523"/>
      <c r="B65" s="524" t="s">
        <v>91</v>
      </c>
      <c r="C65" s="525" t="str">
        <f>'CC detallado'!A62</f>
        <v>1.2.6.4</v>
      </c>
      <c r="D65" s="560" t="str">
        <f>'CC detallado'!F62</f>
        <v>Programadores</v>
      </c>
      <c r="E65" s="527">
        <f>'CC detallado'!N62</f>
        <v>10119.750379490639</v>
      </c>
      <c r="F65" s="515"/>
      <c r="G65" s="528"/>
      <c r="H65" s="528"/>
      <c r="I65" s="528"/>
      <c r="J65" s="528"/>
      <c r="K65" s="531"/>
      <c r="L65" s="531"/>
      <c r="M65" s="531"/>
      <c r="N65" s="531"/>
      <c r="O65" s="531"/>
      <c r="P65" s="531"/>
      <c r="Q65" s="531"/>
      <c r="R65" s="531"/>
      <c r="S65" s="531"/>
      <c r="T65" s="531"/>
      <c r="U65" s="531"/>
      <c r="V65" s="531"/>
      <c r="W65" s="528"/>
      <c r="X65" s="528"/>
      <c r="Y65" s="530">
        <f>E65/6</f>
        <v>1686.6250632484398</v>
      </c>
      <c r="Z65" s="530">
        <f>Y65</f>
        <v>1686.6250632484398</v>
      </c>
      <c r="AA65" s="530">
        <f t="shared" ref="AA65:AC65" si="141">Z65</f>
        <v>1686.6250632484398</v>
      </c>
      <c r="AB65" s="530">
        <f t="shared" si="141"/>
        <v>1686.6250632484398</v>
      </c>
      <c r="AC65" s="530">
        <f t="shared" si="141"/>
        <v>1686.6250632484398</v>
      </c>
      <c r="AD65" s="530">
        <f>AC65</f>
        <v>1686.6250632484398</v>
      </c>
      <c r="AE65" s="531"/>
      <c r="AF65" s="531"/>
      <c r="AG65" s="531"/>
      <c r="AH65" s="531"/>
      <c r="AI65" s="531"/>
      <c r="AJ65" s="531"/>
      <c r="AK65" s="531"/>
      <c r="AL65" s="531"/>
      <c r="AM65" s="531"/>
      <c r="AN65" s="531"/>
      <c r="AO65" s="531"/>
      <c r="AP65" s="531"/>
      <c r="AQ65" s="531"/>
      <c r="AR65" s="531"/>
      <c r="AS65" s="531"/>
      <c r="AT65" s="531"/>
      <c r="AU65" s="531"/>
      <c r="AV65" s="531"/>
      <c r="AW65" s="531"/>
      <c r="AX65" s="531"/>
      <c r="AY65" s="531"/>
      <c r="AZ65" s="531"/>
      <c r="BA65" s="531"/>
      <c r="BB65" s="531"/>
      <c r="BC65" s="531"/>
      <c r="BD65" s="531"/>
      <c r="BE65" s="531"/>
      <c r="BF65" s="531"/>
      <c r="BG65" s="531"/>
      <c r="BH65" s="531"/>
      <c r="BI65" s="531"/>
      <c r="BJ65" s="531"/>
      <c r="BK65" s="531"/>
      <c r="BL65" s="531"/>
      <c r="BM65" s="531"/>
      <c r="BN65" s="531"/>
      <c r="BO65" s="528">
        <f t="shared" si="36"/>
        <v>10119.750379490641</v>
      </c>
      <c r="BP65" s="517">
        <f t="shared" si="88"/>
        <v>0</v>
      </c>
      <c r="BQ65" s="532">
        <f t="shared" si="134"/>
        <v>0</v>
      </c>
      <c r="BR65" s="532">
        <f t="shared" si="135"/>
        <v>10119.750379490641</v>
      </c>
      <c r="BS65" s="532">
        <f t="shared" si="136"/>
        <v>0</v>
      </c>
      <c r="BT65" s="532">
        <f t="shared" si="137"/>
        <v>0</v>
      </c>
      <c r="BU65" s="532">
        <f t="shared" si="138"/>
        <v>0</v>
      </c>
      <c r="BV65" s="532">
        <f t="shared" si="139"/>
        <v>10119.750379490641</v>
      </c>
      <c r="BW65" s="518">
        <f t="shared" si="11"/>
        <v>0</v>
      </c>
      <c r="BX65" s="534"/>
      <c r="BY65" s="534"/>
      <c r="BZ65" s="535"/>
      <c r="CA65" s="535"/>
      <c r="CB65" s="538"/>
      <c r="CC65" s="534"/>
      <c r="CD65" s="535"/>
      <c r="CE65" s="535"/>
      <c r="CF65" s="538"/>
      <c r="CG65" s="534"/>
      <c r="CH65" s="535"/>
      <c r="CI65" s="535"/>
      <c r="CJ65" s="535"/>
      <c r="CK65" s="536"/>
      <c r="CL65" s="536"/>
    </row>
    <row r="66" spans="1:90" s="537" customFormat="1" ht="13.25" customHeight="1" outlineLevel="1" x14ac:dyDescent="0.35">
      <c r="A66" s="523"/>
      <c r="B66" s="524"/>
      <c r="C66" s="561" t="str">
        <f>'CC detallado'!A63</f>
        <v>1.2.6.5</v>
      </c>
      <c r="D66" s="562" t="str">
        <f>'CC detallado'!F63</f>
        <v>Firma para contratación y gestión del personal para el trabajo de campo</v>
      </c>
      <c r="E66" s="527">
        <f>'CC detallado'!N63</f>
        <v>183842.13189407997</v>
      </c>
      <c r="F66" s="515"/>
      <c r="G66" s="528"/>
      <c r="H66" s="528"/>
      <c r="I66" s="528"/>
      <c r="J66" s="528"/>
      <c r="K66" s="528"/>
      <c r="L66" s="529"/>
      <c r="M66" s="529"/>
      <c r="N66" s="529"/>
      <c r="O66" s="529"/>
      <c r="P66" s="529"/>
      <c r="Q66" s="529"/>
      <c r="R66" s="529"/>
      <c r="S66" s="529"/>
      <c r="T66" s="530">
        <f>E66*20%</f>
        <v>36768.426378815995</v>
      </c>
      <c r="U66" s="530">
        <v>0</v>
      </c>
      <c r="V66" s="530">
        <v>0</v>
      </c>
      <c r="W66" s="530">
        <f>E66*20%</f>
        <v>36768.426378815995</v>
      </c>
      <c r="X66" s="530"/>
      <c r="Y66" s="530">
        <f>E66*20%</f>
        <v>36768.426378815995</v>
      </c>
      <c r="Z66" s="530"/>
      <c r="AA66" s="530">
        <f>E66*20%</f>
        <v>36768.426378815995</v>
      </c>
      <c r="AB66" s="530">
        <v>0</v>
      </c>
      <c r="AC66" s="530">
        <f>E66*20%</f>
        <v>36768.426378815995</v>
      </c>
      <c r="AD66" s="531">
        <v>0</v>
      </c>
      <c r="AE66" s="531"/>
      <c r="AF66" s="531"/>
      <c r="AG66" s="531"/>
      <c r="AH66" s="531"/>
      <c r="AI66" s="531"/>
      <c r="AJ66" s="531"/>
      <c r="AK66" s="531"/>
      <c r="AL66" s="531"/>
      <c r="AM66" s="531"/>
      <c r="AN66" s="531"/>
      <c r="AO66" s="531"/>
      <c r="AP66" s="531"/>
      <c r="AQ66" s="531"/>
      <c r="AR66" s="531"/>
      <c r="AS66" s="531"/>
      <c r="AT66" s="531"/>
      <c r="AU66" s="531"/>
      <c r="AV66" s="531"/>
      <c r="AW66" s="531"/>
      <c r="AX66" s="531"/>
      <c r="AY66" s="531"/>
      <c r="AZ66" s="531"/>
      <c r="BA66" s="531"/>
      <c r="BB66" s="531"/>
      <c r="BC66" s="531"/>
      <c r="BD66" s="531"/>
      <c r="BE66" s="531"/>
      <c r="BF66" s="531"/>
      <c r="BG66" s="531"/>
      <c r="BH66" s="531"/>
      <c r="BI66" s="531"/>
      <c r="BJ66" s="531"/>
      <c r="BK66" s="531"/>
      <c r="BL66" s="531"/>
      <c r="BM66" s="531"/>
      <c r="BN66" s="531"/>
      <c r="BO66" s="528">
        <f t="shared" si="36"/>
        <v>183842.13189407997</v>
      </c>
      <c r="BP66" s="517">
        <f t="shared" si="88"/>
        <v>0</v>
      </c>
      <c r="BQ66" s="532">
        <f t="shared" si="134"/>
        <v>0</v>
      </c>
      <c r="BR66" s="532">
        <f t="shared" si="135"/>
        <v>183842.13189407997</v>
      </c>
      <c r="BS66" s="532">
        <f t="shared" si="136"/>
        <v>0</v>
      </c>
      <c r="BT66" s="532">
        <f t="shared" si="137"/>
        <v>0</v>
      </c>
      <c r="BU66" s="532">
        <f t="shared" si="138"/>
        <v>0</v>
      </c>
      <c r="BV66" s="532">
        <f t="shared" si="139"/>
        <v>183842.13189407997</v>
      </c>
      <c r="BW66" s="518">
        <f t="shared" si="11"/>
        <v>0</v>
      </c>
      <c r="BX66" s="534"/>
      <c r="BY66" s="534"/>
      <c r="BZ66" s="535"/>
      <c r="CA66" s="535"/>
      <c r="CB66" s="538"/>
      <c r="CC66" s="534"/>
      <c r="CD66" s="535"/>
      <c r="CE66" s="535"/>
      <c r="CF66" s="538"/>
      <c r="CG66" s="534"/>
      <c r="CH66" s="535"/>
      <c r="CI66" s="535"/>
      <c r="CJ66" s="535"/>
      <c r="CK66" s="536"/>
      <c r="CL66" s="536"/>
    </row>
    <row r="67" spans="1:90" s="537" customFormat="1" ht="13.25" customHeight="1" outlineLevel="1" x14ac:dyDescent="0.3">
      <c r="A67" s="523"/>
      <c r="B67" s="524" t="s">
        <v>91</v>
      </c>
      <c r="C67" s="525" t="str">
        <f>'CC detallado'!A64</f>
        <v>1.2.6.6</v>
      </c>
      <c r="D67" s="560" t="str">
        <f>'CC detallado'!F64</f>
        <v>Costo del Servicio</v>
      </c>
      <c r="E67" s="527"/>
      <c r="F67" s="515"/>
      <c r="G67" s="528"/>
      <c r="H67" s="528"/>
      <c r="I67" s="528"/>
      <c r="J67" s="528"/>
      <c r="K67" s="531"/>
      <c r="L67" s="531"/>
      <c r="M67" s="531"/>
      <c r="N67" s="531"/>
      <c r="O67" s="531"/>
      <c r="P67" s="531"/>
      <c r="Q67" s="531"/>
      <c r="R67" s="531"/>
      <c r="S67" s="531"/>
      <c r="T67" s="529"/>
      <c r="U67" s="529"/>
      <c r="V67" s="529"/>
      <c r="W67" s="529"/>
      <c r="X67" s="529"/>
      <c r="Y67" s="530"/>
      <c r="Z67" s="530"/>
      <c r="AA67" s="530"/>
      <c r="AB67" s="530"/>
      <c r="AC67" s="528"/>
      <c r="AD67" s="528"/>
      <c r="AE67" s="531"/>
      <c r="AF67" s="531"/>
      <c r="AG67" s="531"/>
      <c r="AH67" s="531"/>
      <c r="AI67" s="531"/>
      <c r="AJ67" s="531"/>
      <c r="AK67" s="531"/>
      <c r="AL67" s="531"/>
      <c r="AM67" s="531"/>
      <c r="AN67" s="531"/>
      <c r="AO67" s="531"/>
      <c r="AP67" s="531"/>
      <c r="AQ67" s="531"/>
      <c r="AR67" s="531"/>
      <c r="AS67" s="531"/>
      <c r="AT67" s="531"/>
      <c r="AU67" s="531"/>
      <c r="AV67" s="531"/>
      <c r="AW67" s="531"/>
      <c r="AX67" s="531"/>
      <c r="AY67" s="531"/>
      <c r="AZ67" s="531"/>
      <c r="BA67" s="531"/>
      <c r="BB67" s="531"/>
      <c r="BC67" s="531"/>
      <c r="BD67" s="531"/>
      <c r="BE67" s="531"/>
      <c r="BF67" s="531"/>
      <c r="BG67" s="531"/>
      <c r="BH67" s="531"/>
      <c r="BI67" s="531"/>
      <c r="BJ67" s="531"/>
      <c r="BK67" s="531"/>
      <c r="BL67" s="531"/>
      <c r="BM67" s="531"/>
      <c r="BN67" s="531"/>
      <c r="BO67" s="528">
        <f t="shared" si="36"/>
        <v>0</v>
      </c>
      <c r="BP67" s="517">
        <f t="shared" si="88"/>
        <v>0</v>
      </c>
      <c r="BQ67" s="532">
        <f t="shared" si="134"/>
        <v>0</v>
      </c>
      <c r="BR67" s="532">
        <f t="shared" si="135"/>
        <v>0</v>
      </c>
      <c r="BS67" s="532">
        <f t="shared" si="136"/>
        <v>0</v>
      </c>
      <c r="BT67" s="532">
        <f t="shared" si="137"/>
        <v>0</v>
      </c>
      <c r="BU67" s="532">
        <f t="shared" si="138"/>
        <v>0</v>
      </c>
      <c r="BV67" s="532">
        <f t="shared" si="139"/>
        <v>0</v>
      </c>
      <c r="BW67" s="518">
        <f t="shared" si="11"/>
        <v>0</v>
      </c>
      <c r="BX67" s="538"/>
      <c r="BY67" s="534"/>
      <c r="BZ67" s="535"/>
      <c r="CA67" s="535"/>
      <c r="CB67" s="538"/>
      <c r="CC67" s="534"/>
      <c r="CD67" s="535"/>
      <c r="CE67" s="535"/>
      <c r="CF67" s="538"/>
      <c r="CG67" s="534"/>
      <c r="CH67" s="535"/>
      <c r="CI67" s="535"/>
      <c r="CJ67" s="535"/>
      <c r="CK67" s="536"/>
      <c r="CL67" s="536"/>
    </row>
    <row r="68" spans="1:90" s="537" customFormat="1" ht="13.25" customHeight="1" outlineLevel="1" x14ac:dyDescent="0.3">
      <c r="A68" s="523"/>
      <c r="B68" s="524"/>
      <c r="C68" s="539" t="str">
        <f>'CC detallado'!A65</f>
        <v>1.2.6.7</v>
      </c>
      <c r="D68" s="563" t="str">
        <f>'CC detallado'!F65</f>
        <v>Responsable de puesto de captura</v>
      </c>
      <c r="E68" s="527"/>
      <c r="F68" s="515"/>
      <c r="G68" s="528"/>
      <c r="H68" s="528"/>
      <c r="I68" s="528"/>
      <c r="J68" s="528"/>
      <c r="K68" s="531"/>
      <c r="L68" s="531"/>
      <c r="M68" s="531"/>
      <c r="N68" s="531"/>
      <c r="O68" s="531"/>
      <c r="P68" s="531"/>
      <c r="Q68" s="531"/>
      <c r="R68" s="531"/>
      <c r="S68" s="531"/>
      <c r="T68" s="529"/>
      <c r="U68" s="529"/>
      <c r="V68" s="529"/>
      <c r="W68" s="529"/>
      <c r="X68" s="529"/>
      <c r="Y68" s="530"/>
      <c r="Z68" s="530"/>
      <c r="AA68" s="530"/>
      <c r="AB68" s="530"/>
      <c r="AC68" s="528"/>
      <c r="AD68" s="528"/>
      <c r="AE68" s="531"/>
      <c r="AF68" s="531"/>
      <c r="AG68" s="531"/>
      <c r="AH68" s="531"/>
      <c r="AI68" s="531"/>
      <c r="AJ68" s="531"/>
      <c r="AK68" s="531"/>
      <c r="AL68" s="531"/>
      <c r="AM68" s="531"/>
      <c r="AN68" s="531"/>
      <c r="AO68" s="531"/>
      <c r="AP68" s="531"/>
      <c r="AQ68" s="531"/>
      <c r="AR68" s="531"/>
      <c r="AS68" s="531"/>
      <c r="AT68" s="531"/>
      <c r="AU68" s="531"/>
      <c r="AV68" s="531"/>
      <c r="AW68" s="531"/>
      <c r="AX68" s="531"/>
      <c r="AY68" s="531"/>
      <c r="AZ68" s="531"/>
      <c r="BA68" s="531"/>
      <c r="BB68" s="531"/>
      <c r="BC68" s="531"/>
      <c r="BD68" s="531"/>
      <c r="BE68" s="531"/>
      <c r="BF68" s="531"/>
      <c r="BG68" s="531"/>
      <c r="BH68" s="531"/>
      <c r="BI68" s="531"/>
      <c r="BJ68" s="531"/>
      <c r="BK68" s="531"/>
      <c r="BL68" s="531"/>
      <c r="BM68" s="531"/>
      <c r="BN68" s="531"/>
      <c r="BO68" s="528">
        <f t="shared" si="36"/>
        <v>0</v>
      </c>
      <c r="BP68" s="517">
        <f t="shared" si="88"/>
        <v>0</v>
      </c>
      <c r="BQ68" s="532">
        <f t="shared" si="134"/>
        <v>0</v>
      </c>
      <c r="BR68" s="532">
        <f t="shared" si="135"/>
        <v>0</v>
      </c>
      <c r="BS68" s="532">
        <f t="shared" si="136"/>
        <v>0</v>
      </c>
      <c r="BT68" s="532">
        <f t="shared" si="137"/>
        <v>0</v>
      </c>
      <c r="BU68" s="532">
        <f t="shared" si="138"/>
        <v>0</v>
      </c>
      <c r="BV68" s="532">
        <f t="shared" si="139"/>
        <v>0</v>
      </c>
      <c r="BW68" s="518">
        <f t="shared" si="11"/>
        <v>0</v>
      </c>
      <c r="BX68" s="538"/>
      <c r="BY68" s="534"/>
      <c r="BZ68" s="535"/>
      <c r="CA68" s="535"/>
      <c r="CB68" s="538"/>
      <c r="CC68" s="534"/>
      <c r="CD68" s="535"/>
      <c r="CE68" s="535"/>
      <c r="CF68" s="538"/>
      <c r="CG68" s="534"/>
      <c r="CH68" s="535"/>
      <c r="CI68" s="535"/>
      <c r="CJ68" s="535"/>
      <c r="CK68" s="536"/>
      <c r="CL68" s="536"/>
    </row>
    <row r="69" spans="1:90" s="537" customFormat="1" ht="13.25" customHeight="1" outlineLevel="1" x14ac:dyDescent="0.3">
      <c r="A69" s="523"/>
      <c r="B69" s="524" t="s">
        <v>91</v>
      </c>
      <c r="C69" s="525" t="str">
        <f>'CC detallado'!A66</f>
        <v>1.2.6.8</v>
      </c>
      <c r="D69" s="560" t="str">
        <f>'CC detallado'!F66</f>
        <v>Soporte técnico (puesto de captura y gabinete)</v>
      </c>
      <c r="E69" s="527">
        <f>'CC detallado'!N66</f>
        <v>16191.600607185022</v>
      </c>
      <c r="F69" s="515"/>
      <c r="G69" s="528"/>
      <c r="H69" s="528"/>
      <c r="I69" s="528"/>
      <c r="J69" s="528"/>
      <c r="K69" s="531"/>
      <c r="L69" s="531"/>
      <c r="M69" s="531"/>
      <c r="N69" s="531"/>
      <c r="O69" s="531"/>
      <c r="P69" s="531"/>
      <c r="Q69" s="531"/>
      <c r="R69" s="531"/>
      <c r="S69" s="531"/>
      <c r="T69" s="531"/>
      <c r="U69" s="531"/>
      <c r="V69" s="531"/>
      <c r="W69" s="529"/>
      <c r="X69" s="529"/>
      <c r="Y69" s="530">
        <f>E69/2</f>
        <v>8095.8003035925112</v>
      </c>
      <c r="Z69" s="530">
        <f t="shared" ref="Z69:Z71" si="142">Y69</f>
        <v>8095.8003035925112</v>
      </c>
      <c r="AA69" s="528">
        <v>0</v>
      </c>
      <c r="AB69" s="528"/>
      <c r="AC69" s="528"/>
      <c r="AD69" s="528"/>
      <c r="AE69" s="531"/>
      <c r="AF69" s="531"/>
      <c r="AG69" s="531"/>
      <c r="AH69" s="531"/>
      <c r="AI69" s="531"/>
      <c r="AJ69" s="531"/>
      <c r="AK69" s="531"/>
      <c r="AL69" s="531"/>
      <c r="AM69" s="531"/>
      <c r="AN69" s="531"/>
      <c r="AO69" s="531"/>
      <c r="AP69" s="531"/>
      <c r="AQ69" s="531"/>
      <c r="AR69" s="531"/>
      <c r="AS69" s="531"/>
      <c r="AT69" s="531"/>
      <c r="AU69" s="531"/>
      <c r="AV69" s="531"/>
      <c r="AW69" s="531"/>
      <c r="AX69" s="531"/>
      <c r="AY69" s="531"/>
      <c r="AZ69" s="531"/>
      <c r="BA69" s="531"/>
      <c r="BB69" s="531"/>
      <c r="BC69" s="531"/>
      <c r="BD69" s="531"/>
      <c r="BE69" s="531"/>
      <c r="BF69" s="531"/>
      <c r="BG69" s="531"/>
      <c r="BH69" s="531"/>
      <c r="BI69" s="531"/>
      <c r="BJ69" s="531"/>
      <c r="BK69" s="531"/>
      <c r="BL69" s="531"/>
      <c r="BM69" s="531"/>
      <c r="BN69" s="531"/>
      <c r="BO69" s="528">
        <f t="shared" si="36"/>
        <v>16191.600607185022</v>
      </c>
      <c r="BP69" s="517">
        <f t="shared" si="88"/>
        <v>0</v>
      </c>
      <c r="BQ69" s="532">
        <f t="shared" si="134"/>
        <v>0</v>
      </c>
      <c r="BR69" s="532">
        <f t="shared" si="135"/>
        <v>16191.600607185022</v>
      </c>
      <c r="BS69" s="532">
        <f t="shared" si="136"/>
        <v>0</v>
      </c>
      <c r="BT69" s="532">
        <f t="shared" si="137"/>
        <v>0</v>
      </c>
      <c r="BU69" s="532">
        <f t="shared" si="138"/>
        <v>0</v>
      </c>
      <c r="BV69" s="532">
        <f t="shared" si="139"/>
        <v>16191.600607185022</v>
      </c>
      <c r="BW69" s="518">
        <f t="shared" si="11"/>
        <v>0</v>
      </c>
      <c r="BX69" s="538"/>
      <c r="BY69" s="534"/>
      <c r="BZ69" s="535"/>
      <c r="CA69" s="535"/>
      <c r="CB69" s="538"/>
      <c r="CC69" s="534"/>
      <c r="CD69" s="535"/>
      <c r="CE69" s="535"/>
      <c r="CF69" s="538"/>
      <c r="CG69" s="534"/>
      <c r="CH69" s="535"/>
      <c r="CI69" s="535"/>
      <c r="CJ69" s="535"/>
      <c r="CK69" s="536"/>
      <c r="CL69" s="536"/>
    </row>
    <row r="70" spans="1:90" s="537" customFormat="1" ht="13.25" customHeight="1" outlineLevel="1" x14ac:dyDescent="0.3">
      <c r="A70" s="523"/>
      <c r="B70" s="524" t="s">
        <v>91</v>
      </c>
      <c r="C70" s="525" t="str">
        <f>'CC detallado'!A67</f>
        <v>1.2.6.9</v>
      </c>
      <c r="D70" s="560" t="str">
        <f>'CC detallado'!F67</f>
        <v>Digitadores y supervisores (de contingencia)</v>
      </c>
      <c r="E70" s="527">
        <f>'CC detallado'!N67</f>
        <v>26986.001011975037</v>
      </c>
      <c r="F70" s="515"/>
      <c r="G70" s="528"/>
      <c r="H70" s="528"/>
      <c r="I70" s="528"/>
      <c r="J70" s="528"/>
      <c r="K70" s="531"/>
      <c r="L70" s="531"/>
      <c r="M70" s="531"/>
      <c r="N70" s="531"/>
      <c r="O70" s="531"/>
      <c r="P70" s="531"/>
      <c r="Q70" s="531"/>
      <c r="R70" s="531"/>
      <c r="S70" s="531"/>
      <c r="T70" s="531"/>
      <c r="U70" s="531"/>
      <c r="V70" s="531"/>
      <c r="W70" s="529"/>
      <c r="X70" s="529"/>
      <c r="Y70" s="530">
        <f>E70/7</f>
        <v>3855.1430017107195</v>
      </c>
      <c r="Z70" s="530">
        <f>Y70</f>
        <v>3855.1430017107195</v>
      </c>
      <c r="AA70" s="530">
        <f t="shared" ref="AA70:AE71" si="143">Z70</f>
        <v>3855.1430017107195</v>
      </c>
      <c r="AB70" s="530">
        <f t="shared" si="143"/>
        <v>3855.1430017107195</v>
      </c>
      <c r="AC70" s="530">
        <f t="shared" si="143"/>
        <v>3855.1430017107195</v>
      </c>
      <c r="AD70" s="530">
        <f t="shared" si="143"/>
        <v>3855.1430017107195</v>
      </c>
      <c r="AE70" s="530">
        <f t="shared" si="143"/>
        <v>3855.1430017107195</v>
      </c>
      <c r="AF70" s="528"/>
      <c r="AG70" s="528"/>
      <c r="AH70" s="531"/>
      <c r="AI70" s="531"/>
      <c r="AJ70" s="531"/>
      <c r="AK70" s="531"/>
      <c r="AL70" s="531"/>
      <c r="AM70" s="531"/>
      <c r="AN70" s="531"/>
      <c r="AO70" s="531"/>
      <c r="AP70" s="531"/>
      <c r="AQ70" s="531"/>
      <c r="AR70" s="531"/>
      <c r="AS70" s="531"/>
      <c r="AT70" s="531"/>
      <c r="AU70" s="531"/>
      <c r="AV70" s="531"/>
      <c r="AW70" s="531"/>
      <c r="AX70" s="531"/>
      <c r="AY70" s="531"/>
      <c r="AZ70" s="531"/>
      <c r="BA70" s="531"/>
      <c r="BB70" s="531"/>
      <c r="BC70" s="531"/>
      <c r="BD70" s="531"/>
      <c r="BE70" s="531"/>
      <c r="BF70" s="531"/>
      <c r="BG70" s="531"/>
      <c r="BH70" s="531"/>
      <c r="BI70" s="531"/>
      <c r="BJ70" s="531"/>
      <c r="BK70" s="531"/>
      <c r="BL70" s="531"/>
      <c r="BM70" s="531"/>
      <c r="BN70" s="531"/>
      <c r="BO70" s="528">
        <f t="shared" si="36"/>
        <v>26986.001011975037</v>
      </c>
      <c r="BP70" s="517">
        <f t="shared" si="88"/>
        <v>0</v>
      </c>
      <c r="BQ70" s="532">
        <f t="shared" si="134"/>
        <v>0</v>
      </c>
      <c r="BR70" s="532">
        <f t="shared" si="135"/>
        <v>23130.858010264317</v>
      </c>
      <c r="BS70" s="532">
        <f t="shared" si="136"/>
        <v>3855.1430017107195</v>
      </c>
      <c r="BT70" s="532">
        <f t="shared" si="137"/>
        <v>0</v>
      </c>
      <c r="BU70" s="532">
        <f t="shared" si="138"/>
        <v>0</v>
      </c>
      <c r="BV70" s="532">
        <f t="shared" si="139"/>
        <v>26986.001011975037</v>
      </c>
      <c r="BW70" s="518">
        <f t="shared" si="11"/>
        <v>0</v>
      </c>
      <c r="BX70" s="538"/>
      <c r="BY70" s="534"/>
      <c r="BZ70" s="535"/>
      <c r="CA70" s="535"/>
      <c r="CB70" s="538"/>
      <c r="CC70" s="534"/>
      <c r="CD70" s="535"/>
      <c r="CE70" s="535"/>
      <c r="CF70" s="538"/>
      <c r="CG70" s="534"/>
      <c r="CH70" s="535"/>
      <c r="CI70" s="535"/>
      <c r="CJ70" s="535"/>
      <c r="CK70" s="536"/>
      <c r="CL70" s="536"/>
    </row>
    <row r="71" spans="1:90" s="537" customFormat="1" ht="13.25" customHeight="1" outlineLevel="1" x14ac:dyDescent="0.3">
      <c r="A71" s="564"/>
      <c r="B71" s="555" t="s">
        <v>91</v>
      </c>
      <c r="C71" s="525" t="str">
        <f>'CC detallado'!A68</f>
        <v>1.2.6.10</v>
      </c>
      <c r="D71" s="560" t="str">
        <f>'CC detallado'!F68</f>
        <v>Analistas de datos</v>
      </c>
      <c r="E71" s="527">
        <f>'CC detallado'!N68</f>
        <v>24793.388429752067</v>
      </c>
      <c r="F71" s="515"/>
      <c r="G71" s="528"/>
      <c r="H71" s="528"/>
      <c r="I71" s="528"/>
      <c r="J71" s="528"/>
      <c r="K71" s="528"/>
      <c r="L71" s="528"/>
      <c r="M71" s="528"/>
      <c r="N71" s="528"/>
      <c r="O71" s="528"/>
      <c r="P71" s="528"/>
      <c r="Q71" s="528"/>
      <c r="R71" s="528"/>
      <c r="S71" s="528"/>
      <c r="T71" s="528"/>
      <c r="U71" s="528"/>
      <c r="V71" s="528"/>
      <c r="W71" s="529"/>
      <c r="X71" s="529"/>
      <c r="Y71" s="530">
        <f>E71/5</f>
        <v>4958.6776859504134</v>
      </c>
      <c r="Z71" s="530">
        <f t="shared" si="142"/>
        <v>4958.6776859504134</v>
      </c>
      <c r="AA71" s="530">
        <f t="shared" si="143"/>
        <v>4958.6776859504134</v>
      </c>
      <c r="AB71" s="530">
        <f t="shared" si="143"/>
        <v>4958.6776859504134</v>
      </c>
      <c r="AC71" s="530">
        <f t="shared" si="143"/>
        <v>4958.6776859504134</v>
      </c>
      <c r="AD71" s="528"/>
      <c r="AE71" s="528"/>
      <c r="AF71" s="528"/>
      <c r="AG71" s="528"/>
      <c r="AH71" s="528"/>
      <c r="AI71" s="528"/>
      <c r="AJ71" s="528"/>
      <c r="AK71" s="528"/>
      <c r="AL71" s="528"/>
      <c r="AM71" s="528"/>
      <c r="AN71" s="528"/>
      <c r="AO71" s="528"/>
      <c r="AP71" s="528"/>
      <c r="AQ71" s="528"/>
      <c r="AR71" s="528"/>
      <c r="AS71" s="528"/>
      <c r="AT71" s="528"/>
      <c r="AU71" s="528"/>
      <c r="AV71" s="528"/>
      <c r="AW71" s="528"/>
      <c r="AX71" s="528"/>
      <c r="AY71" s="528"/>
      <c r="AZ71" s="528"/>
      <c r="BA71" s="528"/>
      <c r="BB71" s="528"/>
      <c r="BC71" s="528"/>
      <c r="BD71" s="528"/>
      <c r="BE71" s="528"/>
      <c r="BF71" s="528"/>
      <c r="BG71" s="528"/>
      <c r="BH71" s="528"/>
      <c r="BI71" s="528"/>
      <c r="BJ71" s="528"/>
      <c r="BK71" s="528"/>
      <c r="BL71" s="528"/>
      <c r="BM71" s="528"/>
      <c r="BN71" s="528"/>
      <c r="BO71" s="528">
        <f t="shared" si="36"/>
        <v>24793.388429752067</v>
      </c>
      <c r="BP71" s="517">
        <f t="shared" si="88"/>
        <v>0</v>
      </c>
      <c r="BQ71" s="532">
        <f t="shared" si="134"/>
        <v>0</v>
      </c>
      <c r="BR71" s="532">
        <f t="shared" si="135"/>
        <v>24793.388429752067</v>
      </c>
      <c r="BS71" s="532">
        <f t="shared" si="136"/>
        <v>0</v>
      </c>
      <c r="BT71" s="532">
        <f t="shared" si="137"/>
        <v>0</v>
      </c>
      <c r="BU71" s="532">
        <f t="shared" si="138"/>
        <v>0</v>
      </c>
      <c r="BV71" s="532">
        <f t="shared" si="139"/>
        <v>24793.388429752067</v>
      </c>
      <c r="BW71" s="518">
        <f t="shared" si="11"/>
        <v>0</v>
      </c>
      <c r="BX71" s="538"/>
      <c r="BY71" s="534"/>
      <c r="BZ71" s="535"/>
      <c r="CA71" s="535"/>
      <c r="CB71" s="538"/>
      <c r="CC71" s="534"/>
      <c r="CD71" s="535"/>
      <c r="CE71" s="535"/>
      <c r="CF71" s="538"/>
      <c r="CG71" s="534"/>
      <c r="CH71" s="535"/>
      <c r="CI71" s="535"/>
      <c r="CJ71" s="535"/>
      <c r="CK71" s="536"/>
      <c r="CL71" s="536"/>
    </row>
    <row r="72" spans="1:90" s="537" customFormat="1" ht="13.25" customHeight="1" outlineLevel="1" x14ac:dyDescent="0.3">
      <c r="A72" s="564"/>
      <c r="B72" s="555"/>
      <c r="C72" s="525" t="str">
        <f>'CC detallado'!A69</f>
        <v>1.2.6.11</v>
      </c>
      <c r="D72" s="560" t="str">
        <f>'CC detallado'!F69</f>
        <v>Críticos y supervisores</v>
      </c>
      <c r="E72" s="527">
        <f>'CC detallado'!N69</f>
        <v>53972.002023950074</v>
      </c>
      <c r="F72" s="515"/>
      <c r="G72" s="528"/>
      <c r="H72" s="528"/>
      <c r="I72" s="528"/>
      <c r="J72" s="528"/>
      <c r="K72" s="528"/>
      <c r="L72" s="528"/>
      <c r="M72" s="528"/>
      <c r="N72" s="528"/>
      <c r="O72" s="528"/>
      <c r="P72" s="528"/>
      <c r="Q72" s="528"/>
      <c r="R72" s="528"/>
      <c r="S72" s="528"/>
      <c r="T72" s="528"/>
      <c r="U72" s="528"/>
      <c r="V72" s="528"/>
      <c r="W72" s="529"/>
      <c r="X72" s="529"/>
      <c r="Y72" s="530">
        <f>E72/5</f>
        <v>10794.400404790014</v>
      </c>
      <c r="Z72" s="530">
        <f t="shared" ref="Z72" si="144">Y72</f>
        <v>10794.400404790014</v>
      </c>
      <c r="AA72" s="530">
        <f t="shared" ref="AA72" si="145">Z72</f>
        <v>10794.400404790014</v>
      </c>
      <c r="AB72" s="530">
        <f t="shared" ref="AB72" si="146">AA72</f>
        <v>10794.400404790014</v>
      </c>
      <c r="AC72" s="530">
        <f t="shared" ref="AC72" si="147">AB72</f>
        <v>10794.400404790014</v>
      </c>
      <c r="AD72" s="528"/>
      <c r="AE72" s="528"/>
      <c r="AF72" s="528"/>
      <c r="AG72" s="528"/>
      <c r="AH72" s="528"/>
      <c r="AI72" s="528"/>
      <c r="AJ72" s="528"/>
      <c r="AK72" s="528"/>
      <c r="AL72" s="528"/>
      <c r="AM72" s="528"/>
      <c r="AN72" s="528"/>
      <c r="AO72" s="528"/>
      <c r="AP72" s="528"/>
      <c r="AQ72" s="528"/>
      <c r="AR72" s="528"/>
      <c r="AS72" s="528"/>
      <c r="AT72" s="528"/>
      <c r="AU72" s="528"/>
      <c r="AV72" s="528"/>
      <c r="AW72" s="528"/>
      <c r="AX72" s="528"/>
      <c r="AY72" s="528"/>
      <c r="AZ72" s="528"/>
      <c r="BA72" s="528"/>
      <c r="BB72" s="528"/>
      <c r="BC72" s="528"/>
      <c r="BD72" s="528"/>
      <c r="BE72" s="528"/>
      <c r="BF72" s="528"/>
      <c r="BG72" s="528"/>
      <c r="BH72" s="528"/>
      <c r="BI72" s="528"/>
      <c r="BJ72" s="528"/>
      <c r="BK72" s="528"/>
      <c r="BL72" s="528"/>
      <c r="BM72" s="528"/>
      <c r="BN72" s="528"/>
      <c r="BO72" s="528">
        <f t="shared" si="36"/>
        <v>53972.002023950074</v>
      </c>
      <c r="BP72" s="517">
        <f t="shared" ref="BP72:BP131" si="148">E72-BO72</f>
        <v>0</v>
      </c>
      <c r="BQ72" s="532">
        <f t="shared" si="134"/>
        <v>0</v>
      </c>
      <c r="BR72" s="532">
        <f t="shared" si="135"/>
        <v>53972.002023950074</v>
      </c>
      <c r="BS72" s="532">
        <f t="shared" si="136"/>
        <v>0</v>
      </c>
      <c r="BT72" s="532">
        <f t="shared" si="137"/>
        <v>0</v>
      </c>
      <c r="BU72" s="532">
        <f t="shared" si="138"/>
        <v>0</v>
      </c>
      <c r="BV72" s="532">
        <f t="shared" si="139"/>
        <v>53972.002023950074</v>
      </c>
      <c r="BW72" s="518">
        <f t="shared" si="11"/>
        <v>0</v>
      </c>
      <c r="BX72" s="538"/>
      <c r="BY72" s="534"/>
      <c r="BZ72" s="535"/>
      <c r="CA72" s="535"/>
      <c r="CB72" s="538"/>
      <c r="CC72" s="534"/>
      <c r="CD72" s="535"/>
      <c r="CE72" s="535"/>
      <c r="CF72" s="538"/>
      <c r="CG72" s="534"/>
      <c r="CH72" s="535"/>
      <c r="CI72" s="535"/>
      <c r="CJ72" s="535"/>
      <c r="CK72" s="536"/>
      <c r="CL72" s="536"/>
    </row>
    <row r="73" spans="1:90" s="537" customFormat="1" ht="13.25" customHeight="1" x14ac:dyDescent="0.3">
      <c r="A73" s="544"/>
      <c r="B73" s="545"/>
      <c r="C73" s="512" t="str">
        <f>'CC detallado'!A70</f>
        <v>1.3</v>
      </c>
      <c r="D73" s="513" t="str">
        <f>'CC detallado'!F70</f>
        <v>Producto 3: Encuesta post-censal de evaluación realizada</v>
      </c>
      <c r="E73" s="565">
        <f>SUM(E74:E76)</f>
        <v>355857</v>
      </c>
      <c r="F73" s="515"/>
      <c r="G73" s="566">
        <f t="shared" ref="G73:BO73" si="149">SUM(G74:G76)</f>
        <v>0</v>
      </c>
      <c r="H73" s="566">
        <f t="shared" si="149"/>
        <v>0</v>
      </c>
      <c r="I73" s="566">
        <f t="shared" si="149"/>
        <v>0</v>
      </c>
      <c r="J73" s="566">
        <f t="shared" si="149"/>
        <v>0</v>
      </c>
      <c r="K73" s="566">
        <f t="shared" si="149"/>
        <v>0</v>
      </c>
      <c r="L73" s="566">
        <f t="shared" si="149"/>
        <v>0</v>
      </c>
      <c r="M73" s="566">
        <f t="shared" si="149"/>
        <v>0</v>
      </c>
      <c r="N73" s="566">
        <f t="shared" si="149"/>
        <v>0</v>
      </c>
      <c r="O73" s="566">
        <f t="shared" si="149"/>
        <v>0</v>
      </c>
      <c r="P73" s="566">
        <f t="shared" si="149"/>
        <v>0</v>
      </c>
      <c r="Q73" s="566">
        <f t="shared" si="149"/>
        <v>0</v>
      </c>
      <c r="R73" s="566">
        <f t="shared" si="149"/>
        <v>0</v>
      </c>
      <c r="S73" s="566">
        <f t="shared" si="149"/>
        <v>0</v>
      </c>
      <c r="T73" s="566">
        <f t="shared" si="149"/>
        <v>0</v>
      </c>
      <c r="U73" s="566">
        <f t="shared" si="149"/>
        <v>0</v>
      </c>
      <c r="V73" s="566">
        <f t="shared" si="149"/>
        <v>0</v>
      </c>
      <c r="W73" s="566">
        <f t="shared" si="149"/>
        <v>0</v>
      </c>
      <c r="X73" s="566">
        <f t="shared" si="149"/>
        <v>0</v>
      </c>
      <c r="Y73" s="566">
        <f t="shared" si="149"/>
        <v>0</v>
      </c>
      <c r="Z73" s="566">
        <f t="shared" si="149"/>
        <v>0</v>
      </c>
      <c r="AA73" s="566">
        <f t="shared" si="149"/>
        <v>0</v>
      </c>
      <c r="AB73" s="566">
        <f t="shared" si="149"/>
        <v>0</v>
      </c>
      <c r="AC73" s="566">
        <f t="shared" si="149"/>
        <v>0</v>
      </c>
      <c r="AD73" s="566">
        <f t="shared" si="149"/>
        <v>6666.666666666667</v>
      </c>
      <c r="AE73" s="566">
        <f t="shared" si="149"/>
        <v>118619.00000000001</v>
      </c>
      <c r="AF73" s="566">
        <f t="shared" si="149"/>
        <v>118619.00000000001</v>
      </c>
      <c r="AG73" s="566">
        <f t="shared" si="149"/>
        <v>111952.33333333334</v>
      </c>
      <c r="AH73" s="566">
        <f t="shared" si="149"/>
        <v>0</v>
      </c>
      <c r="AI73" s="566">
        <f t="shared" si="149"/>
        <v>0</v>
      </c>
      <c r="AJ73" s="566">
        <f t="shared" si="149"/>
        <v>0</v>
      </c>
      <c r="AK73" s="566">
        <f t="shared" si="149"/>
        <v>0</v>
      </c>
      <c r="AL73" s="566">
        <f t="shared" si="149"/>
        <v>0</v>
      </c>
      <c r="AM73" s="566">
        <f t="shared" si="149"/>
        <v>0</v>
      </c>
      <c r="AN73" s="566">
        <f t="shared" si="149"/>
        <v>0</v>
      </c>
      <c r="AO73" s="566">
        <f t="shared" si="149"/>
        <v>0</v>
      </c>
      <c r="AP73" s="566">
        <f t="shared" si="149"/>
        <v>0</v>
      </c>
      <c r="AQ73" s="566">
        <f t="shared" si="149"/>
        <v>0</v>
      </c>
      <c r="AR73" s="566">
        <f t="shared" si="149"/>
        <v>0</v>
      </c>
      <c r="AS73" s="566">
        <f t="shared" si="149"/>
        <v>0</v>
      </c>
      <c r="AT73" s="566">
        <f t="shared" si="149"/>
        <v>0</v>
      </c>
      <c r="AU73" s="566">
        <f t="shared" si="149"/>
        <v>0</v>
      </c>
      <c r="AV73" s="566">
        <f t="shared" si="149"/>
        <v>0</v>
      </c>
      <c r="AW73" s="566">
        <f t="shared" si="149"/>
        <v>0</v>
      </c>
      <c r="AX73" s="566">
        <f t="shared" si="149"/>
        <v>0</v>
      </c>
      <c r="AY73" s="566">
        <f t="shared" si="149"/>
        <v>0</v>
      </c>
      <c r="AZ73" s="566">
        <f t="shared" si="149"/>
        <v>0</v>
      </c>
      <c r="BA73" s="566">
        <f t="shared" si="149"/>
        <v>0</v>
      </c>
      <c r="BB73" s="566">
        <f t="shared" si="149"/>
        <v>0</v>
      </c>
      <c r="BC73" s="566">
        <f t="shared" si="149"/>
        <v>0</v>
      </c>
      <c r="BD73" s="566">
        <f t="shared" si="149"/>
        <v>0</v>
      </c>
      <c r="BE73" s="566">
        <f t="shared" si="149"/>
        <v>0</v>
      </c>
      <c r="BF73" s="566">
        <f t="shared" si="149"/>
        <v>0</v>
      </c>
      <c r="BG73" s="566">
        <f t="shared" si="149"/>
        <v>0</v>
      </c>
      <c r="BH73" s="566">
        <f t="shared" si="149"/>
        <v>0</v>
      </c>
      <c r="BI73" s="566">
        <f t="shared" si="149"/>
        <v>0</v>
      </c>
      <c r="BJ73" s="566">
        <f t="shared" si="149"/>
        <v>0</v>
      </c>
      <c r="BK73" s="566">
        <f t="shared" si="149"/>
        <v>0</v>
      </c>
      <c r="BL73" s="566">
        <f t="shared" si="149"/>
        <v>0</v>
      </c>
      <c r="BM73" s="566">
        <f t="shared" si="149"/>
        <v>0</v>
      </c>
      <c r="BN73" s="566">
        <f t="shared" si="149"/>
        <v>0</v>
      </c>
      <c r="BO73" s="566">
        <f t="shared" si="149"/>
        <v>355857</v>
      </c>
      <c r="BP73" s="517">
        <f t="shared" si="148"/>
        <v>0</v>
      </c>
      <c r="BQ73" s="565">
        <f t="shared" ref="BQ73:BV73" si="150">SUM(BQ74:BQ76)</f>
        <v>0</v>
      </c>
      <c r="BR73" s="565">
        <f t="shared" si="150"/>
        <v>6666.666666666667</v>
      </c>
      <c r="BS73" s="565">
        <f t="shared" si="150"/>
        <v>349190.33333333331</v>
      </c>
      <c r="BT73" s="565">
        <f t="shared" si="150"/>
        <v>0</v>
      </c>
      <c r="BU73" s="565">
        <f t="shared" si="150"/>
        <v>0</v>
      </c>
      <c r="BV73" s="565">
        <f t="shared" si="150"/>
        <v>355857</v>
      </c>
      <c r="BW73" s="518">
        <f t="shared" si="11"/>
        <v>0</v>
      </c>
      <c r="BX73" s="534"/>
      <c r="BY73" s="534"/>
      <c r="BZ73" s="535"/>
      <c r="CA73" s="535"/>
      <c r="CB73" s="538"/>
      <c r="CC73" s="534"/>
      <c r="CD73" s="535"/>
      <c r="CE73" s="535"/>
      <c r="CF73" s="538"/>
      <c r="CG73" s="534"/>
      <c r="CH73" s="535"/>
      <c r="CI73" s="535"/>
      <c r="CJ73" s="535"/>
      <c r="CK73" s="536"/>
      <c r="CL73" s="536"/>
    </row>
    <row r="74" spans="1:90" s="536" customFormat="1" ht="13.25" customHeight="1" outlineLevel="1" x14ac:dyDescent="0.3">
      <c r="A74" s="523"/>
      <c r="B74" s="524"/>
      <c r="C74" s="539" t="str">
        <f>'CC detallado'!A71</f>
        <v>1.3.1</v>
      </c>
      <c r="D74" s="540" t="str">
        <f>'CC detallado'!F71</f>
        <v>Análisis y evaluación de la cobertura censal</v>
      </c>
      <c r="E74" s="527">
        <f>'CC detallado'!N71</f>
        <v>20000</v>
      </c>
      <c r="F74" s="515"/>
      <c r="G74" s="528"/>
      <c r="H74" s="528"/>
      <c r="I74" s="528"/>
      <c r="J74" s="528"/>
      <c r="K74" s="531"/>
      <c r="L74" s="531"/>
      <c r="M74" s="531"/>
      <c r="N74" s="531"/>
      <c r="O74" s="531"/>
      <c r="P74" s="531"/>
      <c r="Q74" s="531"/>
      <c r="R74" s="531"/>
      <c r="S74" s="531"/>
      <c r="T74" s="531"/>
      <c r="U74" s="531"/>
      <c r="V74" s="531"/>
      <c r="W74" s="531"/>
      <c r="X74" s="531"/>
      <c r="Y74" s="529"/>
      <c r="Z74" s="529"/>
      <c r="AA74" s="529"/>
      <c r="AB74" s="529"/>
      <c r="AC74" s="529"/>
      <c r="AD74" s="529"/>
      <c r="AE74" s="530">
        <f>E74/3</f>
        <v>6666.666666666667</v>
      </c>
      <c r="AF74" s="530">
        <f>AE74</f>
        <v>6666.666666666667</v>
      </c>
      <c r="AG74" s="530">
        <f t="shared" ref="AG74:AJ75" si="151">AF74</f>
        <v>6666.666666666667</v>
      </c>
      <c r="AH74" s="528">
        <v>0</v>
      </c>
      <c r="AI74" s="528">
        <v>0</v>
      </c>
      <c r="AJ74" s="528">
        <f t="shared" si="151"/>
        <v>0</v>
      </c>
      <c r="AK74" s="531"/>
      <c r="AL74" s="531"/>
      <c r="AM74" s="531"/>
      <c r="AN74" s="531"/>
      <c r="AO74" s="531"/>
      <c r="AP74" s="531"/>
      <c r="AQ74" s="531"/>
      <c r="AR74" s="531"/>
      <c r="AS74" s="531"/>
      <c r="AT74" s="531"/>
      <c r="AU74" s="531"/>
      <c r="AV74" s="531"/>
      <c r="AW74" s="531"/>
      <c r="AX74" s="531"/>
      <c r="AY74" s="531"/>
      <c r="AZ74" s="531"/>
      <c r="BA74" s="531"/>
      <c r="BB74" s="531"/>
      <c r="BC74" s="531"/>
      <c r="BD74" s="531"/>
      <c r="BE74" s="531"/>
      <c r="BF74" s="531"/>
      <c r="BG74" s="531"/>
      <c r="BH74" s="531"/>
      <c r="BI74" s="531"/>
      <c r="BJ74" s="531"/>
      <c r="BK74" s="531"/>
      <c r="BL74" s="531"/>
      <c r="BM74" s="531"/>
      <c r="BN74" s="531"/>
      <c r="BO74" s="528">
        <f t="shared" si="36"/>
        <v>20000</v>
      </c>
      <c r="BP74" s="517">
        <f t="shared" si="148"/>
        <v>0</v>
      </c>
      <c r="BQ74" s="532">
        <f t="shared" ref="BQ74:BQ76" si="152">SUM(G74:M74)</f>
        <v>0</v>
      </c>
      <c r="BR74" s="532">
        <f t="shared" ref="BR74:BR76" si="153">SUM(N74:AD74)</f>
        <v>0</v>
      </c>
      <c r="BS74" s="532">
        <f t="shared" ref="BS74:BS76" si="154">SUM(AE74:AP74)</f>
        <v>20000</v>
      </c>
      <c r="BT74" s="532">
        <f t="shared" ref="BT74:BT76" si="155">SUM(AQ74:BB74)</f>
        <v>0</v>
      </c>
      <c r="BU74" s="532">
        <f t="shared" ref="BU74:BU76" si="156">SUM(BC74:BN74)</f>
        <v>0</v>
      </c>
      <c r="BV74" s="532">
        <f t="shared" ref="BV74:BV76" si="157">SUM(BQ74:BU74)</f>
        <v>20000</v>
      </c>
      <c r="BW74" s="518">
        <f t="shared" si="11"/>
        <v>0</v>
      </c>
      <c r="BX74" s="534"/>
      <c r="BY74" s="534"/>
      <c r="BZ74" s="535"/>
      <c r="CA74" s="535"/>
      <c r="CB74" s="538"/>
      <c r="CC74" s="534"/>
      <c r="CD74" s="535"/>
      <c r="CE74" s="535"/>
      <c r="CF74" s="538"/>
      <c r="CG74" s="534"/>
      <c r="CH74" s="535"/>
      <c r="CI74" s="535"/>
      <c r="CJ74" s="535"/>
    </row>
    <row r="75" spans="1:90" s="537" customFormat="1" ht="13.25" customHeight="1" outlineLevel="1" x14ac:dyDescent="0.3">
      <c r="A75" s="523"/>
      <c r="B75" s="524"/>
      <c r="C75" s="539" t="str">
        <f>'CC detallado'!A72</f>
        <v>1.3.2</v>
      </c>
      <c r="D75" s="540" t="str">
        <f>'CC detallado'!F72</f>
        <v>Evaluación por muestreo de la calidad de los datos</v>
      </c>
      <c r="E75" s="527">
        <f>'CC detallado'!N72</f>
        <v>315857</v>
      </c>
      <c r="F75" s="515"/>
      <c r="G75" s="528"/>
      <c r="H75" s="528"/>
      <c r="I75" s="528"/>
      <c r="J75" s="528"/>
      <c r="K75" s="531"/>
      <c r="L75" s="531"/>
      <c r="M75" s="531"/>
      <c r="N75" s="531"/>
      <c r="O75" s="531"/>
      <c r="P75" s="531"/>
      <c r="Q75" s="531"/>
      <c r="R75" s="531"/>
      <c r="S75" s="531"/>
      <c r="T75" s="531"/>
      <c r="U75" s="531"/>
      <c r="V75" s="531"/>
      <c r="W75" s="531"/>
      <c r="X75" s="531"/>
      <c r="Y75" s="529"/>
      <c r="Z75" s="529"/>
      <c r="AA75" s="529"/>
      <c r="AB75" s="529"/>
      <c r="AC75" s="529"/>
      <c r="AD75" s="529"/>
      <c r="AE75" s="530">
        <f>E75/3</f>
        <v>105285.66666666667</v>
      </c>
      <c r="AF75" s="530">
        <f>AE75</f>
        <v>105285.66666666667</v>
      </c>
      <c r="AG75" s="530">
        <f t="shared" si="151"/>
        <v>105285.66666666667</v>
      </c>
      <c r="AH75" s="528">
        <v>0</v>
      </c>
      <c r="AI75" s="528">
        <v>0</v>
      </c>
      <c r="AJ75" s="528">
        <f t="shared" ref="AJ75" si="158">AI75</f>
        <v>0</v>
      </c>
      <c r="AK75" s="531"/>
      <c r="AL75" s="531"/>
      <c r="AM75" s="531"/>
      <c r="AN75" s="531"/>
      <c r="AO75" s="531"/>
      <c r="AP75" s="531"/>
      <c r="AQ75" s="531"/>
      <c r="AR75" s="531"/>
      <c r="AS75" s="531"/>
      <c r="AT75" s="531"/>
      <c r="AU75" s="531"/>
      <c r="AV75" s="531"/>
      <c r="AW75" s="531"/>
      <c r="AX75" s="531"/>
      <c r="AY75" s="531"/>
      <c r="AZ75" s="531"/>
      <c r="BA75" s="531"/>
      <c r="BB75" s="531"/>
      <c r="BC75" s="531"/>
      <c r="BD75" s="531"/>
      <c r="BE75" s="531"/>
      <c r="BF75" s="531"/>
      <c r="BG75" s="531"/>
      <c r="BH75" s="531"/>
      <c r="BI75" s="531"/>
      <c r="BJ75" s="531"/>
      <c r="BK75" s="531"/>
      <c r="BL75" s="531"/>
      <c r="BM75" s="531"/>
      <c r="BN75" s="531"/>
      <c r="BO75" s="528">
        <f t="shared" si="36"/>
        <v>315857</v>
      </c>
      <c r="BP75" s="517">
        <f t="shared" si="148"/>
        <v>0</v>
      </c>
      <c r="BQ75" s="532">
        <f t="shared" si="152"/>
        <v>0</v>
      </c>
      <c r="BR75" s="532">
        <f t="shared" si="153"/>
        <v>0</v>
      </c>
      <c r="BS75" s="532">
        <f t="shared" si="154"/>
        <v>315857</v>
      </c>
      <c r="BT75" s="532">
        <f t="shared" si="155"/>
        <v>0</v>
      </c>
      <c r="BU75" s="532">
        <f t="shared" si="156"/>
        <v>0</v>
      </c>
      <c r="BV75" s="532">
        <f t="shared" si="157"/>
        <v>315857</v>
      </c>
      <c r="BW75" s="518">
        <f t="shared" si="11"/>
        <v>0</v>
      </c>
      <c r="BX75" s="533"/>
      <c r="BY75" s="534"/>
      <c r="BZ75" s="535"/>
      <c r="CA75" s="535"/>
      <c r="CB75" s="533"/>
      <c r="CC75" s="534"/>
      <c r="CD75" s="535"/>
      <c r="CE75" s="535"/>
      <c r="CF75" s="533"/>
      <c r="CG75" s="534"/>
      <c r="CH75" s="535"/>
      <c r="CI75" s="535"/>
      <c r="CJ75" s="535"/>
      <c r="CK75" s="536"/>
      <c r="CL75" s="536"/>
    </row>
    <row r="76" spans="1:90" s="537" customFormat="1" ht="13.25" customHeight="1" outlineLevel="1" x14ac:dyDescent="0.3">
      <c r="A76" s="523"/>
      <c r="B76" s="524" t="s">
        <v>91</v>
      </c>
      <c r="C76" s="539" t="str">
        <f>'CC detallado'!A73</f>
        <v>1.3.3</v>
      </c>
      <c r="D76" s="540" t="str">
        <f>'CC detallado'!F73</f>
        <v>Evaluación y documentación del Operativo Censal</v>
      </c>
      <c r="E76" s="527">
        <f>'CC detallado'!N73</f>
        <v>20000</v>
      </c>
      <c r="F76" s="515"/>
      <c r="G76" s="528"/>
      <c r="H76" s="528"/>
      <c r="I76" s="528"/>
      <c r="J76" s="528"/>
      <c r="K76" s="531"/>
      <c r="L76" s="531"/>
      <c r="M76" s="531"/>
      <c r="N76" s="531"/>
      <c r="O76" s="531"/>
      <c r="P76" s="531"/>
      <c r="Q76" s="531"/>
      <c r="R76" s="531"/>
      <c r="S76" s="531"/>
      <c r="T76" s="531"/>
      <c r="U76" s="531"/>
      <c r="V76" s="531"/>
      <c r="W76" s="531"/>
      <c r="X76" s="529"/>
      <c r="Y76" s="529"/>
      <c r="Z76" s="529"/>
      <c r="AA76" s="529"/>
      <c r="AB76" s="529"/>
      <c r="AC76" s="529"/>
      <c r="AD76" s="530">
        <f>E76/3</f>
        <v>6666.666666666667</v>
      </c>
      <c r="AE76" s="530">
        <f>AD76</f>
        <v>6666.666666666667</v>
      </c>
      <c r="AF76" s="530">
        <f>AE76</f>
        <v>6666.666666666667</v>
      </c>
      <c r="AG76" s="528">
        <v>0</v>
      </c>
      <c r="AH76" s="528">
        <v>0</v>
      </c>
      <c r="AI76" s="528">
        <v>0</v>
      </c>
      <c r="AJ76" s="551"/>
      <c r="AK76" s="531"/>
      <c r="AL76" s="531"/>
      <c r="AM76" s="531"/>
      <c r="AN76" s="531"/>
      <c r="AO76" s="531"/>
      <c r="AP76" s="531"/>
      <c r="AQ76" s="531"/>
      <c r="AR76" s="531"/>
      <c r="AS76" s="531"/>
      <c r="AT76" s="531"/>
      <c r="AU76" s="531"/>
      <c r="AV76" s="531"/>
      <c r="AW76" s="531"/>
      <c r="AX76" s="531"/>
      <c r="AY76" s="531"/>
      <c r="AZ76" s="531"/>
      <c r="BA76" s="531"/>
      <c r="BB76" s="531"/>
      <c r="BC76" s="531"/>
      <c r="BD76" s="531"/>
      <c r="BE76" s="531"/>
      <c r="BF76" s="531"/>
      <c r="BG76" s="531"/>
      <c r="BH76" s="531"/>
      <c r="BI76" s="531"/>
      <c r="BJ76" s="531"/>
      <c r="BK76" s="531"/>
      <c r="BL76" s="531"/>
      <c r="BM76" s="531"/>
      <c r="BN76" s="531"/>
      <c r="BO76" s="528">
        <f>SUM(G76:BN76)</f>
        <v>20000</v>
      </c>
      <c r="BP76" s="517">
        <f t="shared" si="148"/>
        <v>0</v>
      </c>
      <c r="BQ76" s="532">
        <f t="shared" si="152"/>
        <v>0</v>
      </c>
      <c r="BR76" s="532">
        <f t="shared" si="153"/>
        <v>6666.666666666667</v>
      </c>
      <c r="BS76" s="532">
        <f t="shared" si="154"/>
        <v>13333.333333333334</v>
      </c>
      <c r="BT76" s="532">
        <f t="shared" si="155"/>
        <v>0</v>
      </c>
      <c r="BU76" s="532">
        <f t="shared" si="156"/>
        <v>0</v>
      </c>
      <c r="BV76" s="532">
        <f t="shared" si="157"/>
        <v>20000</v>
      </c>
      <c r="BW76" s="518">
        <f t="shared" si="11"/>
        <v>0</v>
      </c>
      <c r="BX76" s="534"/>
      <c r="BY76" s="534"/>
      <c r="BZ76" s="535"/>
      <c r="CA76" s="535"/>
      <c r="CB76" s="538"/>
      <c r="CC76" s="534"/>
      <c r="CD76" s="535"/>
      <c r="CE76" s="535"/>
      <c r="CF76" s="538"/>
      <c r="CG76" s="534"/>
      <c r="CH76" s="535"/>
      <c r="CI76" s="535"/>
      <c r="CJ76" s="535"/>
      <c r="CK76" s="536"/>
      <c r="CL76" s="536"/>
    </row>
    <row r="77" spans="1:90" s="537" customFormat="1" ht="13.25" customHeight="1" x14ac:dyDescent="0.3">
      <c r="A77" s="544"/>
      <c r="B77" s="545"/>
      <c r="C77" s="512" t="str">
        <f>'CC detallado'!A74</f>
        <v xml:space="preserve">1.4 </v>
      </c>
      <c r="D77" s="513" t="str">
        <f>'CC detallado'!F74</f>
        <v>Producto 4: Difusión de resultados realizada</v>
      </c>
      <c r="E77" s="565">
        <f>SUM(E78:E82)</f>
        <v>119750.37949063924</v>
      </c>
      <c r="F77" s="515"/>
      <c r="G77" s="566">
        <f>SUM(G78:G82)</f>
        <v>0</v>
      </c>
      <c r="H77" s="566">
        <f t="shared" ref="H77:BS77" si="159">SUM(H78:H82)</f>
        <v>0</v>
      </c>
      <c r="I77" s="566">
        <f t="shared" si="159"/>
        <v>0</v>
      </c>
      <c r="J77" s="566">
        <f t="shared" si="159"/>
        <v>0</v>
      </c>
      <c r="K77" s="566">
        <f t="shared" si="159"/>
        <v>0</v>
      </c>
      <c r="L77" s="566">
        <f t="shared" si="159"/>
        <v>0</v>
      </c>
      <c r="M77" s="566">
        <f t="shared" si="159"/>
        <v>0</v>
      </c>
      <c r="N77" s="566">
        <f t="shared" si="159"/>
        <v>0</v>
      </c>
      <c r="O77" s="566">
        <f t="shared" si="159"/>
        <v>0</v>
      </c>
      <c r="P77" s="566">
        <f t="shared" si="159"/>
        <v>0</v>
      </c>
      <c r="Q77" s="566">
        <f t="shared" si="159"/>
        <v>0</v>
      </c>
      <c r="R77" s="566">
        <f t="shared" si="159"/>
        <v>0</v>
      </c>
      <c r="S77" s="566">
        <f t="shared" si="159"/>
        <v>0</v>
      </c>
      <c r="T77" s="566">
        <f t="shared" si="159"/>
        <v>0</v>
      </c>
      <c r="U77" s="566">
        <f t="shared" si="159"/>
        <v>0</v>
      </c>
      <c r="V77" s="566">
        <f t="shared" si="159"/>
        <v>0</v>
      </c>
      <c r="W77" s="566">
        <f t="shared" si="159"/>
        <v>0</v>
      </c>
      <c r="X77" s="566">
        <f t="shared" si="159"/>
        <v>0</v>
      </c>
      <c r="Y77" s="566">
        <f t="shared" si="159"/>
        <v>0</v>
      </c>
      <c r="Z77" s="566">
        <f t="shared" si="159"/>
        <v>0</v>
      </c>
      <c r="AA77" s="566">
        <f t="shared" si="159"/>
        <v>0</v>
      </c>
      <c r="AB77" s="566">
        <f t="shared" si="159"/>
        <v>0</v>
      </c>
      <c r="AC77" s="566">
        <f t="shared" si="159"/>
        <v>0</v>
      </c>
      <c r="AD77" s="566">
        <f t="shared" si="159"/>
        <v>0</v>
      </c>
      <c r="AE77" s="566">
        <f t="shared" si="159"/>
        <v>2361.2750885478158</v>
      </c>
      <c r="AF77" s="566">
        <f t="shared" si="159"/>
        <v>2361.2750885478158</v>
      </c>
      <c r="AG77" s="566">
        <f t="shared" si="159"/>
        <v>7758.4752909428234</v>
      </c>
      <c r="AH77" s="566">
        <f t="shared" si="159"/>
        <v>7758.4752909428234</v>
      </c>
      <c r="AI77" s="566">
        <f t="shared" si="159"/>
        <v>7758.4752909428234</v>
      </c>
      <c r="AJ77" s="566">
        <f t="shared" si="159"/>
        <v>4047.9001517962556</v>
      </c>
      <c r="AK77" s="566">
        <f t="shared" si="159"/>
        <v>35419.126328217237</v>
      </c>
      <c r="AL77" s="566">
        <f t="shared" si="159"/>
        <v>1686.6250632484398</v>
      </c>
      <c r="AM77" s="566">
        <f t="shared" si="159"/>
        <v>50598.751897453199</v>
      </c>
      <c r="AN77" s="566">
        <f t="shared" si="159"/>
        <v>0</v>
      </c>
      <c r="AO77" s="566">
        <f t="shared" si="159"/>
        <v>0</v>
      </c>
      <c r="AP77" s="566">
        <f t="shared" si="159"/>
        <v>0</v>
      </c>
      <c r="AQ77" s="566">
        <f t="shared" si="159"/>
        <v>0</v>
      </c>
      <c r="AR77" s="566">
        <f t="shared" si="159"/>
        <v>0</v>
      </c>
      <c r="AS77" s="566">
        <f t="shared" si="159"/>
        <v>0</v>
      </c>
      <c r="AT77" s="566">
        <f t="shared" si="159"/>
        <v>0</v>
      </c>
      <c r="AU77" s="566">
        <f t="shared" si="159"/>
        <v>0</v>
      </c>
      <c r="AV77" s="566">
        <f t="shared" si="159"/>
        <v>0</v>
      </c>
      <c r="AW77" s="566">
        <f t="shared" si="159"/>
        <v>0</v>
      </c>
      <c r="AX77" s="566">
        <f t="shared" si="159"/>
        <v>0</v>
      </c>
      <c r="AY77" s="566">
        <f t="shared" si="159"/>
        <v>0</v>
      </c>
      <c r="AZ77" s="566">
        <f t="shared" si="159"/>
        <v>0</v>
      </c>
      <c r="BA77" s="566">
        <f t="shared" si="159"/>
        <v>0</v>
      </c>
      <c r="BB77" s="566">
        <f t="shared" si="159"/>
        <v>0</v>
      </c>
      <c r="BC77" s="566">
        <f t="shared" si="159"/>
        <v>0</v>
      </c>
      <c r="BD77" s="566">
        <f t="shared" si="159"/>
        <v>0</v>
      </c>
      <c r="BE77" s="566">
        <f t="shared" si="159"/>
        <v>0</v>
      </c>
      <c r="BF77" s="566">
        <f t="shared" si="159"/>
        <v>0</v>
      </c>
      <c r="BG77" s="566">
        <f t="shared" si="159"/>
        <v>0</v>
      </c>
      <c r="BH77" s="566">
        <f t="shared" si="159"/>
        <v>0</v>
      </c>
      <c r="BI77" s="566">
        <f t="shared" si="159"/>
        <v>0</v>
      </c>
      <c r="BJ77" s="566">
        <f t="shared" si="159"/>
        <v>0</v>
      </c>
      <c r="BK77" s="566">
        <f t="shared" si="159"/>
        <v>0</v>
      </c>
      <c r="BL77" s="566">
        <f t="shared" si="159"/>
        <v>0</v>
      </c>
      <c r="BM77" s="566">
        <f t="shared" si="159"/>
        <v>0</v>
      </c>
      <c r="BN77" s="566">
        <f t="shared" si="159"/>
        <v>0</v>
      </c>
      <c r="BO77" s="566">
        <f t="shared" si="159"/>
        <v>119750.37949063924</v>
      </c>
      <c r="BP77" s="517">
        <f t="shared" si="148"/>
        <v>0</v>
      </c>
      <c r="BQ77" s="565">
        <f t="shared" si="159"/>
        <v>0</v>
      </c>
      <c r="BR77" s="565">
        <f t="shared" si="159"/>
        <v>0</v>
      </c>
      <c r="BS77" s="565">
        <f t="shared" si="159"/>
        <v>119750.37949063924</v>
      </c>
      <c r="BT77" s="565">
        <f t="shared" ref="BT77:BV77" si="160">SUM(BT78:BT82)</f>
        <v>0</v>
      </c>
      <c r="BU77" s="565">
        <f t="shared" si="160"/>
        <v>0</v>
      </c>
      <c r="BV77" s="565">
        <f t="shared" si="160"/>
        <v>119750.37949063924</v>
      </c>
      <c r="BW77" s="518">
        <f t="shared" si="11"/>
        <v>0</v>
      </c>
      <c r="BX77" s="534"/>
      <c r="BY77" s="534"/>
      <c r="BZ77" s="535"/>
      <c r="CA77" s="535"/>
      <c r="CB77" s="538"/>
      <c r="CC77" s="534"/>
      <c r="CD77" s="535"/>
      <c r="CE77" s="535"/>
      <c r="CF77" s="538"/>
      <c r="CG77" s="534"/>
      <c r="CH77" s="535"/>
      <c r="CI77" s="535"/>
      <c r="CJ77" s="535"/>
      <c r="CK77" s="536"/>
      <c r="CL77" s="536"/>
    </row>
    <row r="78" spans="1:90" s="537" customFormat="1" ht="13.25" customHeight="1" outlineLevel="1" x14ac:dyDescent="0.3">
      <c r="A78" s="523"/>
      <c r="B78" s="524" t="s">
        <v>91</v>
      </c>
      <c r="C78" s="525" t="str">
        <f>'CC detallado'!A75</f>
        <v>1.4.1</v>
      </c>
      <c r="D78" s="560" t="str">
        <f>'CC detallado'!F75</f>
        <v>Sistematización y Análisis</v>
      </c>
      <c r="E78" s="527">
        <f>'CC detallado'!N75</f>
        <v>14167.650531286896</v>
      </c>
      <c r="F78" s="515"/>
      <c r="G78" s="528"/>
      <c r="H78" s="528"/>
      <c r="I78" s="528"/>
      <c r="J78" s="528"/>
      <c r="K78" s="531"/>
      <c r="L78" s="531"/>
      <c r="M78" s="531"/>
      <c r="N78" s="531"/>
      <c r="O78" s="531"/>
      <c r="P78" s="531"/>
      <c r="Q78" s="531"/>
      <c r="R78" s="531"/>
      <c r="S78" s="531"/>
      <c r="T78" s="531"/>
      <c r="U78" s="531"/>
      <c r="V78" s="531"/>
      <c r="W78" s="531"/>
      <c r="X78" s="531"/>
      <c r="Y78" s="531"/>
      <c r="Z78" s="531"/>
      <c r="AA78" s="531"/>
      <c r="AB78" s="531"/>
      <c r="AC78" s="529"/>
      <c r="AD78" s="529"/>
      <c r="AE78" s="530">
        <f>E78/6</f>
        <v>2361.2750885478158</v>
      </c>
      <c r="AF78" s="530">
        <f>AE78</f>
        <v>2361.2750885478158</v>
      </c>
      <c r="AG78" s="530">
        <f>AF78</f>
        <v>2361.2750885478158</v>
      </c>
      <c r="AH78" s="530">
        <f>AG78</f>
        <v>2361.2750885478158</v>
      </c>
      <c r="AI78" s="530">
        <f>AH78</f>
        <v>2361.2750885478158</v>
      </c>
      <c r="AJ78" s="530">
        <f>AI78</f>
        <v>2361.2750885478158</v>
      </c>
      <c r="AK78" s="531"/>
      <c r="AL78" s="531"/>
      <c r="AM78" s="531"/>
      <c r="AN78" s="531"/>
      <c r="AO78" s="531"/>
      <c r="AP78" s="531"/>
      <c r="AQ78" s="531"/>
      <c r="AR78" s="531"/>
      <c r="AS78" s="531"/>
      <c r="AT78" s="531"/>
      <c r="AU78" s="531"/>
      <c r="AV78" s="531"/>
      <c r="AW78" s="531"/>
      <c r="AX78" s="531"/>
      <c r="AY78" s="531"/>
      <c r="AZ78" s="531"/>
      <c r="BA78" s="531"/>
      <c r="BB78" s="531"/>
      <c r="BC78" s="531"/>
      <c r="BD78" s="531"/>
      <c r="BE78" s="531"/>
      <c r="BF78" s="531"/>
      <c r="BG78" s="531"/>
      <c r="BH78" s="531"/>
      <c r="BI78" s="531"/>
      <c r="BJ78" s="531"/>
      <c r="BK78" s="531"/>
      <c r="BL78" s="531"/>
      <c r="BM78" s="531"/>
      <c r="BN78" s="531"/>
      <c r="BO78" s="528">
        <f t="shared" si="36"/>
        <v>14167.650531286896</v>
      </c>
      <c r="BP78" s="517">
        <f t="shared" si="148"/>
        <v>0</v>
      </c>
      <c r="BQ78" s="532">
        <f t="shared" ref="BQ78:BQ82" si="161">SUM(G78:M78)</f>
        <v>0</v>
      </c>
      <c r="BR78" s="532">
        <f t="shared" ref="BR78:BR82" si="162">SUM(N78:AD78)</f>
        <v>0</v>
      </c>
      <c r="BS78" s="532">
        <f t="shared" ref="BS78:BS82" si="163">SUM(AE78:AP78)</f>
        <v>14167.650531286896</v>
      </c>
      <c r="BT78" s="532">
        <f t="shared" ref="BT78:BT82" si="164">SUM(AQ78:BB78)</f>
        <v>0</v>
      </c>
      <c r="BU78" s="532">
        <f t="shared" ref="BU78:BU82" si="165">SUM(BC78:BN78)</f>
        <v>0</v>
      </c>
      <c r="BV78" s="532">
        <f t="shared" ref="BV78:BV82" si="166">SUM(BQ78:BU78)</f>
        <v>14167.650531286896</v>
      </c>
      <c r="BW78" s="518">
        <f t="shared" si="11"/>
        <v>0</v>
      </c>
      <c r="BX78" s="534"/>
      <c r="BY78" s="534"/>
      <c r="BZ78" s="535"/>
      <c r="CA78" s="535"/>
      <c r="CB78" s="538"/>
      <c r="CC78" s="534"/>
      <c r="CD78" s="535"/>
      <c r="CE78" s="535"/>
      <c r="CF78" s="538"/>
      <c r="CG78" s="534"/>
      <c r="CH78" s="535"/>
      <c r="CI78" s="535"/>
      <c r="CJ78" s="535"/>
      <c r="CK78" s="536"/>
      <c r="CL78" s="536"/>
    </row>
    <row r="79" spans="1:90" s="537" customFormat="1" ht="13.25" customHeight="1" outlineLevel="1" x14ac:dyDescent="0.3">
      <c r="A79" s="523"/>
      <c r="B79" s="524"/>
      <c r="C79" s="525" t="str">
        <f>'CC detallado'!A76</f>
        <v>1.4.2</v>
      </c>
      <c r="D79" s="560" t="str">
        <f>'CC detallado'!F76</f>
        <v>Experto en comunicación de resultados censales</v>
      </c>
      <c r="E79" s="527">
        <f>'CC detallado'!N76</f>
        <v>10119.750379490639</v>
      </c>
      <c r="F79" s="515"/>
      <c r="G79" s="528"/>
      <c r="H79" s="528"/>
      <c r="I79" s="528"/>
      <c r="J79" s="528"/>
      <c r="K79" s="531"/>
      <c r="L79" s="531"/>
      <c r="M79" s="531"/>
      <c r="N79" s="531"/>
      <c r="O79" s="531"/>
      <c r="P79" s="531"/>
      <c r="Q79" s="531"/>
      <c r="R79" s="531"/>
      <c r="S79" s="531"/>
      <c r="T79" s="531"/>
      <c r="U79" s="531"/>
      <c r="V79" s="531"/>
      <c r="W79" s="531"/>
      <c r="X79" s="531"/>
      <c r="Y79" s="531"/>
      <c r="Z79" s="531"/>
      <c r="AA79" s="531"/>
      <c r="AB79" s="531"/>
      <c r="AC79" s="551"/>
      <c r="AD79" s="551"/>
      <c r="AE79" s="529"/>
      <c r="AF79" s="529"/>
      <c r="AG79" s="530">
        <f>E79/6</f>
        <v>1686.6250632484398</v>
      </c>
      <c r="AH79" s="530">
        <f>AG79</f>
        <v>1686.6250632484398</v>
      </c>
      <c r="AI79" s="530">
        <f>AH79</f>
        <v>1686.6250632484398</v>
      </c>
      <c r="AJ79" s="530">
        <f>AI79</f>
        <v>1686.6250632484398</v>
      </c>
      <c r="AK79" s="530">
        <f>AJ79</f>
        <v>1686.6250632484398</v>
      </c>
      <c r="AL79" s="530">
        <f>AK79</f>
        <v>1686.6250632484398</v>
      </c>
      <c r="AM79" s="531"/>
      <c r="AN79" s="531"/>
      <c r="AO79" s="531"/>
      <c r="AP79" s="531"/>
      <c r="AQ79" s="531"/>
      <c r="AR79" s="531"/>
      <c r="AS79" s="531"/>
      <c r="AT79" s="531"/>
      <c r="AU79" s="531"/>
      <c r="AV79" s="531"/>
      <c r="AW79" s="531"/>
      <c r="AX79" s="531"/>
      <c r="AY79" s="531"/>
      <c r="AZ79" s="531"/>
      <c r="BA79" s="531"/>
      <c r="BB79" s="531"/>
      <c r="BC79" s="531"/>
      <c r="BD79" s="531"/>
      <c r="BE79" s="531"/>
      <c r="BF79" s="531"/>
      <c r="BG79" s="531"/>
      <c r="BH79" s="531"/>
      <c r="BI79" s="531"/>
      <c r="BJ79" s="531"/>
      <c r="BK79" s="531"/>
      <c r="BL79" s="531"/>
      <c r="BM79" s="531"/>
      <c r="BN79" s="531"/>
      <c r="BO79" s="528">
        <f t="shared" si="36"/>
        <v>10119.750379490641</v>
      </c>
      <c r="BP79" s="517">
        <f t="shared" si="148"/>
        <v>0</v>
      </c>
      <c r="BQ79" s="532">
        <f t="shared" si="161"/>
        <v>0</v>
      </c>
      <c r="BR79" s="532">
        <f t="shared" si="162"/>
        <v>0</v>
      </c>
      <c r="BS79" s="532">
        <f t="shared" si="163"/>
        <v>10119.750379490641</v>
      </c>
      <c r="BT79" s="532">
        <f t="shared" si="164"/>
        <v>0</v>
      </c>
      <c r="BU79" s="532">
        <f t="shared" si="165"/>
        <v>0</v>
      </c>
      <c r="BV79" s="532">
        <f t="shared" si="166"/>
        <v>10119.750379490641</v>
      </c>
      <c r="BW79" s="518">
        <f t="shared" si="11"/>
        <v>0</v>
      </c>
      <c r="BX79" s="534"/>
      <c r="BY79" s="534"/>
      <c r="BZ79" s="535"/>
      <c r="CA79" s="535"/>
      <c r="CB79" s="538"/>
      <c r="CC79" s="534"/>
      <c r="CD79" s="535"/>
      <c r="CE79" s="535"/>
      <c r="CF79" s="538"/>
      <c r="CG79" s="534"/>
      <c r="CH79" s="535"/>
      <c r="CI79" s="535"/>
      <c r="CJ79" s="535"/>
      <c r="CK79" s="536"/>
      <c r="CL79" s="536"/>
    </row>
    <row r="80" spans="1:90" s="537" customFormat="1" ht="13.25" customHeight="1" outlineLevel="1" x14ac:dyDescent="0.3">
      <c r="A80" s="523"/>
      <c r="B80" s="524" t="s">
        <v>94</v>
      </c>
      <c r="C80" s="525" t="str">
        <f>'CC detallado'!A77</f>
        <v>1.4.3</v>
      </c>
      <c r="D80" s="560" t="str">
        <f>'CC detallado'!F79</f>
        <v>Publicaciones de resultados censales</v>
      </c>
      <c r="E80" s="527">
        <f>'CC detallado'!N79</f>
        <v>84331.253162421999</v>
      </c>
      <c r="F80" s="515"/>
      <c r="G80" s="528"/>
      <c r="H80" s="528"/>
      <c r="I80" s="528"/>
      <c r="J80" s="528"/>
      <c r="K80" s="531"/>
      <c r="L80" s="531"/>
      <c r="M80" s="531"/>
      <c r="N80" s="531"/>
      <c r="O80" s="531"/>
      <c r="P80" s="531"/>
      <c r="Q80" s="531"/>
      <c r="R80" s="531"/>
      <c r="S80" s="531"/>
      <c r="T80" s="531"/>
      <c r="U80" s="531"/>
      <c r="V80" s="531"/>
      <c r="W80" s="531"/>
      <c r="X80" s="531"/>
      <c r="Y80" s="531"/>
      <c r="Z80" s="531"/>
      <c r="AA80" s="531"/>
      <c r="AB80" s="531"/>
      <c r="AC80" s="531"/>
      <c r="AD80" s="531"/>
      <c r="AE80" s="531"/>
      <c r="AF80" s="531"/>
      <c r="AG80" s="529"/>
      <c r="AH80" s="529"/>
      <c r="AI80" s="529"/>
      <c r="AJ80" s="529"/>
      <c r="AK80" s="530">
        <f>E80*40%</f>
        <v>33732.5012649688</v>
      </c>
      <c r="AL80" s="530"/>
      <c r="AM80" s="530">
        <f>E80*60%</f>
        <v>50598.751897453199</v>
      </c>
      <c r="AN80" s="531"/>
      <c r="AO80" s="531"/>
      <c r="AP80" s="531"/>
      <c r="AQ80" s="531"/>
      <c r="AR80" s="531"/>
      <c r="AS80" s="531"/>
      <c r="AT80" s="531"/>
      <c r="AU80" s="531"/>
      <c r="AV80" s="531"/>
      <c r="AW80" s="531"/>
      <c r="AX80" s="531"/>
      <c r="AY80" s="531"/>
      <c r="AZ80" s="531"/>
      <c r="BA80" s="531"/>
      <c r="BB80" s="531"/>
      <c r="BC80" s="531"/>
      <c r="BD80" s="531"/>
      <c r="BE80" s="531"/>
      <c r="BF80" s="531"/>
      <c r="BG80" s="531"/>
      <c r="BH80" s="531"/>
      <c r="BI80" s="531"/>
      <c r="BJ80" s="531"/>
      <c r="BK80" s="531"/>
      <c r="BL80" s="531"/>
      <c r="BM80" s="531"/>
      <c r="BN80" s="531"/>
      <c r="BO80" s="528">
        <f t="shared" si="36"/>
        <v>84331.253162421999</v>
      </c>
      <c r="BP80" s="517">
        <f t="shared" si="148"/>
        <v>0</v>
      </c>
      <c r="BQ80" s="532">
        <f t="shared" si="161"/>
        <v>0</v>
      </c>
      <c r="BR80" s="532">
        <f t="shared" si="162"/>
        <v>0</v>
      </c>
      <c r="BS80" s="532">
        <f t="shared" si="163"/>
        <v>84331.253162421999</v>
      </c>
      <c r="BT80" s="532">
        <f t="shared" si="164"/>
        <v>0</v>
      </c>
      <c r="BU80" s="532">
        <f t="shared" si="165"/>
        <v>0</v>
      </c>
      <c r="BV80" s="532">
        <f t="shared" si="166"/>
        <v>84331.253162421999</v>
      </c>
      <c r="BW80" s="518">
        <f t="shared" si="11"/>
        <v>0</v>
      </c>
      <c r="BX80" s="533"/>
      <c r="BY80" s="534"/>
      <c r="BZ80" s="535"/>
      <c r="CA80" s="535"/>
      <c r="CB80" s="533"/>
      <c r="CC80" s="534"/>
      <c r="CD80" s="535"/>
      <c r="CE80" s="535"/>
      <c r="CF80" s="533"/>
      <c r="CG80" s="534"/>
      <c r="CH80" s="535"/>
      <c r="CI80" s="535"/>
      <c r="CJ80" s="535"/>
      <c r="CK80" s="536"/>
      <c r="CL80" s="536"/>
    </row>
    <row r="81" spans="1:90" s="537" customFormat="1" ht="13.25" customHeight="1" outlineLevel="1" x14ac:dyDescent="0.3">
      <c r="A81" s="523"/>
      <c r="B81" s="524"/>
      <c r="C81" s="525" t="str">
        <f>'CC detallado'!A78</f>
        <v>1.4.4</v>
      </c>
      <c r="D81" s="560" t="str">
        <f>'CC detallado'!F77</f>
        <v>Experto en diseño e implementación de la base de datos</v>
      </c>
      <c r="E81" s="527">
        <f>'CC detallado'!N77</f>
        <v>7083.8252656434479</v>
      </c>
      <c r="F81" s="515"/>
      <c r="G81" s="528"/>
      <c r="H81" s="528"/>
      <c r="I81" s="528"/>
      <c r="J81" s="528"/>
      <c r="K81" s="531"/>
      <c r="L81" s="531"/>
      <c r="M81" s="531"/>
      <c r="N81" s="531"/>
      <c r="O81" s="531"/>
      <c r="P81" s="531"/>
      <c r="Q81" s="531"/>
      <c r="R81" s="531"/>
      <c r="S81" s="531"/>
      <c r="T81" s="531"/>
      <c r="U81" s="531"/>
      <c r="V81" s="531"/>
      <c r="W81" s="531"/>
      <c r="X81" s="531"/>
      <c r="Y81" s="531"/>
      <c r="Z81" s="531"/>
      <c r="AA81" s="531"/>
      <c r="AB81" s="531"/>
      <c r="AC81" s="531"/>
      <c r="AD81" s="531"/>
      <c r="AE81" s="529"/>
      <c r="AF81" s="529"/>
      <c r="AG81" s="530">
        <f>E81/3</f>
        <v>2361.2750885478158</v>
      </c>
      <c r="AH81" s="530">
        <f>AG81</f>
        <v>2361.2750885478158</v>
      </c>
      <c r="AI81" s="530">
        <f>AH81</f>
        <v>2361.2750885478158</v>
      </c>
      <c r="AJ81" s="531"/>
      <c r="AK81" s="531"/>
      <c r="AL81" s="531"/>
      <c r="AM81" s="531"/>
      <c r="AN81" s="531"/>
      <c r="AO81" s="531"/>
      <c r="AP81" s="531"/>
      <c r="AQ81" s="531"/>
      <c r="AR81" s="531"/>
      <c r="AS81" s="531"/>
      <c r="AT81" s="531"/>
      <c r="AU81" s="531"/>
      <c r="AV81" s="531"/>
      <c r="AW81" s="531"/>
      <c r="AX81" s="531"/>
      <c r="AY81" s="531"/>
      <c r="AZ81" s="531"/>
      <c r="BA81" s="531"/>
      <c r="BB81" s="531"/>
      <c r="BC81" s="531"/>
      <c r="BD81" s="531"/>
      <c r="BE81" s="531"/>
      <c r="BF81" s="531"/>
      <c r="BG81" s="531"/>
      <c r="BH81" s="531"/>
      <c r="BI81" s="531"/>
      <c r="BJ81" s="531"/>
      <c r="BK81" s="531"/>
      <c r="BL81" s="531"/>
      <c r="BM81" s="531"/>
      <c r="BN81" s="531"/>
      <c r="BO81" s="528">
        <f t="shared" si="36"/>
        <v>7083.825265643447</v>
      </c>
      <c r="BP81" s="517">
        <f t="shared" si="148"/>
        <v>0</v>
      </c>
      <c r="BQ81" s="532">
        <f t="shared" si="161"/>
        <v>0</v>
      </c>
      <c r="BR81" s="532">
        <f t="shared" si="162"/>
        <v>0</v>
      </c>
      <c r="BS81" s="532">
        <f t="shared" si="163"/>
        <v>7083.825265643447</v>
      </c>
      <c r="BT81" s="532">
        <f t="shared" si="164"/>
        <v>0</v>
      </c>
      <c r="BU81" s="532">
        <f t="shared" si="165"/>
        <v>0</v>
      </c>
      <c r="BV81" s="532">
        <f t="shared" si="166"/>
        <v>7083.825265643447</v>
      </c>
      <c r="BW81" s="518">
        <f t="shared" si="11"/>
        <v>0</v>
      </c>
      <c r="BX81" s="534"/>
      <c r="BY81" s="534"/>
      <c r="BZ81" s="535"/>
      <c r="CA81" s="535"/>
      <c r="CB81" s="538"/>
      <c r="CC81" s="534"/>
      <c r="CD81" s="535"/>
      <c r="CE81" s="535"/>
      <c r="CF81" s="538"/>
      <c r="CG81" s="534"/>
      <c r="CH81" s="535"/>
      <c r="CI81" s="535"/>
      <c r="CJ81" s="535"/>
      <c r="CK81" s="536"/>
      <c r="CL81" s="536"/>
    </row>
    <row r="82" spans="1:90" s="537" customFormat="1" ht="13.25" customHeight="1" outlineLevel="1" x14ac:dyDescent="0.3">
      <c r="A82" s="523"/>
      <c r="B82" s="524"/>
      <c r="C82" s="525" t="str">
        <f>'CC detallado'!A79</f>
        <v>1.4.5</v>
      </c>
      <c r="D82" s="560" t="str">
        <f>'CC detallado'!F78</f>
        <v>Asistente para Diseño e implementación de la base de datos</v>
      </c>
      <c r="E82" s="527">
        <f>'CC detallado'!N78</f>
        <v>4047.9001517962556</v>
      </c>
      <c r="F82" s="515"/>
      <c r="G82" s="528"/>
      <c r="H82" s="528"/>
      <c r="I82" s="528"/>
      <c r="J82" s="528"/>
      <c r="K82" s="531"/>
      <c r="L82" s="531"/>
      <c r="M82" s="531"/>
      <c r="N82" s="531"/>
      <c r="O82" s="531"/>
      <c r="P82" s="531"/>
      <c r="Q82" s="531"/>
      <c r="R82" s="531"/>
      <c r="S82" s="531"/>
      <c r="T82" s="531"/>
      <c r="U82" s="531"/>
      <c r="V82" s="531"/>
      <c r="W82" s="531"/>
      <c r="X82" s="531"/>
      <c r="Y82" s="531"/>
      <c r="Z82" s="531"/>
      <c r="AA82" s="531"/>
      <c r="AB82" s="531"/>
      <c r="AC82" s="531"/>
      <c r="AD82" s="531"/>
      <c r="AE82" s="529"/>
      <c r="AF82" s="529"/>
      <c r="AG82" s="530">
        <f>E82/3</f>
        <v>1349.3000505987518</v>
      </c>
      <c r="AH82" s="530">
        <f>AG82</f>
        <v>1349.3000505987518</v>
      </c>
      <c r="AI82" s="530">
        <f>AH82</f>
        <v>1349.3000505987518</v>
      </c>
      <c r="AJ82" s="531"/>
      <c r="AK82" s="531"/>
      <c r="AL82" s="531"/>
      <c r="AM82" s="531"/>
      <c r="AN82" s="531"/>
      <c r="AO82" s="531"/>
      <c r="AP82" s="531"/>
      <c r="AQ82" s="531"/>
      <c r="AR82" s="531"/>
      <c r="AS82" s="531"/>
      <c r="AT82" s="531"/>
      <c r="AU82" s="531"/>
      <c r="AV82" s="531"/>
      <c r="AW82" s="531"/>
      <c r="AX82" s="531"/>
      <c r="AY82" s="531"/>
      <c r="AZ82" s="531"/>
      <c r="BA82" s="531"/>
      <c r="BB82" s="531"/>
      <c r="BC82" s="531"/>
      <c r="BD82" s="531"/>
      <c r="BE82" s="531"/>
      <c r="BF82" s="531"/>
      <c r="BG82" s="531"/>
      <c r="BH82" s="531"/>
      <c r="BI82" s="531"/>
      <c r="BJ82" s="531"/>
      <c r="BK82" s="531"/>
      <c r="BL82" s="531"/>
      <c r="BM82" s="531"/>
      <c r="BN82" s="531"/>
      <c r="BO82" s="528">
        <f t="shared" si="36"/>
        <v>4047.9001517962552</v>
      </c>
      <c r="BP82" s="517">
        <f t="shared" si="148"/>
        <v>0</v>
      </c>
      <c r="BQ82" s="532">
        <f t="shared" si="161"/>
        <v>0</v>
      </c>
      <c r="BR82" s="532">
        <f t="shared" si="162"/>
        <v>0</v>
      </c>
      <c r="BS82" s="532">
        <f t="shared" si="163"/>
        <v>4047.9001517962552</v>
      </c>
      <c r="BT82" s="532">
        <f t="shared" si="164"/>
        <v>0</v>
      </c>
      <c r="BU82" s="532">
        <f t="shared" si="165"/>
        <v>0</v>
      </c>
      <c r="BV82" s="532">
        <f t="shared" si="166"/>
        <v>4047.9001517962552</v>
      </c>
      <c r="BW82" s="518">
        <f t="shared" si="11"/>
        <v>0</v>
      </c>
      <c r="BX82" s="534"/>
      <c r="BY82" s="534"/>
      <c r="BZ82" s="535"/>
      <c r="CA82" s="535"/>
      <c r="CB82" s="538"/>
      <c r="CC82" s="534"/>
      <c r="CD82" s="535"/>
      <c r="CE82" s="535"/>
      <c r="CF82" s="538"/>
      <c r="CG82" s="534"/>
      <c r="CH82" s="535"/>
      <c r="CI82" s="535"/>
      <c r="CJ82" s="535"/>
      <c r="CK82" s="536"/>
      <c r="CL82" s="536"/>
    </row>
    <row r="83" spans="1:90" s="571" customFormat="1" ht="13.25" customHeight="1" x14ac:dyDescent="0.3">
      <c r="A83" s="493"/>
      <c r="B83" s="494"/>
      <c r="C83" s="505">
        <f>'CC detallado'!A80</f>
        <v>2</v>
      </c>
      <c r="D83" s="496" t="str">
        <f>'CC detallado'!F80</f>
        <v>Componente 2 - Fortalecimiento Institucional de las entidades del sistema de estadísticas agropecuarias</v>
      </c>
      <c r="E83" s="506">
        <f>E84+E100+E104+E116</f>
        <v>3669420.1354359938</v>
      </c>
      <c r="F83" s="507">
        <f>E83/$E$131</f>
        <v>0.24462801415625593</v>
      </c>
      <c r="G83" s="506">
        <f>G84+G100+G104+G116</f>
        <v>0</v>
      </c>
      <c r="H83" s="506">
        <f t="shared" ref="H83:BS83" si="167">H84+H100+H104+H116</f>
        <v>0</v>
      </c>
      <c r="I83" s="506">
        <f t="shared" si="167"/>
        <v>0</v>
      </c>
      <c r="J83" s="506">
        <f t="shared" si="167"/>
        <v>0</v>
      </c>
      <c r="K83" s="506">
        <f t="shared" si="167"/>
        <v>25225.4</v>
      </c>
      <c r="L83" s="506">
        <f t="shared" si="167"/>
        <v>803597.16646989377</v>
      </c>
      <c r="M83" s="506">
        <f t="shared" si="167"/>
        <v>41903.187721369541</v>
      </c>
      <c r="N83" s="506">
        <f t="shared" si="167"/>
        <v>803298.93742621026</v>
      </c>
      <c r="O83" s="506">
        <f t="shared" si="167"/>
        <v>560936.31246415933</v>
      </c>
      <c r="P83" s="506">
        <f t="shared" si="167"/>
        <v>32612.750885478163</v>
      </c>
      <c r="Q83" s="506">
        <f t="shared" si="167"/>
        <v>22493.000505987518</v>
      </c>
      <c r="R83" s="506">
        <f t="shared" si="167"/>
        <v>247819.8684432451</v>
      </c>
      <c r="S83" s="506">
        <f t="shared" si="167"/>
        <v>28815.212784617979</v>
      </c>
      <c r="T83" s="506">
        <f t="shared" si="167"/>
        <v>19589.812784617978</v>
      </c>
      <c r="U83" s="506">
        <f t="shared" si="167"/>
        <v>13589.81278461798</v>
      </c>
      <c r="V83" s="506">
        <f t="shared" si="167"/>
        <v>7589.8127846179796</v>
      </c>
      <c r="W83" s="506">
        <f t="shared" si="167"/>
        <v>9225.4</v>
      </c>
      <c r="X83" s="506">
        <f t="shared" si="167"/>
        <v>0</v>
      </c>
      <c r="Y83" s="506">
        <f t="shared" si="167"/>
        <v>0</v>
      </c>
      <c r="Z83" s="506">
        <f t="shared" si="167"/>
        <v>0</v>
      </c>
      <c r="AA83" s="506">
        <f t="shared" si="167"/>
        <v>9225.4</v>
      </c>
      <c r="AB83" s="506">
        <f t="shared" si="167"/>
        <v>10119.750379490641</v>
      </c>
      <c r="AC83" s="506">
        <f t="shared" si="167"/>
        <v>0</v>
      </c>
      <c r="AD83" s="506">
        <f t="shared" si="167"/>
        <v>0</v>
      </c>
      <c r="AE83" s="506">
        <f t="shared" si="167"/>
        <v>0</v>
      </c>
      <c r="AF83" s="506">
        <f t="shared" si="167"/>
        <v>0</v>
      </c>
      <c r="AG83" s="506">
        <f t="shared" si="167"/>
        <v>20239.500758981278</v>
      </c>
      <c r="AH83" s="506">
        <f t="shared" si="167"/>
        <v>20239.500758981278</v>
      </c>
      <c r="AI83" s="506">
        <f t="shared" si="167"/>
        <v>26311.350986675661</v>
      </c>
      <c r="AJ83" s="506">
        <f t="shared" si="167"/>
        <v>26311.350986675661</v>
      </c>
      <c r="AK83" s="506">
        <f t="shared" si="167"/>
        <v>6071.8502276943836</v>
      </c>
      <c r="AL83" s="506">
        <f t="shared" si="167"/>
        <v>6071.8502276943836</v>
      </c>
      <c r="AM83" s="506">
        <f t="shared" si="167"/>
        <v>0</v>
      </c>
      <c r="AN83" s="506">
        <f t="shared" si="167"/>
        <v>10119.750379490641</v>
      </c>
      <c r="AO83" s="506">
        <f t="shared" si="167"/>
        <v>8433.1253162421999</v>
      </c>
      <c r="AP83" s="506">
        <f t="shared" si="167"/>
        <v>8433.1253162421999</v>
      </c>
      <c r="AQ83" s="506">
        <f t="shared" si="167"/>
        <v>0</v>
      </c>
      <c r="AR83" s="506">
        <f t="shared" si="167"/>
        <v>0</v>
      </c>
      <c r="AS83" s="506">
        <f t="shared" si="167"/>
        <v>0</v>
      </c>
      <c r="AT83" s="506">
        <f t="shared" si="167"/>
        <v>5903.1877213695398</v>
      </c>
      <c r="AU83" s="506">
        <f t="shared" si="167"/>
        <v>8433.1253162421999</v>
      </c>
      <c r="AV83" s="506">
        <f t="shared" si="167"/>
        <v>2529.9375948726597</v>
      </c>
      <c r="AW83" s="506">
        <f t="shared" si="167"/>
        <v>5059.8751897453194</v>
      </c>
      <c r="AX83" s="506">
        <f t="shared" si="167"/>
        <v>0</v>
      </c>
      <c r="AY83" s="506">
        <f t="shared" si="167"/>
        <v>189745.31961544949</v>
      </c>
      <c r="AZ83" s="506">
        <f t="shared" si="167"/>
        <v>199865.06999494013</v>
      </c>
      <c r="BA83" s="506">
        <f t="shared" si="167"/>
        <v>25000</v>
      </c>
      <c r="BB83" s="506">
        <f t="shared" si="167"/>
        <v>25000</v>
      </c>
      <c r="BC83" s="506">
        <f t="shared" si="167"/>
        <v>0</v>
      </c>
      <c r="BD83" s="506">
        <f t="shared" si="167"/>
        <v>0</v>
      </c>
      <c r="BE83" s="506">
        <f t="shared" si="167"/>
        <v>0</v>
      </c>
      <c r="BF83" s="506">
        <f t="shared" si="167"/>
        <v>0</v>
      </c>
      <c r="BG83" s="506">
        <f t="shared" si="167"/>
        <v>0</v>
      </c>
      <c r="BH83" s="506">
        <f t="shared" si="167"/>
        <v>0</v>
      </c>
      <c r="BI83" s="506">
        <f t="shared" si="167"/>
        <v>189745.31961544949</v>
      </c>
      <c r="BJ83" s="506">
        <f t="shared" si="167"/>
        <v>189745.31961544949</v>
      </c>
      <c r="BK83" s="506">
        <f t="shared" si="167"/>
        <v>25000</v>
      </c>
      <c r="BL83" s="506">
        <f t="shared" si="167"/>
        <v>35119.750379490637</v>
      </c>
      <c r="BM83" s="506">
        <f t="shared" si="167"/>
        <v>0</v>
      </c>
      <c r="BN83" s="506">
        <f t="shared" si="167"/>
        <v>0</v>
      </c>
      <c r="BO83" s="506">
        <f t="shared" si="167"/>
        <v>3669420.1354359938</v>
      </c>
      <c r="BP83" s="517">
        <f t="shared" si="148"/>
        <v>0</v>
      </c>
      <c r="BQ83" s="506">
        <f t="shared" si="167"/>
        <v>870725.75419126335</v>
      </c>
      <c r="BR83" s="506">
        <f t="shared" si="167"/>
        <v>1765316.0712430428</v>
      </c>
      <c r="BS83" s="506">
        <f t="shared" si="167"/>
        <v>132231.40495867768</v>
      </c>
      <c r="BT83" s="506">
        <f t="shared" ref="BT83:BV83" si="168">BT84+BT100+BT104+BT116</f>
        <v>461536.51543261937</v>
      </c>
      <c r="BU83" s="506">
        <f t="shared" si="168"/>
        <v>439610.38961038965</v>
      </c>
      <c r="BV83" s="506">
        <f t="shared" si="168"/>
        <v>3669420.1354359938</v>
      </c>
      <c r="BW83" s="518">
        <f t="shared" si="11"/>
        <v>0</v>
      </c>
      <c r="BX83" s="567"/>
      <c r="BY83" s="567"/>
      <c r="BZ83" s="568"/>
      <c r="CA83" s="568"/>
      <c r="CB83" s="569"/>
      <c r="CC83" s="567"/>
      <c r="CD83" s="568"/>
      <c r="CE83" s="568"/>
      <c r="CF83" s="569"/>
      <c r="CG83" s="567"/>
      <c r="CH83" s="568"/>
      <c r="CI83" s="568"/>
      <c r="CJ83" s="568"/>
      <c r="CK83" s="570"/>
      <c r="CL83" s="570"/>
    </row>
    <row r="84" spans="1:90" s="537" customFormat="1" ht="13.25" customHeight="1" x14ac:dyDescent="0.3">
      <c r="A84" s="544"/>
      <c r="B84" s="545"/>
      <c r="C84" s="512" t="str">
        <f>'CC detallado'!A81</f>
        <v>2.1</v>
      </c>
      <c r="D84" s="513" t="str">
        <f>'CC detallado'!F81</f>
        <v xml:space="preserve">Producto 5: Técnicos capacitados en generación información estadística </v>
      </c>
      <c r="E84" s="565">
        <f>E85+E90+E93+E94+E95+E96+E97+E98+E99</f>
        <v>2581682.5742958346</v>
      </c>
      <c r="F84" s="515"/>
      <c r="G84" s="566">
        <f t="shared" ref="G84:BO84" si="169">G85+G90+G93+G94+G95+G96+G97+G98+G99</f>
        <v>0</v>
      </c>
      <c r="H84" s="566">
        <f t="shared" si="169"/>
        <v>0</v>
      </c>
      <c r="I84" s="566">
        <f t="shared" si="169"/>
        <v>0</v>
      </c>
      <c r="J84" s="566">
        <f t="shared" si="169"/>
        <v>0</v>
      </c>
      <c r="K84" s="566">
        <f t="shared" si="169"/>
        <v>25225.4</v>
      </c>
      <c r="L84" s="566">
        <f t="shared" si="169"/>
        <v>803597.16646989377</v>
      </c>
      <c r="M84" s="566">
        <f t="shared" si="169"/>
        <v>17903.187721369541</v>
      </c>
      <c r="N84" s="566">
        <f t="shared" si="169"/>
        <v>803298.93742621026</v>
      </c>
      <c r="O84" s="566">
        <f t="shared" si="169"/>
        <v>553346.49967954133</v>
      </c>
      <c r="P84" s="566">
        <f t="shared" si="169"/>
        <v>25022.938100860181</v>
      </c>
      <c r="Q84" s="566">
        <f t="shared" si="169"/>
        <v>14903.187721369541</v>
      </c>
      <c r="R84" s="566">
        <f t="shared" si="169"/>
        <v>240230.05565862713</v>
      </c>
      <c r="S84" s="566">
        <f t="shared" si="169"/>
        <v>21225.4</v>
      </c>
      <c r="T84" s="566">
        <f t="shared" si="169"/>
        <v>12000</v>
      </c>
      <c r="U84" s="566">
        <f t="shared" si="169"/>
        <v>6000</v>
      </c>
      <c r="V84" s="566">
        <f t="shared" si="169"/>
        <v>0</v>
      </c>
      <c r="W84" s="566">
        <f t="shared" si="169"/>
        <v>9225.4</v>
      </c>
      <c r="X84" s="566">
        <f t="shared" si="169"/>
        <v>0</v>
      </c>
      <c r="Y84" s="566">
        <f t="shared" si="169"/>
        <v>0</v>
      </c>
      <c r="Z84" s="566">
        <f t="shared" si="169"/>
        <v>0</v>
      </c>
      <c r="AA84" s="566">
        <f t="shared" si="169"/>
        <v>9225.4</v>
      </c>
      <c r="AB84" s="566">
        <f t="shared" si="169"/>
        <v>10119.750379490641</v>
      </c>
      <c r="AC84" s="566">
        <f t="shared" si="169"/>
        <v>0</v>
      </c>
      <c r="AD84" s="566">
        <f t="shared" si="169"/>
        <v>0</v>
      </c>
      <c r="AE84" s="566">
        <f t="shared" si="169"/>
        <v>0</v>
      </c>
      <c r="AF84" s="566">
        <f t="shared" si="169"/>
        <v>0</v>
      </c>
      <c r="AG84" s="566">
        <f t="shared" si="169"/>
        <v>0</v>
      </c>
      <c r="AH84" s="566">
        <f t="shared" si="169"/>
        <v>0</v>
      </c>
      <c r="AI84" s="566">
        <f t="shared" si="169"/>
        <v>0</v>
      </c>
      <c r="AJ84" s="566">
        <f t="shared" si="169"/>
        <v>0</v>
      </c>
      <c r="AK84" s="566">
        <f t="shared" si="169"/>
        <v>0</v>
      </c>
      <c r="AL84" s="566">
        <f t="shared" si="169"/>
        <v>0</v>
      </c>
      <c r="AM84" s="566">
        <f t="shared" si="169"/>
        <v>0</v>
      </c>
      <c r="AN84" s="566">
        <f t="shared" si="169"/>
        <v>10119.750379490641</v>
      </c>
      <c r="AO84" s="566">
        <f t="shared" si="169"/>
        <v>0</v>
      </c>
      <c r="AP84" s="566">
        <f t="shared" si="169"/>
        <v>0</v>
      </c>
      <c r="AQ84" s="566">
        <f t="shared" si="169"/>
        <v>0</v>
      </c>
      <c r="AR84" s="566">
        <f t="shared" si="169"/>
        <v>0</v>
      </c>
      <c r="AS84" s="566">
        <f t="shared" si="169"/>
        <v>0</v>
      </c>
      <c r="AT84" s="566">
        <f t="shared" si="169"/>
        <v>0</v>
      </c>
      <c r="AU84" s="566">
        <f t="shared" si="169"/>
        <v>0</v>
      </c>
      <c r="AV84" s="566">
        <f t="shared" si="169"/>
        <v>0</v>
      </c>
      <c r="AW84" s="566">
        <f t="shared" si="169"/>
        <v>0</v>
      </c>
      <c r="AX84" s="566">
        <f t="shared" si="169"/>
        <v>0</v>
      </c>
      <c r="AY84" s="566">
        <f t="shared" si="169"/>
        <v>0</v>
      </c>
      <c r="AZ84" s="566">
        <f t="shared" si="169"/>
        <v>10119.750379490641</v>
      </c>
      <c r="BA84" s="566">
        <f t="shared" si="169"/>
        <v>0</v>
      </c>
      <c r="BB84" s="566">
        <f t="shared" si="169"/>
        <v>0</v>
      </c>
      <c r="BC84" s="566">
        <f t="shared" si="169"/>
        <v>0</v>
      </c>
      <c r="BD84" s="566">
        <f t="shared" si="169"/>
        <v>0</v>
      </c>
      <c r="BE84" s="566">
        <f t="shared" si="169"/>
        <v>0</v>
      </c>
      <c r="BF84" s="566">
        <f t="shared" si="169"/>
        <v>0</v>
      </c>
      <c r="BG84" s="566">
        <f t="shared" si="169"/>
        <v>0</v>
      </c>
      <c r="BH84" s="566">
        <f t="shared" si="169"/>
        <v>0</v>
      </c>
      <c r="BI84" s="566">
        <f t="shared" si="169"/>
        <v>0</v>
      </c>
      <c r="BJ84" s="566">
        <f t="shared" si="169"/>
        <v>0</v>
      </c>
      <c r="BK84" s="566">
        <f t="shared" si="169"/>
        <v>0</v>
      </c>
      <c r="BL84" s="566">
        <f t="shared" si="169"/>
        <v>10119.750379490641</v>
      </c>
      <c r="BM84" s="566">
        <f t="shared" si="169"/>
        <v>0</v>
      </c>
      <c r="BN84" s="566">
        <f t="shared" si="169"/>
        <v>0</v>
      </c>
      <c r="BO84" s="566">
        <f t="shared" si="169"/>
        <v>2581682.5742958346</v>
      </c>
      <c r="BP84" s="517">
        <f t="shared" si="148"/>
        <v>0</v>
      </c>
      <c r="BQ84" s="565">
        <f t="shared" ref="BQ84" si="170">BQ85+BQ90+BQ93+BQ94+BQ95+BQ96+BQ97+BQ98+BQ99</f>
        <v>846725.75419126335</v>
      </c>
      <c r="BR84" s="565">
        <f t="shared" ref="BR84" si="171">BR85+BR90+BR93+BR94+BR95+BR96+BR97+BR98+BR99</f>
        <v>1704597.5689660991</v>
      </c>
      <c r="BS84" s="565">
        <f t="shared" ref="BS84" si="172">BS85+BS90+BS93+BS94+BS95+BS96+BS97+BS98+BS99</f>
        <v>10119.750379490641</v>
      </c>
      <c r="BT84" s="565">
        <f t="shared" ref="BT84" si="173">BT85+BT90+BT93+BT94+BT95+BT96+BT97+BT98+BT99</f>
        <v>10119.750379490641</v>
      </c>
      <c r="BU84" s="565">
        <f t="shared" ref="BU84" si="174">BU85+BU90+BU93+BU94+BU95+BU96+BU97+BU98+BU99</f>
        <v>10119.750379490641</v>
      </c>
      <c r="BV84" s="565">
        <f t="shared" ref="BV84" si="175">BV85+BV90+BV93+BV94+BV95+BV96+BV97+BV98+BV99</f>
        <v>2581682.5742958346</v>
      </c>
      <c r="BW84" s="518">
        <f t="shared" ref="BW84:BW132" si="176">BO84-BV84</f>
        <v>0</v>
      </c>
      <c r="BX84" s="534"/>
      <c r="BY84" s="534"/>
      <c r="BZ84" s="535"/>
      <c r="CA84" s="535"/>
      <c r="CB84" s="538"/>
      <c r="CC84" s="534"/>
      <c r="CD84" s="535"/>
      <c r="CE84" s="535"/>
      <c r="CF84" s="538"/>
      <c r="CG84" s="534"/>
      <c r="CH84" s="535"/>
      <c r="CI84" s="535"/>
      <c r="CJ84" s="535"/>
      <c r="CK84" s="536"/>
      <c r="CL84" s="536"/>
    </row>
    <row r="85" spans="1:90" s="537" customFormat="1" ht="13.25" customHeight="1" outlineLevel="1" x14ac:dyDescent="0.3">
      <c r="A85" s="523"/>
      <c r="B85" s="524"/>
      <c r="C85" s="552" t="str">
        <f>'CC detallado'!A82</f>
        <v>2.1.1</v>
      </c>
      <c r="D85" s="553" t="str">
        <f>'CC detallado'!F82</f>
        <v>Buenas practicas para el Censo Agrario formuladas</v>
      </c>
      <c r="E85" s="548">
        <f>SUM(E86:E89)</f>
        <v>70000</v>
      </c>
      <c r="F85" s="515"/>
      <c r="G85" s="549">
        <f>SUM(G86:G89)</f>
        <v>0</v>
      </c>
      <c r="H85" s="549">
        <f t="shared" ref="H85:BO85" si="177">SUM(H86:H89)</f>
        <v>0</v>
      </c>
      <c r="I85" s="549">
        <f t="shared" si="177"/>
        <v>0</v>
      </c>
      <c r="J85" s="549">
        <f t="shared" si="177"/>
        <v>0</v>
      </c>
      <c r="K85" s="549">
        <f t="shared" si="177"/>
        <v>16000</v>
      </c>
      <c r="L85" s="549">
        <f t="shared" si="177"/>
        <v>12000</v>
      </c>
      <c r="M85" s="549">
        <f t="shared" si="177"/>
        <v>12000</v>
      </c>
      <c r="N85" s="549">
        <f t="shared" si="177"/>
        <v>0</v>
      </c>
      <c r="O85" s="549">
        <f t="shared" si="177"/>
        <v>0</v>
      </c>
      <c r="P85" s="549">
        <f t="shared" si="177"/>
        <v>0</v>
      </c>
      <c r="Q85" s="549">
        <f t="shared" si="177"/>
        <v>0</v>
      </c>
      <c r="R85" s="549">
        <f t="shared" si="177"/>
        <v>0</v>
      </c>
      <c r="S85" s="549">
        <f t="shared" si="177"/>
        <v>12000</v>
      </c>
      <c r="T85" s="549">
        <f t="shared" si="177"/>
        <v>12000</v>
      </c>
      <c r="U85" s="549">
        <f t="shared" si="177"/>
        <v>6000</v>
      </c>
      <c r="V85" s="549">
        <f t="shared" si="177"/>
        <v>0</v>
      </c>
      <c r="W85" s="549">
        <f t="shared" si="177"/>
        <v>0</v>
      </c>
      <c r="X85" s="549">
        <f t="shared" si="177"/>
        <v>0</v>
      </c>
      <c r="Y85" s="549">
        <f t="shared" si="177"/>
        <v>0</v>
      </c>
      <c r="Z85" s="549">
        <f t="shared" si="177"/>
        <v>0</v>
      </c>
      <c r="AA85" s="549">
        <f t="shared" si="177"/>
        <v>0</v>
      </c>
      <c r="AB85" s="549">
        <f t="shared" si="177"/>
        <v>0</v>
      </c>
      <c r="AC85" s="549">
        <f t="shared" si="177"/>
        <v>0</v>
      </c>
      <c r="AD85" s="549">
        <f t="shared" si="177"/>
        <v>0</v>
      </c>
      <c r="AE85" s="549">
        <f t="shared" si="177"/>
        <v>0</v>
      </c>
      <c r="AF85" s="549">
        <f t="shared" si="177"/>
        <v>0</v>
      </c>
      <c r="AG85" s="549">
        <f t="shared" si="177"/>
        <v>0</v>
      </c>
      <c r="AH85" s="549">
        <f t="shared" si="177"/>
        <v>0</v>
      </c>
      <c r="AI85" s="549">
        <f t="shared" si="177"/>
        <v>0</v>
      </c>
      <c r="AJ85" s="549">
        <f t="shared" si="177"/>
        <v>0</v>
      </c>
      <c r="AK85" s="549">
        <f t="shared" si="177"/>
        <v>0</v>
      </c>
      <c r="AL85" s="549">
        <f t="shared" si="177"/>
        <v>0</v>
      </c>
      <c r="AM85" s="549">
        <f t="shared" si="177"/>
        <v>0</v>
      </c>
      <c r="AN85" s="549">
        <f t="shared" si="177"/>
        <v>0</v>
      </c>
      <c r="AO85" s="549">
        <f t="shared" si="177"/>
        <v>0</v>
      </c>
      <c r="AP85" s="549">
        <f t="shared" si="177"/>
        <v>0</v>
      </c>
      <c r="AQ85" s="549">
        <f t="shared" si="177"/>
        <v>0</v>
      </c>
      <c r="AR85" s="549">
        <f t="shared" si="177"/>
        <v>0</v>
      </c>
      <c r="AS85" s="549">
        <f t="shared" si="177"/>
        <v>0</v>
      </c>
      <c r="AT85" s="549">
        <f t="shared" si="177"/>
        <v>0</v>
      </c>
      <c r="AU85" s="549">
        <f t="shared" si="177"/>
        <v>0</v>
      </c>
      <c r="AV85" s="549">
        <f t="shared" si="177"/>
        <v>0</v>
      </c>
      <c r="AW85" s="549">
        <f t="shared" si="177"/>
        <v>0</v>
      </c>
      <c r="AX85" s="549">
        <f t="shared" si="177"/>
        <v>0</v>
      </c>
      <c r="AY85" s="549">
        <f t="shared" si="177"/>
        <v>0</v>
      </c>
      <c r="AZ85" s="549">
        <f t="shared" si="177"/>
        <v>0</v>
      </c>
      <c r="BA85" s="549">
        <f t="shared" si="177"/>
        <v>0</v>
      </c>
      <c r="BB85" s="549">
        <f t="shared" si="177"/>
        <v>0</v>
      </c>
      <c r="BC85" s="549">
        <f t="shared" si="177"/>
        <v>0</v>
      </c>
      <c r="BD85" s="549">
        <f t="shared" si="177"/>
        <v>0</v>
      </c>
      <c r="BE85" s="549">
        <f t="shared" si="177"/>
        <v>0</v>
      </c>
      <c r="BF85" s="549">
        <f t="shared" si="177"/>
        <v>0</v>
      </c>
      <c r="BG85" s="549">
        <f t="shared" si="177"/>
        <v>0</v>
      </c>
      <c r="BH85" s="549">
        <f t="shared" si="177"/>
        <v>0</v>
      </c>
      <c r="BI85" s="549">
        <f t="shared" si="177"/>
        <v>0</v>
      </c>
      <c r="BJ85" s="549">
        <f t="shared" si="177"/>
        <v>0</v>
      </c>
      <c r="BK85" s="549">
        <f t="shared" si="177"/>
        <v>0</v>
      </c>
      <c r="BL85" s="549">
        <f t="shared" si="177"/>
        <v>0</v>
      </c>
      <c r="BM85" s="549">
        <f t="shared" si="177"/>
        <v>0</v>
      </c>
      <c r="BN85" s="549">
        <f t="shared" si="177"/>
        <v>0</v>
      </c>
      <c r="BO85" s="549">
        <f t="shared" si="177"/>
        <v>70000</v>
      </c>
      <c r="BP85" s="517">
        <f t="shared" si="148"/>
        <v>0</v>
      </c>
      <c r="BQ85" s="548">
        <f t="shared" ref="BQ85:BV85" si="178">SUM(BQ86:BQ89)</f>
        <v>40000</v>
      </c>
      <c r="BR85" s="548">
        <f t="shared" si="178"/>
        <v>30000</v>
      </c>
      <c r="BS85" s="548">
        <f t="shared" si="178"/>
        <v>0</v>
      </c>
      <c r="BT85" s="548">
        <f t="shared" si="178"/>
        <v>0</v>
      </c>
      <c r="BU85" s="548">
        <f t="shared" si="178"/>
        <v>0</v>
      </c>
      <c r="BV85" s="548">
        <f t="shared" si="178"/>
        <v>70000</v>
      </c>
      <c r="BW85" s="518">
        <f t="shared" si="176"/>
        <v>0</v>
      </c>
      <c r="BX85" s="535"/>
      <c r="BY85" s="534"/>
      <c r="BZ85" s="535"/>
      <c r="CA85" s="535"/>
      <c r="CB85" s="535"/>
      <c r="CC85" s="534"/>
      <c r="CD85" s="535"/>
      <c r="CE85" s="535"/>
      <c r="CF85" s="535"/>
      <c r="CG85" s="534"/>
      <c r="CH85" s="535"/>
      <c r="CI85" s="535"/>
      <c r="CJ85" s="535"/>
      <c r="CK85" s="536"/>
      <c r="CL85" s="536"/>
    </row>
    <row r="86" spans="1:90" s="537" customFormat="1" ht="13.25" customHeight="1" outlineLevel="1" x14ac:dyDescent="0.3">
      <c r="A86" s="523"/>
      <c r="B86" s="524" t="s">
        <v>91</v>
      </c>
      <c r="C86" s="525" t="str">
        <f>'CC detallado'!A83</f>
        <v>2.1.1.1</v>
      </c>
      <c r="D86" s="526" t="str">
        <f>'CC detallado'!F83</f>
        <v>Experto en programación en plataforma CSpro con aplicación a Tablet</v>
      </c>
      <c r="E86" s="532">
        <f>'CC detallado'!N83</f>
        <v>25000</v>
      </c>
      <c r="F86" s="515"/>
      <c r="G86" s="550"/>
      <c r="H86" s="528"/>
      <c r="I86" s="550"/>
      <c r="J86" s="529"/>
      <c r="K86" s="530">
        <f>E86*40%</f>
        <v>10000</v>
      </c>
      <c r="L86" s="530">
        <f>E86*30%</f>
        <v>7500</v>
      </c>
      <c r="M86" s="530">
        <f>E86*30%</f>
        <v>7500</v>
      </c>
      <c r="N86" s="531"/>
      <c r="O86" s="531"/>
      <c r="P86" s="531"/>
      <c r="Q86" s="531"/>
      <c r="R86" s="531"/>
      <c r="S86" s="531"/>
      <c r="T86" s="531"/>
      <c r="U86" s="531"/>
      <c r="V86" s="531"/>
      <c r="W86" s="531"/>
      <c r="X86" s="531"/>
      <c r="Y86" s="531"/>
      <c r="Z86" s="531"/>
      <c r="AA86" s="531"/>
      <c r="AB86" s="531"/>
      <c r="AC86" s="531"/>
      <c r="AD86" s="531"/>
      <c r="AE86" s="531"/>
      <c r="AF86" s="531"/>
      <c r="AG86" s="531"/>
      <c r="AH86" s="531"/>
      <c r="AI86" s="531"/>
      <c r="AJ86" s="531"/>
      <c r="AK86" s="531"/>
      <c r="AL86" s="531"/>
      <c r="AM86" s="531"/>
      <c r="AN86" s="531"/>
      <c r="AO86" s="531"/>
      <c r="AP86" s="531"/>
      <c r="AQ86" s="531"/>
      <c r="AR86" s="531"/>
      <c r="AS86" s="531"/>
      <c r="AT86" s="531"/>
      <c r="AU86" s="531"/>
      <c r="AV86" s="531"/>
      <c r="AW86" s="531"/>
      <c r="AX86" s="531"/>
      <c r="AY86" s="531"/>
      <c r="AZ86" s="531"/>
      <c r="BA86" s="531"/>
      <c r="BB86" s="531"/>
      <c r="BC86" s="531"/>
      <c r="BD86" s="531"/>
      <c r="BE86" s="531"/>
      <c r="BF86" s="531"/>
      <c r="BG86" s="531"/>
      <c r="BH86" s="531"/>
      <c r="BI86" s="531"/>
      <c r="BJ86" s="531"/>
      <c r="BK86" s="531"/>
      <c r="BL86" s="531"/>
      <c r="BM86" s="531"/>
      <c r="BN86" s="531"/>
      <c r="BO86" s="528">
        <f>SUM(G86:BN86)</f>
        <v>25000</v>
      </c>
      <c r="BP86" s="517">
        <f t="shared" si="148"/>
        <v>0</v>
      </c>
      <c r="BQ86" s="532">
        <f t="shared" ref="BQ86" si="179">SUM(G86:R86)</f>
        <v>25000</v>
      </c>
      <c r="BR86" s="532">
        <f t="shared" ref="BR86" si="180">SUM(S86:AD86)</f>
        <v>0</v>
      </c>
      <c r="BS86" s="532">
        <f t="shared" ref="BS86" si="181">SUM(AE86:AP86)</f>
        <v>0</v>
      </c>
      <c r="BT86" s="532">
        <f t="shared" ref="BT86" si="182">SUM(AQ86:BB86)</f>
        <v>0</v>
      </c>
      <c r="BU86" s="532">
        <f t="shared" ref="BU86" si="183">SUM(BC86:BN86)</f>
        <v>0</v>
      </c>
      <c r="BV86" s="532">
        <f t="shared" ref="BV86" si="184">SUM(BQ86:BU86)</f>
        <v>25000</v>
      </c>
      <c r="BW86" s="518">
        <f t="shared" si="176"/>
        <v>0</v>
      </c>
      <c r="BX86" s="708"/>
      <c r="BY86" s="708"/>
      <c r="BZ86" s="708"/>
      <c r="CA86" s="708"/>
      <c r="CB86" s="708"/>
      <c r="CC86" s="708"/>
      <c r="CD86" s="708"/>
      <c r="CE86" s="708"/>
      <c r="CF86" s="708"/>
      <c r="CG86" s="708"/>
      <c r="CH86" s="708"/>
      <c r="CI86" s="708"/>
      <c r="CJ86" s="535"/>
      <c r="CK86" s="536"/>
      <c r="CL86" s="536"/>
    </row>
    <row r="87" spans="1:90" s="537" customFormat="1" ht="13.25" customHeight="1" outlineLevel="1" x14ac:dyDescent="0.3">
      <c r="A87" s="523"/>
      <c r="B87" s="524" t="s">
        <v>91</v>
      </c>
      <c r="C87" s="525" t="str">
        <f>'CC detallado'!A84</f>
        <v>2.1.1.2</v>
      </c>
      <c r="D87" s="526" t="str">
        <f>'CC detallado'!F84</f>
        <v>DCEA capacitada y equipada para producción de estadísticas</v>
      </c>
      <c r="E87" s="532">
        <f>'CC detallado'!N84</f>
        <v>15000</v>
      </c>
      <c r="F87" s="515"/>
      <c r="G87" s="550"/>
      <c r="H87" s="528"/>
      <c r="I87" s="550"/>
      <c r="J87" s="529"/>
      <c r="K87" s="530">
        <f>E87*40%</f>
        <v>6000</v>
      </c>
      <c r="L87" s="530">
        <f>E87*30%</f>
        <v>4500</v>
      </c>
      <c r="M87" s="530">
        <f>E87*30%</f>
        <v>4500</v>
      </c>
      <c r="N87" s="531"/>
      <c r="O87" s="531"/>
      <c r="P87" s="531"/>
      <c r="Q87" s="531"/>
      <c r="R87" s="531"/>
      <c r="S87" s="531"/>
      <c r="T87" s="531"/>
      <c r="U87" s="531"/>
      <c r="V87" s="531"/>
      <c r="W87" s="531"/>
      <c r="X87" s="531"/>
      <c r="Y87" s="531"/>
      <c r="Z87" s="531"/>
      <c r="AA87" s="531"/>
      <c r="AB87" s="531"/>
      <c r="AC87" s="531"/>
      <c r="AD87" s="531"/>
      <c r="AE87" s="531"/>
      <c r="AF87" s="531"/>
      <c r="AG87" s="531"/>
      <c r="AH87" s="531"/>
      <c r="AI87" s="531"/>
      <c r="AJ87" s="531"/>
      <c r="AK87" s="531"/>
      <c r="AL87" s="531"/>
      <c r="AM87" s="531"/>
      <c r="AN87" s="531"/>
      <c r="AO87" s="531"/>
      <c r="AP87" s="531"/>
      <c r="AQ87" s="531"/>
      <c r="AR87" s="531"/>
      <c r="AS87" s="531"/>
      <c r="AT87" s="531"/>
      <c r="AU87" s="531"/>
      <c r="AV87" s="531"/>
      <c r="AW87" s="531"/>
      <c r="AX87" s="531"/>
      <c r="AY87" s="531"/>
      <c r="AZ87" s="531"/>
      <c r="BA87" s="531"/>
      <c r="BB87" s="531"/>
      <c r="BC87" s="531"/>
      <c r="BD87" s="531"/>
      <c r="BE87" s="531"/>
      <c r="BF87" s="531"/>
      <c r="BG87" s="531"/>
      <c r="BH87" s="531"/>
      <c r="BI87" s="531"/>
      <c r="BJ87" s="531"/>
      <c r="BK87" s="531"/>
      <c r="BL87" s="531"/>
      <c r="BM87" s="531"/>
      <c r="BN87" s="531"/>
      <c r="BO87" s="528">
        <f>SUM(G87:BN87)</f>
        <v>15000</v>
      </c>
      <c r="BP87" s="517">
        <f t="shared" si="148"/>
        <v>0</v>
      </c>
      <c r="BQ87" s="532">
        <f t="shared" ref="BQ87:BQ89" si="185">SUM(G87:R87)</f>
        <v>15000</v>
      </c>
      <c r="BR87" s="532">
        <f t="shared" ref="BR87:BR89" si="186">SUM(S87:AD87)</f>
        <v>0</v>
      </c>
      <c r="BS87" s="532">
        <f t="shared" ref="BS87:BS89" si="187">SUM(AE87:AP87)</f>
        <v>0</v>
      </c>
      <c r="BT87" s="532">
        <f t="shared" ref="BT87:BT89" si="188">SUM(AQ87:BB87)</f>
        <v>0</v>
      </c>
      <c r="BU87" s="532">
        <f t="shared" ref="BU87:BU89" si="189">SUM(BC87:BN87)</f>
        <v>0</v>
      </c>
      <c r="BV87" s="532">
        <f t="shared" ref="BV87:BV89" si="190">SUM(BQ87:BU87)</f>
        <v>15000</v>
      </c>
      <c r="BW87" s="518">
        <f t="shared" si="176"/>
        <v>0</v>
      </c>
      <c r="BX87" s="535"/>
      <c r="BY87" s="534"/>
      <c r="BZ87" s="535"/>
      <c r="CA87" s="535"/>
      <c r="CB87" s="535"/>
      <c r="CC87" s="534"/>
      <c r="CD87" s="535"/>
      <c r="CE87" s="535"/>
      <c r="CF87" s="535"/>
      <c r="CG87" s="534"/>
      <c r="CH87" s="535"/>
      <c r="CI87" s="535"/>
      <c r="CJ87" s="535"/>
      <c r="CK87" s="536"/>
      <c r="CL87" s="536"/>
    </row>
    <row r="88" spans="1:90" s="537" customFormat="1" ht="13.25" customHeight="1" outlineLevel="1" x14ac:dyDescent="0.3">
      <c r="A88" s="523"/>
      <c r="B88" s="524" t="s">
        <v>91</v>
      </c>
      <c r="C88" s="525" t="str">
        <f>'CC detallado'!A85</f>
        <v>2.1.1.3</v>
      </c>
      <c r="D88" s="526" t="str">
        <f>'CC detallado'!F85</f>
        <v>Experto en transmisión de datos vía web y monitoreo informático de cobertura censal</v>
      </c>
      <c r="E88" s="532">
        <f>'CC detallado'!N85</f>
        <v>15000</v>
      </c>
      <c r="F88" s="515"/>
      <c r="G88" s="550"/>
      <c r="H88" s="550"/>
      <c r="I88" s="550"/>
      <c r="J88" s="550"/>
      <c r="K88" s="550"/>
      <c r="L88" s="550"/>
      <c r="M88" s="528"/>
      <c r="N88" s="528"/>
      <c r="O88" s="528"/>
      <c r="P88" s="528"/>
      <c r="Q88" s="528"/>
      <c r="R88" s="529"/>
      <c r="S88" s="530">
        <f>E88*40%</f>
        <v>6000</v>
      </c>
      <c r="T88" s="530">
        <f>E88*40%</f>
        <v>6000</v>
      </c>
      <c r="U88" s="530">
        <f>E88*20%</f>
        <v>3000</v>
      </c>
      <c r="V88" s="531"/>
      <c r="W88" s="531"/>
      <c r="X88" s="531"/>
      <c r="Y88" s="531"/>
      <c r="Z88" s="531"/>
      <c r="AA88" s="531"/>
      <c r="AB88" s="531"/>
      <c r="AC88" s="531"/>
      <c r="AD88" s="531"/>
      <c r="AE88" s="531"/>
      <c r="AF88" s="531"/>
      <c r="AG88" s="531"/>
      <c r="AH88" s="531"/>
      <c r="AI88" s="531"/>
      <c r="AJ88" s="531"/>
      <c r="AK88" s="531"/>
      <c r="AL88" s="531"/>
      <c r="AM88" s="531"/>
      <c r="AN88" s="531"/>
      <c r="AO88" s="531"/>
      <c r="AP88" s="531"/>
      <c r="AQ88" s="531"/>
      <c r="AR88" s="531"/>
      <c r="AS88" s="531"/>
      <c r="AT88" s="531"/>
      <c r="AU88" s="531"/>
      <c r="AV88" s="531"/>
      <c r="AW88" s="531"/>
      <c r="AX88" s="531"/>
      <c r="AY88" s="531"/>
      <c r="AZ88" s="531"/>
      <c r="BA88" s="531"/>
      <c r="BB88" s="531"/>
      <c r="BC88" s="531"/>
      <c r="BD88" s="531"/>
      <c r="BE88" s="531"/>
      <c r="BF88" s="531"/>
      <c r="BG88" s="531"/>
      <c r="BH88" s="531"/>
      <c r="BI88" s="531"/>
      <c r="BJ88" s="531"/>
      <c r="BK88" s="531"/>
      <c r="BL88" s="531"/>
      <c r="BM88" s="531"/>
      <c r="BN88" s="531"/>
      <c r="BO88" s="528">
        <f>SUM(G88:BN88)</f>
        <v>15000</v>
      </c>
      <c r="BP88" s="517">
        <f t="shared" si="148"/>
        <v>0</v>
      </c>
      <c r="BQ88" s="532">
        <f t="shared" si="185"/>
        <v>0</v>
      </c>
      <c r="BR88" s="532">
        <f t="shared" si="186"/>
        <v>15000</v>
      </c>
      <c r="BS88" s="532">
        <f t="shared" si="187"/>
        <v>0</v>
      </c>
      <c r="BT88" s="532">
        <f t="shared" si="188"/>
        <v>0</v>
      </c>
      <c r="BU88" s="532">
        <f t="shared" si="189"/>
        <v>0</v>
      </c>
      <c r="BV88" s="532">
        <f t="shared" si="190"/>
        <v>15000</v>
      </c>
      <c r="BW88" s="518">
        <f t="shared" si="176"/>
        <v>0</v>
      </c>
      <c r="BX88" s="535"/>
      <c r="BY88" s="534"/>
      <c r="BZ88" s="535"/>
      <c r="CA88" s="535"/>
      <c r="CB88" s="535"/>
      <c r="CC88" s="534"/>
      <c r="CD88" s="535"/>
      <c r="CE88" s="535"/>
      <c r="CF88" s="535"/>
      <c r="CG88" s="534"/>
      <c r="CH88" s="535"/>
      <c r="CI88" s="535"/>
      <c r="CJ88" s="535"/>
      <c r="CK88" s="536"/>
      <c r="CL88" s="536"/>
    </row>
    <row r="89" spans="1:90" s="537" customFormat="1" ht="13.25" customHeight="1" outlineLevel="1" x14ac:dyDescent="0.3">
      <c r="A89" s="523"/>
      <c r="B89" s="524" t="s">
        <v>91</v>
      </c>
      <c r="C89" s="525" t="str">
        <f>'CC detallado'!A86</f>
        <v>2.1.1.4</v>
      </c>
      <c r="D89" s="526" t="str">
        <f>'CC detallado'!F86</f>
        <v>Experto en gestión de base de datos</v>
      </c>
      <c r="E89" s="532">
        <f>'CC detallado'!N86</f>
        <v>15000</v>
      </c>
      <c r="F89" s="515"/>
      <c r="G89" s="550"/>
      <c r="H89" s="550"/>
      <c r="I89" s="550"/>
      <c r="J89" s="550"/>
      <c r="K89" s="531"/>
      <c r="L89" s="531"/>
      <c r="M89" s="528"/>
      <c r="N89" s="528"/>
      <c r="O89" s="528"/>
      <c r="P89" s="528"/>
      <c r="Q89" s="528"/>
      <c r="R89" s="529"/>
      <c r="S89" s="530">
        <f>E89*40%</f>
        <v>6000</v>
      </c>
      <c r="T89" s="530">
        <f>E89*40%</f>
        <v>6000</v>
      </c>
      <c r="U89" s="530">
        <f>E89*20%</f>
        <v>3000</v>
      </c>
      <c r="V89" s="531"/>
      <c r="W89" s="531"/>
      <c r="X89" s="531"/>
      <c r="Y89" s="531"/>
      <c r="Z89" s="531"/>
      <c r="AA89" s="531"/>
      <c r="AB89" s="531"/>
      <c r="AC89" s="531"/>
      <c r="AD89" s="531"/>
      <c r="AE89" s="531"/>
      <c r="AF89" s="531"/>
      <c r="AG89" s="531"/>
      <c r="AH89" s="531"/>
      <c r="AI89" s="531"/>
      <c r="AJ89" s="531"/>
      <c r="AK89" s="531"/>
      <c r="AL89" s="531"/>
      <c r="AM89" s="531"/>
      <c r="AN89" s="531"/>
      <c r="AO89" s="531"/>
      <c r="AP89" s="531"/>
      <c r="AQ89" s="531"/>
      <c r="AR89" s="531"/>
      <c r="AS89" s="531"/>
      <c r="AT89" s="531"/>
      <c r="AU89" s="531"/>
      <c r="AV89" s="531"/>
      <c r="AW89" s="531"/>
      <c r="AX89" s="531"/>
      <c r="AY89" s="531"/>
      <c r="AZ89" s="531"/>
      <c r="BA89" s="531"/>
      <c r="BB89" s="531"/>
      <c r="BC89" s="531"/>
      <c r="BD89" s="531"/>
      <c r="BE89" s="531"/>
      <c r="BF89" s="531"/>
      <c r="BG89" s="531"/>
      <c r="BH89" s="531"/>
      <c r="BI89" s="531"/>
      <c r="BJ89" s="531"/>
      <c r="BK89" s="531"/>
      <c r="BL89" s="531"/>
      <c r="BM89" s="531"/>
      <c r="BN89" s="531"/>
      <c r="BO89" s="528">
        <f>SUM(G89:BN89)</f>
        <v>15000</v>
      </c>
      <c r="BP89" s="517">
        <f t="shared" si="148"/>
        <v>0</v>
      </c>
      <c r="BQ89" s="532">
        <f t="shared" si="185"/>
        <v>0</v>
      </c>
      <c r="BR89" s="532">
        <f t="shared" si="186"/>
        <v>15000</v>
      </c>
      <c r="BS89" s="532">
        <f t="shared" si="187"/>
        <v>0</v>
      </c>
      <c r="BT89" s="532">
        <f t="shared" si="188"/>
        <v>0</v>
      </c>
      <c r="BU89" s="532">
        <f t="shared" si="189"/>
        <v>0</v>
      </c>
      <c r="BV89" s="532">
        <f t="shared" si="190"/>
        <v>15000</v>
      </c>
      <c r="BW89" s="518">
        <f t="shared" si="176"/>
        <v>0</v>
      </c>
      <c r="BX89" s="535"/>
      <c r="BY89" s="534"/>
      <c r="BZ89" s="535"/>
      <c r="CA89" s="535"/>
      <c r="CB89" s="535"/>
      <c r="CC89" s="534"/>
      <c r="CD89" s="535"/>
      <c r="CE89" s="535"/>
      <c r="CF89" s="535"/>
      <c r="CG89" s="534"/>
      <c r="CH89" s="535"/>
      <c r="CI89" s="535"/>
      <c r="CJ89" s="535"/>
      <c r="CK89" s="536"/>
      <c r="CL89" s="536"/>
    </row>
    <row r="90" spans="1:90" s="537" customFormat="1" ht="13.25" customHeight="1" outlineLevel="1" x14ac:dyDescent="0.3">
      <c r="A90" s="523"/>
      <c r="B90" s="524"/>
      <c r="C90" s="552" t="str">
        <f>'CC detallado'!A87</f>
        <v>2.1.2</v>
      </c>
      <c r="D90" s="553" t="str">
        <f>'CC detallado'!F87</f>
        <v>Conocimiento de experiencias censales en otros países de la región adquiridas</v>
      </c>
      <c r="E90" s="548">
        <f>SUM(E91:E92)</f>
        <v>65419.126328217237</v>
      </c>
      <c r="F90" s="515"/>
      <c r="G90" s="549">
        <f t="shared" ref="G90:BO90" si="191">SUM(G91:G92)</f>
        <v>0</v>
      </c>
      <c r="H90" s="549">
        <f t="shared" si="191"/>
        <v>0</v>
      </c>
      <c r="I90" s="549">
        <f t="shared" si="191"/>
        <v>0</v>
      </c>
      <c r="J90" s="549">
        <f t="shared" si="191"/>
        <v>0</v>
      </c>
      <c r="K90" s="549">
        <f t="shared" si="191"/>
        <v>0</v>
      </c>
      <c r="L90" s="549">
        <f t="shared" si="191"/>
        <v>0</v>
      </c>
      <c r="M90" s="549">
        <f t="shared" si="191"/>
        <v>5903.1877213695398</v>
      </c>
      <c r="N90" s="549">
        <f t="shared" si="191"/>
        <v>5903.1877213695398</v>
      </c>
      <c r="O90" s="549">
        <f t="shared" si="191"/>
        <v>5903.1877213695398</v>
      </c>
      <c r="P90" s="549">
        <f t="shared" si="191"/>
        <v>14903.187721369541</v>
      </c>
      <c r="Q90" s="549">
        <f t="shared" si="191"/>
        <v>14903.187721369541</v>
      </c>
      <c r="R90" s="549">
        <f t="shared" si="191"/>
        <v>17903.187721369541</v>
      </c>
      <c r="S90" s="549">
        <f t="shared" si="191"/>
        <v>0</v>
      </c>
      <c r="T90" s="549">
        <f t="shared" si="191"/>
        <v>0</v>
      </c>
      <c r="U90" s="549">
        <f t="shared" si="191"/>
        <v>0</v>
      </c>
      <c r="V90" s="549">
        <f t="shared" si="191"/>
        <v>0</v>
      </c>
      <c r="W90" s="549">
        <f t="shared" si="191"/>
        <v>0</v>
      </c>
      <c r="X90" s="549">
        <f t="shared" si="191"/>
        <v>0</v>
      </c>
      <c r="Y90" s="549">
        <f t="shared" si="191"/>
        <v>0</v>
      </c>
      <c r="Z90" s="549">
        <f t="shared" si="191"/>
        <v>0</v>
      </c>
      <c r="AA90" s="549">
        <f t="shared" si="191"/>
        <v>0</v>
      </c>
      <c r="AB90" s="549">
        <f t="shared" si="191"/>
        <v>0</v>
      </c>
      <c r="AC90" s="549">
        <f t="shared" si="191"/>
        <v>0</v>
      </c>
      <c r="AD90" s="549">
        <f t="shared" si="191"/>
        <v>0</v>
      </c>
      <c r="AE90" s="549">
        <f t="shared" si="191"/>
        <v>0</v>
      </c>
      <c r="AF90" s="549">
        <f t="shared" si="191"/>
        <v>0</v>
      </c>
      <c r="AG90" s="549">
        <f t="shared" si="191"/>
        <v>0</v>
      </c>
      <c r="AH90" s="549">
        <f t="shared" si="191"/>
        <v>0</v>
      </c>
      <c r="AI90" s="549">
        <f t="shared" si="191"/>
        <v>0</v>
      </c>
      <c r="AJ90" s="549">
        <f t="shared" si="191"/>
        <v>0</v>
      </c>
      <c r="AK90" s="549">
        <f t="shared" si="191"/>
        <v>0</v>
      </c>
      <c r="AL90" s="549">
        <f t="shared" si="191"/>
        <v>0</v>
      </c>
      <c r="AM90" s="549">
        <f t="shared" si="191"/>
        <v>0</v>
      </c>
      <c r="AN90" s="549">
        <f t="shared" si="191"/>
        <v>0</v>
      </c>
      <c r="AO90" s="549">
        <f t="shared" si="191"/>
        <v>0</v>
      </c>
      <c r="AP90" s="549">
        <f t="shared" si="191"/>
        <v>0</v>
      </c>
      <c r="AQ90" s="549">
        <f t="shared" si="191"/>
        <v>0</v>
      </c>
      <c r="AR90" s="549">
        <f t="shared" si="191"/>
        <v>0</v>
      </c>
      <c r="AS90" s="549">
        <f t="shared" si="191"/>
        <v>0</v>
      </c>
      <c r="AT90" s="549">
        <f t="shared" si="191"/>
        <v>0</v>
      </c>
      <c r="AU90" s="549">
        <f t="shared" si="191"/>
        <v>0</v>
      </c>
      <c r="AV90" s="549">
        <f t="shared" si="191"/>
        <v>0</v>
      </c>
      <c r="AW90" s="549">
        <f t="shared" si="191"/>
        <v>0</v>
      </c>
      <c r="AX90" s="549">
        <f t="shared" si="191"/>
        <v>0</v>
      </c>
      <c r="AY90" s="549">
        <f t="shared" si="191"/>
        <v>0</v>
      </c>
      <c r="AZ90" s="549">
        <f t="shared" si="191"/>
        <v>0</v>
      </c>
      <c r="BA90" s="549">
        <f t="shared" si="191"/>
        <v>0</v>
      </c>
      <c r="BB90" s="549">
        <f t="shared" si="191"/>
        <v>0</v>
      </c>
      <c r="BC90" s="549">
        <f t="shared" si="191"/>
        <v>0</v>
      </c>
      <c r="BD90" s="549">
        <f t="shared" si="191"/>
        <v>0</v>
      </c>
      <c r="BE90" s="549">
        <f t="shared" si="191"/>
        <v>0</v>
      </c>
      <c r="BF90" s="549">
        <f t="shared" si="191"/>
        <v>0</v>
      </c>
      <c r="BG90" s="549">
        <f t="shared" si="191"/>
        <v>0</v>
      </c>
      <c r="BH90" s="549">
        <f t="shared" si="191"/>
        <v>0</v>
      </c>
      <c r="BI90" s="549">
        <f t="shared" si="191"/>
        <v>0</v>
      </c>
      <c r="BJ90" s="549">
        <f t="shared" si="191"/>
        <v>0</v>
      </c>
      <c r="BK90" s="549">
        <f t="shared" si="191"/>
        <v>0</v>
      </c>
      <c r="BL90" s="549">
        <f t="shared" si="191"/>
        <v>0</v>
      </c>
      <c r="BM90" s="549">
        <f t="shared" si="191"/>
        <v>0</v>
      </c>
      <c r="BN90" s="549">
        <f t="shared" si="191"/>
        <v>0</v>
      </c>
      <c r="BO90" s="549">
        <f t="shared" si="191"/>
        <v>65419.126328217237</v>
      </c>
      <c r="BP90" s="517">
        <f t="shared" si="148"/>
        <v>0</v>
      </c>
      <c r="BQ90" s="548">
        <f t="shared" ref="BQ90:BV90" si="192">SUM(BQ91:BQ92)</f>
        <v>5903.1877213695398</v>
      </c>
      <c r="BR90" s="548">
        <f t="shared" si="192"/>
        <v>59515.938606847703</v>
      </c>
      <c r="BS90" s="548">
        <f t="shared" si="192"/>
        <v>0</v>
      </c>
      <c r="BT90" s="548">
        <f t="shared" si="192"/>
        <v>0</v>
      </c>
      <c r="BU90" s="548">
        <f t="shared" si="192"/>
        <v>0</v>
      </c>
      <c r="BV90" s="548">
        <f t="shared" si="192"/>
        <v>65419.126328217237</v>
      </c>
      <c r="BW90" s="518">
        <f t="shared" si="176"/>
        <v>0</v>
      </c>
      <c r="BX90" s="535"/>
      <c r="BY90" s="534"/>
      <c r="BZ90" s="535"/>
      <c r="CA90" s="535"/>
      <c r="CB90" s="535"/>
      <c r="CC90" s="534"/>
      <c r="CD90" s="535"/>
      <c r="CE90" s="535"/>
      <c r="CF90" s="535"/>
      <c r="CG90" s="534"/>
      <c r="CH90" s="535"/>
      <c r="CI90" s="535"/>
      <c r="CJ90" s="535"/>
      <c r="CK90" s="536"/>
      <c r="CL90" s="536"/>
    </row>
    <row r="91" spans="1:90" s="537" customFormat="1" ht="13.25" customHeight="1" outlineLevel="1" x14ac:dyDescent="0.3">
      <c r="A91" s="523"/>
      <c r="B91" s="524"/>
      <c r="C91" s="525" t="str">
        <f>'CC detallado'!A88</f>
        <v>2.1.2.1</v>
      </c>
      <c r="D91" s="526" t="str">
        <f>'CC detallado'!F88</f>
        <v>Experto en áreas temáticas de censos agropecuarios con aplicación de dispositivos móviles de captura (Tablet)</v>
      </c>
      <c r="E91" s="532">
        <f>'CC detallado'!N88</f>
        <v>30000</v>
      </c>
      <c r="F91" s="515"/>
      <c r="G91" s="550"/>
      <c r="H91" s="528"/>
      <c r="I91" s="528"/>
      <c r="J91" s="528"/>
      <c r="K91" s="528"/>
      <c r="L91" s="528"/>
      <c r="M91" s="528"/>
      <c r="N91" s="528"/>
      <c r="O91" s="529"/>
      <c r="P91" s="530">
        <f>E91*30%</f>
        <v>9000</v>
      </c>
      <c r="Q91" s="530">
        <f>E91*30%</f>
        <v>9000</v>
      </c>
      <c r="R91" s="530">
        <f>E91*40%</f>
        <v>12000</v>
      </c>
      <c r="S91" s="531"/>
      <c r="T91" s="531"/>
      <c r="U91" s="531"/>
      <c r="V91" s="531"/>
      <c r="W91" s="531"/>
      <c r="X91" s="531"/>
      <c r="Y91" s="531"/>
      <c r="Z91" s="531"/>
      <c r="AA91" s="531"/>
      <c r="AB91" s="531"/>
      <c r="AC91" s="531"/>
      <c r="AD91" s="531"/>
      <c r="AE91" s="531"/>
      <c r="AF91" s="531"/>
      <c r="AG91" s="531"/>
      <c r="AH91" s="531"/>
      <c r="AI91" s="531"/>
      <c r="AJ91" s="531"/>
      <c r="AK91" s="531"/>
      <c r="AL91" s="531"/>
      <c r="AM91" s="531"/>
      <c r="AN91" s="531"/>
      <c r="AO91" s="531"/>
      <c r="AP91" s="531"/>
      <c r="AQ91" s="531"/>
      <c r="AR91" s="531"/>
      <c r="AS91" s="531"/>
      <c r="AT91" s="531"/>
      <c r="AU91" s="531"/>
      <c r="AV91" s="531"/>
      <c r="AW91" s="531"/>
      <c r="AX91" s="531"/>
      <c r="AY91" s="531"/>
      <c r="AZ91" s="531"/>
      <c r="BA91" s="531"/>
      <c r="BB91" s="531"/>
      <c r="BC91" s="531"/>
      <c r="BD91" s="531"/>
      <c r="BE91" s="531"/>
      <c r="BF91" s="531"/>
      <c r="BG91" s="531"/>
      <c r="BH91" s="531"/>
      <c r="BI91" s="531"/>
      <c r="BJ91" s="531"/>
      <c r="BK91" s="531"/>
      <c r="BL91" s="531"/>
      <c r="BM91" s="531"/>
      <c r="BN91" s="531"/>
      <c r="BO91" s="528">
        <f t="shared" ref="BO91:BO107" si="193">SUM(G91:BN91)</f>
        <v>30000</v>
      </c>
      <c r="BP91" s="517">
        <f t="shared" si="148"/>
        <v>0</v>
      </c>
      <c r="BQ91" s="532">
        <f t="shared" ref="BQ91" si="194">SUM(G91:M91)</f>
        <v>0</v>
      </c>
      <c r="BR91" s="532">
        <f t="shared" ref="BR91" si="195">SUM(N91:AD91)</f>
        <v>30000</v>
      </c>
      <c r="BS91" s="532">
        <f t="shared" ref="BS91" si="196">SUM(AE91:AP91)</f>
        <v>0</v>
      </c>
      <c r="BT91" s="532">
        <f t="shared" ref="BT91" si="197">SUM(AQ91:BB91)</f>
        <v>0</v>
      </c>
      <c r="BU91" s="532">
        <f t="shared" ref="BU91" si="198">SUM(BC91:BN91)</f>
        <v>0</v>
      </c>
      <c r="BV91" s="532">
        <f t="shared" ref="BV91" si="199">SUM(BQ91:BU91)</f>
        <v>30000</v>
      </c>
      <c r="BW91" s="518">
        <f t="shared" si="176"/>
        <v>0</v>
      </c>
      <c r="BX91" s="535"/>
      <c r="BY91" s="534"/>
      <c r="BZ91" s="535"/>
      <c r="CA91" s="535"/>
      <c r="CB91" s="535"/>
      <c r="CC91" s="534"/>
      <c r="CD91" s="535"/>
      <c r="CE91" s="535"/>
      <c r="CF91" s="535"/>
      <c r="CG91" s="534"/>
      <c r="CH91" s="535"/>
      <c r="CI91" s="535"/>
      <c r="CJ91" s="535"/>
      <c r="CK91" s="536"/>
      <c r="CL91" s="536"/>
    </row>
    <row r="92" spans="1:90" s="537" customFormat="1" ht="13.25" customHeight="1" outlineLevel="1" x14ac:dyDescent="0.3">
      <c r="A92" s="523"/>
      <c r="B92" s="524"/>
      <c r="C92" s="525" t="str">
        <f>'CC detallado'!A89</f>
        <v>2.1.2.2</v>
      </c>
      <c r="D92" s="526" t="str">
        <f>'CC detallado'!F89</f>
        <v>Intercambio de experiencias con otros países de la región</v>
      </c>
      <c r="E92" s="532">
        <f>'CC detallado'!N89</f>
        <v>35419.126328217237</v>
      </c>
      <c r="F92" s="515"/>
      <c r="G92" s="550"/>
      <c r="H92" s="528"/>
      <c r="I92" s="528"/>
      <c r="J92" s="529"/>
      <c r="K92" s="529"/>
      <c r="L92" s="529"/>
      <c r="M92" s="530">
        <f>E92/6</f>
        <v>5903.1877213695398</v>
      </c>
      <c r="N92" s="530">
        <f>M92</f>
        <v>5903.1877213695398</v>
      </c>
      <c r="O92" s="530">
        <f t="shared" ref="O92:R92" si="200">N92</f>
        <v>5903.1877213695398</v>
      </c>
      <c r="P92" s="530">
        <f t="shared" si="200"/>
        <v>5903.1877213695398</v>
      </c>
      <c r="Q92" s="530">
        <f t="shared" si="200"/>
        <v>5903.1877213695398</v>
      </c>
      <c r="R92" s="530">
        <f t="shared" si="200"/>
        <v>5903.1877213695398</v>
      </c>
      <c r="S92" s="531"/>
      <c r="T92" s="531"/>
      <c r="U92" s="531"/>
      <c r="V92" s="531"/>
      <c r="W92" s="531"/>
      <c r="X92" s="531"/>
      <c r="Y92" s="531"/>
      <c r="Z92" s="531"/>
      <c r="AA92" s="531"/>
      <c r="AB92" s="531"/>
      <c r="AC92" s="531"/>
      <c r="AD92" s="531"/>
      <c r="AE92" s="531"/>
      <c r="AF92" s="531"/>
      <c r="AG92" s="531"/>
      <c r="AH92" s="531"/>
      <c r="AI92" s="531"/>
      <c r="AJ92" s="531"/>
      <c r="AK92" s="531"/>
      <c r="AL92" s="531"/>
      <c r="AM92" s="531"/>
      <c r="AN92" s="531"/>
      <c r="AO92" s="531"/>
      <c r="AP92" s="531"/>
      <c r="AQ92" s="531"/>
      <c r="AR92" s="531"/>
      <c r="AS92" s="531"/>
      <c r="AT92" s="531"/>
      <c r="AU92" s="531"/>
      <c r="AV92" s="531"/>
      <c r="AW92" s="531"/>
      <c r="AX92" s="531"/>
      <c r="AY92" s="531"/>
      <c r="AZ92" s="531"/>
      <c r="BA92" s="531"/>
      <c r="BB92" s="531"/>
      <c r="BC92" s="531"/>
      <c r="BD92" s="531"/>
      <c r="BE92" s="531"/>
      <c r="BF92" s="531"/>
      <c r="BG92" s="531"/>
      <c r="BH92" s="531"/>
      <c r="BI92" s="531"/>
      <c r="BJ92" s="531"/>
      <c r="BK92" s="531"/>
      <c r="BL92" s="531"/>
      <c r="BM92" s="531"/>
      <c r="BN92" s="531"/>
      <c r="BO92" s="528">
        <f t="shared" si="193"/>
        <v>35419.126328217237</v>
      </c>
      <c r="BP92" s="517">
        <f t="shared" si="148"/>
        <v>0</v>
      </c>
      <c r="BQ92" s="532">
        <f t="shared" ref="BQ92:BQ99" si="201">SUM(G92:M92)</f>
        <v>5903.1877213695398</v>
      </c>
      <c r="BR92" s="532">
        <f t="shared" ref="BR92:BR99" si="202">SUM(N92:AD92)</f>
        <v>29515.9386068477</v>
      </c>
      <c r="BS92" s="532">
        <f t="shared" ref="BS92:BS99" si="203">SUM(AE92:AP92)</f>
        <v>0</v>
      </c>
      <c r="BT92" s="532">
        <f t="shared" ref="BT92:BT99" si="204">SUM(AQ92:BB92)</f>
        <v>0</v>
      </c>
      <c r="BU92" s="532">
        <f t="shared" ref="BU92:BU99" si="205">SUM(BC92:BN92)</f>
        <v>0</v>
      </c>
      <c r="BV92" s="532">
        <f t="shared" ref="BV92:BV99" si="206">SUM(BQ92:BU92)</f>
        <v>35419.126328217237</v>
      </c>
      <c r="BW92" s="518">
        <f t="shared" si="176"/>
        <v>0</v>
      </c>
      <c r="BX92" s="535"/>
      <c r="BY92" s="534"/>
      <c r="BZ92" s="535"/>
      <c r="CA92" s="535"/>
      <c r="CB92" s="535"/>
      <c r="CC92" s="534"/>
      <c r="CD92" s="535"/>
      <c r="CE92" s="535"/>
      <c r="CF92" s="535"/>
      <c r="CG92" s="534"/>
      <c r="CH92" s="535"/>
      <c r="CI92" s="535"/>
      <c r="CJ92" s="535"/>
      <c r="CK92" s="536"/>
      <c r="CL92" s="536"/>
    </row>
    <row r="93" spans="1:90" s="537" customFormat="1" ht="13.25" customHeight="1" outlineLevel="1" x14ac:dyDescent="0.3">
      <c r="A93" s="572"/>
      <c r="B93" s="524"/>
      <c r="C93" s="552" t="str">
        <f>'CC detallado'!A90</f>
        <v>2.1.3</v>
      </c>
      <c r="D93" s="553" t="s">
        <v>448</v>
      </c>
      <c r="E93" s="548">
        <f>'CC detallado'!N90</f>
        <v>35587.78883454208</v>
      </c>
      <c r="F93" s="515"/>
      <c r="G93" s="550"/>
      <c r="H93" s="528"/>
      <c r="I93" s="528"/>
      <c r="J93" s="528"/>
      <c r="K93" s="529"/>
      <c r="L93" s="529"/>
      <c r="M93" s="529"/>
      <c r="N93" s="529"/>
      <c r="O93" s="530">
        <f>E93*40%</f>
        <v>14235.115533816832</v>
      </c>
      <c r="P93" s="530"/>
      <c r="Q93" s="530"/>
      <c r="R93" s="530">
        <f>E93*60%</f>
        <v>21352.673300725248</v>
      </c>
      <c r="S93" s="531"/>
      <c r="T93" s="531"/>
      <c r="U93" s="531"/>
      <c r="V93" s="531"/>
      <c r="W93" s="531"/>
      <c r="X93" s="531"/>
      <c r="Y93" s="531"/>
      <c r="Z93" s="531"/>
      <c r="AA93" s="531"/>
      <c r="AB93" s="531"/>
      <c r="AC93" s="531"/>
      <c r="AD93" s="531"/>
      <c r="AE93" s="531"/>
      <c r="AF93" s="531"/>
      <c r="AG93" s="531"/>
      <c r="AH93" s="531"/>
      <c r="AI93" s="531"/>
      <c r="AJ93" s="531"/>
      <c r="AK93" s="531"/>
      <c r="AL93" s="531"/>
      <c r="AM93" s="531"/>
      <c r="AN93" s="531"/>
      <c r="AO93" s="531"/>
      <c r="AP93" s="531"/>
      <c r="AQ93" s="531"/>
      <c r="AR93" s="531"/>
      <c r="AS93" s="531"/>
      <c r="AT93" s="531"/>
      <c r="AU93" s="531"/>
      <c r="AV93" s="531"/>
      <c r="AW93" s="531"/>
      <c r="AX93" s="531"/>
      <c r="AY93" s="531"/>
      <c r="AZ93" s="531"/>
      <c r="BA93" s="531"/>
      <c r="BB93" s="531"/>
      <c r="BC93" s="531"/>
      <c r="BD93" s="531"/>
      <c r="BE93" s="531"/>
      <c r="BF93" s="531"/>
      <c r="BG93" s="531"/>
      <c r="BH93" s="531"/>
      <c r="BI93" s="531"/>
      <c r="BJ93" s="531"/>
      <c r="BK93" s="531"/>
      <c r="BL93" s="531"/>
      <c r="BM93" s="531"/>
      <c r="BN93" s="531"/>
      <c r="BO93" s="528">
        <f t="shared" si="193"/>
        <v>35587.78883454208</v>
      </c>
      <c r="BP93" s="517">
        <f t="shared" si="148"/>
        <v>0</v>
      </c>
      <c r="BQ93" s="532">
        <f t="shared" si="201"/>
        <v>0</v>
      </c>
      <c r="BR93" s="532">
        <f t="shared" si="202"/>
        <v>35587.78883454208</v>
      </c>
      <c r="BS93" s="532">
        <f t="shared" si="203"/>
        <v>0</v>
      </c>
      <c r="BT93" s="532">
        <f t="shared" si="204"/>
        <v>0</v>
      </c>
      <c r="BU93" s="532">
        <f t="shared" si="205"/>
        <v>0</v>
      </c>
      <c r="BV93" s="532">
        <f t="shared" si="206"/>
        <v>35587.78883454208</v>
      </c>
      <c r="BW93" s="518">
        <f t="shared" si="176"/>
        <v>0</v>
      </c>
      <c r="BX93" s="538"/>
      <c r="BY93" s="534"/>
      <c r="BZ93" s="535"/>
      <c r="CA93" s="535"/>
      <c r="CB93" s="538"/>
      <c r="CC93" s="534"/>
      <c r="CD93" s="535"/>
      <c r="CE93" s="535"/>
      <c r="CF93" s="538"/>
      <c r="CG93" s="534"/>
      <c r="CH93" s="535"/>
      <c r="CI93" s="535"/>
      <c r="CJ93" s="535"/>
      <c r="CK93" s="536"/>
      <c r="CL93" s="536"/>
    </row>
    <row r="94" spans="1:90" s="537" customFormat="1" ht="13.25" customHeight="1" outlineLevel="1" x14ac:dyDescent="0.3">
      <c r="A94" s="572"/>
      <c r="B94" s="524"/>
      <c r="C94" s="552" t="str">
        <f>'CC detallado'!A95</f>
        <v>2.1.4</v>
      </c>
      <c r="D94" s="553" t="str">
        <f>'CC detallado'!F95</f>
        <v>Mobiliarios</v>
      </c>
      <c r="E94" s="548">
        <f>'CC detallado'!N95</f>
        <v>32383.201214370049</v>
      </c>
      <c r="F94" s="515"/>
      <c r="G94" s="550"/>
      <c r="H94" s="528"/>
      <c r="I94" s="528"/>
      <c r="J94" s="528"/>
      <c r="K94" s="529"/>
      <c r="L94" s="529"/>
      <c r="M94" s="529"/>
      <c r="N94" s="529"/>
      <c r="O94" s="530">
        <f>E94*40%</f>
        <v>12953.280485748021</v>
      </c>
      <c r="P94" s="530"/>
      <c r="Q94" s="530"/>
      <c r="R94" s="530">
        <f>E94*60%</f>
        <v>19429.92072862203</v>
      </c>
      <c r="S94" s="531"/>
      <c r="T94" s="531"/>
      <c r="U94" s="531"/>
      <c r="V94" s="531"/>
      <c r="W94" s="531"/>
      <c r="X94" s="531"/>
      <c r="Y94" s="531"/>
      <c r="Z94" s="531"/>
      <c r="AA94" s="531"/>
      <c r="AB94" s="531"/>
      <c r="AC94" s="531"/>
      <c r="AD94" s="531"/>
      <c r="AE94" s="531"/>
      <c r="AF94" s="531"/>
      <c r="AG94" s="531"/>
      <c r="AH94" s="531"/>
      <c r="AI94" s="531"/>
      <c r="AJ94" s="531"/>
      <c r="AK94" s="531"/>
      <c r="AL94" s="531"/>
      <c r="AM94" s="531"/>
      <c r="AN94" s="531"/>
      <c r="AO94" s="531"/>
      <c r="AP94" s="531"/>
      <c r="AQ94" s="531"/>
      <c r="AR94" s="531"/>
      <c r="AS94" s="531"/>
      <c r="AT94" s="531"/>
      <c r="AU94" s="531"/>
      <c r="AV94" s="531"/>
      <c r="AW94" s="531"/>
      <c r="AX94" s="531"/>
      <c r="AY94" s="531"/>
      <c r="AZ94" s="531"/>
      <c r="BA94" s="531"/>
      <c r="BB94" s="531"/>
      <c r="BC94" s="531"/>
      <c r="BD94" s="531"/>
      <c r="BE94" s="531"/>
      <c r="BF94" s="531"/>
      <c r="BG94" s="531"/>
      <c r="BH94" s="531"/>
      <c r="BI94" s="531"/>
      <c r="BJ94" s="531"/>
      <c r="BK94" s="531"/>
      <c r="BL94" s="531"/>
      <c r="BM94" s="531"/>
      <c r="BN94" s="531"/>
      <c r="BO94" s="528">
        <f t="shared" si="193"/>
        <v>32383.201214370049</v>
      </c>
      <c r="BP94" s="517">
        <f t="shared" si="148"/>
        <v>0</v>
      </c>
      <c r="BQ94" s="532">
        <f t="shared" si="201"/>
        <v>0</v>
      </c>
      <c r="BR94" s="532">
        <f t="shared" si="202"/>
        <v>32383.201214370049</v>
      </c>
      <c r="BS94" s="532">
        <f t="shared" si="203"/>
        <v>0</v>
      </c>
      <c r="BT94" s="532">
        <f t="shared" si="204"/>
        <v>0</v>
      </c>
      <c r="BU94" s="532">
        <f t="shared" si="205"/>
        <v>0</v>
      </c>
      <c r="BV94" s="532">
        <f t="shared" si="206"/>
        <v>32383.201214370049</v>
      </c>
      <c r="BW94" s="518">
        <f t="shared" si="176"/>
        <v>0</v>
      </c>
      <c r="BX94" s="538"/>
      <c r="BY94" s="534"/>
      <c r="BZ94" s="535"/>
      <c r="CA94" s="535"/>
      <c r="CB94" s="538"/>
      <c r="CC94" s="534"/>
      <c r="CD94" s="535"/>
      <c r="CE94" s="535"/>
      <c r="CF94" s="538"/>
      <c r="CG94" s="534"/>
      <c r="CH94" s="535"/>
      <c r="CI94" s="535"/>
      <c r="CJ94" s="535"/>
      <c r="CK94" s="536"/>
      <c r="CL94" s="536"/>
    </row>
    <row r="95" spans="1:90" s="537" customFormat="1" ht="13.25" customHeight="1" outlineLevel="1" x14ac:dyDescent="0.3">
      <c r="A95" s="573"/>
      <c r="B95" s="524"/>
      <c r="C95" s="552" t="str">
        <f>'CC detallado'!A100</f>
        <v>2.1.5</v>
      </c>
      <c r="D95" s="553" t="str">
        <f>'CC detallado'!F100</f>
        <v>Equipos Informáticos</v>
      </c>
      <c r="E95" s="548">
        <f>'CC detallado'!N100</f>
        <v>302573.7898465172</v>
      </c>
      <c r="F95" s="515"/>
      <c r="G95" s="550"/>
      <c r="H95" s="528"/>
      <c r="I95" s="528"/>
      <c r="J95" s="528"/>
      <c r="K95" s="529"/>
      <c r="L95" s="529"/>
      <c r="M95" s="529"/>
      <c r="N95" s="529"/>
      <c r="O95" s="530">
        <f>E95*40%</f>
        <v>121029.51593860688</v>
      </c>
      <c r="P95" s="530"/>
      <c r="Q95" s="530"/>
      <c r="R95" s="530">
        <f>E95*60%</f>
        <v>181544.2739079103</v>
      </c>
      <c r="S95" s="531"/>
      <c r="T95" s="531"/>
      <c r="U95" s="531"/>
      <c r="V95" s="531"/>
      <c r="W95" s="531"/>
      <c r="X95" s="531"/>
      <c r="Y95" s="531"/>
      <c r="Z95" s="531"/>
      <c r="AA95" s="531"/>
      <c r="AB95" s="531"/>
      <c r="AC95" s="531"/>
      <c r="AD95" s="531"/>
      <c r="AE95" s="531"/>
      <c r="AF95" s="531"/>
      <c r="AG95" s="531"/>
      <c r="AH95" s="531"/>
      <c r="AI95" s="531"/>
      <c r="AJ95" s="531"/>
      <c r="AK95" s="531"/>
      <c r="AL95" s="531"/>
      <c r="AM95" s="531"/>
      <c r="AN95" s="531"/>
      <c r="AO95" s="531"/>
      <c r="AP95" s="531"/>
      <c r="AQ95" s="531"/>
      <c r="AR95" s="531"/>
      <c r="AS95" s="531"/>
      <c r="AT95" s="531"/>
      <c r="AU95" s="531"/>
      <c r="AV95" s="531"/>
      <c r="AW95" s="531"/>
      <c r="AX95" s="531"/>
      <c r="AY95" s="531"/>
      <c r="AZ95" s="531"/>
      <c r="BA95" s="531"/>
      <c r="BB95" s="531"/>
      <c r="BC95" s="531"/>
      <c r="BD95" s="531"/>
      <c r="BE95" s="531"/>
      <c r="BF95" s="531"/>
      <c r="BG95" s="531"/>
      <c r="BH95" s="531"/>
      <c r="BI95" s="531"/>
      <c r="BJ95" s="531"/>
      <c r="BK95" s="531"/>
      <c r="BL95" s="531"/>
      <c r="BM95" s="531"/>
      <c r="BN95" s="531"/>
      <c r="BO95" s="528">
        <f t="shared" si="193"/>
        <v>302573.7898465172</v>
      </c>
      <c r="BP95" s="517">
        <f t="shared" si="148"/>
        <v>0</v>
      </c>
      <c r="BQ95" s="532">
        <f t="shared" si="201"/>
        <v>0</v>
      </c>
      <c r="BR95" s="532">
        <f t="shared" si="202"/>
        <v>302573.7898465172</v>
      </c>
      <c r="BS95" s="532">
        <f t="shared" si="203"/>
        <v>0</v>
      </c>
      <c r="BT95" s="532">
        <f t="shared" si="204"/>
        <v>0</v>
      </c>
      <c r="BU95" s="532">
        <f t="shared" si="205"/>
        <v>0</v>
      </c>
      <c r="BV95" s="532">
        <f t="shared" si="206"/>
        <v>302573.7898465172</v>
      </c>
      <c r="BW95" s="518">
        <f t="shared" si="176"/>
        <v>0</v>
      </c>
      <c r="BX95" s="538"/>
      <c r="BY95" s="534"/>
      <c r="BZ95" s="535"/>
      <c r="CA95" s="535"/>
      <c r="CB95" s="538"/>
      <c r="CC95" s="534"/>
      <c r="CD95" s="535"/>
      <c r="CE95" s="535"/>
      <c r="CF95" s="538"/>
      <c r="CG95" s="534"/>
      <c r="CH95" s="535"/>
      <c r="CI95" s="535"/>
      <c r="CJ95" s="535"/>
      <c r="CK95" s="536"/>
      <c r="CL95" s="536"/>
    </row>
    <row r="96" spans="1:90" s="537" customFormat="1" ht="13.25" customHeight="1" outlineLevel="1" x14ac:dyDescent="0.3">
      <c r="A96" s="523"/>
      <c r="B96" s="524" t="s">
        <v>94</v>
      </c>
      <c r="C96" s="552" t="str">
        <f>'CC detallado'!A130</f>
        <v>2.1.6</v>
      </c>
      <c r="D96" s="553" t="str">
        <f>'CC detallado'!F130</f>
        <v>Transporte y Movilidad</v>
      </c>
      <c r="E96" s="548">
        <f>'CC detallado'!N130</f>
        <v>650000</v>
      </c>
      <c r="F96" s="515"/>
      <c r="G96" s="528"/>
      <c r="H96" s="528"/>
      <c r="I96" s="528"/>
      <c r="J96" s="529"/>
      <c r="K96" s="529"/>
      <c r="L96" s="530">
        <f>E96*40%</f>
        <v>260000</v>
      </c>
      <c r="M96" s="530"/>
      <c r="N96" s="530"/>
      <c r="O96" s="530">
        <f>E96*60%</f>
        <v>390000</v>
      </c>
      <c r="P96" s="528"/>
      <c r="Q96" s="528"/>
      <c r="R96" s="528"/>
      <c r="S96" s="528"/>
      <c r="T96" s="528"/>
      <c r="U96" s="528"/>
      <c r="V96" s="528"/>
      <c r="W96" s="528"/>
      <c r="X96" s="528"/>
      <c r="Y96" s="531"/>
      <c r="Z96" s="531"/>
      <c r="AA96" s="531"/>
      <c r="AB96" s="531"/>
      <c r="AC96" s="531"/>
      <c r="AD96" s="531"/>
      <c r="AE96" s="531"/>
      <c r="AF96" s="531"/>
      <c r="AG96" s="531"/>
      <c r="AH96" s="531"/>
      <c r="AI96" s="531"/>
      <c r="AJ96" s="531"/>
      <c r="AK96" s="531"/>
      <c r="AL96" s="531"/>
      <c r="AM96" s="531"/>
      <c r="AN96" s="531"/>
      <c r="AO96" s="531"/>
      <c r="AP96" s="531"/>
      <c r="AQ96" s="531"/>
      <c r="AR96" s="531"/>
      <c r="AS96" s="531"/>
      <c r="AT96" s="531"/>
      <c r="AU96" s="531"/>
      <c r="AV96" s="531"/>
      <c r="AW96" s="531"/>
      <c r="AX96" s="531"/>
      <c r="AY96" s="531"/>
      <c r="AZ96" s="531"/>
      <c r="BA96" s="531"/>
      <c r="BB96" s="531"/>
      <c r="BC96" s="531"/>
      <c r="BD96" s="531"/>
      <c r="BE96" s="531"/>
      <c r="BF96" s="531"/>
      <c r="BG96" s="531"/>
      <c r="BH96" s="531"/>
      <c r="BI96" s="531"/>
      <c r="BJ96" s="531"/>
      <c r="BK96" s="531"/>
      <c r="BL96" s="531"/>
      <c r="BM96" s="531"/>
      <c r="BN96" s="531"/>
      <c r="BO96" s="528">
        <f t="shared" si="193"/>
        <v>650000</v>
      </c>
      <c r="BP96" s="517">
        <f t="shared" si="148"/>
        <v>0</v>
      </c>
      <c r="BQ96" s="532">
        <f t="shared" si="201"/>
        <v>260000</v>
      </c>
      <c r="BR96" s="532">
        <f t="shared" si="202"/>
        <v>390000</v>
      </c>
      <c r="BS96" s="532">
        <f t="shared" si="203"/>
        <v>0</v>
      </c>
      <c r="BT96" s="532">
        <f t="shared" si="204"/>
        <v>0</v>
      </c>
      <c r="BU96" s="532">
        <f t="shared" si="205"/>
        <v>0</v>
      </c>
      <c r="BV96" s="532">
        <f t="shared" si="206"/>
        <v>650000</v>
      </c>
      <c r="BW96" s="518">
        <f t="shared" si="176"/>
        <v>0</v>
      </c>
      <c r="BX96" s="538"/>
      <c r="BY96" s="534"/>
      <c r="BZ96" s="535"/>
      <c r="CA96" s="535"/>
      <c r="CB96" s="538"/>
      <c r="CC96" s="534"/>
      <c r="CD96" s="535"/>
      <c r="CE96" s="535"/>
      <c r="CF96" s="538"/>
      <c r="CG96" s="534"/>
      <c r="CH96" s="535"/>
      <c r="CI96" s="535"/>
      <c r="CJ96" s="535"/>
      <c r="CK96" s="536"/>
      <c r="CL96" s="536"/>
    </row>
    <row r="97" spans="1:90" s="537" customFormat="1" ht="13.25" customHeight="1" outlineLevel="1" x14ac:dyDescent="0.3">
      <c r="A97" s="544"/>
      <c r="B97" s="545"/>
      <c r="C97" s="552" t="str">
        <f>'CC detallado'!A133</f>
        <v>2.1.7</v>
      </c>
      <c r="D97" s="553" t="str">
        <f>'CC detallado'!F133</f>
        <v>Dispositivo de Captura adquirido</v>
      </c>
      <c r="E97" s="548">
        <f>'CC detallado'!N133</f>
        <v>1328992.9161747345</v>
      </c>
      <c r="F97" s="515"/>
      <c r="G97" s="528"/>
      <c r="H97" s="528"/>
      <c r="I97" s="529"/>
      <c r="J97" s="529"/>
      <c r="K97" s="529"/>
      <c r="L97" s="530">
        <f>E97*40%</f>
        <v>531597.16646989377</v>
      </c>
      <c r="M97" s="530"/>
      <c r="N97" s="530">
        <f>E97*60%</f>
        <v>797395.74970484071</v>
      </c>
      <c r="O97" s="528"/>
      <c r="P97" s="528"/>
      <c r="Q97" s="528"/>
      <c r="R97" s="528"/>
      <c r="S97" s="528"/>
      <c r="T97" s="528"/>
      <c r="U97" s="528"/>
      <c r="V97" s="528"/>
      <c r="W97" s="528"/>
      <c r="X97" s="528"/>
      <c r="Y97" s="528"/>
      <c r="Z97" s="528"/>
      <c r="AA97" s="528"/>
      <c r="AB97" s="528"/>
      <c r="AC97" s="528"/>
      <c r="AD97" s="528"/>
      <c r="AE97" s="528"/>
      <c r="AF97" s="528"/>
      <c r="AG97" s="528"/>
      <c r="AH97" s="528"/>
      <c r="AI97" s="528"/>
      <c r="AJ97" s="528"/>
      <c r="AK97" s="528"/>
      <c r="AL97" s="528"/>
      <c r="AM97" s="528"/>
      <c r="AN97" s="528"/>
      <c r="AO97" s="528"/>
      <c r="AP97" s="528"/>
      <c r="AQ97" s="528"/>
      <c r="AR97" s="528"/>
      <c r="AS97" s="528"/>
      <c r="AT97" s="528"/>
      <c r="AU97" s="528"/>
      <c r="AV97" s="528"/>
      <c r="AW97" s="528"/>
      <c r="AX97" s="528"/>
      <c r="AY97" s="528"/>
      <c r="AZ97" s="528"/>
      <c r="BA97" s="528"/>
      <c r="BB97" s="528"/>
      <c r="BC97" s="528"/>
      <c r="BD97" s="528"/>
      <c r="BE97" s="528"/>
      <c r="BF97" s="528"/>
      <c r="BG97" s="528"/>
      <c r="BH97" s="528"/>
      <c r="BI97" s="528"/>
      <c r="BJ97" s="528"/>
      <c r="BK97" s="528"/>
      <c r="BL97" s="528"/>
      <c r="BM97" s="528"/>
      <c r="BN97" s="528"/>
      <c r="BO97" s="528">
        <f t="shared" si="193"/>
        <v>1328992.9161747345</v>
      </c>
      <c r="BP97" s="517">
        <f t="shared" si="148"/>
        <v>0</v>
      </c>
      <c r="BQ97" s="532">
        <f t="shared" si="201"/>
        <v>531597.16646989377</v>
      </c>
      <c r="BR97" s="532">
        <f t="shared" si="202"/>
        <v>797395.74970484071</v>
      </c>
      <c r="BS97" s="532">
        <f t="shared" si="203"/>
        <v>0</v>
      </c>
      <c r="BT97" s="532">
        <f t="shared" si="204"/>
        <v>0</v>
      </c>
      <c r="BU97" s="532">
        <f t="shared" si="205"/>
        <v>0</v>
      </c>
      <c r="BV97" s="532">
        <f t="shared" si="206"/>
        <v>1328992.9161747345</v>
      </c>
      <c r="BW97" s="518">
        <f t="shared" si="176"/>
        <v>0</v>
      </c>
      <c r="BX97" s="538"/>
      <c r="BY97" s="534"/>
      <c r="BZ97" s="535"/>
      <c r="CA97" s="535"/>
      <c r="CB97" s="538"/>
      <c r="CC97" s="534"/>
      <c r="CD97" s="535"/>
      <c r="CE97" s="535"/>
      <c r="CF97" s="538"/>
      <c r="CG97" s="534"/>
      <c r="CH97" s="535"/>
      <c r="CI97" s="535"/>
      <c r="CJ97" s="535"/>
      <c r="CK97" s="536"/>
      <c r="CL97" s="536"/>
    </row>
    <row r="98" spans="1:90" s="537" customFormat="1" ht="13.25" customHeight="1" outlineLevel="1" x14ac:dyDescent="0.3">
      <c r="A98" s="544"/>
      <c r="B98" s="545"/>
      <c r="C98" s="552" t="str">
        <f>'CC detallado'!A138</f>
        <v>2.1.8</v>
      </c>
      <c r="D98" s="553" t="str">
        <f>'CC detallado'!F138</f>
        <v>Mantenimiento de equipos informáticos</v>
      </c>
      <c r="E98" s="548">
        <f>'CC detallado'!N138</f>
        <v>50598.751897453199</v>
      </c>
      <c r="F98" s="515"/>
      <c r="G98" s="528"/>
      <c r="H98" s="528"/>
      <c r="I98" s="529"/>
      <c r="J98" s="529"/>
      <c r="K98" s="529"/>
      <c r="L98" s="530"/>
      <c r="M98" s="530"/>
      <c r="N98" s="530"/>
      <c r="O98" s="530"/>
      <c r="P98" s="530">
        <f>E98/5</f>
        <v>10119.750379490641</v>
      </c>
      <c r="Q98" s="530"/>
      <c r="R98" s="530"/>
      <c r="S98" s="530"/>
      <c r="T98" s="530"/>
      <c r="U98" s="530"/>
      <c r="V98" s="530"/>
      <c r="W98" s="530"/>
      <c r="X98" s="530"/>
      <c r="Y98" s="530"/>
      <c r="Z98" s="530"/>
      <c r="AA98" s="530"/>
      <c r="AB98" s="530">
        <f>P98</f>
        <v>10119.750379490641</v>
      </c>
      <c r="AC98" s="530"/>
      <c r="AD98" s="530"/>
      <c r="AE98" s="530"/>
      <c r="AF98" s="530"/>
      <c r="AG98" s="530"/>
      <c r="AH98" s="530"/>
      <c r="AI98" s="530"/>
      <c r="AJ98" s="530"/>
      <c r="AK98" s="530"/>
      <c r="AL98" s="530"/>
      <c r="AM98" s="530"/>
      <c r="AN98" s="530">
        <f>AB98</f>
        <v>10119.750379490641</v>
      </c>
      <c r="AO98" s="530"/>
      <c r="AP98" s="530"/>
      <c r="AQ98" s="530"/>
      <c r="AR98" s="530"/>
      <c r="AS98" s="530"/>
      <c r="AT98" s="530"/>
      <c r="AU98" s="530"/>
      <c r="AV98" s="530"/>
      <c r="AW98" s="530"/>
      <c r="AX98" s="530"/>
      <c r="AY98" s="530"/>
      <c r="AZ98" s="530">
        <f>AN98</f>
        <v>10119.750379490641</v>
      </c>
      <c r="BA98" s="530"/>
      <c r="BB98" s="530"/>
      <c r="BC98" s="530"/>
      <c r="BD98" s="530"/>
      <c r="BE98" s="530"/>
      <c r="BF98" s="530"/>
      <c r="BG98" s="530"/>
      <c r="BH98" s="530"/>
      <c r="BI98" s="530"/>
      <c r="BJ98" s="530"/>
      <c r="BK98" s="530"/>
      <c r="BL98" s="530">
        <f>AZ98</f>
        <v>10119.750379490641</v>
      </c>
      <c r="BM98" s="530"/>
      <c r="BN98" s="530"/>
      <c r="BO98" s="528">
        <f t="shared" si="193"/>
        <v>50598.751897453199</v>
      </c>
      <c r="BP98" s="517">
        <f t="shared" si="148"/>
        <v>0</v>
      </c>
      <c r="BQ98" s="532">
        <f t="shared" si="201"/>
        <v>0</v>
      </c>
      <c r="BR98" s="532">
        <f t="shared" si="202"/>
        <v>20239.500758981281</v>
      </c>
      <c r="BS98" s="532">
        <f t="shared" si="203"/>
        <v>10119.750379490641</v>
      </c>
      <c r="BT98" s="532">
        <f t="shared" si="204"/>
        <v>10119.750379490641</v>
      </c>
      <c r="BU98" s="532">
        <f t="shared" si="205"/>
        <v>10119.750379490641</v>
      </c>
      <c r="BV98" s="532">
        <f t="shared" si="206"/>
        <v>50598.751897453199</v>
      </c>
      <c r="BW98" s="518">
        <f t="shared" si="176"/>
        <v>0</v>
      </c>
      <c r="BX98" s="538"/>
      <c r="BY98" s="534"/>
      <c r="BZ98" s="535"/>
      <c r="CA98" s="535"/>
      <c r="CB98" s="538"/>
      <c r="CC98" s="534"/>
      <c r="CD98" s="535"/>
      <c r="CE98" s="535"/>
      <c r="CF98" s="538"/>
      <c r="CG98" s="534"/>
      <c r="CH98" s="535"/>
      <c r="CI98" s="535"/>
      <c r="CJ98" s="535"/>
      <c r="CK98" s="536"/>
      <c r="CL98" s="536"/>
    </row>
    <row r="99" spans="1:90" s="537" customFormat="1" ht="13.25" customHeight="1" outlineLevel="1" x14ac:dyDescent="0.3">
      <c r="A99" s="544"/>
      <c r="B99" s="545"/>
      <c r="C99" s="552" t="str">
        <f>'CC detallado'!A140</f>
        <v>2.1.9</v>
      </c>
      <c r="D99" s="553" t="str">
        <f>'CC detallado'!F140</f>
        <v>Apoyo Informático</v>
      </c>
      <c r="E99" s="548">
        <f>'CC detallado'!N140</f>
        <v>46127</v>
      </c>
      <c r="F99" s="515"/>
      <c r="G99" s="528"/>
      <c r="H99" s="528"/>
      <c r="I99" s="529"/>
      <c r="J99" s="529"/>
      <c r="K99" s="530">
        <f>E99*20%</f>
        <v>9225.4</v>
      </c>
      <c r="L99" s="530"/>
      <c r="M99" s="530"/>
      <c r="N99" s="530"/>
      <c r="O99" s="530">
        <f>K99</f>
        <v>9225.4</v>
      </c>
      <c r="P99" s="530"/>
      <c r="Q99" s="530"/>
      <c r="R99" s="530"/>
      <c r="S99" s="530">
        <f>O99</f>
        <v>9225.4</v>
      </c>
      <c r="T99" s="530"/>
      <c r="U99" s="530"/>
      <c r="V99" s="530"/>
      <c r="W99" s="530">
        <f>S99</f>
        <v>9225.4</v>
      </c>
      <c r="X99" s="530"/>
      <c r="Y99" s="530"/>
      <c r="Z99" s="530"/>
      <c r="AA99" s="530">
        <f>W99</f>
        <v>9225.4</v>
      </c>
      <c r="AB99" s="530"/>
      <c r="AC99" s="528"/>
      <c r="AD99" s="528"/>
      <c r="AE99" s="528"/>
      <c r="AF99" s="528"/>
      <c r="AG99" s="528"/>
      <c r="AH99" s="528"/>
      <c r="AI99" s="528"/>
      <c r="AJ99" s="528"/>
      <c r="AK99" s="528"/>
      <c r="AL99" s="528"/>
      <c r="AM99" s="528"/>
      <c r="AN99" s="528"/>
      <c r="AO99" s="528"/>
      <c r="AP99" s="528"/>
      <c r="AQ99" s="528"/>
      <c r="AR99" s="528"/>
      <c r="AS99" s="528"/>
      <c r="AT99" s="528"/>
      <c r="AU99" s="528"/>
      <c r="AV99" s="528"/>
      <c r="AW99" s="528"/>
      <c r="AX99" s="528"/>
      <c r="AY99" s="528"/>
      <c r="AZ99" s="528"/>
      <c r="BA99" s="528"/>
      <c r="BB99" s="528"/>
      <c r="BC99" s="528"/>
      <c r="BD99" s="528"/>
      <c r="BE99" s="528"/>
      <c r="BF99" s="528"/>
      <c r="BG99" s="528"/>
      <c r="BH99" s="528"/>
      <c r="BI99" s="528"/>
      <c r="BJ99" s="528"/>
      <c r="BK99" s="528"/>
      <c r="BL99" s="528"/>
      <c r="BM99" s="528"/>
      <c r="BN99" s="528"/>
      <c r="BO99" s="528">
        <f t="shared" si="193"/>
        <v>46127</v>
      </c>
      <c r="BP99" s="517">
        <f t="shared" si="148"/>
        <v>0</v>
      </c>
      <c r="BQ99" s="532">
        <f t="shared" si="201"/>
        <v>9225.4</v>
      </c>
      <c r="BR99" s="532">
        <f t="shared" si="202"/>
        <v>36901.599999999999</v>
      </c>
      <c r="BS99" s="532">
        <f t="shared" si="203"/>
        <v>0</v>
      </c>
      <c r="BT99" s="532">
        <f t="shared" si="204"/>
        <v>0</v>
      </c>
      <c r="BU99" s="532">
        <f t="shared" si="205"/>
        <v>0</v>
      </c>
      <c r="BV99" s="532">
        <f t="shared" si="206"/>
        <v>46127</v>
      </c>
      <c r="BW99" s="518">
        <f t="shared" si="176"/>
        <v>0</v>
      </c>
      <c r="BX99" s="538"/>
      <c r="BY99" s="534"/>
      <c r="BZ99" s="535"/>
      <c r="CA99" s="535"/>
      <c r="CB99" s="538"/>
      <c r="CC99" s="534"/>
      <c r="CD99" s="535"/>
      <c r="CE99" s="535"/>
      <c r="CF99" s="538"/>
      <c r="CG99" s="534"/>
      <c r="CH99" s="535"/>
      <c r="CI99" s="535"/>
      <c r="CJ99" s="535"/>
      <c r="CK99" s="536"/>
      <c r="CL99" s="536"/>
    </row>
    <row r="100" spans="1:90" s="522" customFormat="1" ht="13.25" customHeight="1" x14ac:dyDescent="0.3">
      <c r="A100" s="574"/>
      <c r="B100" s="575"/>
      <c r="C100" s="512" t="str">
        <f>'CC detallado'!A142</f>
        <v>2.2</v>
      </c>
      <c r="D100" s="513" t="str">
        <f>'CC detallado'!F142</f>
        <v>Producto 6: Modelo de uso de imágenes satelitales desarrollado</v>
      </c>
      <c r="E100" s="514">
        <f>SUM(E101:E103)</f>
        <v>84718.502276943836</v>
      </c>
      <c r="F100" s="515"/>
      <c r="G100" s="516">
        <f t="shared" ref="G100:BO100" si="207">SUM(G101:G103)</f>
        <v>0</v>
      </c>
      <c r="H100" s="516">
        <f t="shared" si="207"/>
        <v>0</v>
      </c>
      <c r="I100" s="516">
        <f t="shared" si="207"/>
        <v>0</v>
      </c>
      <c r="J100" s="516">
        <f t="shared" si="207"/>
        <v>0</v>
      </c>
      <c r="K100" s="516">
        <f t="shared" si="207"/>
        <v>0</v>
      </c>
      <c r="L100" s="516">
        <f t="shared" si="207"/>
        <v>0</v>
      </c>
      <c r="M100" s="516">
        <f t="shared" si="207"/>
        <v>24000</v>
      </c>
      <c r="N100" s="516">
        <f t="shared" si="207"/>
        <v>0</v>
      </c>
      <c r="O100" s="516">
        <f t="shared" si="207"/>
        <v>7589.8127846179796</v>
      </c>
      <c r="P100" s="516">
        <f t="shared" si="207"/>
        <v>7589.8127846179796</v>
      </c>
      <c r="Q100" s="516">
        <f t="shared" si="207"/>
        <v>7589.8127846179796</v>
      </c>
      <c r="R100" s="516">
        <f t="shared" si="207"/>
        <v>7589.8127846179796</v>
      </c>
      <c r="S100" s="516">
        <f t="shared" si="207"/>
        <v>7589.8127846179796</v>
      </c>
      <c r="T100" s="516">
        <f t="shared" si="207"/>
        <v>7589.8127846179796</v>
      </c>
      <c r="U100" s="516">
        <f t="shared" si="207"/>
        <v>7589.8127846179796</v>
      </c>
      <c r="V100" s="516">
        <f t="shared" si="207"/>
        <v>7589.8127846179796</v>
      </c>
      <c r="W100" s="516">
        <f t="shared" si="207"/>
        <v>0</v>
      </c>
      <c r="X100" s="516">
        <f t="shared" si="207"/>
        <v>0</v>
      </c>
      <c r="Y100" s="516">
        <f t="shared" si="207"/>
        <v>0</v>
      </c>
      <c r="Z100" s="516">
        <f t="shared" si="207"/>
        <v>0</v>
      </c>
      <c r="AA100" s="516">
        <f t="shared" si="207"/>
        <v>0</v>
      </c>
      <c r="AB100" s="516">
        <f t="shared" si="207"/>
        <v>0</v>
      </c>
      <c r="AC100" s="516">
        <f t="shared" si="207"/>
        <v>0</v>
      </c>
      <c r="AD100" s="516">
        <f t="shared" si="207"/>
        <v>0</v>
      </c>
      <c r="AE100" s="516">
        <f t="shared" si="207"/>
        <v>0</v>
      </c>
      <c r="AF100" s="516">
        <f t="shared" si="207"/>
        <v>0</v>
      </c>
      <c r="AG100" s="516">
        <f t="shared" si="207"/>
        <v>0</v>
      </c>
      <c r="AH100" s="516">
        <f t="shared" si="207"/>
        <v>0</v>
      </c>
      <c r="AI100" s="516">
        <f t="shared" si="207"/>
        <v>0</v>
      </c>
      <c r="AJ100" s="516">
        <f t="shared" si="207"/>
        <v>0</v>
      </c>
      <c r="AK100" s="516">
        <f t="shared" si="207"/>
        <v>0</v>
      </c>
      <c r="AL100" s="516">
        <f t="shared" si="207"/>
        <v>0</v>
      </c>
      <c r="AM100" s="516">
        <f t="shared" si="207"/>
        <v>0</v>
      </c>
      <c r="AN100" s="516">
        <f t="shared" si="207"/>
        <v>0</v>
      </c>
      <c r="AO100" s="516">
        <f t="shared" si="207"/>
        <v>0</v>
      </c>
      <c r="AP100" s="516">
        <f t="shared" si="207"/>
        <v>0</v>
      </c>
      <c r="AQ100" s="516">
        <f t="shared" si="207"/>
        <v>0</v>
      </c>
      <c r="AR100" s="516">
        <f t="shared" si="207"/>
        <v>0</v>
      </c>
      <c r="AS100" s="516">
        <f t="shared" si="207"/>
        <v>0</v>
      </c>
      <c r="AT100" s="516">
        <f t="shared" si="207"/>
        <v>0</v>
      </c>
      <c r="AU100" s="516">
        <f t="shared" si="207"/>
        <v>0</v>
      </c>
      <c r="AV100" s="516">
        <f t="shared" si="207"/>
        <v>0</v>
      </c>
      <c r="AW100" s="516">
        <f t="shared" si="207"/>
        <v>0</v>
      </c>
      <c r="AX100" s="516">
        <f t="shared" si="207"/>
        <v>0</v>
      </c>
      <c r="AY100" s="516">
        <f t="shared" si="207"/>
        <v>0</v>
      </c>
      <c r="AZ100" s="516">
        <f t="shared" si="207"/>
        <v>0</v>
      </c>
      <c r="BA100" s="516">
        <f t="shared" si="207"/>
        <v>0</v>
      </c>
      <c r="BB100" s="516">
        <f t="shared" si="207"/>
        <v>0</v>
      </c>
      <c r="BC100" s="516">
        <f t="shared" si="207"/>
        <v>0</v>
      </c>
      <c r="BD100" s="516">
        <f t="shared" si="207"/>
        <v>0</v>
      </c>
      <c r="BE100" s="516">
        <f t="shared" si="207"/>
        <v>0</v>
      </c>
      <c r="BF100" s="516">
        <f t="shared" si="207"/>
        <v>0</v>
      </c>
      <c r="BG100" s="516">
        <f t="shared" si="207"/>
        <v>0</v>
      </c>
      <c r="BH100" s="516">
        <f t="shared" si="207"/>
        <v>0</v>
      </c>
      <c r="BI100" s="516">
        <f t="shared" si="207"/>
        <v>0</v>
      </c>
      <c r="BJ100" s="516">
        <f t="shared" si="207"/>
        <v>0</v>
      </c>
      <c r="BK100" s="516">
        <f t="shared" si="207"/>
        <v>0</v>
      </c>
      <c r="BL100" s="516">
        <f t="shared" si="207"/>
        <v>0</v>
      </c>
      <c r="BM100" s="516">
        <f t="shared" si="207"/>
        <v>0</v>
      </c>
      <c r="BN100" s="516">
        <f t="shared" si="207"/>
        <v>0</v>
      </c>
      <c r="BO100" s="516">
        <f t="shared" si="207"/>
        <v>84718.502276943851</v>
      </c>
      <c r="BP100" s="517">
        <f t="shared" si="148"/>
        <v>0</v>
      </c>
      <c r="BQ100" s="514">
        <f t="shared" ref="BQ100" si="208">SUM(BQ101:BQ103)</f>
        <v>24000</v>
      </c>
      <c r="BR100" s="514">
        <f t="shared" ref="BR100" si="209">SUM(BR101:BR103)</f>
        <v>60718.502276943844</v>
      </c>
      <c r="BS100" s="514">
        <f t="shared" ref="BS100" si="210">SUM(BS101:BS103)</f>
        <v>0</v>
      </c>
      <c r="BT100" s="514">
        <f t="shared" ref="BT100" si="211">SUM(BT101:BT103)</f>
        <v>0</v>
      </c>
      <c r="BU100" s="514">
        <f t="shared" ref="BU100" si="212">SUM(BU101:BU103)</f>
        <v>0</v>
      </c>
      <c r="BV100" s="514">
        <f t="shared" ref="BV100" si="213">SUM(BV101:BV103)</f>
        <v>84718.502276943851</v>
      </c>
      <c r="BW100" s="518">
        <f t="shared" si="176"/>
        <v>0</v>
      </c>
      <c r="BX100" s="519"/>
      <c r="BY100" s="520"/>
      <c r="BZ100" s="519"/>
      <c r="CA100" s="519"/>
      <c r="CB100" s="519"/>
      <c r="CC100" s="520"/>
      <c r="CD100" s="519"/>
      <c r="CE100" s="519"/>
      <c r="CF100" s="519"/>
      <c r="CG100" s="520"/>
      <c r="CH100" s="519"/>
      <c r="CI100" s="519"/>
      <c r="CJ100" s="519"/>
      <c r="CK100" s="521"/>
      <c r="CL100" s="521"/>
    </row>
    <row r="101" spans="1:90" s="536" customFormat="1" ht="13.25" customHeight="1" outlineLevel="1" x14ac:dyDescent="0.3">
      <c r="A101" s="564"/>
      <c r="B101" s="555"/>
      <c r="C101" s="525" t="str">
        <f>'CC detallado'!A143</f>
        <v>2.2.1</v>
      </c>
      <c r="D101" s="560" t="str">
        <f>'CC detallado'!F143</f>
        <v>Expertos en procesamiento de imágenes satelitales</v>
      </c>
      <c r="E101" s="532">
        <f>'CC detallado'!N143</f>
        <v>26986.001011975037</v>
      </c>
      <c r="F101" s="515"/>
      <c r="G101" s="528"/>
      <c r="H101" s="528"/>
      <c r="I101" s="528"/>
      <c r="J101" s="528"/>
      <c r="K101" s="528"/>
      <c r="L101" s="528"/>
      <c r="M101" s="529"/>
      <c r="N101" s="529"/>
      <c r="O101" s="530">
        <f>E101/8</f>
        <v>3373.2501264968796</v>
      </c>
      <c r="P101" s="530">
        <f>O101</f>
        <v>3373.2501264968796</v>
      </c>
      <c r="Q101" s="530">
        <f t="shared" ref="Q101:V102" si="214">P101</f>
        <v>3373.2501264968796</v>
      </c>
      <c r="R101" s="530">
        <f t="shared" si="214"/>
        <v>3373.2501264968796</v>
      </c>
      <c r="S101" s="530">
        <f t="shared" si="214"/>
        <v>3373.2501264968796</v>
      </c>
      <c r="T101" s="530">
        <f t="shared" si="214"/>
        <v>3373.2501264968796</v>
      </c>
      <c r="U101" s="530">
        <f t="shared" si="214"/>
        <v>3373.2501264968796</v>
      </c>
      <c r="V101" s="530">
        <f t="shared" si="214"/>
        <v>3373.2501264968796</v>
      </c>
      <c r="W101" s="528"/>
      <c r="X101" s="528"/>
      <c r="Y101" s="528"/>
      <c r="Z101" s="528"/>
      <c r="AA101" s="528"/>
      <c r="AB101" s="528"/>
      <c r="AC101" s="528"/>
      <c r="AD101" s="528"/>
      <c r="AE101" s="528"/>
      <c r="AF101" s="528"/>
      <c r="AG101" s="528"/>
      <c r="AH101" s="528"/>
      <c r="AI101" s="528"/>
      <c r="AJ101" s="528"/>
      <c r="AK101" s="528"/>
      <c r="AL101" s="528"/>
      <c r="AM101" s="528"/>
      <c r="AN101" s="528"/>
      <c r="AO101" s="528"/>
      <c r="AP101" s="528"/>
      <c r="AQ101" s="528"/>
      <c r="AR101" s="528"/>
      <c r="AS101" s="528"/>
      <c r="AT101" s="528"/>
      <c r="AU101" s="528"/>
      <c r="AV101" s="528"/>
      <c r="AW101" s="528"/>
      <c r="AX101" s="528"/>
      <c r="AY101" s="528"/>
      <c r="AZ101" s="528"/>
      <c r="BA101" s="528"/>
      <c r="BB101" s="528"/>
      <c r="BC101" s="528"/>
      <c r="BD101" s="528"/>
      <c r="BE101" s="528"/>
      <c r="BF101" s="528"/>
      <c r="BG101" s="528"/>
      <c r="BH101" s="528"/>
      <c r="BI101" s="528"/>
      <c r="BJ101" s="528"/>
      <c r="BK101" s="528"/>
      <c r="BL101" s="528"/>
      <c r="BM101" s="528"/>
      <c r="BN101" s="528"/>
      <c r="BO101" s="528">
        <f>SUM(G101:BN101)</f>
        <v>26986.001011975044</v>
      </c>
      <c r="BP101" s="517">
        <f t="shared" si="148"/>
        <v>0</v>
      </c>
      <c r="BQ101" s="532">
        <f>SUM(G101:M101)</f>
        <v>0</v>
      </c>
      <c r="BR101" s="532">
        <f>SUM(N101:AD101)</f>
        <v>26986.001011975044</v>
      </c>
      <c r="BS101" s="532">
        <f>SUM(AE101:AP101)</f>
        <v>0</v>
      </c>
      <c r="BT101" s="532">
        <f>SUM(AQ101:BB101)</f>
        <v>0</v>
      </c>
      <c r="BU101" s="532">
        <f>SUM(BC101:BN101)</f>
        <v>0</v>
      </c>
      <c r="BV101" s="532">
        <f>SUM(BQ101:BU101)</f>
        <v>26986.001011975044</v>
      </c>
      <c r="BW101" s="518">
        <f t="shared" si="176"/>
        <v>0</v>
      </c>
      <c r="BX101" s="535"/>
      <c r="BY101" s="534"/>
      <c r="BZ101" s="535"/>
      <c r="CA101" s="535"/>
      <c r="CB101" s="535"/>
      <c r="CC101" s="534"/>
      <c r="CD101" s="535"/>
      <c r="CE101" s="535"/>
      <c r="CF101" s="535"/>
      <c r="CG101" s="534"/>
      <c r="CH101" s="535"/>
      <c r="CI101" s="535"/>
      <c r="CJ101" s="535"/>
    </row>
    <row r="102" spans="1:90" s="536" customFormat="1" ht="13.25" customHeight="1" outlineLevel="1" x14ac:dyDescent="0.3">
      <c r="A102" s="564"/>
      <c r="B102" s="555"/>
      <c r="C102" s="525" t="str">
        <f>'CC detallado'!A144</f>
        <v>2.2.2</v>
      </c>
      <c r="D102" s="560" t="str">
        <f>'CC detallado'!F144</f>
        <v>Convenio con institución experta en interpretación de imágenes</v>
      </c>
      <c r="E102" s="532">
        <f>'CC detallado'!N144</f>
        <v>33732.5012649688</v>
      </c>
      <c r="F102" s="515"/>
      <c r="G102" s="528"/>
      <c r="H102" s="528"/>
      <c r="I102" s="528"/>
      <c r="J102" s="528"/>
      <c r="K102" s="528"/>
      <c r="L102" s="528"/>
      <c r="M102" s="528"/>
      <c r="N102" s="530"/>
      <c r="O102" s="530">
        <f>E102/8</f>
        <v>4216.5626581211</v>
      </c>
      <c r="P102" s="530">
        <f>O102</f>
        <v>4216.5626581211</v>
      </c>
      <c r="Q102" s="530">
        <f t="shared" si="214"/>
        <v>4216.5626581211</v>
      </c>
      <c r="R102" s="530">
        <f t="shared" si="214"/>
        <v>4216.5626581211</v>
      </c>
      <c r="S102" s="530">
        <f t="shared" si="214"/>
        <v>4216.5626581211</v>
      </c>
      <c r="T102" s="530">
        <f t="shared" si="214"/>
        <v>4216.5626581211</v>
      </c>
      <c r="U102" s="530">
        <f t="shared" si="214"/>
        <v>4216.5626581211</v>
      </c>
      <c r="V102" s="530">
        <f t="shared" si="214"/>
        <v>4216.5626581211</v>
      </c>
      <c r="W102" s="530"/>
      <c r="X102" s="530"/>
      <c r="Y102" s="530"/>
      <c r="Z102" s="530"/>
      <c r="AA102" s="530"/>
      <c r="AB102" s="530"/>
      <c r="AC102" s="530"/>
      <c r="AD102" s="530"/>
      <c r="AE102" s="530"/>
      <c r="AF102" s="530"/>
      <c r="AG102" s="530"/>
      <c r="AH102" s="530"/>
      <c r="AI102" s="530"/>
      <c r="AJ102" s="530"/>
      <c r="AK102" s="530"/>
      <c r="AL102" s="530"/>
      <c r="AM102" s="530"/>
      <c r="AN102" s="530"/>
      <c r="AO102" s="530"/>
      <c r="AP102" s="530"/>
      <c r="AQ102" s="528"/>
      <c r="AR102" s="528"/>
      <c r="AS102" s="528"/>
      <c r="AT102" s="528"/>
      <c r="AU102" s="528"/>
      <c r="AV102" s="528"/>
      <c r="AW102" s="528"/>
      <c r="AX102" s="528"/>
      <c r="AY102" s="528"/>
      <c r="AZ102" s="528"/>
      <c r="BA102" s="528"/>
      <c r="BB102" s="528"/>
      <c r="BC102" s="528"/>
      <c r="BD102" s="528"/>
      <c r="BE102" s="528"/>
      <c r="BF102" s="528"/>
      <c r="BG102" s="528"/>
      <c r="BH102" s="528"/>
      <c r="BI102" s="528"/>
      <c r="BJ102" s="528"/>
      <c r="BK102" s="528"/>
      <c r="BL102" s="528"/>
      <c r="BM102" s="528"/>
      <c r="BN102" s="528"/>
      <c r="BO102" s="528">
        <f>SUM(G102:BN102)</f>
        <v>33732.5012649688</v>
      </c>
      <c r="BP102" s="517">
        <f t="shared" si="148"/>
        <v>0</v>
      </c>
      <c r="BQ102" s="532">
        <f>SUM(G102:M102)</f>
        <v>0</v>
      </c>
      <c r="BR102" s="532">
        <f>SUM(N102:AD102)</f>
        <v>33732.5012649688</v>
      </c>
      <c r="BS102" s="532">
        <f>SUM(AE102:AP102)</f>
        <v>0</v>
      </c>
      <c r="BT102" s="532">
        <f>SUM(AQ102:BB102)</f>
        <v>0</v>
      </c>
      <c r="BU102" s="532">
        <f>SUM(BC102:BN102)</f>
        <v>0</v>
      </c>
      <c r="BV102" s="532">
        <f>SUM(BQ102:BU102)</f>
        <v>33732.5012649688</v>
      </c>
      <c r="BW102" s="518">
        <f t="shared" si="176"/>
        <v>0</v>
      </c>
      <c r="BX102" s="535"/>
      <c r="BY102" s="534"/>
      <c r="BZ102" s="535"/>
      <c r="CA102" s="535"/>
      <c r="CB102" s="535"/>
      <c r="CC102" s="534"/>
      <c r="CD102" s="535"/>
      <c r="CE102" s="535"/>
      <c r="CF102" s="535"/>
      <c r="CG102" s="534"/>
      <c r="CH102" s="535"/>
      <c r="CI102" s="535"/>
      <c r="CJ102" s="535"/>
    </row>
    <row r="103" spans="1:90" s="536" customFormat="1" ht="13.25" customHeight="1" outlineLevel="1" x14ac:dyDescent="0.3">
      <c r="A103" s="564"/>
      <c r="B103" s="555"/>
      <c r="C103" s="525" t="str">
        <f>'CC detallado'!A145</f>
        <v>2.2.3</v>
      </c>
      <c r="D103" s="560" t="str">
        <f>'CC detallado'!F145</f>
        <v>Imágenes Satelitales de alta resolución</v>
      </c>
      <c r="E103" s="532">
        <f>'CC detallado'!N145</f>
        <v>24000</v>
      </c>
      <c r="F103" s="515"/>
      <c r="G103" s="528"/>
      <c r="H103" s="528"/>
      <c r="I103" s="528"/>
      <c r="J103" s="529"/>
      <c r="K103" s="529"/>
      <c r="L103" s="530"/>
      <c r="M103" s="530">
        <f>E103</f>
        <v>24000</v>
      </c>
      <c r="N103" s="528"/>
      <c r="O103" s="528"/>
      <c r="P103" s="528"/>
      <c r="Q103" s="528"/>
      <c r="R103" s="528"/>
      <c r="S103" s="528"/>
      <c r="T103" s="528"/>
      <c r="U103" s="528"/>
      <c r="V103" s="528"/>
      <c r="W103" s="528"/>
      <c r="X103" s="528"/>
      <c r="Y103" s="528"/>
      <c r="Z103" s="528"/>
      <c r="AA103" s="528"/>
      <c r="AB103" s="528"/>
      <c r="AC103" s="528"/>
      <c r="AD103" s="528"/>
      <c r="AE103" s="528"/>
      <c r="AF103" s="528"/>
      <c r="AG103" s="528"/>
      <c r="AH103" s="528"/>
      <c r="AI103" s="528"/>
      <c r="AJ103" s="528"/>
      <c r="AK103" s="528"/>
      <c r="AL103" s="528"/>
      <c r="AM103" s="528"/>
      <c r="AN103" s="528"/>
      <c r="AO103" s="528"/>
      <c r="AP103" s="528"/>
      <c r="AQ103" s="528"/>
      <c r="AR103" s="528"/>
      <c r="AS103" s="528"/>
      <c r="AT103" s="528"/>
      <c r="AU103" s="528"/>
      <c r="AV103" s="528"/>
      <c r="AW103" s="528"/>
      <c r="AX103" s="528"/>
      <c r="AY103" s="528"/>
      <c r="AZ103" s="528"/>
      <c r="BA103" s="528"/>
      <c r="BB103" s="528"/>
      <c r="BC103" s="528"/>
      <c r="BD103" s="528"/>
      <c r="BE103" s="528"/>
      <c r="BF103" s="528"/>
      <c r="BG103" s="528"/>
      <c r="BH103" s="528"/>
      <c r="BI103" s="528"/>
      <c r="BJ103" s="528"/>
      <c r="BK103" s="528"/>
      <c r="BL103" s="528"/>
      <c r="BM103" s="528"/>
      <c r="BN103" s="528"/>
      <c r="BO103" s="528">
        <f>SUM(G103:BN103)</f>
        <v>24000</v>
      </c>
      <c r="BP103" s="517">
        <f t="shared" si="148"/>
        <v>0</v>
      </c>
      <c r="BQ103" s="532">
        <f>SUM(G103:M103)</f>
        <v>24000</v>
      </c>
      <c r="BR103" s="532">
        <f>SUM(N103:AD103)</f>
        <v>0</v>
      </c>
      <c r="BS103" s="532">
        <f>SUM(AE103:AP103)</f>
        <v>0</v>
      </c>
      <c r="BT103" s="532">
        <f>SUM(AQ103:BB103)</f>
        <v>0</v>
      </c>
      <c r="BU103" s="532">
        <f>SUM(BC103:BN103)</f>
        <v>0</v>
      </c>
      <c r="BV103" s="532">
        <f>SUM(BQ103:BU103)</f>
        <v>24000</v>
      </c>
      <c r="BW103" s="518">
        <f t="shared" si="176"/>
        <v>0</v>
      </c>
      <c r="BX103" s="535"/>
      <c r="BY103" s="534"/>
      <c r="BZ103" s="535"/>
      <c r="CA103" s="535"/>
      <c r="CB103" s="535"/>
      <c r="CC103" s="534"/>
      <c r="CD103" s="535"/>
      <c r="CE103" s="535"/>
      <c r="CF103" s="535"/>
      <c r="CG103" s="534"/>
      <c r="CH103" s="535"/>
      <c r="CI103" s="535"/>
      <c r="CJ103" s="535"/>
    </row>
    <row r="104" spans="1:90" s="522" customFormat="1" ht="13.25" customHeight="1" x14ac:dyDescent="0.3">
      <c r="A104" s="510"/>
      <c r="B104" s="511"/>
      <c r="C104" s="512" t="str">
        <f>'CC detallado'!A146</f>
        <v>2.3</v>
      </c>
      <c r="D104" s="513" t="str">
        <f>'CC detallado'!F146</f>
        <v>Producto 7: Encuestas realizadas</v>
      </c>
      <c r="E104" s="514">
        <f>SUM(E105:E115)</f>
        <v>922061.05582728959</v>
      </c>
      <c r="F104" s="515"/>
      <c r="G104" s="516">
        <f t="shared" ref="G104:AL104" si="215">SUM(G105:G115)</f>
        <v>0</v>
      </c>
      <c r="H104" s="516">
        <f t="shared" si="215"/>
        <v>0</v>
      </c>
      <c r="I104" s="516">
        <f t="shared" si="215"/>
        <v>0</v>
      </c>
      <c r="J104" s="516">
        <f t="shared" si="215"/>
        <v>0</v>
      </c>
      <c r="K104" s="516">
        <f t="shared" si="215"/>
        <v>0</v>
      </c>
      <c r="L104" s="516">
        <f t="shared" si="215"/>
        <v>0</v>
      </c>
      <c r="M104" s="516">
        <f t="shared" si="215"/>
        <v>0</v>
      </c>
      <c r="N104" s="516">
        <f t="shared" si="215"/>
        <v>0</v>
      </c>
      <c r="O104" s="516">
        <f t="shared" si="215"/>
        <v>0</v>
      </c>
      <c r="P104" s="516">
        <f t="shared" si="215"/>
        <v>0</v>
      </c>
      <c r="Q104" s="516">
        <f t="shared" si="215"/>
        <v>0</v>
      </c>
      <c r="R104" s="516">
        <f t="shared" si="215"/>
        <v>0</v>
      </c>
      <c r="S104" s="516">
        <f t="shared" si="215"/>
        <v>0</v>
      </c>
      <c r="T104" s="516">
        <f t="shared" si="215"/>
        <v>0</v>
      </c>
      <c r="U104" s="516">
        <f t="shared" si="215"/>
        <v>0</v>
      </c>
      <c r="V104" s="516">
        <f t="shared" si="215"/>
        <v>0</v>
      </c>
      <c r="W104" s="516">
        <f t="shared" si="215"/>
        <v>0</v>
      </c>
      <c r="X104" s="516">
        <f t="shared" si="215"/>
        <v>0</v>
      </c>
      <c r="Y104" s="516">
        <f t="shared" si="215"/>
        <v>0</v>
      </c>
      <c r="Z104" s="516">
        <f t="shared" si="215"/>
        <v>0</v>
      </c>
      <c r="AA104" s="516">
        <f t="shared" si="215"/>
        <v>0</v>
      </c>
      <c r="AB104" s="516">
        <f t="shared" si="215"/>
        <v>0</v>
      </c>
      <c r="AC104" s="516">
        <f t="shared" si="215"/>
        <v>0</v>
      </c>
      <c r="AD104" s="516">
        <f t="shared" si="215"/>
        <v>0</v>
      </c>
      <c r="AE104" s="516">
        <f t="shared" si="215"/>
        <v>0</v>
      </c>
      <c r="AF104" s="516">
        <f t="shared" si="215"/>
        <v>0</v>
      </c>
      <c r="AG104" s="516">
        <f t="shared" si="215"/>
        <v>0</v>
      </c>
      <c r="AH104" s="516">
        <f t="shared" si="215"/>
        <v>0</v>
      </c>
      <c r="AI104" s="516">
        <f t="shared" si="215"/>
        <v>6071.8502276943836</v>
      </c>
      <c r="AJ104" s="516">
        <f t="shared" si="215"/>
        <v>6071.8502276943836</v>
      </c>
      <c r="AK104" s="516">
        <f t="shared" si="215"/>
        <v>6071.8502276943836</v>
      </c>
      <c r="AL104" s="516">
        <f t="shared" si="215"/>
        <v>6071.8502276943836</v>
      </c>
      <c r="AM104" s="516">
        <f t="shared" ref="AM104:BO104" si="216">SUM(AM105:AM115)</f>
        <v>0</v>
      </c>
      <c r="AN104" s="516">
        <f t="shared" si="216"/>
        <v>0</v>
      </c>
      <c r="AO104" s="516">
        <f t="shared" si="216"/>
        <v>8433.1253162421999</v>
      </c>
      <c r="AP104" s="516">
        <f t="shared" si="216"/>
        <v>8433.1253162421999</v>
      </c>
      <c r="AQ104" s="516">
        <f t="shared" si="216"/>
        <v>0</v>
      </c>
      <c r="AR104" s="516">
        <f t="shared" si="216"/>
        <v>0</v>
      </c>
      <c r="AS104" s="516">
        <f t="shared" si="216"/>
        <v>0</v>
      </c>
      <c r="AT104" s="516">
        <f t="shared" si="216"/>
        <v>5903.1877213695398</v>
      </c>
      <c r="AU104" s="516">
        <f t="shared" si="216"/>
        <v>8433.1253162421999</v>
      </c>
      <c r="AV104" s="516">
        <f t="shared" si="216"/>
        <v>2529.9375948726597</v>
      </c>
      <c r="AW104" s="516">
        <f t="shared" si="216"/>
        <v>5059.8751897453194</v>
      </c>
      <c r="AX104" s="516">
        <f t="shared" si="216"/>
        <v>0</v>
      </c>
      <c r="AY104" s="516">
        <f t="shared" si="216"/>
        <v>189745.31961544949</v>
      </c>
      <c r="AZ104" s="516">
        <f t="shared" si="216"/>
        <v>189745.31961544949</v>
      </c>
      <c r="BA104" s="516">
        <f t="shared" si="216"/>
        <v>25000</v>
      </c>
      <c r="BB104" s="516">
        <f t="shared" si="216"/>
        <v>25000</v>
      </c>
      <c r="BC104" s="516">
        <f t="shared" si="216"/>
        <v>0</v>
      </c>
      <c r="BD104" s="516">
        <f t="shared" si="216"/>
        <v>0</v>
      </c>
      <c r="BE104" s="516">
        <f t="shared" si="216"/>
        <v>0</v>
      </c>
      <c r="BF104" s="516">
        <f t="shared" si="216"/>
        <v>0</v>
      </c>
      <c r="BG104" s="516">
        <f t="shared" si="216"/>
        <v>0</v>
      </c>
      <c r="BH104" s="516">
        <f t="shared" si="216"/>
        <v>0</v>
      </c>
      <c r="BI104" s="516">
        <f t="shared" si="216"/>
        <v>189745.31961544949</v>
      </c>
      <c r="BJ104" s="516">
        <f t="shared" si="216"/>
        <v>189745.31961544949</v>
      </c>
      <c r="BK104" s="516">
        <f t="shared" si="216"/>
        <v>25000</v>
      </c>
      <c r="BL104" s="516">
        <f t="shared" si="216"/>
        <v>25000</v>
      </c>
      <c r="BM104" s="516">
        <f t="shared" si="216"/>
        <v>0</v>
      </c>
      <c r="BN104" s="516">
        <f t="shared" si="216"/>
        <v>0</v>
      </c>
      <c r="BO104" s="516">
        <f t="shared" si="216"/>
        <v>922061.05582728959</v>
      </c>
      <c r="BP104" s="517">
        <f t="shared" si="148"/>
        <v>0</v>
      </c>
      <c r="BQ104" s="514">
        <f t="shared" ref="BQ104:BV104" si="217">SUM(BQ105:BQ115)</f>
        <v>0</v>
      </c>
      <c r="BR104" s="514">
        <f t="shared" si="217"/>
        <v>0</v>
      </c>
      <c r="BS104" s="514">
        <f t="shared" si="217"/>
        <v>41153.651543261934</v>
      </c>
      <c r="BT104" s="514">
        <f t="shared" si="217"/>
        <v>451416.76505312871</v>
      </c>
      <c r="BU104" s="514">
        <f t="shared" si="217"/>
        <v>429490.63923089899</v>
      </c>
      <c r="BV104" s="514">
        <f t="shared" si="217"/>
        <v>922061.05582728959</v>
      </c>
      <c r="BW104" s="518">
        <f t="shared" si="176"/>
        <v>0</v>
      </c>
      <c r="BX104" s="576"/>
      <c r="BY104" s="520"/>
      <c r="BZ104" s="519"/>
      <c r="CA104" s="519"/>
      <c r="CB104" s="576"/>
      <c r="CC104" s="520"/>
      <c r="CD104" s="519"/>
      <c r="CE104" s="519"/>
      <c r="CF104" s="576"/>
      <c r="CG104" s="520"/>
      <c r="CH104" s="519"/>
      <c r="CI104" s="519"/>
      <c r="CJ104" s="519"/>
      <c r="CK104" s="521"/>
      <c r="CL104" s="521"/>
    </row>
    <row r="105" spans="1:90" s="537" customFormat="1" ht="13.25" customHeight="1" outlineLevel="1" x14ac:dyDescent="0.3">
      <c r="A105" s="523"/>
      <c r="B105" s="524" t="s">
        <v>91</v>
      </c>
      <c r="C105" s="525" t="str">
        <f>'CC detallado'!A147</f>
        <v>2.3.1</v>
      </c>
      <c r="D105" s="560" t="str">
        <f>'CC detallado'!F147</f>
        <v>Diseño del Marco Muestral Maestro</v>
      </c>
      <c r="E105" s="527">
        <f>'CC detallado'!N147</f>
        <v>24287.400910777535</v>
      </c>
      <c r="F105" s="515"/>
      <c r="G105" s="528"/>
      <c r="H105" s="528"/>
      <c r="I105" s="528"/>
      <c r="J105" s="528"/>
      <c r="K105" s="531"/>
      <c r="L105" s="531"/>
      <c r="M105" s="531"/>
      <c r="N105" s="531"/>
      <c r="O105" s="531"/>
      <c r="P105" s="531"/>
      <c r="Q105" s="531"/>
      <c r="R105" s="531"/>
      <c r="S105" s="531"/>
      <c r="T105" s="531"/>
      <c r="U105" s="531"/>
      <c r="V105" s="531"/>
      <c r="W105" s="531"/>
      <c r="X105" s="531"/>
      <c r="Y105" s="531"/>
      <c r="Z105" s="531"/>
      <c r="AA105" s="531"/>
      <c r="AB105" s="531"/>
      <c r="AC105" s="531"/>
      <c r="AD105" s="531"/>
      <c r="AE105" s="531"/>
      <c r="AF105" s="551"/>
      <c r="AG105" s="529"/>
      <c r="AH105" s="529"/>
      <c r="AI105" s="530">
        <f>E105/4</f>
        <v>6071.8502276943836</v>
      </c>
      <c r="AJ105" s="530">
        <f>AI105</f>
        <v>6071.8502276943836</v>
      </c>
      <c r="AK105" s="530">
        <f>AJ105</f>
        <v>6071.8502276943836</v>
      </c>
      <c r="AL105" s="530">
        <f>AK105</f>
        <v>6071.8502276943836</v>
      </c>
      <c r="AM105" s="528"/>
      <c r="AN105" s="528"/>
      <c r="AO105" s="531"/>
      <c r="AP105" s="531"/>
      <c r="AQ105" s="531"/>
      <c r="AR105" s="531"/>
      <c r="AS105" s="531"/>
      <c r="AT105" s="531"/>
      <c r="AU105" s="531"/>
      <c r="AV105" s="531"/>
      <c r="AW105" s="531"/>
      <c r="AX105" s="531"/>
      <c r="AY105" s="531"/>
      <c r="AZ105" s="531"/>
      <c r="BA105" s="531"/>
      <c r="BB105" s="531"/>
      <c r="BC105" s="531"/>
      <c r="BD105" s="531"/>
      <c r="BE105" s="531"/>
      <c r="BF105" s="531"/>
      <c r="BG105" s="531"/>
      <c r="BH105" s="531"/>
      <c r="BI105" s="531"/>
      <c r="BJ105" s="531"/>
      <c r="BK105" s="531"/>
      <c r="BL105" s="531"/>
      <c r="BM105" s="531"/>
      <c r="BN105" s="531"/>
      <c r="BO105" s="528">
        <f t="shared" si="193"/>
        <v>24287.400910777535</v>
      </c>
      <c r="BP105" s="517">
        <f t="shared" si="148"/>
        <v>0</v>
      </c>
      <c r="BQ105" s="532">
        <f t="shared" ref="BQ105:BQ115" si="218">SUM(G105:M105)</f>
        <v>0</v>
      </c>
      <c r="BR105" s="532">
        <f t="shared" ref="BR105:BR115" si="219">SUM(N105:AD105)</f>
        <v>0</v>
      </c>
      <c r="BS105" s="532">
        <f t="shared" ref="BS105:BS115" si="220">SUM(AE105:AP105)</f>
        <v>24287.400910777535</v>
      </c>
      <c r="BT105" s="532">
        <f t="shared" ref="BT105:BT115" si="221">SUM(AQ105:BB105)</f>
        <v>0</v>
      </c>
      <c r="BU105" s="532">
        <f t="shared" ref="BU105:BU115" si="222">SUM(BC105:BN105)</f>
        <v>0</v>
      </c>
      <c r="BV105" s="532">
        <f t="shared" ref="BV105:BV115" si="223">SUM(BQ105:BU105)</f>
        <v>24287.400910777535</v>
      </c>
      <c r="BW105" s="518">
        <f t="shared" si="176"/>
        <v>0</v>
      </c>
      <c r="BX105" s="534"/>
      <c r="BY105" s="534"/>
      <c r="BZ105" s="535"/>
      <c r="CA105" s="535"/>
      <c r="CB105" s="538"/>
      <c r="CC105" s="534"/>
      <c r="CD105" s="535"/>
      <c r="CE105" s="535"/>
      <c r="CF105" s="538"/>
      <c r="CG105" s="534"/>
      <c r="CH105" s="535"/>
      <c r="CI105" s="535"/>
      <c r="CJ105" s="535"/>
      <c r="CK105" s="536"/>
      <c r="CL105" s="536"/>
    </row>
    <row r="106" spans="1:90" s="537" customFormat="1" ht="13.25" customHeight="1" outlineLevel="1" x14ac:dyDescent="0.3">
      <c r="A106" s="523"/>
      <c r="B106" s="524" t="s">
        <v>91</v>
      </c>
      <c r="C106" s="525" t="str">
        <f>'CC detallado'!A148</f>
        <v>2.3.2</v>
      </c>
      <c r="D106" s="560" t="str">
        <f>'CC detallado'!F148</f>
        <v>Validación del Marco Muestral Maestro</v>
      </c>
      <c r="E106" s="527">
        <f>'CC detallado'!N148</f>
        <v>10119.750379490639</v>
      </c>
      <c r="F106" s="515"/>
      <c r="G106" s="528"/>
      <c r="H106" s="528"/>
      <c r="I106" s="528"/>
      <c r="J106" s="528"/>
      <c r="K106" s="531"/>
      <c r="L106" s="531"/>
      <c r="M106" s="531"/>
      <c r="N106" s="531"/>
      <c r="O106" s="531"/>
      <c r="P106" s="531"/>
      <c r="Q106" s="531"/>
      <c r="R106" s="531"/>
      <c r="S106" s="531"/>
      <c r="T106" s="531"/>
      <c r="U106" s="531"/>
      <c r="V106" s="531"/>
      <c r="W106" s="531"/>
      <c r="X106" s="531"/>
      <c r="Y106" s="531"/>
      <c r="Z106" s="531"/>
      <c r="AA106" s="531"/>
      <c r="AB106" s="531"/>
      <c r="AC106" s="531"/>
      <c r="AD106" s="531"/>
      <c r="AE106" s="531"/>
      <c r="AF106" s="531"/>
      <c r="AG106" s="531"/>
      <c r="AH106" s="531"/>
      <c r="AI106" s="531"/>
      <c r="AJ106" s="531"/>
      <c r="AK106" s="531"/>
      <c r="AL106" s="531"/>
      <c r="AM106" s="529"/>
      <c r="AN106" s="529"/>
      <c r="AO106" s="530">
        <f>E106/2</f>
        <v>5059.8751897453194</v>
      </c>
      <c r="AP106" s="530">
        <f>AO106</f>
        <v>5059.8751897453194</v>
      </c>
      <c r="AQ106" s="531"/>
      <c r="AR106" s="531"/>
      <c r="AS106" s="531"/>
      <c r="AT106" s="531"/>
      <c r="AU106" s="531"/>
      <c r="AV106" s="531"/>
      <c r="AW106" s="531"/>
      <c r="AX106" s="531"/>
      <c r="AY106" s="531"/>
      <c r="AZ106" s="531"/>
      <c r="BA106" s="531"/>
      <c r="BB106" s="531"/>
      <c r="BC106" s="531"/>
      <c r="BD106" s="531"/>
      <c r="BE106" s="531"/>
      <c r="BF106" s="531"/>
      <c r="BG106" s="531"/>
      <c r="BH106" s="531"/>
      <c r="BI106" s="531"/>
      <c r="BJ106" s="531"/>
      <c r="BK106" s="531"/>
      <c r="BL106" s="531"/>
      <c r="BM106" s="531"/>
      <c r="BN106" s="531"/>
      <c r="BO106" s="528">
        <f t="shared" si="193"/>
        <v>10119.750379490639</v>
      </c>
      <c r="BP106" s="517">
        <f t="shared" si="148"/>
        <v>0</v>
      </c>
      <c r="BQ106" s="532">
        <f t="shared" si="218"/>
        <v>0</v>
      </c>
      <c r="BR106" s="532">
        <f t="shared" si="219"/>
        <v>0</v>
      </c>
      <c r="BS106" s="532">
        <f t="shared" si="220"/>
        <v>10119.750379490639</v>
      </c>
      <c r="BT106" s="532">
        <f t="shared" si="221"/>
        <v>0</v>
      </c>
      <c r="BU106" s="532">
        <f t="shared" si="222"/>
        <v>0</v>
      </c>
      <c r="BV106" s="532">
        <f t="shared" si="223"/>
        <v>10119.750379490639</v>
      </c>
      <c r="BW106" s="518">
        <f t="shared" si="176"/>
        <v>0</v>
      </c>
      <c r="BX106" s="535"/>
      <c r="BY106" s="534"/>
      <c r="BZ106" s="534"/>
      <c r="CA106" s="535"/>
      <c r="CB106" s="538"/>
      <c r="CC106" s="534"/>
      <c r="CD106" s="535"/>
      <c r="CE106" s="535"/>
      <c r="CF106" s="538"/>
      <c r="CG106" s="534"/>
      <c r="CH106" s="535"/>
      <c r="CI106" s="535"/>
      <c r="CJ106" s="535"/>
      <c r="CK106" s="536"/>
      <c r="CL106" s="536"/>
    </row>
    <row r="107" spans="1:90" s="537" customFormat="1" ht="13.25" customHeight="1" outlineLevel="1" x14ac:dyDescent="0.3">
      <c r="A107" s="523"/>
      <c r="B107" s="524" t="s">
        <v>91</v>
      </c>
      <c r="C107" s="525" t="str">
        <f>'CC detallado'!A149</f>
        <v>2.3.3</v>
      </c>
      <c r="D107" s="560" t="str">
        <f>'CC detallado'!F149</f>
        <v>Proceso de Selección de las Muestras</v>
      </c>
      <c r="E107" s="527">
        <f>'CC detallado'!N149</f>
        <v>3373.2501264968796</v>
      </c>
      <c r="F107" s="515"/>
      <c r="G107" s="528"/>
      <c r="H107" s="528"/>
      <c r="I107" s="528"/>
      <c r="J107" s="528"/>
      <c r="K107" s="531"/>
      <c r="L107" s="531"/>
      <c r="M107" s="531"/>
      <c r="N107" s="531"/>
      <c r="O107" s="531"/>
      <c r="P107" s="531"/>
      <c r="Q107" s="531"/>
      <c r="R107" s="531"/>
      <c r="S107" s="531"/>
      <c r="T107" s="531"/>
      <c r="U107" s="531"/>
      <c r="V107" s="531"/>
      <c r="W107" s="531"/>
      <c r="X107" s="531"/>
      <c r="Y107" s="531"/>
      <c r="Z107" s="531"/>
      <c r="AA107" s="531"/>
      <c r="AB107" s="531"/>
      <c r="AC107" s="531"/>
      <c r="AD107" s="531"/>
      <c r="AE107" s="531"/>
      <c r="AF107" s="531"/>
      <c r="AG107" s="531"/>
      <c r="AH107" s="531"/>
      <c r="AI107" s="531"/>
      <c r="AJ107" s="531"/>
      <c r="AK107" s="531"/>
      <c r="AL107" s="531"/>
      <c r="AM107" s="529"/>
      <c r="AN107" s="529"/>
      <c r="AO107" s="530">
        <f>E107/2</f>
        <v>1686.6250632484398</v>
      </c>
      <c r="AP107" s="530">
        <f>AO107</f>
        <v>1686.6250632484398</v>
      </c>
      <c r="AQ107" s="551"/>
      <c r="AR107" s="551"/>
      <c r="AS107" s="528"/>
      <c r="AT107" s="531"/>
      <c r="AU107" s="531"/>
      <c r="AV107" s="531"/>
      <c r="AW107" s="531"/>
      <c r="AX107" s="531"/>
      <c r="AY107" s="531"/>
      <c r="AZ107" s="531"/>
      <c r="BA107" s="531"/>
      <c r="BB107" s="531"/>
      <c r="BC107" s="528"/>
      <c r="BD107" s="528"/>
      <c r="BE107" s="528"/>
      <c r="BF107" s="531"/>
      <c r="BG107" s="531"/>
      <c r="BH107" s="531"/>
      <c r="BI107" s="531"/>
      <c r="BJ107" s="531"/>
      <c r="BK107" s="531"/>
      <c r="BL107" s="531"/>
      <c r="BM107" s="531"/>
      <c r="BN107" s="531"/>
      <c r="BO107" s="528">
        <f t="shared" si="193"/>
        <v>3373.2501264968796</v>
      </c>
      <c r="BP107" s="517">
        <f t="shared" si="148"/>
        <v>0</v>
      </c>
      <c r="BQ107" s="532">
        <f t="shared" si="218"/>
        <v>0</v>
      </c>
      <c r="BR107" s="532">
        <f t="shared" si="219"/>
        <v>0</v>
      </c>
      <c r="BS107" s="532">
        <f t="shared" si="220"/>
        <v>3373.2501264968796</v>
      </c>
      <c r="BT107" s="532">
        <f t="shared" si="221"/>
        <v>0</v>
      </c>
      <c r="BU107" s="532">
        <f t="shared" si="222"/>
        <v>0</v>
      </c>
      <c r="BV107" s="532">
        <f t="shared" si="223"/>
        <v>3373.2501264968796</v>
      </c>
      <c r="BW107" s="518">
        <f t="shared" si="176"/>
        <v>0</v>
      </c>
      <c r="BX107" s="535"/>
      <c r="BY107" s="534"/>
      <c r="BZ107" s="534"/>
      <c r="CA107" s="535"/>
      <c r="CB107" s="538"/>
      <c r="CC107" s="534"/>
      <c r="CD107" s="535"/>
      <c r="CE107" s="535"/>
      <c r="CF107" s="538"/>
      <c r="CG107" s="534"/>
      <c r="CH107" s="535"/>
      <c r="CI107" s="535"/>
      <c r="CJ107" s="535"/>
      <c r="CK107" s="536"/>
      <c r="CL107" s="536"/>
    </row>
    <row r="108" spans="1:90" s="537" customFormat="1" ht="13.25" customHeight="1" outlineLevel="1" x14ac:dyDescent="0.3">
      <c r="A108" s="523"/>
      <c r="B108" s="524" t="s">
        <v>91</v>
      </c>
      <c r="C108" s="525" t="str">
        <f>'CC detallado'!A150</f>
        <v>2.3.4</v>
      </c>
      <c r="D108" s="560" t="str">
        <f>'CC detallado'!F150</f>
        <v>Diseño de contenido conceptual de las encuestas</v>
      </c>
      <c r="E108" s="527">
        <f>'CC detallado'!N150</f>
        <v>3373.2501264968796</v>
      </c>
      <c r="F108" s="515"/>
      <c r="G108" s="528"/>
      <c r="H108" s="528"/>
      <c r="I108" s="528"/>
      <c r="J108" s="528"/>
      <c r="K108" s="531"/>
      <c r="L108" s="531"/>
      <c r="M108" s="531"/>
      <c r="N108" s="531"/>
      <c r="O108" s="531"/>
      <c r="P108" s="531"/>
      <c r="Q108" s="531"/>
      <c r="R108" s="531"/>
      <c r="S108" s="531"/>
      <c r="T108" s="531"/>
      <c r="U108" s="531"/>
      <c r="V108" s="531"/>
      <c r="W108" s="531"/>
      <c r="X108" s="531"/>
      <c r="Y108" s="531"/>
      <c r="Z108" s="531"/>
      <c r="AA108" s="531"/>
      <c r="AB108" s="531"/>
      <c r="AC108" s="531"/>
      <c r="AD108" s="531"/>
      <c r="AE108" s="531"/>
      <c r="AF108" s="531"/>
      <c r="AG108" s="531"/>
      <c r="AH108" s="531"/>
      <c r="AI108" s="531"/>
      <c r="AJ108" s="531"/>
      <c r="AK108" s="531"/>
      <c r="AL108" s="531"/>
      <c r="AM108" s="529"/>
      <c r="AN108" s="529"/>
      <c r="AO108" s="530">
        <f>E108/2</f>
        <v>1686.6250632484398</v>
      </c>
      <c r="AP108" s="530">
        <f>AO108</f>
        <v>1686.6250632484398</v>
      </c>
      <c r="AQ108" s="551"/>
      <c r="AR108" s="551"/>
      <c r="AS108" s="528"/>
      <c r="AT108" s="531"/>
      <c r="AU108" s="531"/>
      <c r="AV108" s="531"/>
      <c r="AW108" s="531"/>
      <c r="AX108" s="531"/>
      <c r="AY108" s="531"/>
      <c r="AZ108" s="531"/>
      <c r="BA108" s="531"/>
      <c r="BB108" s="531"/>
      <c r="BC108" s="528"/>
      <c r="BD108" s="528"/>
      <c r="BE108" s="528"/>
      <c r="BF108" s="531"/>
      <c r="BG108" s="531"/>
      <c r="BH108" s="531"/>
      <c r="BI108" s="531"/>
      <c r="BJ108" s="531"/>
      <c r="BK108" s="531"/>
      <c r="BL108" s="531"/>
      <c r="BM108" s="531"/>
      <c r="BN108" s="531"/>
      <c r="BO108" s="528">
        <f t="shared" ref="BO108:BO115" si="224">SUM(G108:BN108)</f>
        <v>3373.2501264968796</v>
      </c>
      <c r="BP108" s="517">
        <f t="shared" si="148"/>
        <v>0</v>
      </c>
      <c r="BQ108" s="532">
        <f t="shared" si="218"/>
        <v>0</v>
      </c>
      <c r="BR108" s="532">
        <f t="shared" si="219"/>
        <v>0</v>
      </c>
      <c r="BS108" s="532">
        <f t="shared" si="220"/>
        <v>3373.2501264968796</v>
      </c>
      <c r="BT108" s="532">
        <f t="shared" si="221"/>
        <v>0</v>
      </c>
      <c r="BU108" s="532">
        <f t="shared" si="222"/>
        <v>0</v>
      </c>
      <c r="BV108" s="532">
        <f t="shared" si="223"/>
        <v>3373.2501264968796</v>
      </c>
      <c r="BW108" s="518">
        <f t="shared" si="176"/>
        <v>0</v>
      </c>
      <c r="BX108" s="535"/>
      <c r="BY108" s="535"/>
      <c r="BZ108" s="535"/>
      <c r="CA108" s="535"/>
      <c r="CB108" s="534"/>
      <c r="CC108" s="534"/>
      <c r="CD108" s="535"/>
      <c r="CE108" s="535"/>
      <c r="CF108" s="534"/>
      <c r="CG108" s="534"/>
      <c r="CH108" s="535"/>
      <c r="CI108" s="535"/>
      <c r="CJ108" s="535"/>
      <c r="CK108" s="536"/>
      <c r="CL108" s="536"/>
    </row>
    <row r="109" spans="1:90" s="537" customFormat="1" ht="13.25" customHeight="1" outlineLevel="1" x14ac:dyDescent="0.3">
      <c r="A109" s="523"/>
      <c r="B109" s="524" t="s">
        <v>91</v>
      </c>
      <c r="C109" s="525" t="str">
        <f>'CC detallado'!A151</f>
        <v>2.3.5</v>
      </c>
      <c r="D109" s="560" t="str">
        <f>'CC detallado'!F151</f>
        <v>Talleres con usuarios</v>
      </c>
      <c r="E109" s="527">
        <f>'CC detallado'!N151</f>
        <v>5059.8751897453194</v>
      </c>
      <c r="F109" s="515"/>
      <c r="G109" s="528"/>
      <c r="H109" s="528"/>
      <c r="I109" s="528"/>
      <c r="J109" s="528"/>
      <c r="K109" s="531"/>
      <c r="L109" s="531"/>
      <c r="M109" s="531"/>
      <c r="N109" s="531"/>
      <c r="O109" s="531"/>
      <c r="P109" s="531"/>
      <c r="Q109" s="531"/>
      <c r="R109" s="531"/>
      <c r="S109" s="531"/>
      <c r="T109" s="531"/>
      <c r="U109" s="531"/>
      <c r="V109" s="531"/>
      <c r="W109" s="531"/>
      <c r="X109" s="531"/>
      <c r="Y109" s="531"/>
      <c r="Z109" s="531"/>
      <c r="AA109" s="531"/>
      <c r="AB109" s="531"/>
      <c r="AC109" s="531"/>
      <c r="AD109" s="531"/>
      <c r="AE109" s="531"/>
      <c r="AF109" s="531"/>
      <c r="AG109" s="531"/>
      <c r="AH109" s="531"/>
      <c r="AI109" s="531"/>
      <c r="AJ109" s="531"/>
      <c r="AK109" s="531"/>
      <c r="AL109" s="531"/>
      <c r="AM109" s="531"/>
      <c r="AN109" s="531"/>
      <c r="AO109" s="531"/>
      <c r="AP109" s="531"/>
      <c r="AQ109" s="531"/>
      <c r="AR109" s="529"/>
      <c r="AS109" s="529"/>
      <c r="AT109" s="530">
        <f>E109/2</f>
        <v>2529.9375948726597</v>
      </c>
      <c r="AU109" s="530">
        <f>AT109</f>
        <v>2529.9375948726597</v>
      </c>
      <c r="AV109" s="531"/>
      <c r="AW109" s="531"/>
      <c r="AX109" s="531"/>
      <c r="AY109" s="531"/>
      <c r="AZ109" s="531"/>
      <c r="BA109" s="531"/>
      <c r="BB109" s="531"/>
      <c r="BC109" s="531"/>
      <c r="BD109" s="531"/>
      <c r="BE109" s="531"/>
      <c r="BF109" s="528"/>
      <c r="BG109" s="528"/>
      <c r="BH109" s="528"/>
      <c r="BI109" s="531"/>
      <c r="BJ109" s="531"/>
      <c r="BK109" s="531"/>
      <c r="BL109" s="531"/>
      <c r="BM109" s="531"/>
      <c r="BN109" s="531"/>
      <c r="BO109" s="528">
        <f t="shared" si="224"/>
        <v>5059.8751897453194</v>
      </c>
      <c r="BP109" s="517">
        <f t="shared" si="148"/>
        <v>0</v>
      </c>
      <c r="BQ109" s="532">
        <f t="shared" si="218"/>
        <v>0</v>
      </c>
      <c r="BR109" s="532">
        <f t="shared" si="219"/>
        <v>0</v>
      </c>
      <c r="BS109" s="532">
        <f t="shared" si="220"/>
        <v>0</v>
      </c>
      <c r="BT109" s="532">
        <f t="shared" si="221"/>
        <v>5059.8751897453194</v>
      </c>
      <c r="BU109" s="532">
        <f t="shared" si="222"/>
        <v>0</v>
      </c>
      <c r="BV109" s="532">
        <f t="shared" si="223"/>
        <v>5059.8751897453194</v>
      </c>
      <c r="BW109" s="518">
        <f t="shared" si="176"/>
        <v>0</v>
      </c>
      <c r="BX109" s="535"/>
      <c r="BY109" s="535"/>
      <c r="BZ109" s="535"/>
      <c r="CA109" s="535"/>
      <c r="CB109" s="534"/>
      <c r="CC109" s="534"/>
      <c r="CD109" s="535"/>
      <c r="CE109" s="535"/>
      <c r="CF109" s="534"/>
      <c r="CG109" s="534"/>
      <c r="CH109" s="535"/>
      <c r="CI109" s="535"/>
      <c r="CJ109" s="535"/>
      <c r="CK109" s="536"/>
      <c r="CL109" s="536"/>
    </row>
    <row r="110" spans="1:90" s="537" customFormat="1" ht="13.25" customHeight="1" outlineLevel="1" x14ac:dyDescent="0.3">
      <c r="A110" s="523"/>
      <c r="B110" s="524" t="s">
        <v>91</v>
      </c>
      <c r="C110" s="525" t="str">
        <f>'CC detallado'!A152</f>
        <v>2.3.6</v>
      </c>
      <c r="D110" s="560" t="str">
        <f>'CC detallado'!F152</f>
        <v>Preparación de la cartográfica</v>
      </c>
      <c r="E110" s="527">
        <f>'CC detallado'!N152</f>
        <v>3373.2501264968796</v>
      </c>
      <c r="F110" s="515"/>
      <c r="G110" s="528"/>
      <c r="H110" s="528"/>
      <c r="I110" s="528"/>
      <c r="J110" s="528"/>
      <c r="K110" s="531"/>
      <c r="L110" s="531"/>
      <c r="M110" s="531"/>
      <c r="N110" s="531"/>
      <c r="O110" s="531"/>
      <c r="P110" s="531"/>
      <c r="Q110" s="531"/>
      <c r="R110" s="531"/>
      <c r="S110" s="531"/>
      <c r="T110" s="531"/>
      <c r="U110" s="531"/>
      <c r="V110" s="531"/>
      <c r="W110" s="531"/>
      <c r="X110" s="531"/>
      <c r="Y110" s="531"/>
      <c r="Z110" s="531"/>
      <c r="AA110" s="531"/>
      <c r="AB110" s="531"/>
      <c r="AC110" s="531"/>
      <c r="AD110" s="531"/>
      <c r="AE110" s="531"/>
      <c r="AF110" s="531"/>
      <c r="AG110" s="531"/>
      <c r="AH110" s="531"/>
      <c r="AI110" s="531"/>
      <c r="AJ110" s="531"/>
      <c r="AK110" s="531"/>
      <c r="AL110" s="531"/>
      <c r="AM110" s="531"/>
      <c r="AN110" s="531"/>
      <c r="AO110" s="531"/>
      <c r="AP110" s="531"/>
      <c r="AQ110" s="531"/>
      <c r="AR110" s="529"/>
      <c r="AS110" s="529"/>
      <c r="AT110" s="530">
        <f>E110/2</f>
        <v>1686.6250632484398</v>
      </c>
      <c r="AU110" s="530">
        <f>AT110</f>
        <v>1686.6250632484398</v>
      </c>
      <c r="AV110" s="528"/>
      <c r="AW110" s="531"/>
      <c r="AX110" s="531"/>
      <c r="AY110" s="531"/>
      <c r="AZ110" s="531"/>
      <c r="BA110" s="531"/>
      <c r="BB110" s="531"/>
      <c r="BC110" s="531"/>
      <c r="BD110" s="531"/>
      <c r="BE110" s="531"/>
      <c r="BF110" s="528"/>
      <c r="BG110" s="528"/>
      <c r="BH110" s="528"/>
      <c r="BI110" s="531"/>
      <c r="BJ110" s="531"/>
      <c r="BK110" s="531"/>
      <c r="BL110" s="531"/>
      <c r="BM110" s="531"/>
      <c r="BN110" s="531"/>
      <c r="BO110" s="528">
        <f t="shared" si="224"/>
        <v>3373.2501264968796</v>
      </c>
      <c r="BP110" s="517">
        <f t="shared" si="148"/>
        <v>0</v>
      </c>
      <c r="BQ110" s="532">
        <f t="shared" si="218"/>
        <v>0</v>
      </c>
      <c r="BR110" s="532">
        <f t="shared" si="219"/>
        <v>0</v>
      </c>
      <c r="BS110" s="532">
        <f t="shared" si="220"/>
        <v>0</v>
      </c>
      <c r="BT110" s="532">
        <f t="shared" si="221"/>
        <v>3373.2501264968796</v>
      </c>
      <c r="BU110" s="532">
        <f t="shared" si="222"/>
        <v>0</v>
      </c>
      <c r="BV110" s="532">
        <f t="shared" si="223"/>
        <v>3373.2501264968796</v>
      </c>
      <c r="BW110" s="518">
        <f t="shared" si="176"/>
        <v>0</v>
      </c>
      <c r="BX110" s="535"/>
      <c r="BY110" s="535"/>
      <c r="BZ110" s="535"/>
      <c r="CA110" s="535"/>
      <c r="CB110" s="534"/>
      <c r="CC110" s="535"/>
      <c r="CD110" s="535"/>
      <c r="CE110" s="535"/>
      <c r="CF110" s="534"/>
      <c r="CG110" s="535"/>
      <c r="CH110" s="535"/>
      <c r="CI110" s="535"/>
      <c r="CJ110" s="535"/>
      <c r="CK110" s="536"/>
      <c r="CL110" s="536"/>
    </row>
    <row r="111" spans="1:90" s="537" customFormat="1" ht="13.25" customHeight="1" outlineLevel="1" x14ac:dyDescent="0.3">
      <c r="A111" s="523"/>
      <c r="B111" s="524" t="s">
        <v>91</v>
      </c>
      <c r="C111" s="525" t="str">
        <f>'CC detallado'!A153</f>
        <v>2.3.7</v>
      </c>
      <c r="D111" s="560" t="str">
        <f>'CC detallado'!F153</f>
        <v>Selección y Capacitación del Personal de la Encuesta</v>
      </c>
      <c r="E111" s="527">
        <f>'CC detallado'!N153</f>
        <v>5059.8751897453194</v>
      </c>
      <c r="F111" s="515"/>
      <c r="G111" s="528"/>
      <c r="H111" s="528"/>
      <c r="I111" s="528"/>
      <c r="J111" s="528"/>
      <c r="K111" s="531"/>
      <c r="L111" s="531"/>
      <c r="M111" s="531"/>
      <c r="N111" s="531"/>
      <c r="O111" s="531"/>
      <c r="P111" s="531"/>
      <c r="Q111" s="531"/>
      <c r="R111" s="531"/>
      <c r="S111" s="531"/>
      <c r="T111" s="531"/>
      <c r="U111" s="531"/>
      <c r="V111" s="531"/>
      <c r="W111" s="531"/>
      <c r="X111" s="531"/>
      <c r="Y111" s="531"/>
      <c r="Z111" s="531"/>
      <c r="AA111" s="531"/>
      <c r="AB111" s="531"/>
      <c r="AC111" s="531"/>
      <c r="AD111" s="531"/>
      <c r="AE111" s="531"/>
      <c r="AF111" s="531"/>
      <c r="AG111" s="531"/>
      <c r="AH111" s="531"/>
      <c r="AI111" s="531"/>
      <c r="AJ111" s="531"/>
      <c r="AK111" s="531"/>
      <c r="AL111" s="531"/>
      <c r="AM111" s="531"/>
      <c r="AN111" s="531"/>
      <c r="AO111" s="531"/>
      <c r="AP111" s="531"/>
      <c r="AQ111" s="531"/>
      <c r="AR111" s="551"/>
      <c r="AS111" s="529"/>
      <c r="AT111" s="529"/>
      <c r="AU111" s="530">
        <f>E111/2</f>
        <v>2529.9375948726597</v>
      </c>
      <c r="AV111" s="530">
        <f>AU111</f>
        <v>2529.9375948726597</v>
      </c>
      <c r="AW111" s="531"/>
      <c r="AX111" s="531"/>
      <c r="AY111" s="531"/>
      <c r="AZ111" s="531"/>
      <c r="BA111" s="531"/>
      <c r="BB111" s="531"/>
      <c r="BC111" s="531"/>
      <c r="BD111" s="531"/>
      <c r="BE111" s="531"/>
      <c r="BF111" s="528"/>
      <c r="BG111" s="528"/>
      <c r="BH111" s="528"/>
      <c r="BI111" s="531"/>
      <c r="BJ111" s="531"/>
      <c r="BK111" s="531"/>
      <c r="BL111" s="531"/>
      <c r="BM111" s="531"/>
      <c r="BN111" s="531"/>
      <c r="BO111" s="528">
        <f t="shared" si="224"/>
        <v>5059.8751897453194</v>
      </c>
      <c r="BP111" s="517">
        <f t="shared" si="148"/>
        <v>0</v>
      </c>
      <c r="BQ111" s="532">
        <f t="shared" si="218"/>
        <v>0</v>
      </c>
      <c r="BR111" s="532">
        <f t="shared" si="219"/>
        <v>0</v>
      </c>
      <c r="BS111" s="532">
        <f t="shared" si="220"/>
        <v>0</v>
      </c>
      <c r="BT111" s="532">
        <f t="shared" si="221"/>
        <v>5059.8751897453194</v>
      </c>
      <c r="BU111" s="532">
        <f t="shared" si="222"/>
        <v>0</v>
      </c>
      <c r="BV111" s="532">
        <f t="shared" si="223"/>
        <v>5059.8751897453194</v>
      </c>
      <c r="BW111" s="518">
        <f t="shared" si="176"/>
        <v>0</v>
      </c>
      <c r="BX111" s="535"/>
      <c r="BY111" s="535"/>
      <c r="BZ111" s="535"/>
      <c r="CA111" s="535"/>
      <c r="CB111" s="535"/>
      <c r="CC111" s="534"/>
      <c r="CD111" s="535"/>
      <c r="CE111" s="535"/>
      <c r="CF111" s="538"/>
      <c r="CG111" s="534"/>
      <c r="CH111" s="535"/>
      <c r="CI111" s="535"/>
      <c r="CJ111" s="535"/>
      <c r="CK111" s="536"/>
      <c r="CL111" s="536"/>
    </row>
    <row r="112" spans="1:90" s="537" customFormat="1" ht="13.25" customHeight="1" outlineLevel="1" x14ac:dyDescent="0.3">
      <c r="A112" s="523"/>
      <c r="B112" s="524" t="s">
        <v>91</v>
      </c>
      <c r="C112" s="525" t="str">
        <f>'CC detallado'!A154</f>
        <v>2.3.8</v>
      </c>
      <c r="D112" s="560" t="str">
        <f>'CC detallado'!F154</f>
        <v>Prueba Piloto</v>
      </c>
      <c r="E112" s="527">
        <f>'CC detallado'!N154</f>
        <v>5059.8751897453194</v>
      </c>
      <c r="F112" s="515"/>
      <c r="G112" s="528"/>
      <c r="H112" s="528"/>
      <c r="I112" s="528"/>
      <c r="J112" s="528"/>
      <c r="K112" s="531"/>
      <c r="L112" s="531"/>
      <c r="M112" s="531"/>
      <c r="N112" s="531"/>
      <c r="O112" s="531"/>
      <c r="P112" s="531"/>
      <c r="Q112" s="531"/>
      <c r="R112" s="531"/>
      <c r="S112" s="531"/>
      <c r="T112" s="531"/>
      <c r="U112" s="531"/>
      <c r="V112" s="531"/>
      <c r="W112" s="531"/>
      <c r="X112" s="531"/>
      <c r="Y112" s="531"/>
      <c r="Z112" s="531"/>
      <c r="AA112" s="531"/>
      <c r="AB112" s="531"/>
      <c r="AC112" s="531"/>
      <c r="AD112" s="531"/>
      <c r="AE112" s="531"/>
      <c r="AF112" s="531"/>
      <c r="AG112" s="531"/>
      <c r="AH112" s="531"/>
      <c r="AI112" s="531"/>
      <c r="AJ112" s="531"/>
      <c r="AK112" s="531"/>
      <c r="AL112" s="531"/>
      <c r="AM112" s="531"/>
      <c r="AN112" s="531"/>
      <c r="AO112" s="531"/>
      <c r="AP112" s="531"/>
      <c r="AQ112" s="531"/>
      <c r="AR112" s="528"/>
      <c r="AS112" s="528"/>
      <c r="AT112" s="551"/>
      <c r="AU112" s="529"/>
      <c r="AV112" s="529"/>
      <c r="AW112" s="530">
        <f>E112</f>
        <v>5059.8751897453194</v>
      </c>
      <c r="AX112" s="531"/>
      <c r="AY112" s="531"/>
      <c r="AZ112" s="531"/>
      <c r="BA112" s="531"/>
      <c r="BB112" s="531"/>
      <c r="BC112" s="531"/>
      <c r="BD112" s="531"/>
      <c r="BE112" s="531"/>
      <c r="BF112" s="528"/>
      <c r="BG112" s="528"/>
      <c r="BH112" s="528"/>
      <c r="BI112" s="531"/>
      <c r="BJ112" s="531"/>
      <c r="BK112" s="531"/>
      <c r="BL112" s="531"/>
      <c r="BM112" s="531"/>
      <c r="BN112" s="531"/>
      <c r="BO112" s="528">
        <f t="shared" si="224"/>
        <v>5059.8751897453194</v>
      </c>
      <c r="BP112" s="517">
        <f t="shared" si="148"/>
        <v>0</v>
      </c>
      <c r="BQ112" s="532">
        <f t="shared" si="218"/>
        <v>0</v>
      </c>
      <c r="BR112" s="532">
        <f t="shared" si="219"/>
        <v>0</v>
      </c>
      <c r="BS112" s="532">
        <f t="shared" si="220"/>
        <v>0</v>
      </c>
      <c r="BT112" s="532">
        <f t="shared" si="221"/>
        <v>5059.8751897453194</v>
      </c>
      <c r="BU112" s="532">
        <f t="shared" si="222"/>
        <v>0</v>
      </c>
      <c r="BV112" s="532">
        <f t="shared" si="223"/>
        <v>5059.8751897453194</v>
      </c>
      <c r="BW112" s="518">
        <f t="shared" si="176"/>
        <v>0</v>
      </c>
      <c r="BX112" s="535"/>
      <c r="BY112" s="535"/>
      <c r="BZ112" s="535"/>
      <c r="CA112" s="535"/>
      <c r="CB112" s="535"/>
      <c r="CC112" s="534"/>
      <c r="CD112" s="535"/>
      <c r="CE112" s="535"/>
      <c r="CF112" s="535"/>
      <c r="CG112" s="534"/>
      <c r="CH112" s="535"/>
      <c r="CI112" s="535"/>
      <c r="CJ112" s="535"/>
      <c r="CK112" s="536"/>
      <c r="CL112" s="536"/>
    </row>
    <row r="113" spans="1:90" s="537" customFormat="1" ht="13.25" customHeight="1" outlineLevel="1" x14ac:dyDescent="0.3">
      <c r="A113" s="523"/>
      <c r="B113" s="524" t="s">
        <v>91</v>
      </c>
      <c r="C113" s="525" t="str">
        <f>'CC detallado'!A155</f>
        <v>2.3.9</v>
      </c>
      <c r="D113" s="560" t="str">
        <f>'CC detallado'!F155</f>
        <v>Manual de metodología de preparación de la encuesta.</v>
      </c>
      <c r="E113" s="527">
        <f>'CC detallado'!N155</f>
        <v>3373.2501264968796</v>
      </c>
      <c r="F113" s="515"/>
      <c r="G113" s="528"/>
      <c r="H113" s="528"/>
      <c r="I113" s="528"/>
      <c r="J113" s="528"/>
      <c r="K113" s="531"/>
      <c r="L113" s="531"/>
      <c r="M113" s="531"/>
      <c r="N113" s="531"/>
      <c r="O113" s="531"/>
      <c r="P113" s="531"/>
      <c r="Q113" s="531"/>
      <c r="R113" s="531"/>
      <c r="S113" s="531"/>
      <c r="T113" s="531"/>
      <c r="U113" s="531"/>
      <c r="V113" s="531"/>
      <c r="W113" s="531"/>
      <c r="X113" s="531"/>
      <c r="Y113" s="531"/>
      <c r="Z113" s="531"/>
      <c r="AA113" s="531"/>
      <c r="AB113" s="531"/>
      <c r="AC113" s="531"/>
      <c r="AD113" s="531"/>
      <c r="AE113" s="531"/>
      <c r="AF113" s="531"/>
      <c r="AG113" s="531"/>
      <c r="AH113" s="531"/>
      <c r="AI113" s="531"/>
      <c r="AJ113" s="531"/>
      <c r="AK113" s="531"/>
      <c r="AL113" s="531"/>
      <c r="AM113" s="531"/>
      <c r="AN113" s="531"/>
      <c r="AO113" s="531"/>
      <c r="AP113" s="531"/>
      <c r="AQ113" s="531"/>
      <c r="AR113" s="529"/>
      <c r="AS113" s="529"/>
      <c r="AT113" s="530">
        <f>E113/2</f>
        <v>1686.6250632484398</v>
      </c>
      <c r="AU113" s="530">
        <f>AT113</f>
        <v>1686.6250632484398</v>
      </c>
      <c r="AV113" s="531"/>
      <c r="AW113" s="531"/>
      <c r="AX113" s="531"/>
      <c r="AY113" s="531"/>
      <c r="AZ113" s="531"/>
      <c r="BA113" s="531"/>
      <c r="BB113" s="531"/>
      <c r="BC113" s="531"/>
      <c r="BD113" s="531"/>
      <c r="BE113" s="531"/>
      <c r="BF113" s="531"/>
      <c r="BG113" s="531"/>
      <c r="BH113" s="531"/>
      <c r="BI113" s="531"/>
      <c r="BJ113" s="531"/>
      <c r="BK113" s="531"/>
      <c r="BL113" s="531"/>
      <c r="BM113" s="531"/>
      <c r="BN113" s="531"/>
      <c r="BO113" s="528">
        <f t="shared" si="224"/>
        <v>3373.2501264968796</v>
      </c>
      <c r="BP113" s="517">
        <f t="shared" si="148"/>
        <v>0</v>
      </c>
      <c r="BQ113" s="532">
        <f t="shared" si="218"/>
        <v>0</v>
      </c>
      <c r="BR113" s="532">
        <f t="shared" si="219"/>
        <v>0</v>
      </c>
      <c r="BS113" s="532">
        <f t="shared" si="220"/>
        <v>0</v>
      </c>
      <c r="BT113" s="532">
        <f t="shared" si="221"/>
        <v>3373.2501264968796</v>
      </c>
      <c r="BU113" s="532">
        <f t="shared" si="222"/>
        <v>0</v>
      </c>
      <c r="BV113" s="532">
        <f t="shared" si="223"/>
        <v>3373.2501264968796</v>
      </c>
      <c r="BW113" s="518">
        <f t="shared" si="176"/>
        <v>0</v>
      </c>
      <c r="BX113" s="535"/>
      <c r="BY113" s="535"/>
      <c r="BZ113" s="535"/>
      <c r="CA113" s="535"/>
      <c r="CB113" s="538"/>
      <c r="CC113" s="534"/>
      <c r="CD113" s="535"/>
      <c r="CE113" s="535"/>
      <c r="CF113" s="538"/>
      <c r="CG113" s="534"/>
      <c r="CH113" s="535"/>
      <c r="CI113" s="535"/>
      <c r="CJ113" s="535"/>
      <c r="CK113" s="536"/>
      <c r="CL113" s="536"/>
    </row>
    <row r="114" spans="1:90" s="537" customFormat="1" ht="13.25" customHeight="1" outlineLevel="1" x14ac:dyDescent="0.3">
      <c r="A114" s="523"/>
      <c r="B114" s="524"/>
      <c r="C114" s="525" t="str">
        <f>'CC detallado'!A156</f>
        <v>2.3.10</v>
      </c>
      <c r="D114" s="560" t="str">
        <f>'CC detallado'!F156</f>
        <v>Operativo de Campo (7500 encuestas en 2 ondas)</v>
      </c>
      <c r="E114" s="527">
        <f>'CC detallado'!N156</f>
        <v>758981.27846179798</v>
      </c>
      <c r="F114" s="515"/>
      <c r="G114" s="528"/>
      <c r="H114" s="528"/>
      <c r="I114" s="528"/>
      <c r="J114" s="528"/>
      <c r="K114" s="531"/>
      <c r="L114" s="531"/>
      <c r="M114" s="531"/>
      <c r="N114" s="531"/>
      <c r="O114" s="531"/>
      <c r="P114" s="531"/>
      <c r="Q114" s="531"/>
      <c r="R114" s="531"/>
      <c r="S114" s="531"/>
      <c r="T114" s="531"/>
      <c r="U114" s="531"/>
      <c r="V114" s="531"/>
      <c r="W114" s="531"/>
      <c r="X114" s="531"/>
      <c r="Y114" s="531"/>
      <c r="Z114" s="531"/>
      <c r="AA114" s="531"/>
      <c r="AB114" s="531"/>
      <c r="AC114" s="531"/>
      <c r="AD114" s="531"/>
      <c r="AE114" s="531"/>
      <c r="AF114" s="531"/>
      <c r="AG114" s="531"/>
      <c r="AH114" s="531"/>
      <c r="AI114" s="531"/>
      <c r="AJ114" s="531"/>
      <c r="AK114" s="531"/>
      <c r="AL114" s="531"/>
      <c r="AM114" s="531"/>
      <c r="AN114" s="531"/>
      <c r="AO114" s="531"/>
      <c r="AP114" s="531"/>
      <c r="AQ114" s="531"/>
      <c r="AR114" s="531"/>
      <c r="AS114" s="551"/>
      <c r="AT114" s="551"/>
      <c r="AU114" s="529"/>
      <c r="AV114" s="529"/>
      <c r="AW114" s="529"/>
      <c r="AX114" s="529"/>
      <c r="AY114" s="577">
        <f>E114/4</f>
        <v>189745.31961544949</v>
      </c>
      <c r="AZ114" s="577">
        <f>AY114</f>
        <v>189745.31961544949</v>
      </c>
      <c r="BA114" s="528"/>
      <c r="BB114" s="528"/>
      <c r="BC114" s="531"/>
      <c r="BD114" s="531"/>
      <c r="BE114" s="531"/>
      <c r="BF114" s="528"/>
      <c r="BG114" s="528"/>
      <c r="BH114" s="528"/>
      <c r="BI114" s="578">
        <f>AZ114</f>
        <v>189745.31961544949</v>
      </c>
      <c r="BJ114" s="578">
        <f>BI114</f>
        <v>189745.31961544949</v>
      </c>
      <c r="BK114" s="528"/>
      <c r="BL114" s="528"/>
      <c r="BM114" s="528"/>
      <c r="BN114" s="528"/>
      <c r="BO114" s="528">
        <f t="shared" si="224"/>
        <v>758981.27846179798</v>
      </c>
      <c r="BP114" s="517">
        <f t="shared" si="148"/>
        <v>0</v>
      </c>
      <c r="BQ114" s="532">
        <f t="shared" si="218"/>
        <v>0</v>
      </c>
      <c r="BR114" s="532">
        <f t="shared" si="219"/>
        <v>0</v>
      </c>
      <c r="BS114" s="532">
        <f t="shared" si="220"/>
        <v>0</v>
      </c>
      <c r="BT114" s="532">
        <f t="shared" si="221"/>
        <v>379490.63923089899</v>
      </c>
      <c r="BU114" s="532">
        <f t="shared" si="222"/>
        <v>379490.63923089899</v>
      </c>
      <c r="BV114" s="532">
        <f t="shared" si="223"/>
        <v>758981.27846179798</v>
      </c>
      <c r="BW114" s="518">
        <f t="shared" si="176"/>
        <v>0</v>
      </c>
      <c r="BX114" s="535"/>
      <c r="BY114" s="535"/>
      <c r="BZ114" s="535"/>
      <c r="CA114" s="535"/>
      <c r="CB114" s="538"/>
      <c r="CC114" s="534"/>
      <c r="CD114" s="535"/>
      <c r="CE114" s="535"/>
      <c r="CF114" s="538"/>
      <c r="CG114" s="534"/>
      <c r="CH114" s="535"/>
      <c r="CI114" s="535"/>
      <c r="CJ114" s="535"/>
      <c r="CK114" s="536"/>
      <c r="CL114" s="536"/>
    </row>
    <row r="115" spans="1:90" s="537" customFormat="1" ht="13.25" customHeight="1" outlineLevel="1" x14ac:dyDescent="0.3">
      <c r="A115" s="523"/>
      <c r="B115" s="524" t="s">
        <v>94</v>
      </c>
      <c r="C115" s="525" t="str">
        <f>'CC detallado'!A157</f>
        <v>2.3.11</v>
      </c>
      <c r="D115" s="560" t="str">
        <f>'CC detallado'!F157</f>
        <v>Publicación y difusión de resultados</v>
      </c>
      <c r="E115" s="527">
        <f>'CC detallado'!N157</f>
        <v>100000</v>
      </c>
      <c r="F115" s="515"/>
      <c r="G115" s="528"/>
      <c r="H115" s="528"/>
      <c r="I115" s="528"/>
      <c r="J115" s="528"/>
      <c r="K115" s="531"/>
      <c r="L115" s="531"/>
      <c r="M115" s="531"/>
      <c r="N115" s="531"/>
      <c r="O115" s="531"/>
      <c r="P115" s="531"/>
      <c r="Q115" s="531"/>
      <c r="R115" s="531"/>
      <c r="S115" s="531"/>
      <c r="T115" s="531"/>
      <c r="U115" s="531"/>
      <c r="V115" s="531"/>
      <c r="W115" s="531"/>
      <c r="X115" s="531"/>
      <c r="Y115" s="531"/>
      <c r="Z115" s="531"/>
      <c r="AA115" s="531"/>
      <c r="AB115" s="531"/>
      <c r="AC115" s="531"/>
      <c r="AD115" s="531"/>
      <c r="AE115" s="531"/>
      <c r="AF115" s="531"/>
      <c r="AG115" s="531"/>
      <c r="AH115" s="531"/>
      <c r="AI115" s="531"/>
      <c r="AJ115" s="531"/>
      <c r="AK115" s="531"/>
      <c r="AL115" s="531"/>
      <c r="AM115" s="531"/>
      <c r="AN115" s="531"/>
      <c r="AO115" s="531"/>
      <c r="AP115" s="531"/>
      <c r="AQ115" s="531"/>
      <c r="AR115" s="531"/>
      <c r="AS115" s="531"/>
      <c r="AT115" s="531"/>
      <c r="AU115" s="531"/>
      <c r="AV115" s="551"/>
      <c r="AW115" s="551"/>
      <c r="AX115" s="529"/>
      <c r="AY115" s="529"/>
      <c r="AZ115" s="529"/>
      <c r="BA115" s="530">
        <f>E115/4</f>
        <v>25000</v>
      </c>
      <c r="BB115" s="530">
        <f>BA115</f>
        <v>25000</v>
      </c>
      <c r="BC115" s="530"/>
      <c r="BD115" s="530"/>
      <c r="BE115" s="530"/>
      <c r="BF115" s="530">
        <v>0</v>
      </c>
      <c r="BG115" s="530">
        <v>0</v>
      </c>
      <c r="BH115" s="530"/>
      <c r="BI115" s="530"/>
      <c r="BJ115" s="530"/>
      <c r="BK115" s="530">
        <f>BB115</f>
        <v>25000</v>
      </c>
      <c r="BL115" s="530">
        <f>BK115</f>
        <v>25000</v>
      </c>
      <c r="BM115" s="528">
        <v>0</v>
      </c>
      <c r="BN115" s="528">
        <v>0</v>
      </c>
      <c r="BO115" s="528">
        <f t="shared" si="224"/>
        <v>100000</v>
      </c>
      <c r="BP115" s="517">
        <f t="shared" si="148"/>
        <v>0</v>
      </c>
      <c r="BQ115" s="532">
        <f t="shared" si="218"/>
        <v>0</v>
      </c>
      <c r="BR115" s="532">
        <f t="shared" si="219"/>
        <v>0</v>
      </c>
      <c r="BS115" s="532">
        <f t="shared" si="220"/>
        <v>0</v>
      </c>
      <c r="BT115" s="532">
        <f t="shared" si="221"/>
        <v>50000</v>
      </c>
      <c r="BU115" s="532">
        <f t="shared" si="222"/>
        <v>50000</v>
      </c>
      <c r="BV115" s="532">
        <f t="shared" si="223"/>
        <v>100000</v>
      </c>
      <c r="BW115" s="518">
        <f t="shared" si="176"/>
        <v>0</v>
      </c>
      <c r="BX115" s="535"/>
      <c r="BY115" s="535"/>
      <c r="BZ115" s="534"/>
      <c r="CA115" s="535"/>
      <c r="CB115" s="538"/>
      <c r="CC115" s="534"/>
      <c r="CD115" s="535"/>
      <c r="CE115" s="535"/>
      <c r="CF115" s="538"/>
      <c r="CG115" s="534"/>
      <c r="CH115" s="535"/>
      <c r="CI115" s="535"/>
      <c r="CJ115" s="535"/>
      <c r="CK115" s="536"/>
      <c r="CL115" s="536"/>
    </row>
    <row r="116" spans="1:90" s="522" customFormat="1" ht="13.25" customHeight="1" x14ac:dyDescent="0.3">
      <c r="A116" s="510"/>
      <c r="B116" s="511"/>
      <c r="C116" s="512" t="str">
        <f>'CC detallado'!A158</f>
        <v>2.4</v>
      </c>
      <c r="D116" s="510" t="str">
        <f>'CC detallado'!F158</f>
        <v>Producto 8: Estudios temáticos con información censal realizados</v>
      </c>
      <c r="E116" s="514">
        <f>'CC detallado'!N158</f>
        <v>80958.00303592511</v>
      </c>
      <c r="F116" s="515"/>
      <c r="G116" s="516">
        <f>G117</f>
        <v>0</v>
      </c>
      <c r="H116" s="516">
        <f t="shared" ref="H116:BS116" si="225">H117</f>
        <v>0</v>
      </c>
      <c r="I116" s="516">
        <f t="shared" si="225"/>
        <v>0</v>
      </c>
      <c r="J116" s="516">
        <f t="shared" si="225"/>
        <v>0</v>
      </c>
      <c r="K116" s="516">
        <f t="shared" si="225"/>
        <v>0</v>
      </c>
      <c r="L116" s="516">
        <f t="shared" si="225"/>
        <v>0</v>
      </c>
      <c r="M116" s="516">
        <f t="shared" si="225"/>
        <v>0</v>
      </c>
      <c r="N116" s="516">
        <f t="shared" si="225"/>
        <v>0</v>
      </c>
      <c r="O116" s="516">
        <f t="shared" si="225"/>
        <v>0</v>
      </c>
      <c r="P116" s="516">
        <f t="shared" si="225"/>
        <v>0</v>
      </c>
      <c r="Q116" s="516">
        <f t="shared" si="225"/>
        <v>0</v>
      </c>
      <c r="R116" s="516">
        <f t="shared" si="225"/>
        <v>0</v>
      </c>
      <c r="S116" s="516">
        <f t="shared" si="225"/>
        <v>0</v>
      </c>
      <c r="T116" s="516">
        <f t="shared" si="225"/>
        <v>0</v>
      </c>
      <c r="U116" s="516">
        <f t="shared" si="225"/>
        <v>0</v>
      </c>
      <c r="V116" s="516">
        <f t="shared" si="225"/>
        <v>0</v>
      </c>
      <c r="W116" s="516">
        <f t="shared" si="225"/>
        <v>0</v>
      </c>
      <c r="X116" s="516">
        <f t="shared" si="225"/>
        <v>0</v>
      </c>
      <c r="Y116" s="516">
        <f t="shared" si="225"/>
        <v>0</v>
      </c>
      <c r="Z116" s="516">
        <f t="shared" si="225"/>
        <v>0</v>
      </c>
      <c r="AA116" s="516">
        <f t="shared" si="225"/>
        <v>0</v>
      </c>
      <c r="AB116" s="516">
        <f t="shared" si="225"/>
        <v>0</v>
      </c>
      <c r="AC116" s="516">
        <f t="shared" si="225"/>
        <v>0</v>
      </c>
      <c r="AD116" s="516">
        <f t="shared" si="225"/>
        <v>0</v>
      </c>
      <c r="AE116" s="516">
        <f t="shared" si="225"/>
        <v>0</v>
      </c>
      <c r="AF116" s="516">
        <f t="shared" si="225"/>
        <v>0</v>
      </c>
      <c r="AG116" s="516">
        <f t="shared" si="225"/>
        <v>20239.500758981278</v>
      </c>
      <c r="AH116" s="516">
        <f t="shared" si="225"/>
        <v>20239.500758981278</v>
      </c>
      <c r="AI116" s="516">
        <f t="shared" si="225"/>
        <v>20239.500758981278</v>
      </c>
      <c r="AJ116" s="516">
        <f t="shared" si="225"/>
        <v>20239.500758981278</v>
      </c>
      <c r="AK116" s="516">
        <f t="shared" si="225"/>
        <v>0</v>
      </c>
      <c r="AL116" s="516">
        <f t="shared" si="225"/>
        <v>0</v>
      </c>
      <c r="AM116" s="516">
        <f t="shared" si="225"/>
        <v>0</v>
      </c>
      <c r="AN116" s="516">
        <f t="shared" si="225"/>
        <v>0</v>
      </c>
      <c r="AO116" s="516">
        <f t="shared" si="225"/>
        <v>0</v>
      </c>
      <c r="AP116" s="516">
        <f t="shared" si="225"/>
        <v>0</v>
      </c>
      <c r="AQ116" s="516">
        <f t="shared" si="225"/>
        <v>0</v>
      </c>
      <c r="AR116" s="516">
        <f t="shared" si="225"/>
        <v>0</v>
      </c>
      <c r="AS116" s="516">
        <f t="shared" si="225"/>
        <v>0</v>
      </c>
      <c r="AT116" s="516">
        <f t="shared" si="225"/>
        <v>0</v>
      </c>
      <c r="AU116" s="516">
        <f t="shared" si="225"/>
        <v>0</v>
      </c>
      <c r="AV116" s="516">
        <f t="shared" si="225"/>
        <v>0</v>
      </c>
      <c r="AW116" s="516">
        <f t="shared" si="225"/>
        <v>0</v>
      </c>
      <c r="AX116" s="516">
        <f t="shared" si="225"/>
        <v>0</v>
      </c>
      <c r="AY116" s="516">
        <f t="shared" si="225"/>
        <v>0</v>
      </c>
      <c r="AZ116" s="516">
        <f t="shared" si="225"/>
        <v>0</v>
      </c>
      <c r="BA116" s="516">
        <f t="shared" si="225"/>
        <v>0</v>
      </c>
      <c r="BB116" s="516">
        <f t="shared" si="225"/>
        <v>0</v>
      </c>
      <c r="BC116" s="516">
        <f t="shared" si="225"/>
        <v>0</v>
      </c>
      <c r="BD116" s="516">
        <f t="shared" si="225"/>
        <v>0</v>
      </c>
      <c r="BE116" s="516">
        <f t="shared" si="225"/>
        <v>0</v>
      </c>
      <c r="BF116" s="516">
        <f t="shared" si="225"/>
        <v>0</v>
      </c>
      <c r="BG116" s="516">
        <f t="shared" si="225"/>
        <v>0</v>
      </c>
      <c r="BH116" s="516">
        <f t="shared" si="225"/>
        <v>0</v>
      </c>
      <c r="BI116" s="516">
        <f t="shared" si="225"/>
        <v>0</v>
      </c>
      <c r="BJ116" s="516">
        <f t="shared" si="225"/>
        <v>0</v>
      </c>
      <c r="BK116" s="516">
        <f t="shared" si="225"/>
        <v>0</v>
      </c>
      <c r="BL116" s="516">
        <f t="shared" si="225"/>
        <v>0</v>
      </c>
      <c r="BM116" s="516">
        <f t="shared" si="225"/>
        <v>0</v>
      </c>
      <c r="BN116" s="516">
        <f t="shared" si="225"/>
        <v>0</v>
      </c>
      <c r="BO116" s="516">
        <f t="shared" si="225"/>
        <v>80958.00303592511</v>
      </c>
      <c r="BP116" s="517">
        <f t="shared" si="148"/>
        <v>0</v>
      </c>
      <c r="BQ116" s="516">
        <f t="shared" si="225"/>
        <v>0</v>
      </c>
      <c r="BR116" s="516">
        <f t="shared" si="225"/>
        <v>0</v>
      </c>
      <c r="BS116" s="516">
        <f t="shared" si="225"/>
        <v>80958.00303592511</v>
      </c>
      <c r="BT116" s="516">
        <f t="shared" ref="BT116:BV116" si="226">BT117</f>
        <v>0</v>
      </c>
      <c r="BU116" s="516">
        <f t="shared" si="226"/>
        <v>0</v>
      </c>
      <c r="BV116" s="516">
        <f t="shared" si="226"/>
        <v>80958.00303592511</v>
      </c>
      <c r="BW116" s="518">
        <f t="shared" si="176"/>
        <v>0</v>
      </c>
      <c r="BX116" s="535"/>
      <c r="BY116" s="535"/>
      <c r="BZ116" s="519"/>
      <c r="CA116" s="519"/>
      <c r="CB116" s="576"/>
      <c r="CC116" s="520"/>
      <c r="CD116" s="519"/>
      <c r="CE116" s="519"/>
      <c r="CF116" s="576"/>
      <c r="CG116" s="520"/>
      <c r="CH116" s="519"/>
      <c r="CI116" s="519"/>
      <c r="CJ116" s="519"/>
      <c r="CK116" s="521"/>
      <c r="CL116" s="521"/>
    </row>
    <row r="117" spans="1:90" s="537" customFormat="1" ht="13.25" customHeight="1" outlineLevel="1" x14ac:dyDescent="0.3">
      <c r="A117" s="523"/>
      <c r="B117" s="524" t="s">
        <v>91</v>
      </c>
      <c r="C117" s="525" t="str">
        <f>'CC detallado'!A159</f>
        <v>2.4.1</v>
      </c>
      <c r="D117" s="560" t="str">
        <f>'CC detallado'!F159</f>
        <v>Análisis Temáticos (a definir) y Evaluación de los resultados del Censo</v>
      </c>
      <c r="E117" s="527">
        <f>'CC detallado'!N159</f>
        <v>80958.00303592511</v>
      </c>
      <c r="F117" s="515"/>
      <c r="G117" s="528"/>
      <c r="H117" s="528"/>
      <c r="I117" s="528"/>
      <c r="J117" s="528"/>
      <c r="K117" s="531"/>
      <c r="L117" s="531"/>
      <c r="M117" s="531"/>
      <c r="N117" s="531"/>
      <c r="O117" s="531"/>
      <c r="P117" s="531"/>
      <c r="Q117" s="531"/>
      <c r="R117" s="531"/>
      <c r="S117" s="531"/>
      <c r="T117" s="531"/>
      <c r="U117" s="531"/>
      <c r="V117" s="531"/>
      <c r="W117" s="531"/>
      <c r="X117" s="531"/>
      <c r="Y117" s="531"/>
      <c r="Z117" s="531"/>
      <c r="AA117" s="531"/>
      <c r="AB117" s="531"/>
      <c r="AC117" s="551"/>
      <c r="AD117" s="551"/>
      <c r="AE117" s="529"/>
      <c r="AF117" s="529"/>
      <c r="AG117" s="530">
        <f>E117/4</f>
        <v>20239.500758981278</v>
      </c>
      <c r="AH117" s="530">
        <f>AG117</f>
        <v>20239.500758981278</v>
      </c>
      <c r="AI117" s="530">
        <f>AH117</f>
        <v>20239.500758981278</v>
      </c>
      <c r="AJ117" s="530">
        <f>AI117</f>
        <v>20239.500758981278</v>
      </c>
      <c r="AK117" s="531"/>
      <c r="AL117" s="531"/>
      <c r="AM117" s="531"/>
      <c r="AN117" s="531"/>
      <c r="AO117" s="531"/>
      <c r="AP117" s="531"/>
      <c r="AQ117" s="531"/>
      <c r="AR117" s="531"/>
      <c r="AS117" s="531"/>
      <c r="AT117" s="531"/>
      <c r="AU117" s="531"/>
      <c r="AV117" s="531"/>
      <c r="AW117" s="531"/>
      <c r="AX117" s="531"/>
      <c r="AY117" s="531"/>
      <c r="AZ117" s="531"/>
      <c r="BA117" s="531"/>
      <c r="BB117" s="531"/>
      <c r="BC117" s="531"/>
      <c r="BD117" s="531"/>
      <c r="BE117" s="531"/>
      <c r="BF117" s="531"/>
      <c r="BG117" s="531"/>
      <c r="BH117" s="531"/>
      <c r="BI117" s="531"/>
      <c r="BJ117" s="531"/>
      <c r="BK117" s="531"/>
      <c r="BL117" s="531"/>
      <c r="BM117" s="531"/>
      <c r="BN117" s="531"/>
      <c r="BO117" s="528">
        <f>SUM(G117:BN117)</f>
        <v>80958.00303592511</v>
      </c>
      <c r="BP117" s="517">
        <f t="shared" si="148"/>
        <v>0</v>
      </c>
      <c r="BQ117" s="532">
        <f>SUM(G117:M117)</f>
        <v>0</v>
      </c>
      <c r="BR117" s="532">
        <f>SUM(N117:AD117)</f>
        <v>0</v>
      </c>
      <c r="BS117" s="532">
        <f>SUM(AE117:AP117)</f>
        <v>80958.00303592511</v>
      </c>
      <c r="BT117" s="532">
        <f>SUM(AQ117:BB117)</f>
        <v>0</v>
      </c>
      <c r="BU117" s="532">
        <f>SUM(BC117:BN117)</f>
        <v>0</v>
      </c>
      <c r="BV117" s="532">
        <f>SUM(BQ117:BU117)</f>
        <v>80958.00303592511</v>
      </c>
      <c r="BW117" s="518">
        <f t="shared" si="176"/>
        <v>0</v>
      </c>
      <c r="BX117" s="535"/>
      <c r="BY117" s="535"/>
      <c r="BZ117" s="535"/>
      <c r="CA117" s="535"/>
      <c r="CB117" s="538"/>
      <c r="CC117" s="534"/>
      <c r="CD117" s="535"/>
      <c r="CE117" s="535"/>
      <c r="CF117" s="538"/>
      <c r="CG117" s="534"/>
      <c r="CH117" s="535"/>
      <c r="CI117" s="535"/>
      <c r="CJ117" s="535"/>
      <c r="CK117" s="536"/>
      <c r="CL117" s="536"/>
    </row>
    <row r="118" spans="1:90" s="571" customFormat="1" ht="13.25" customHeight="1" x14ac:dyDescent="0.3">
      <c r="A118" s="493"/>
      <c r="B118" s="494"/>
      <c r="C118" s="505">
        <f>'CC detallado'!A160</f>
        <v>3</v>
      </c>
      <c r="D118" s="496" t="str">
        <f>'CC detallado'!F160</f>
        <v>Administración, Auditoría y Evaluación</v>
      </c>
      <c r="E118" s="506">
        <f>E119+E125+E128</f>
        <v>711020.40816326533</v>
      </c>
      <c r="F118" s="507">
        <f>E118/$E$131</f>
        <v>4.7401361537708853E-2</v>
      </c>
      <c r="G118" s="506">
        <f>G119+G125+G128</f>
        <v>0</v>
      </c>
      <c r="H118" s="506">
        <f t="shared" ref="H118:BS118" si="227">H119+H125+H128</f>
        <v>0</v>
      </c>
      <c r="I118" s="506">
        <f t="shared" si="227"/>
        <v>0</v>
      </c>
      <c r="J118" s="506">
        <f t="shared" si="227"/>
        <v>10625.737898465171</v>
      </c>
      <c r="K118" s="506">
        <f t="shared" si="227"/>
        <v>10625.737898465171</v>
      </c>
      <c r="L118" s="506">
        <f t="shared" si="227"/>
        <v>10625.737898465171</v>
      </c>
      <c r="M118" s="506">
        <f t="shared" si="227"/>
        <v>10625.737898465171</v>
      </c>
      <c r="N118" s="506">
        <f t="shared" si="227"/>
        <v>10625.737898465171</v>
      </c>
      <c r="O118" s="506">
        <f t="shared" si="227"/>
        <v>10625.737898465171</v>
      </c>
      <c r="P118" s="506">
        <f t="shared" si="227"/>
        <v>10625.737898465171</v>
      </c>
      <c r="Q118" s="506">
        <f t="shared" si="227"/>
        <v>10625.737898465171</v>
      </c>
      <c r="R118" s="506">
        <f t="shared" si="227"/>
        <v>10625.737898465171</v>
      </c>
      <c r="S118" s="506">
        <f t="shared" si="227"/>
        <v>30625.737898465173</v>
      </c>
      <c r="T118" s="506">
        <f t="shared" si="227"/>
        <v>10625.737898465171</v>
      </c>
      <c r="U118" s="506">
        <f t="shared" si="227"/>
        <v>10625.737898465171</v>
      </c>
      <c r="V118" s="506">
        <f t="shared" si="227"/>
        <v>26625.737898465173</v>
      </c>
      <c r="W118" s="506">
        <f t="shared" si="227"/>
        <v>10625.737898465171</v>
      </c>
      <c r="X118" s="506">
        <f t="shared" si="227"/>
        <v>10625.737898465171</v>
      </c>
      <c r="Y118" s="506">
        <f t="shared" si="227"/>
        <v>10625.737898465171</v>
      </c>
      <c r="Z118" s="506">
        <f t="shared" si="227"/>
        <v>10625.737898465171</v>
      </c>
      <c r="AA118" s="506">
        <f t="shared" si="227"/>
        <v>10625.737898465171</v>
      </c>
      <c r="AB118" s="506">
        <f t="shared" si="227"/>
        <v>10625.737898465171</v>
      </c>
      <c r="AC118" s="506">
        <f t="shared" si="227"/>
        <v>10625.737898465171</v>
      </c>
      <c r="AD118" s="506">
        <f t="shared" si="227"/>
        <v>10625.737898465171</v>
      </c>
      <c r="AE118" s="506">
        <f t="shared" si="227"/>
        <v>10625.737898465171</v>
      </c>
      <c r="AF118" s="506">
        <f t="shared" si="227"/>
        <v>10625.737898465171</v>
      </c>
      <c r="AG118" s="506">
        <f t="shared" si="227"/>
        <v>10625.737898465171</v>
      </c>
      <c r="AH118" s="506">
        <f t="shared" si="227"/>
        <v>10625.737898465171</v>
      </c>
      <c r="AI118" s="506">
        <f t="shared" si="227"/>
        <v>26625.737898465173</v>
      </c>
      <c r="AJ118" s="506">
        <f t="shared" si="227"/>
        <v>19625.737898465173</v>
      </c>
      <c r="AK118" s="506">
        <f t="shared" si="227"/>
        <v>10625.737898465171</v>
      </c>
      <c r="AL118" s="506">
        <f t="shared" si="227"/>
        <v>22625.737898465173</v>
      </c>
      <c r="AM118" s="506">
        <f t="shared" si="227"/>
        <v>19625.737898465173</v>
      </c>
      <c r="AN118" s="506">
        <f t="shared" si="227"/>
        <v>10625.737898465171</v>
      </c>
      <c r="AO118" s="506">
        <f t="shared" si="227"/>
        <v>10625.737898465171</v>
      </c>
      <c r="AP118" s="506">
        <f t="shared" si="227"/>
        <v>10625.737898465171</v>
      </c>
      <c r="AQ118" s="506">
        <f t="shared" si="227"/>
        <v>10625.737898465171</v>
      </c>
      <c r="AR118" s="506">
        <f t="shared" si="227"/>
        <v>10625.737898465171</v>
      </c>
      <c r="AS118" s="506">
        <f t="shared" si="227"/>
        <v>10625.737898465171</v>
      </c>
      <c r="AT118" s="506">
        <f t="shared" si="227"/>
        <v>26625.737898465173</v>
      </c>
      <c r="AU118" s="506">
        <f t="shared" si="227"/>
        <v>10625.737898465171</v>
      </c>
      <c r="AV118" s="506">
        <f t="shared" si="227"/>
        <v>10625.737898465171</v>
      </c>
      <c r="AW118" s="506">
        <f t="shared" si="227"/>
        <v>10625.737898465171</v>
      </c>
      <c r="AX118" s="506">
        <f t="shared" si="227"/>
        <v>10625.737898465171</v>
      </c>
      <c r="AY118" s="506">
        <f t="shared" si="227"/>
        <v>10625.737898465171</v>
      </c>
      <c r="AZ118" s="506">
        <f t="shared" si="227"/>
        <v>10625.737898465171</v>
      </c>
      <c r="BA118" s="506">
        <f t="shared" si="227"/>
        <v>10625.737898465171</v>
      </c>
      <c r="BB118" s="506">
        <f t="shared" si="227"/>
        <v>10625.737898465171</v>
      </c>
      <c r="BC118" s="506">
        <f t="shared" si="227"/>
        <v>10625.737898465171</v>
      </c>
      <c r="BD118" s="506">
        <f t="shared" si="227"/>
        <v>10625.737898465171</v>
      </c>
      <c r="BE118" s="506">
        <f t="shared" si="227"/>
        <v>10625.737898465171</v>
      </c>
      <c r="BF118" s="506">
        <f t="shared" si="227"/>
        <v>20553.88767077079</v>
      </c>
      <c r="BG118" s="506">
        <f t="shared" si="227"/>
        <v>4553.8876707707877</v>
      </c>
      <c r="BH118" s="506">
        <f t="shared" si="227"/>
        <v>4553.8876707707877</v>
      </c>
      <c r="BI118" s="506">
        <f t="shared" si="227"/>
        <v>13553.887670770788</v>
      </c>
      <c r="BJ118" s="506">
        <f t="shared" si="227"/>
        <v>4553.8876707707877</v>
      </c>
      <c r="BK118" s="506">
        <f t="shared" si="227"/>
        <v>16553.88767077079</v>
      </c>
      <c r="BL118" s="506">
        <f t="shared" si="227"/>
        <v>13553.887670770788</v>
      </c>
      <c r="BM118" s="506">
        <f t="shared" si="227"/>
        <v>20553.88767077079</v>
      </c>
      <c r="BN118" s="506">
        <f t="shared" si="227"/>
        <v>4553.8876707707877</v>
      </c>
      <c r="BO118" s="506">
        <f t="shared" si="227"/>
        <v>711020.40816326579</v>
      </c>
      <c r="BP118" s="517">
        <f t="shared" si="148"/>
        <v>0</v>
      </c>
      <c r="BQ118" s="506">
        <f t="shared" si="227"/>
        <v>42502.951593860686</v>
      </c>
      <c r="BR118" s="506">
        <f t="shared" si="227"/>
        <v>216637.5442739079</v>
      </c>
      <c r="BS118" s="506">
        <f t="shared" si="227"/>
        <v>173508.85478158205</v>
      </c>
      <c r="BT118" s="506">
        <f t="shared" ref="BT118:BV118" si="228">BT119+BT125+BT128</f>
        <v>143508.85478158205</v>
      </c>
      <c r="BU118" s="506">
        <f t="shared" si="228"/>
        <v>134862.2027323326</v>
      </c>
      <c r="BV118" s="506">
        <f t="shared" si="228"/>
        <v>711020.40816326533</v>
      </c>
      <c r="BW118" s="518">
        <f t="shared" si="176"/>
        <v>0</v>
      </c>
      <c r="BX118" s="535"/>
      <c r="BY118" s="535"/>
      <c r="BZ118" s="568"/>
      <c r="CA118" s="568"/>
      <c r="CB118" s="569"/>
      <c r="CC118" s="567"/>
      <c r="CD118" s="567"/>
      <c r="CE118" s="567"/>
      <c r="CF118" s="569"/>
      <c r="CG118" s="567"/>
      <c r="CH118" s="567"/>
      <c r="CI118" s="567"/>
      <c r="CJ118" s="568"/>
      <c r="CK118" s="570"/>
      <c r="CL118" s="570"/>
    </row>
    <row r="119" spans="1:90" s="591" customFormat="1" ht="13.25" customHeight="1" x14ac:dyDescent="0.3">
      <c r="A119" s="580"/>
      <c r="B119" s="581"/>
      <c r="C119" s="582" t="str">
        <f>'CC detallado'!A161</f>
        <v>3.1</v>
      </c>
      <c r="D119" s="583" t="str">
        <f>'CC detallado'!F161</f>
        <v>Administración del Programa</v>
      </c>
      <c r="E119" s="584">
        <f>SUM(E120:E124)</f>
        <v>551020.40816326533</v>
      </c>
      <c r="F119" s="585"/>
      <c r="G119" s="586">
        <f t="shared" ref="G119:AL119" si="229">SUM(G120:G124)</f>
        <v>0</v>
      </c>
      <c r="H119" s="586">
        <f t="shared" si="229"/>
        <v>0</v>
      </c>
      <c r="I119" s="586">
        <f t="shared" si="229"/>
        <v>0</v>
      </c>
      <c r="J119" s="586">
        <f t="shared" si="229"/>
        <v>10625.737898465171</v>
      </c>
      <c r="K119" s="586">
        <f t="shared" si="229"/>
        <v>10625.737898465171</v>
      </c>
      <c r="L119" s="586">
        <f t="shared" si="229"/>
        <v>10625.737898465171</v>
      </c>
      <c r="M119" s="586">
        <f t="shared" si="229"/>
        <v>10625.737898465171</v>
      </c>
      <c r="N119" s="586">
        <f t="shared" si="229"/>
        <v>10625.737898465171</v>
      </c>
      <c r="O119" s="586">
        <f t="shared" si="229"/>
        <v>10625.737898465171</v>
      </c>
      <c r="P119" s="586">
        <f t="shared" si="229"/>
        <v>10625.737898465171</v>
      </c>
      <c r="Q119" s="586">
        <f t="shared" si="229"/>
        <v>10625.737898465171</v>
      </c>
      <c r="R119" s="586">
        <f t="shared" si="229"/>
        <v>10625.737898465171</v>
      </c>
      <c r="S119" s="586">
        <f t="shared" si="229"/>
        <v>10625.737898465171</v>
      </c>
      <c r="T119" s="586">
        <f t="shared" si="229"/>
        <v>10625.737898465171</v>
      </c>
      <c r="U119" s="586">
        <f t="shared" si="229"/>
        <v>10625.737898465171</v>
      </c>
      <c r="V119" s="586">
        <f t="shared" si="229"/>
        <v>10625.737898465171</v>
      </c>
      <c r="W119" s="586">
        <f t="shared" si="229"/>
        <v>10625.737898465171</v>
      </c>
      <c r="X119" s="586">
        <f t="shared" si="229"/>
        <v>10625.737898465171</v>
      </c>
      <c r="Y119" s="586">
        <f t="shared" si="229"/>
        <v>10625.737898465171</v>
      </c>
      <c r="Z119" s="586">
        <f t="shared" si="229"/>
        <v>10625.737898465171</v>
      </c>
      <c r="AA119" s="586">
        <f t="shared" si="229"/>
        <v>10625.737898465171</v>
      </c>
      <c r="AB119" s="586">
        <f t="shared" si="229"/>
        <v>10625.737898465171</v>
      </c>
      <c r="AC119" s="586">
        <f t="shared" si="229"/>
        <v>10625.737898465171</v>
      </c>
      <c r="AD119" s="586">
        <f t="shared" si="229"/>
        <v>10625.737898465171</v>
      </c>
      <c r="AE119" s="586">
        <f t="shared" si="229"/>
        <v>10625.737898465171</v>
      </c>
      <c r="AF119" s="586">
        <f t="shared" si="229"/>
        <v>10625.737898465171</v>
      </c>
      <c r="AG119" s="586">
        <f t="shared" si="229"/>
        <v>10625.737898465171</v>
      </c>
      <c r="AH119" s="586">
        <f t="shared" si="229"/>
        <v>10625.737898465171</v>
      </c>
      <c r="AI119" s="586">
        <f t="shared" si="229"/>
        <v>10625.737898465171</v>
      </c>
      <c r="AJ119" s="586">
        <f t="shared" si="229"/>
        <v>10625.737898465171</v>
      </c>
      <c r="AK119" s="586">
        <f t="shared" si="229"/>
        <v>10625.737898465171</v>
      </c>
      <c r="AL119" s="586">
        <f t="shared" si="229"/>
        <v>10625.737898465171</v>
      </c>
      <c r="AM119" s="586">
        <f t="shared" ref="AM119:BO119" si="230">SUM(AM120:AM124)</f>
        <v>10625.737898465171</v>
      </c>
      <c r="AN119" s="586">
        <f t="shared" si="230"/>
        <v>10625.737898465171</v>
      </c>
      <c r="AO119" s="586">
        <f t="shared" si="230"/>
        <v>10625.737898465171</v>
      </c>
      <c r="AP119" s="586">
        <f t="shared" si="230"/>
        <v>10625.737898465171</v>
      </c>
      <c r="AQ119" s="586">
        <f t="shared" si="230"/>
        <v>10625.737898465171</v>
      </c>
      <c r="AR119" s="586">
        <f t="shared" si="230"/>
        <v>10625.737898465171</v>
      </c>
      <c r="AS119" s="586">
        <f t="shared" si="230"/>
        <v>10625.737898465171</v>
      </c>
      <c r="AT119" s="586">
        <f t="shared" si="230"/>
        <v>10625.737898465171</v>
      </c>
      <c r="AU119" s="586">
        <f t="shared" si="230"/>
        <v>10625.737898465171</v>
      </c>
      <c r="AV119" s="586">
        <f t="shared" si="230"/>
        <v>10625.737898465171</v>
      </c>
      <c r="AW119" s="586">
        <f t="shared" si="230"/>
        <v>10625.737898465171</v>
      </c>
      <c r="AX119" s="586">
        <f t="shared" si="230"/>
        <v>10625.737898465171</v>
      </c>
      <c r="AY119" s="586">
        <f t="shared" si="230"/>
        <v>10625.737898465171</v>
      </c>
      <c r="AZ119" s="586">
        <f t="shared" si="230"/>
        <v>10625.737898465171</v>
      </c>
      <c r="BA119" s="586">
        <f t="shared" si="230"/>
        <v>10625.737898465171</v>
      </c>
      <c r="BB119" s="586">
        <f t="shared" si="230"/>
        <v>10625.737898465171</v>
      </c>
      <c r="BC119" s="586">
        <f t="shared" si="230"/>
        <v>10625.737898465171</v>
      </c>
      <c r="BD119" s="586">
        <f t="shared" si="230"/>
        <v>10625.737898465171</v>
      </c>
      <c r="BE119" s="586">
        <f t="shared" si="230"/>
        <v>10625.737898465171</v>
      </c>
      <c r="BF119" s="586">
        <f t="shared" si="230"/>
        <v>4553.8876707707877</v>
      </c>
      <c r="BG119" s="586">
        <f t="shared" si="230"/>
        <v>4553.8876707707877</v>
      </c>
      <c r="BH119" s="586">
        <f t="shared" si="230"/>
        <v>4553.8876707707877</v>
      </c>
      <c r="BI119" s="586">
        <f t="shared" si="230"/>
        <v>4553.8876707707877</v>
      </c>
      <c r="BJ119" s="586">
        <f t="shared" si="230"/>
        <v>4553.8876707707877</v>
      </c>
      <c r="BK119" s="586">
        <f t="shared" si="230"/>
        <v>4553.8876707707877</v>
      </c>
      <c r="BL119" s="586">
        <f t="shared" si="230"/>
        <v>4553.8876707707877</v>
      </c>
      <c r="BM119" s="586">
        <f t="shared" si="230"/>
        <v>4553.8876707707877</v>
      </c>
      <c r="BN119" s="586">
        <f t="shared" si="230"/>
        <v>4553.8876707707877</v>
      </c>
      <c r="BO119" s="586">
        <f t="shared" si="230"/>
        <v>551020.40816326579</v>
      </c>
      <c r="BP119" s="517">
        <f t="shared" si="148"/>
        <v>0</v>
      </c>
      <c r="BQ119" s="584">
        <f t="shared" ref="BQ119:BV119" si="231">SUM(BQ120:BQ124)</f>
        <v>42502.951593860686</v>
      </c>
      <c r="BR119" s="584">
        <f t="shared" si="231"/>
        <v>180637.5442739079</v>
      </c>
      <c r="BS119" s="584">
        <f t="shared" si="231"/>
        <v>127508.85478158205</v>
      </c>
      <c r="BT119" s="584">
        <f t="shared" si="231"/>
        <v>127508.85478158205</v>
      </c>
      <c r="BU119" s="584">
        <f t="shared" si="231"/>
        <v>72862.202732332604</v>
      </c>
      <c r="BV119" s="584">
        <f t="shared" si="231"/>
        <v>551020.40816326533</v>
      </c>
      <c r="BW119" s="518">
        <f t="shared" si="176"/>
        <v>0</v>
      </c>
      <c r="BX119" s="535"/>
      <c r="BY119" s="535"/>
      <c r="BZ119" s="587"/>
      <c r="CA119" s="587"/>
      <c r="CB119" s="588"/>
      <c r="CC119" s="589"/>
      <c r="CD119" s="589"/>
      <c r="CE119" s="589"/>
      <c r="CF119" s="588"/>
      <c r="CG119" s="589"/>
      <c r="CH119" s="587"/>
      <c r="CI119" s="589"/>
      <c r="CJ119" s="587"/>
      <c r="CK119" s="590"/>
      <c r="CL119" s="590"/>
    </row>
    <row r="120" spans="1:90" s="537" customFormat="1" ht="13.25" customHeight="1" outlineLevel="1" x14ac:dyDescent="0.3">
      <c r="A120" s="523"/>
      <c r="B120" s="524" t="s">
        <v>91</v>
      </c>
      <c r="C120" s="525" t="str">
        <f>'CC detallado'!A162</f>
        <v>3.1.1</v>
      </c>
      <c r="D120" s="560" t="str">
        <f>'CC detallado'!F162</f>
        <v>Coordinador General</v>
      </c>
      <c r="E120" s="527">
        <f>'CC detallado'!N162</f>
        <v>144206.44290774161</v>
      </c>
      <c r="F120" s="515"/>
      <c r="G120" s="528"/>
      <c r="H120" s="529"/>
      <c r="I120" s="529"/>
      <c r="J120" s="530">
        <f>E120/57</f>
        <v>2529.9375948726597</v>
      </c>
      <c r="K120" s="530">
        <f t="shared" ref="K120:K123" si="232">J120</f>
        <v>2529.9375948726597</v>
      </c>
      <c r="L120" s="530">
        <f t="shared" ref="L120:BB123" si="233">K120</f>
        <v>2529.9375948726597</v>
      </c>
      <c r="M120" s="530">
        <f t="shared" si="233"/>
        <v>2529.9375948726597</v>
      </c>
      <c r="N120" s="530">
        <f t="shared" si="233"/>
        <v>2529.9375948726597</v>
      </c>
      <c r="O120" s="530">
        <f t="shared" si="233"/>
        <v>2529.9375948726597</v>
      </c>
      <c r="P120" s="530">
        <f t="shared" si="233"/>
        <v>2529.9375948726597</v>
      </c>
      <c r="Q120" s="530">
        <f t="shared" si="233"/>
        <v>2529.9375948726597</v>
      </c>
      <c r="R120" s="530">
        <f t="shared" si="233"/>
        <v>2529.9375948726597</v>
      </c>
      <c r="S120" s="530">
        <f t="shared" si="233"/>
        <v>2529.9375948726597</v>
      </c>
      <c r="T120" s="530">
        <f t="shared" si="233"/>
        <v>2529.9375948726597</v>
      </c>
      <c r="U120" s="530">
        <f t="shared" si="233"/>
        <v>2529.9375948726597</v>
      </c>
      <c r="V120" s="530">
        <f t="shared" si="233"/>
        <v>2529.9375948726597</v>
      </c>
      <c r="W120" s="530">
        <f t="shared" si="233"/>
        <v>2529.9375948726597</v>
      </c>
      <c r="X120" s="530">
        <f t="shared" si="233"/>
        <v>2529.9375948726597</v>
      </c>
      <c r="Y120" s="530">
        <f t="shared" si="233"/>
        <v>2529.9375948726597</v>
      </c>
      <c r="Z120" s="530">
        <f t="shared" si="233"/>
        <v>2529.9375948726597</v>
      </c>
      <c r="AA120" s="530">
        <f t="shared" si="233"/>
        <v>2529.9375948726597</v>
      </c>
      <c r="AB120" s="530">
        <f t="shared" si="233"/>
        <v>2529.9375948726597</v>
      </c>
      <c r="AC120" s="530">
        <f t="shared" si="233"/>
        <v>2529.9375948726597</v>
      </c>
      <c r="AD120" s="530">
        <f t="shared" si="233"/>
        <v>2529.9375948726597</v>
      </c>
      <c r="AE120" s="530">
        <f t="shared" si="233"/>
        <v>2529.9375948726597</v>
      </c>
      <c r="AF120" s="530">
        <f t="shared" si="233"/>
        <v>2529.9375948726597</v>
      </c>
      <c r="AG120" s="530">
        <f t="shared" si="233"/>
        <v>2529.9375948726597</v>
      </c>
      <c r="AH120" s="530">
        <f t="shared" si="233"/>
        <v>2529.9375948726597</v>
      </c>
      <c r="AI120" s="530">
        <f t="shared" si="233"/>
        <v>2529.9375948726597</v>
      </c>
      <c r="AJ120" s="530">
        <f t="shared" si="233"/>
        <v>2529.9375948726597</v>
      </c>
      <c r="AK120" s="530">
        <f t="shared" si="233"/>
        <v>2529.9375948726597</v>
      </c>
      <c r="AL120" s="530">
        <f t="shared" si="233"/>
        <v>2529.9375948726597</v>
      </c>
      <c r="AM120" s="530">
        <f t="shared" si="233"/>
        <v>2529.9375948726597</v>
      </c>
      <c r="AN120" s="530">
        <f t="shared" si="233"/>
        <v>2529.9375948726597</v>
      </c>
      <c r="AO120" s="530">
        <f t="shared" si="233"/>
        <v>2529.9375948726597</v>
      </c>
      <c r="AP120" s="530">
        <f t="shared" si="233"/>
        <v>2529.9375948726597</v>
      </c>
      <c r="AQ120" s="530">
        <f t="shared" si="233"/>
        <v>2529.9375948726597</v>
      </c>
      <c r="AR120" s="530">
        <f t="shared" si="233"/>
        <v>2529.9375948726597</v>
      </c>
      <c r="AS120" s="530">
        <f t="shared" si="233"/>
        <v>2529.9375948726597</v>
      </c>
      <c r="AT120" s="530">
        <f t="shared" si="233"/>
        <v>2529.9375948726597</v>
      </c>
      <c r="AU120" s="530">
        <f t="shared" si="233"/>
        <v>2529.9375948726597</v>
      </c>
      <c r="AV120" s="530">
        <f t="shared" si="233"/>
        <v>2529.9375948726597</v>
      </c>
      <c r="AW120" s="530">
        <f t="shared" si="233"/>
        <v>2529.9375948726597</v>
      </c>
      <c r="AX120" s="530">
        <f t="shared" si="233"/>
        <v>2529.9375948726597</v>
      </c>
      <c r="AY120" s="530">
        <f t="shared" si="233"/>
        <v>2529.9375948726597</v>
      </c>
      <c r="AZ120" s="530">
        <f t="shared" si="233"/>
        <v>2529.9375948726597</v>
      </c>
      <c r="BA120" s="530">
        <f t="shared" si="233"/>
        <v>2529.9375948726597</v>
      </c>
      <c r="BB120" s="530">
        <f t="shared" si="233"/>
        <v>2529.9375948726597</v>
      </c>
      <c r="BC120" s="530">
        <f t="shared" ref="BC120:BN120" si="234">BB120</f>
        <v>2529.9375948726597</v>
      </c>
      <c r="BD120" s="530">
        <f t="shared" si="234"/>
        <v>2529.9375948726597</v>
      </c>
      <c r="BE120" s="530">
        <f t="shared" si="234"/>
        <v>2529.9375948726597</v>
      </c>
      <c r="BF120" s="530">
        <f t="shared" si="234"/>
        <v>2529.9375948726597</v>
      </c>
      <c r="BG120" s="530">
        <f t="shared" si="234"/>
        <v>2529.9375948726597</v>
      </c>
      <c r="BH120" s="530">
        <f t="shared" si="234"/>
        <v>2529.9375948726597</v>
      </c>
      <c r="BI120" s="530">
        <f t="shared" si="234"/>
        <v>2529.9375948726597</v>
      </c>
      <c r="BJ120" s="530">
        <f t="shared" si="234"/>
        <v>2529.9375948726597</v>
      </c>
      <c r="BK120" s="530">
        <f t="shared" si="234"/>
        <v>2529.9375948726597</v>
      </c>
      <c r="BL120" s="530">
        <f t="shared" si="234"/>
        <v>2529.9375948726597</v>
      </c>
      <c r="BM120" s="530">
        <f t="shared" si="234"/>
        <v>2529.9375948726597</v>
      </c>
      <c r="BN120" s="530">
        <f t="shared" si="234"/>
        <v>2529.9375948726597</v>
      </c>
      <c r="BO120" s="528">
        <f>SUM(G120:BN120)</f>
        <v>144206.44290774182</v>
      </c>
      <c r="BP120" s="517">
        <f t="shared" si="148"/>
        <v>0</v>
      </c>
      <c r="BQ120" s="532">
        <f t="shared" ref="BQ120:BQ124" si="235">SUM(G120:M120)</f>
        <v>10119.750379490639</v>
      </c>
      <c r="BR120" s="532">
        <f t="shared" ref="BR120:BR124" si="236">SUM(N120:AD120)</f>
        <v>43008.939112835214</v>
      </c>
      <c r="BS120" s="532">
        <f t="shared" ref="BS120:BS124" si="237">SUM(AE120:AP120)</f>
        <v>30359.251138471915</v>
      </c>
      <c r="BT120" s="532">
        <f t="shared" ref="BT120:BT124" si="238">SUM(AQ120:BB120)</f>
        <v>30359.251138471915</v>
      </c>
      <c r="BU120" s="532">
        <f t="shared" ref="BU120:BU124" si="239">SUM(BC120:BN120)</f>
        <v>30359.251138471915</v>
      </c>
      <c r="BV120" s="532">
        <f t="shared" ref="BV120:BV124" si="240">SUM(BQ120:BU120)</f>
        <v>144206.44290774158</v>
      </c>
      <c r="BW120" s="518">
        <f t="shared" si="176"/>
        <v>2.3283064365386963E-10</v>
      </c>
      <c r="BX120" s="535"/>
      <c r="BY120" s="535"/>
      <c r="BZ120" s="535"/>
      <c r="CA120" s="535"/>
      <c r="CB120" s="535"/>
      <c r="CC120" s="534"/>
      <c r="CD120" s="535"/>
      <c r="CE120" s="535"/>
      <c r="CF120" s="535"/>
      <c r="CG120" s="534"/>
      <c r="CH120" s="535"/>
      <c r="CI120" s="535"/>
      <c r="CJ120" s="535"/>
      <c r="CK120" s="536"/>
      <c r="CL120" s="536"/>
    </row>
    <row r="121" spans="1:90" s="537" customFormat="1" ht="13.25" customHeight="1" outlineLevel="1" x14ac:dyDescent="0.3">
      <c r="A121" s="523"/>
      <c r="B121" s="524"/>
      <c r="C121" s="525" t="str">
        <f>'CC detallado'!A163</f>
        <v>3.1.2</v>
      </c>
      <c r="D121" s="560" t="str">
        <f>'CC detallado'!F163</f>
        <v>Especialista Planificación y Monitoreo del Programa</v>
      </c>
      <c r="E121" s="527">
        <f>'CC detallado'!N163</f>
        <v>97149.603643110138</v>
      </c>
      <c r="F121" s="515"/>
      <c r="G121" s="528"/>
      <c r="H121" s="529"/>
      <c r="I121" s="529"/>
      <c r="J121" s="530">
        <f>E121/48</f>
        <v>2023.9500758981278</v>
      </c>
      <c r="K121" s="530">
        <f t="shared" ref="K121" si="241">J121</f>
        <v>2023.9500758981278</v>
      </c>
      <c r="L121" s="530">
        <f t="shared" ref="L121" si="242">K121</f>
        <v>2023.9500758981278</v>
      </c>
      <c r="M121" s="530">
        <f t="shared" ref="M121" si="243">L121</f>
        <v>2023.9500758981278</v>
      </c>
      <c r="N121" s="530">
        <f t="shared" ref="N121" si="244">M121</f>
        <v>2023.9500758981278</v>
      </c>
      <c r="O121" s="530">
        <f t="shared" ref="O121" si="245">N121</f>
        <v>2023.9500758981278</v>
      </c>
      <c r="P121" s="530">
        <f t="shared" ref="P121" si="246">O121</f>
        <v>2023.9500758981278</v>
      </c>
      <c r="Q121" s="530">
        <f t="shared" ref="Q121" si="247">P121</f>
        <v>2023.9500758981278</v>
      </c>
      <c r="R121" s="530">
        <f t="shared" ref="R121" si="248">Q121</f>
        <v>2023.9500758981278</v>
      </c>
      <c r="S121" s="530">
        <f t="shared" ref="S121" si="249">R121</f>
        <v>2023.9500758981278</v>
      </c>
      <c r="T121" s="530">
        <f t="shared" ref="T121" si="250">S121</f>
        <v>2023.9500758981278</v>
      </c>
      <c r="U121" s="530">
        <f t="shared" ref="U121" si="251">T121</f>
        <v>2023.9500758981278</v>
      </c>
      <c r="V121" s="530">
        <f t="shared" ref="V121" si="252">U121</f>
        <v>2023.9500758981278</v>
      </c>
      <c r="W121" s="530">
        <f t="shared" ref="W121" si="253">V121</f>
        <v>2023.9500758981278</v>
      </c>
      <c r="X121" s="530">
        <f t="shared" ref="X121" si="254">W121</f>
        <v>2023.9500758981278</v>
      </c>
      <c r="Y121" s="530">
        <f t="shared" ref="Y121" si="255">X121</f>
        <v>2023.9500758981278</v>
      </c>
      <c r="Z121" s="530">
        <f t="shared" ref="Z121" si="256">Y121</f>
        <v>2023.9500758981278</v>
      </c>
      <c r="AA121" s="530">
        <f t="shared" ref="AA121" si="257">Z121</f>
        <v>2023.9500758981278</v>
      </c>
      <c r="AB121" s="530">
        <f t="shared" ref="AB121" si="258">AA121</f>
        <v>2023.9500758981278</v>
      </c>
      <c r="AC121" s="530">
        <f t="shared" ref="AC121" si="259">AB121</f>
        <v>2023.9500758981278</v>
      </c>
      <c r="AD121" s="530">
        <f t="shared" ref="AD121" si="260">AC121</f>
        <v>2023.9500758981278</v>
      </c>
      <c r="AE121" s="530">
        <f t="shared" ref="AE121" si="261">AD121</f>
        <v>2023.9500758981278</v>
      </c>
      <c r="AF121" s="530">
        <f t="shared" ref="AF121" si="262">AE121</f>
        <v>2023.9500758981278</v>
      </c>
      <c r="AG121" s="530">
        <f t="shared" ref="AG121" si="263">AF121</f>
        <v>2023.9500758981278</v>
      </c>
      <c r="AH121" s="530">
        <f t="shared" ref="AH121" si="264">AG121</f>
        <v>2023.9500758981278</v>
      </c>
      <c r="AI121" s="530">
        <f t="shared" ref="AI121" si="265">AH121</f>
        <v>2023.9500758981278</v>
      </c>
      <c r="AJ121" s="530">
        <f t="shared" ref="AJ121" si="266">AI121</f>
        <v>2023.9500758981278</v>
      </c>
      <c r="AK121" s="530">
        <f t="shared" ref="AK121" si="267">AJ121</f>
        <v>2023.9500758981278</v>
      </c>
      <c r="AL121" s="530">
        <f t="shared" ref="AL121" si="268">AK121</f>
        <v>2023.9500758981278</v>
      </c>
      <c r="AM121" s="530">
        <f t="shared" ref="AM121" si="269">AL121</f>
        <v>2023.9500758981278</v>
      </c>
      <c r="AN121" s="530">
        <f t="shared" ref="AN121" si="270">AM121</f>
        <v>2023.9500758981278</v>
      </c>
      <c r="AO121" s="530">
        <f t="shared" ref="AO121" si="271">AN121</f>
        <v>2023.9500758981278</v>
      </c>
      <c r="AP121" s="530">
        <f t="shared" ref="AP121" si="272">AO121</f>
        <v>2023.9500758981278</v>
      </c>
      <c r="AQ121" s="530">
        <f t="shared" ref="AQ121" si="273">AP121</f>
        <v>2023.9500758981278</v>
      </c>
      <c r="AR121" s="530">
        <f t="shared" ref="AR121" si="274">AQ121</f>
        <v>2023.9500758981278</v>
      </c>
      <c r="AS121" s="530">
        <f t="shared" ref="AS121" si="275">AR121</f>
        <v>2023.9500758981278</v>
      </c>
      <c r="AT121" s="530">
        <f t="shared" ref="AT121" si="276">AS121</f>
        <v>2023.9500758981278</v>
      </c>
      <c r="AU121" s="530">
        <f t="shared" ref="AU121" si="277">AT121</f>
        <v>2023.9500758981278</v>
      </c>
      <c r="AV121" s="530">
        <f t="shared" ref="AV121" si="278">AU121</f>
        <v>2023.9500758981278</v>
      </c>
      <c r="AW121" s="530">
        <f t="shared" ref="AW121" si="279">AV121</f>
        <v>2023.9500758981278</v>
      </c>
      <c r="AX121" s="530">
        <f t="shared" ref="AX121" si="280">AW121</f>
        <v>2023.9500758981278</v>
      </c>
      <c r="AY121" s="530">
        <f t="shared" ref="AY121" si="281">AX121</f>
        <v>2023.9500758981278</v>
      </c>
      <c r="AZ121" s="530">
        <f t="shared" ref="AZ121" si="282">AY121</f>
        <v>2023.9500758981278</v>
      </c>
      <c r="BA121" s="530">
        <f t="shared" ref="BA121" si="283">AZ121</f>
        <v>2023.9500758981278</v>
      </c>
      <c r="BB121" s="530">
        <f t="shared" ref="BB121" si="284">BA121</f>
        <v>2023.9500758981278</v>
      </c>
      <c r="BC121" s="530">
        <f t="shared" ref="BC121" si="285">BB121</f>
        <v>2023.9500758981278</v>
      </c>
      <c r="BD121" s="530">
        <f t="shared" ref="BD121" si="286">BC121</f>
        <v>2023.9500758981278</v>
      </c>
      <c r="BE121" s="530">
        <f t="shared" ref="BE121" si="287">BD121</f>
        <v>2023.9500758981278</v>
      </c>
      <c r="BF121" s="528"/>
      <c r="BG121" s="528"/>
      <c r="BH121" s="528"/>
      <c r="BI121" s="528"/>
      <c r="BJ121" s="528"/>
      <c r="BK121" s="528"/>
      <c r="BL121" s="528"/>
      <c r="BM121" s="528"/>
      <c r="BN121" s="528"/>
      <c r="BO121" s="528">
        <f t="shared" ref="BO121:BO124" si="288">SUM(G121:BN121)</f>
        <v>97149.603643110197</v>
      </c>
      <c r="BP121" s="517">
        <f t="shared" si="148"/>
        <v>0</v>
      </c>
      <c r="BQ121" s="532">
        <f t="shared" si="235"/>
        <v>8095.8003035925112</v>
      </c>
      <c r="BR121" s="532">
        <f t="shared" si="236"/>
        <v>34407.151290268164</v>
      </c>
      <c r="BS121" s="532">
        <f t="shared" si="237"/>
        <v>24287.400910777531</v>
      </c>
      <c r="BT121" s="532">
        <f t="shared" si="238"/>
        <v>24287.400910777531</v>
      </c>
      <c r="BU121" s="532">
        <f t="shared" si="239"/>
        <v>6071.8502276943836</v>
      </c>
      <c r="BV121" s="532">
        <f t="shared" si="240"/>
        <v>97149.603643110138</v>
      </c>
      <c r="BW121" s="518">
        <f t="shared" si="176"/>
        <v>0</v>
      </c>
      <c r="BX121" s="535"/>
      <c r="BY121" s="535"/>
      <c r="BZ121" s="535"/>
      <c r="CA121" s="535"/>
      <c r="CB121" s="535"/>
      <c r="CC121" s="534"/>
      <c r="CD121" s="535"/>
      <c r="CE121" s="535"/>
      <c r="CF121" s="535"/>
      <c r="CG121" s="534"/>
      <c r="CH121" s="535"/>
      <c r="CI121" s="535"/>
      <c r="CJ121" s="535"/>
      <c r="CK121" s="536"/>
      <c r="CL121" s="536"/>
    </row>
    <row r="122" spans="1:90" s="537" customFormat="1" ht="13.25" customHeight="1" outlineLevel="1" x14ac:dyDescent="0.3">
      <c r="A122" s="523"/>
      <c r="B122" s="524" t="s">
        <v>91</v>
      </c>
      <c r="C122" s="525" t="str">
        <f>'CC detallado'!A164</f>
        <v>3.1.3</v>
      </c>
      <c r="D122" s="560" t="str">
        <f>'CC detallado'!F164</f>
        <v>Especialista Financiero</v>
      </c>
      <c r="E122" s="527">
        <f>'CC detallado'!N164</f>
        <v>115365.15432619328</v>
      </c>
      <c r="F122" s="592"/>
      <c r="G122" s="528"/>
      <c r="H122" s="529"/>
      <c r="I122" s="529"/>
      <c r="J122" s="530">
        <f>E122/57</f>
        <v>2023.9500758981278</v>
      </c>
      <c r="K122" s="530">
        <f t="shared" si="232"/>
        <v>2023.9500758981278</v>
      </c>
      <c r="L122" s="530">
        <f t="shared" ref="L122:Z122" si="289">K122</f>
        <v>2023.9500758981278</v>
      </c>
      <c r="M122" s="530">
        <f t="shared" si="289"/>
        <v>2023.9500758981278</v>
      </c>
      <c r="N122" s="530">
        <f t="shared" si="289"/>
        <v>2023.9500758981278</v>
      </c>
      <c r="O122" s="530">
        <f t="shared" si="289"/>
        <v>2023.9500758981278</v>
      </c>
      <c r="P122" s="530">
        <f t="shared" si="289"/>
        <v>2023.9500758981278</v>
      </c>
      <c r="Q122" s="530">
        <f t="shared" si="289"/>
        <v>2023.9500758981278</v>
      </c>
      <c r="R122" s="530">
        <f t="shared" si="289"/>
        <v>2023.9500758981278</v>
      </c>
      <c r="S122" s="530">
        <f t="shared" si="289"/>
        <v>2023.9500758981278</v>
      </c>
      <c r="T122" s="530">
        <f t="shared" si="289"/>
        <v>2023.9500758981278</v>
      </c>
      <c r="U122" s="530">
        <f t="shared" si="289"/>
        <v>2023.9500758981278</v>
      </c>
      <c r="V122" s="530">
        <f t="shared" si="289"/>
        <v>2023.9500758981278</v>
      </c>
      <c r="W122" s="530">
        <f t="shared" si="289"/>
        <v>2023.9500758981278</v>
      </c>
      <c r="X122" s="530">
        <f t="shared" si="289"/>
        <v>2023.9500758981278</v>
      </c>
      <c r="Y122" s="530">
        <f t="shared" si="289"/>
        <v>2023.9500758981278</v>
      </c>
      <c r="Z122" s="530">
        <f t="shared" si="289"/>
        <v>2023.9500758981278</v>
      </c>
      <c r="AA122" s="530">
        <f t="shared" si="233"/>
        <v>2023.9500758981278</v>
      </c>
      <c r="AB122" s="530">
        <f t="shared" si="233"/>
        <v>2023.9500758981278</v>
      </c>
      <c r="AC122" s="530">
        <f t="shared" si="233"/>
        <v>2023.9500758981278</v>
      </c>
      <c r="AD122" s="530">
        <f t="shared" si="233"/>
        <v>2023.9500758981278</v>
      </c>
      <c r="AE122" s="530">
        <f t="shared" si="233"/>
        <v>2023.9500758981278</v>
      </c>
      <c r="AF122" s="530">
        <f t="shared" si="233"/>
        <v>2023.9500758981278</v>
      </c>
      <c r="AG122" s="530">
        <f t="shared" si="233"/>
        <v>2023.9500758981278</v>
      </c>
      <c r="AH122" s="530">
        <f t="shared" si="233"/>
        <v>2023.9500758981278</v>
      </c>
      <c r="AI122" s="530">
        <f t="shared" si="233"/>
        <v>2023.9500758981278</v>
      </c>
      <c r="AJ122" s="530">
        <f t="shared" si="233"/>
        <v>2023.9500758981278</v>
      </c>
      <c r="AK122" s="530">
        <f t="shared" si="233"/>
        <v>2023.9500758981278</v>
      </c>
      <c r="AL122" s="530">
        <f t="shared" si="233"/>
        <v>2023.9500758981278</v>
      </c>
      <c r="AM122" s="530">
        <f t="shared" si="233"/>
        <v>2023.9500758981278</v>
      </c>
      <c r="AN122" s="530">
        <f t="shared" si="233"/>
        <v>2023.9500758981278</v>
      </c>
      <c r="AO122" s="530">
        <f t="shared" si="233"/>
        <v>2023.9500758981278</v>
      </c>
      <c r="AP122" s="530">
        <f t="shared" si="233"/>
        <v>2023.9500758981278</v>
      </c>
      <c r="AQ122" s="530">
        <f t="shared" si="233"/>
        <v>2023.9500758981278</v>
      </c>
      <c r="AR122" s="530">
        <f t="shared" si="233"/>
        <v>2023.9500758981278</v>
      </c>
      <c r="AS122" s="530">
        <f t="shared" si="233"/>
        <v>2023.9500758981278</v>
      </c>
      <c r="AT122" s="530">
        <f t="shared" si="233"/>
        <v>2023.9500758981278</v>
      </c>
      <c r="AU122" s="530">
        <f t="shared" si="233"/>
        <v>2023.9500758981278</v>
      </c>
      <c r="AV122" s="530">
        <f t="shared" si="233"/>
        <v>2023.9500758981278</v>
      </c>
      <c r="AW122" s="530">
        <f t="shared" si="233"/>
        <v>2023.9500758981278</v>
      </c>
      <c r="AX122" s="530">
        <f t="shared" si="233"/>
        <v>2023.9500758981278</v>
      </c>
      <c r="AY122" s="530">
        <f t="shared" si="233"/>
        <v>2023.9500758981278</v>
      </c>
      <c r="AZ122" s="530">
        <f t="shared" si="233"/>
        <v>2023.9500758981278</v>
      </c>
      <c r="BA122" s="530">
        <f t="shared" si="233"/>
        <v>2023.9500758981278</v>
      </c>
      <c r="BB122" s="530">
        <f t="shared" si="233"/>
        <v>2023.9500758981278</v>
      </c>
      <c r="BC122" s="530">
        <f t="shared" ref="BC122:BN122" si="290">BB122</f>
        <v>2023.9500758981278</v>
      </c>
      <c r="BD122" s="530">
        <f t="shared" si="290"/>
        <v>2023.9500758981278</v>
      </c>
      <c r="BE122" s="530">
        <f t="shared" si="290"/>
        <v>2023.9500758981278</v>
      </c>
      <c r="BF122" s="530">
        <f t="shared" si="290"/>
        <v>2023.9500758981278</v>
      </c>
      <c r="BG122" s="530">
        <f t="shared" si="290"/>
        <v>2023.9500758981278</v>
      </c>
      <c r="BH122" s="530">
        <f t="shared" si="290"/>
        <v>2023.9500758981278</v>
      </c>
      <c r="BI122" s="530">
        <f t="shared" si="290"/>
        <v>2023.9500758981278</v>
      </c>
      <c r="BJ122" s="530">
        <f t="shared" si="290"/>
        <v>2023.9500758981278</v>
      </c>
      <c r="BK122" s="530">
        <f t="shared" si="290"/>
        <v>2023.9500758981278</v>
      </c>
      <c r="BL122" s="530">
        <f t="shared" si="290"/>
        <v>2023.9500758981278</v>
      </c>
      <c r="BM122" s="530">
        <f t="shared" si="290"/>
        <v>2023.9500758981278</v>
      </c>
      <c r="BN122" s="530">
        <f t="shared" si="290"/>
        <v>2023.9500758981278</v>
      </c>
      <c r="BO122" s="528">
        <f t="shared" si="288"/>
        <v>115365.15432619337</v>
      </c>
      <c r="BP122" s="517">
        <f t="shared" si="148"/>
        <v>0</v>
      </c>
      <c r="BQ122" s="532">
        <f t="shared" si="235"/>
        <v>8095.8003035925112</v>
      </c>
      <c r="BR122" s="532">
        <f t="shared" si="236"/>
        <v>34407.151290268164</v>
      </c>
      <c r="BS122" s="532">
        <f t="shared" si="237"/>
        <v>24287.400910777531</v>
      </c>
      <c r="BT122" s="532">
        <f t="shared" si="238"/>
        <v>24287.400910777531</v>
      </c>
      <c r="BU122" s="532">
        <f t="shared" si="239"/>
        <v>24287.400910777531</v>
      </c>
      <c r="BV122" s="532">
        <f t="shared" si="240"/>
        <v>115365.15432619328</v>
      </c>
      <c r="BW122" s="518">
        <f t="shared" si="176"/>
        <v>0</v>
      </c>
      <c r="BX122" s="535"/>
      <c r="BY122" s="535"/>
      <c r="BZ122" s="535"/>
      <c r="CA122" s="535"/>
      <c r="CB122" s="533"/>
      <c r="CC122" s="534"/>
      <c r="CD122" s="535"/>
      <c r="CE122" s="535"/>
      <c r="CF122" s="533"/>
      <c r="CG122" s="534"/>
      <c r="CH122" s="535"/>
      <c r="CI122" s="535"/>
      <c r="CJ122" s="535"/>
      <c r="CK122" s="536"/>
      <c r="CL122" s="536"/>
    </row>
    <row r="123" spans="1:90" s="537" customFormat="1" ht="13.25" customHeight="1" outlineLevel="1" x14ac:dyDescent="0.3">
      <c r="A123" s="523"/>
      <c r="B123" s="524" t="s">
        <v>91</v>
      </c>
      <c r="C123" s="525" t="str">
        <f>'CC detallado'!A165</f>
        <v>3.1.4</v>
      </c>
      <c r="D123" s="560" t="str">
        <f>'CC detallado'!F165</f>
        <v>Especialista Adquisiciones</v>
      </c>
      <c r="E123" s="527">
        <f>'CC detallado'!N165</f>
        <v>194299.20728622028</v>
      </c>
      <c r="F123" s="593"/>
      <c r="G123" s="528"/>
      <c r="H123" s="529"/>
      <c r="I123" s="529"/>
      <c r="J123" s="530">
        <f>E123/48</f>
        <v>4047.9001517962556</v>
      </c>
      <c r="K123" s="530">
        <f t="shared" si="232"/>
        <v>4047.9001517962556</v>
      </c>
      <c r="L123" s="530">
        <f t="shared" si="233"/>
        <v>4047.9001517962556</v>
      </c>
      <c r="M123" s="530">
        <f t="shared" si="233"/>
        <v>4047.9001517962556</v>
      </c>
      <c r="N123" s="530">
        <f t="shared" si="233"/>
        <v>4047.9001517962556</v>
      </c>
      <c r="O123" s="530">
        <f t="shared" si="233"/>
        <v>4047.9001517962556</v>
      </c>
      <c r="P123" s="530">
        <f t="shared" si="233"/>
        <v>4047.9001517962556</v>
      </c>
      <c r="Q123" s="530">
        <f t="shared" si="233"/>
        <v>4047.9001517962556</v>
      </c>
      <c r="R123" s="530">
        <f t="shared" si="233"/>
        <v>4047.9001517962556</v>
      </c>
      <c r="S123" s="530">
        <f t="shared" si="233"/>
        <v>4047.9001517962556</v>
      </c>
      <c r="T123" s="530">
        <f t="shared" si="233"/>
        <v>4047.9001517962556</v>
      </c>
      <c r="U123" s="530">
        <f t="shared" si="233"/>
        <v>4047.9001517962556</v>
      </c>
      <c r="V123" s="530">
        <f t="shared" si="233"/>
        <v>4047.9001517962556</v>
      </c>
      <c r="W123" s="530">
        <f t="shared" si="233"/>
        <v>4047.9001517962556</v>
      </c>
      <c r="X123" s="530">
        <f t="shared" si="233"/>
        <v>4047.9001517962556</v>
      </c>
      <c r="Y123" s="530">
        <f t="shared" si="233"/>
        <v>4047.9001517962556</v>
      </c>
      <c r="Z123" s="530">
        <f t="shared" si="233"/>
        <v>4047.9001517962556</v>
      </c>
      <c r="AA123" s="530">
        <f t="shared" si="233"/>
        <v>4047.9001517962556</v>
      </c>
      <c r="AB123" s="530">
        <f t="shared" si="233"/>
        <v>4047.9001517962556</v>
      </c>
      <c r="AC123" s="530">
        <f t="shared" si="233"/>
        <v>4047.9001517962556</v>
      </c>
      <c r="AD123" s="530">
        <f t="shared" si="233"/>
        <v>4047.9001517962556</v>
      </c>
      <c r="AE123" s="530">
        <f t="shared" si="233"/>
        <v>4047.9001517962556</v>
      </c>
      <c r="AF123" s="530">
        <f t="shared" si="233"/>
        <v>4047.9001517962556</v>
      </c>
      <c r="AG123" s="530">
        <f t="shared" si="233"/>
        <v>4047.9001517962556</v>
      </c>
      <c r="AH123" s="530">
        <f t="shared" si="233"/>
        <v>4047.9001517962556</v>
      </c>
      <c r="AI123" s="530">
        <f t="shared" si="233"/>
        <v>4047.9001517962556</v>
      </c>
      <c r="AJ123" s="530">
        <f t="shared" si="233"/>
        <v>4047.9001517962556</v>
      </c>
      <c r="AK123" s="530">
        <f t="shared" si="233"/>
        <v>4047.9001517962556</v>
      </c>
      <c r="AL123" s="530">
        <f t="shared" si="233"/>
        <v>4047.9001517962556</v>
      </c>
      <c r="AM123" s="530">
        <f t="shared" si="233"/>
        <v>4047.9001517962556</v>
      </c>
      <c r="AN123" s="530">
        <f t="shared" si="233"/>
        <v>4047.9001517962556</v>
      </c>
      <c r="AO123" s="530">
        <f t="shared" si="233"/>
        <v>4047.9001517962556</v>
      </c>
      <c r="AP123" s="530">
        <f t="shared" si="233"/>
        <v>4047.9001517962556</v>
      </c>
      <c r="AQ123" s="530">
        <f t="shared" si="233"/>
        <v>4047.9001517962556</v>
      </c>
      <c r="AR123" s="530">
        <f t="shared" si="233"/>
        <v>4047.9001517962556</v>
      </c>
      <c r="AS123" s="530">
        <f t="shared" si="233"/>
        <v>4047.9001517962556</v>
      </c>
      <c r="AT123" s="530">
        <f t="shared" si="233"/>
        <v>4047.9001517962556</v>
      </c>
      <c r="AU123" s="530">
        <f t="shared" si="233"/>
        <v>4047.9001517962556</v>
      </c>
      <c r="AV123" s="530">
        <f t="shared" si="233"/>
        <v>4047.9001517962556</v>
      </c>
      <c r="AW123" s="530">
        <f t="shared" si="233"/>
        <v>4047.9001517962556</v>
      </c>
      <c r="AX123" s="530">
        <f t="shared" si="233"/>
        <v>4047.9001517962556</v>
      </c>
      <c r="AY123" s="530">
        <f t="shared" si="233"/>
        <v>4047.9001517962556</v>
      </c>
      <c r="AZ123" s="530">
        <f t="shared" si="233"/>
        <v>4047.9001517962556</v>
      </c>
      <c r="BA123" s="530">
        <f t="shared" si="233"/>
        <v>4047.9001517962556</v>
      </c>
      <c r="BB123" s="530">
        <f t="shared" si="233"/>
        <v>4047.9001517962556</v>
      </c>
      <c r="BC123" s="530">
        <f t="shared" ref="BC123:BE123" si="291">BB123</f>
        <v>4047.9001517962556</v>
      </c>
      <c r="BD123" s="530">
        <f t="shared" si="291"/>
        <v>4047.9001517962556</v>
      </c>
      <c r="BE123" s="530">
        <f t="shared" si="291"/>
        <v>4047.9001517962556</v>
      </c>
      <c r="BF123" s="531"/>
      <c r="BG123" s="531"/>
      <c r="BH123" s="531"/>
      <c r="BI123" s="531"/>
      <c r="BJ123" s="531"/>
      <c r="BK123" s="531"/>
      <c r="BL123" s="531"/>
      <c r="BM123" s="531"/>
      <c r="BN123" s="531"/>
      <c r="BO123" s="528">
        <f t="shared" si="288"/>
        <v>194299.20728622039</v>
      </c>
      <c r="BP123" s="517">
        <f t="shared" si="148"/>
        <v>0</v>
      </c>
      <c r="BQ123" s="532">
        <f t="shared" si="235"/>
        <v>16191.600607185022</v>
      </c>
      <c r="BR123" s="532">
        <f t="shared" si="236"/>
        <v>68814.302580536329</v>
      </c>
      <c r="BS123" s="532">
        <f t="shared" si="237"/>
        <v>48574.801821555062</v>
      </c>
      <c r="BT123" s="532">
        <f t="shared" si="238"/>
        <v>48574.801821555062</v>
      </c>
      <c r="BU123" s="532">
        <f t="shared" si="239"/>
        <v>12143.700455388767</v>
      </c>
      <c r="BV123" s="532">
        <f t="shared" si="240"/>
        <v>194299.20728622028</v>
      </c>
      <c r="BW123" s="518">
        <f t="shared" si="176"/>
        <v>0</v>
      </c>
      <c r="BX123" s="535"/>
      <c r="BY123" s="535"/>
      <c r="BZ123" s="535"/>
      <c r="CA123" s="535"/>
      <c r="CB123" s="538"/>
      <c r="CC123" s="534"/>
      <c r="CD123" s="535"/>
      <c r="CE123" s="535"/>
      <c r="CF123" s="538"/>
      <c r="CG123" s="534"/>
      <c r="CH123" s="535"/>
      <c r="CI123" s="535"/>
      <c r="CJ123" s="535"/>
      <c r="CK123" s="536"/>
      <c r="CL123" s="536"/>
    </row>
    <row r="124" spans="1:90" s="537" customFormat="1" ht="13.25" customHeight="1" outlineLevel="1" x14ac:dyDescent="0.3">
      <c r="A124" s="523"/>
      <c r="B124" s="524"/>
      <c r="C124" s="525" t="str">
        <f>'CC detallado'!A166</f>
        <v>3.1.5</v>
      </c>
      <c r="D124" s="560" t="str">
        <f>'CC detallado'!F166</f>
        <v>Imprevistos</v>
      </c>
      <c r="E124" s="527">
        <f>'CC detallado'!N166</f>
        <v>0</v>
      </c>
      <c r="F124" s="593"/>
      <c r="G124" s="528"/>
      <c r="H124" s="528"/>
      <c r="I124" s="528"/>
      <c r="J124" s="528"/>
      <c r="K124" s="531"/>
      <c r="L124" s="531"/>
      <c r="M124" s="531"/>
      <c r="N124" s="531"/>
      <c r="O124" s="531"/>
      <c r="P124" s="531"/>
      <c r="Q124" s="531"/>
      <c r="R124" s="531"/>
      <c r="S124" s="531"/>
      <c r="T124" s="531"/>
      <c r="U124" s="531"/>
      <c r="V124" s="531"/>
      <c r="W124" s="531"/>
      <c r="X124" s="531"/>
      <c r="Y124" s="531"/>
      <c r="Z124" s="531"/>
      <c r="AA124" s="531"/>
      <c r="AB124" s="531"/>
      <c r="AC124" s="531"/>
      <c r="AD124" s="531"/>
      <c r="AE124" s="531"/>
      <c r="AF124" s="531"/>
      <c r="AG124" s="531"/>
      <c r="AH124" s="531"/>
      <c r="AI124" s="531"/>
      <c r="AJ124" s="531"/>
      <c r="AK124" s="531"/>
      <c r="AL124" s="531"/>
      <c r="AM124" s="531"/>
      <c r="AN124" s="531"/>
      <c r="AO124" s="531"/>
      <c r="AP124" s="531"/>
      <c r="AQ124" s="531"/>
      <c r="AR124" s="531"/>
      <c r="AS124" s="531"/>
      <c r="AT124" s="531"/>
      <c r="AU124" s="531"/>
      <c r="AV124" s="531"/>
      <c r="AW124" s="531"/>
      <c r="AX124" s="531"/>
      <c r="AY124" s="531"/>
      <c r="AZ124" s="531"/>
      <c r="BA124" s="531"/>
      <c r="BB124" s="531"/>
      <c r="BC124" s="531"/>
      <c r="BD124" s="531"/>
      <c r="BE124" s="531"/>
      <c r="BF124" s="528">
        <f>E124</f>
        <v>0</v>
      </c>
      <c r="BG124" s="531"/>
      <c r="BH124" s="531"/>
      <c r="BI124" s="531"/>
      <c r="BJ124" s="531"/>
      <c r="BK124" s="531"/>
      <c r="BL124" s="531"/>
      <c r="BM124" s="531"/>
      <c r="BN124" s="531"/>
      <c r="BO124" s="528">
        <f t="shared" si="288"/>
        <v>0</v>
      </c>
      <c r="BP124" s="517">
        <f t="shared" si="148"/>
        <v>0</v>
      </c>
      <c r="BQ124" s="532">
        <f t="shared" si="235"/>
        <v>0</v>
      </c>
      <c r="BR124" s="532">
        <f t="shared" si="236"/>
        <v>0</v>
      </c>
      <c r="BS124" s="532">
        <f t="shared" si="237"/>
        <v>0</v>
      </c>
      <c r="BT124" s="532">
        <f t="shared" si="238"/>
        <v>0</v>
      </c>
      <c r="BU124" s="532">
        <f t="shared" si="239"/>
        <v>0</v>
      </c>
      <c r="BV124" s="532">
        <f t="shared" si="240"/>
        <v>0</v>
      </c>
      <c r="BW124" s="518">
        <f t="shared" si="176"/>
        <v>0</v>
      </c>
      <c r="BX124" s="535"/>
      <c r="BY124" s="534"/>
      <c r="BZ124" s="535"/>
      <c r="CA124" s="535"/>
      <c r="CB124" s="538"/>
      <c r="CC124" s="534"/>
      <c r="CD124" s="535"/>
      <c r="CE124" s="535"/>
      <c r="CF124" s="538"/>
      <c r="CG124" s="534"/>
      <c r="CH124" s="535"/>
      <c r="CI124" s="535"/>
      <c r="CJ124" s="535"/>
      <c r="CK124" s="536"/>
      <c r="CL124" s="536"/>
    </row>
    <row r="125" spans="1:90" s="571" customFormat="1" ht="13.25" customHeight="1" x14ac:dyDescent="0.3">
      <c r="A125" s="594"/>
      <c r="B125" s="595"/>
      <c r="C125" s="582" t="str">
        <f>'CC detallado'!A167</f>
        <v>3.2</v>
      </c>
      <c r="D125" s="583" t="str">
        <f>'CC detallado'!F167</f>
        <v>Evaluaciones Intermedia y Final realizadas</v>
      </c>
      <c r="E125" s="596">
        <f>SUM(E126:E127)</f>
        <v>60000</v>
      </c>
      <c r="F125" s="585"/>
      <c r="G125" s="597">
        <f>SUM(G126:G127)</f>
        <v>0</v>
      </c>
      <c r="H125" s="597">
        <f t="shared" ref="H125:BS125" si="292">SUM(H126:H127)</f>
        <v>0</v>
      </c>
      <c r="I125" s="597">
        <f t="shared" si="292"/>
        <v>0</v>
      </c>
      <c r="J125" s="597">
        <f t="shared" si="292"/>
        <v>0</v>
      </c>
      <c r="K125" s="597">
        <f t="shared" si="292"/>
        <v>0</v>
      </c>
      <c r="L125" s="597">
        <f t="shared" si="292"/>
        <v>0</v>
      </c>
      <c r="M125" s="597">
        <f t="shared" si="292"/>
        <v>0</v>
      </c>
      <c r="N125" s="597">
        <f t="shared" si="292"/>
        <v>0</v>
      </c>
      <c r="O125" s="597">
        <f t="shared" si="292"/>
        <v>0</v>
      </c>
      <c r="P125" s="597">
        <f t="shared" si="292"/>
        <v>0</v>
      </c>
      <c r="Q125" s="597">
        <f t="shared" si="292"/>
        <v>0</v>
      </c>
      <c r="R125" s="597">
        <f t="shared" si="292"/>
        <v>0</v>
      </c>
      <c r="S125" s="597">
        <f t="shared" si="292"/>
        <v>0</v>
      </c>
      <c r="T125" s="597">
        <f t="shared" si="292"/>
        <v>0</v>
      </c>
      <c r="U125" s="597">
        <f t="shared" si="292"/>
        <v>0</v>
      </c>
      <c r="V125" s="597">
        <f t="shared" si="292"/>
        <v>0</v>
      </c>
      <c r="W125" s="597">
        <f t="shared" si="292"/>
        <v>0</v>
      </c>
      <c r="X125" s="597">
        <f t="shared" si="292"/>
        <v>0</v>
      </c>
      <c r="Y125" s="597">
        <f t="shared" si="292"/>
        <v>0</v>
      </c>
      <c r="Z125" s="597">
        <f t="shared" si="292"/>
        <v>0</v>
      </c>
      <c r="AA125" s="597">
        <f t="shared" si="292"/>
        <v>0</v>
      </c>
      <c r="AB125" s="597">
        <f t="shared" si="292"/>
        <v>0</v>
      </c>
      <c r="AC125" s="597">
        <f t="shared" si="292"/>
        <v>0</v>
      </c>
      <c r="AD125" s="597">
        <f t="shared" si="292"/>
        <v>0</v>
      </c>
      <c r="AE125" s="597">
        <f t="shared" si="292"/>
        <v>0</v>
      </c>
      <c r="AF125" s="597">
        <f t="shared" si="292"/>
        <v>0</v>
      </c>
      <c r="AG125" s="597">
        <f t="shared" si="292"/>
        <v>0</v>
      </c>
      <c r="AH125" s="597">
        <f t="shared" si="292"/>
        <v>0</v>
      </c>
      <c r="AI125" s="597">
        <f t="shared" si="292"/>
        <v>0</v>
      </c>
      <c r="AJ125" s="597">
        <f t="shared" si="292"/>
        <v>9000</v>
      </c>
      <c r="AK125" s="597">
        <f t="shared" si="292"/>
        <v>0</v>
      </c>
      <c r="AL125" s="597">
        <f t="shared" si="292"/>
        <v>12000</v>
      </c>
      <c r="AM125" s="597">
        <f t="shared" si="292"/>
        <v>9000</v>
      </c>
      <c r="AN125" s="597">
        <f t="shared" si="292"/>
        <v>0</v>
      </c>
      <c r="AO125" s="597">
        <f t="shared" si="292"/>
        <v>0</v>
      </c>
      <c r="AP125" s="597">
        <f t="shared" si="292"/>
        <v>0</v>
      </c>
      <c r="AQ125" s="597">
        <f t="shared" si="292"/>
        <v>0</v>
      </c>
      <c r="AR125" s="597">
        <f t="shared" si="292"/>
        <v>0</v>
      </c>
      <c r="AS125" s="597">
        <f t="shared" si="292"/>
        <v>0</v>
      </c>
      <c r="AT125" s="597">
        <f t="shared" si="292"/>
        <v>0</v>
      </c>
      <c r="AU125" s="597">
        <f t="shared" si="292"/>
        <v>0</v>
      </c>
      <c r="AV125" s="597">
        <f t="shared" si="292"/>
        <v>0</v>
      </c>
      <c r="AW125" s="597">
        <f t="shared" si="292"/>
        <v>0</v>
      </c>
      <c r="AX125" s="597">
        <f t="shared" si="292"/>
        <v>0</v>
      </c>
      <c r="AY125" s="597">
        <f t="shared" si="292"/>
        <v>0</v>
      </c>
      <c r="AZ125" s="597">
        <f t="shared" si="292"/>
        <v>0</v>
      </c>
      <c r="BA125" s="597">
        <f t="shared" si="292"/>
        <v>0</v>
      </c>
      <c r="BB125" s="597">
        <f t="shared" si="292"/>
        <v>0</v>
      </c>
      <c r="BC125" s="597">
        <f t="shared" si="292"/>
        <v>0</v>
      </c>
      <c r="BD125" s="597">
        <f t="shared" si="292"/>
        <v>0</v>
      </c>
      <c r="BE125" s="597">
        <f t="shared" si="292"/>
        <v>0</v>
      </c>
      <c r="BF125" s="597">
        <f t="shared" si="292"/>
        <v>0</v>
      </c>
      <c r="BG125" s="597">
        <f t="shared" si="292"/>
        <v>0</v>
      </c>
      <c r="BH125" s="597">
        <f t="shared" si="292"/>
        <v>0</v>
      </c>
      <c r="BI125" s="597">
        <f t="shared" si="292"/>
        <v>9000</v>
      </c>
      <c r="BJ125" s="597">
        <f t="shared" si="292"/>
        <v>0</v>
      </c>
      <c r="BK125" s="597">
        <f t="shared" si="292"/>
        <v>12000</v>
      </c>
      <c r="BL125" s="597">
        <f t="shared" si="292"/>
        <v>9000</v>
      </c>
      <c r="BM125" s="597">
        <f t="shared" si="292"/>
        <v>0</v>
      </c>
      <c r="BN125" s="597">
        <f t="shared" si="292"/>
        <v>0</v>
      </c>
      <c r="BO125" s="597">
        <f t="shared" si="292"/>
        <v>60000</v>
      </c>
      <c r="BP125" s="517">
        <f t="shared" si="148"/>
        <v>0</v>
      </c>
      <c r="BQ125" s="597">
        <f t="shared" si="292"/>
        <v>0</v>
      </c>
      <c r="BR125" s="597">
        <f t="shared" si="292"/>
        <v>0</v>
      </c>
      <c r="BS125" s="597">
        <f t="shared" si="292"/>
        <v>30000</v>
      </c>
      <c r="BT125" s="597">
        <f t="shared" ref="BT125:BV125" si="293">SUM(BT126:BT127)</f>
        <v>0</v>
      </c>
      <c r="BU125" s="597">
        <f t="shared" si="293"/>
        <v>30000</v>
      </c>
      <c r="BV125" s="597">
        <f t="shared" si="293"/>
        <v>60000</v>
      </c>
      <c r="BW125" s="518">
        <f t="shared" si="176"/>
        <v>0</v>
      </c>
      <c r="BX125" s="535"/>
      <c r="BY125" s="567"/>
      <c r="BZ125" s="568"/>
      <c r="CA125" s="568"/>
      <c r="CB125" s="569"/>
      <c r="CC125" s="567"/>
      <c r="CD125" s="568"/>
      <c r="CE125" s="568"/>
      <c r="CF125" s="569"/>
      <c r="CG125" s="567"/>
      <c r="CH125" s="568"/>
      <c r="CI125" s="568"/>
      <c r="CJ125" s="568"/>
      <c r="CK125" s="570"/>
      <c r="CL125" s="570"/>
    </row>
    <row r="126" spans="1:90" s="537" customFormat="1" ht="13.25" customHeight="1" outlineLevel="1" x14ac:dyDescent="0.3">
      <c r="A126" s="523"/>
      <c r="B126" s="524" t="s">
        <v>95</v>
      </c>
      <c r="C126" s="525" t="str">
        <f>'CC detallado'!A168</f>
        <v>3.2.1</v>
      </c>
      <c r="D126" s="560" t="str">
        <f>'CC detallado'!F168</f>
        <v xml:space="preserve">Evaluación Intermedia </v>
      </c>
      <c r="E126" s="527">
        <f>'CC detallado'!N168</f>
        <v>30000</v>
      </c>
      <c r="F126" s="515"/>
      <c r="G126" s="528"/>
      <c r="H126" s="528"/>
      <c r="I126" s="528"/>
      <c r="J126" s="528"/>
      <c r="K126" s="531"/>
      <c r="L126" s="531"/>
      <c r="M126" s="531"/>
      <c r="N126" s="531"/>
      <c r="O126" s="531"/>
      <c r="P126" s="531"/>
      <c r="Q126" s="531"/>
      <c r="R126" s="531"/>
      <c r="S126" s="531"/>
      <c r="T126" s="531"/>
      <c r="U126" s="531"/>
      <c r="V126" s="531"/>
      <c r="W126" s="531"/>
      <c r="X126" s="531"/>
      <c r="Y126" s="531"/>
      <c r="Z126" s="531"/>
      <c r="AA126" s="531"/>
      <c r="AB126" s="531"/>
      <c r="AC126" s="531"/>
      <c r="AD126" s="529"/>
      <c r="AE126" s="529"/>
      <c r="AF126" s="529"/>
      <c r="AG126" s="529"/>
      <c r="AH126" s="529"/>
      <c r="AI126" s="529"/>
      <c r="AJ126" s="530">
        <f>E126*30%</f>
        <v>9000</v>
      </c>
      <c r="AK126" s="530"/>
      <c r="AL126" s="530">
        <f>E126*40%</f>
        <v>12000</v>
      </c>
      <c r="AM126" s="530">
        <f>E126*30%</f>
        <v>9000</v>
      </c>
      <c r="AN126" s="531"/>
      <c r="AO126" s="531"/>
      <c r="AP126" s="531"/>
      <c r="AQ126" s="531"/>
      <c r="AR126" s="531"/>
      <c r="AS126" s="531"/>
      <c r="AT126" s="531"/>
      <c r="AU126" s="531"/>
      <c r="AV126" s="531"/>
      <c r="AW126" s="531"/>
      <c r="AX126" s="531"/>
      <c r="AY126" s="531"/>
      <c r="AZ126" s="531"/>
      <c r="BA126" s="531"/>
      <c r="BB126" s="531"/>
      <c r="BC126" s="531"/>
      <c r="BD126" s="531"/>
      <c r="BE126" s="531"/>
      <c r="BF126" s="531"/>
      <c r="BG126" s="531"/>
      <c r="BH126" s="531"/>
      <c r="BI126" s="531"/>
      <c r="BJ126" s="531"/>
      <c r="BK126" s="531"/>
      <c r="BL126" s="531"/>
      <c r="BM126" s="531"/>
      <c r="BN126" s="531"/>
      <c r="BO126" s="528">
        <f t="shared" ref="BO126:BO130" si="294">SUM(G126:BN126)</f>
        <v>30000</v>
      </c>
      <c r="BP126" s="517">
        <f t="shared" si="148"/>
        <v>0</v>
      </c>
      <c r="BQ126" s="532">
        <f t="shared" ref="BQ126:BQ127" si="295">SUM(G126:M126)</f>
        <v>0</v>
      </c>
      <c r="BR126" s="532">
        <f t="shared" ref="BR126:BR127" si="296">SUM(N126:AD126)</f>
        <v>0</v>
      </c>
      <c r="BS126" s="532">
        <f t="shared" ref="BS126:BS127" si="297">SUM(AE126:AP126)</f>
        <v>30000</v>
      </c>
      <c r="BT126" s="532">
        <f t="shared" ref="BT126:BT127" si="298">SUM(AQ126:BB126)</f>
        <v>0</v>
      </c>
      <c r="BU126" s="532">
        <f t="shared" ref="BU126:BU127" si="299">SUM(BC126:BN126)</f>
        <v>0</v>
      </c>
      <c r="BV126" s="532">
        <f t="shared" ref="BV126:BV127" si="300">SUM(BQ126:BU126)</f>
        <v>30000</v>
      </c>
      <c r="BW126" s="518">
        <f t="shared" si="176"/>
        <v>0</v>
      </c>
      <c r="BX126" s="535"/>
      <c r="BY126" s="534"/>
      <c r="BZ126" s="535"/>
      <c r="CA126" s="535"/>
      <c r="CB126" s="535"/>
      <c r="CC126" s="534"/>
      <c r="CD126" s="535"/>
      <c r="CE126" s="535"/>
      <c r="CF126" s="535"/>
      <c r="CG126" s="534"/>
      <c r="CH126" s="535"/>
      <c r="CI126" s="535"/>
      <c r="CJ126" s="535"/>
      <c r="CK126" s="536"/>
      <c r="CL126" s="536"/>
    </row>
    <row r="127" spans="1:90" s="537" customFormat="1" ht="13.25" customHeight="1" outlineLevel="1" x14ac:dyDescent="0.3">
      <c r="A127" s="523"/>
      <c r="B127" s="524" t="s">
        <v>95</v>
      </c>
      <c r="C127" s="525" t="str">
        <f>'CC detallado'!A169</f>
        <v>3.2.2</v>
      </c>
      <c r="D127" s="560" t="str">
        <f>'CC detallado'!F169</f>
        <v>Evaluación Final</v>
      </c>
      <c r="E127" s="527">
        <f>'CC detallado'!N169</f>
        <v>30000</v>
      </c>
      <c r="F127" s="592"/>
      <c r="G127" s="528"/>
      <c r="H127" s="528"/>
      <c r="I127" s="528"/>
      <c r="J127" s="528"/>
      <c r="K127" s="531"/>
      <c r="L127" s="531"/>
      <c r="M127" s="531"/>
      <c r="N127" s="531"/>
      <c r="O127" s="531"/>
      <c r="P127" s="531"/>
      <c r="Q127" s="531"/>
      <c r="R127" s="531"/>
      <c r="S127" s="531"/>
      <c r="T127" s="531"/>
      <c r="U127" s="531"/>
      <c r="V127" s="531"/>
      <c r="W127" s="531"/>
      <c r="X127" s="531"/>
      <c r="Y127" s="531"/>
      <c r="Z127" s="531"/>
      <c r="AA127" s="531"/>
      <c r="AB127" s="531"/>
      <c r="AC127" s="531"/>
      <c r="AD127" s="531"/>
      <c r="AE127" s="531"/>
      <c r="AF127" s="531"/>
      <c r="AG127" s="531"/>
      <c r="AH127" s="531"/>
      <c r="AI127" s="531"/>
      <c r="AJ127" s="531"/>
      <c r="AK127" s="531"/>
      <c r="AL127" s="531"/>
      <c r="AM127" s="531"/>
      <c r="AN127" s="531"/>
      <c r="AO127" s="531"/>
      <c r="AP127" s="531"/>
      <c r="AQ127" s="531"/>
      <c r="AR127" s="531"/>
      <c r="AS127" s="531"/>
      <c r="AT127" s="531"/>
      <c r="AU127" s="531"/>
      <c r="AV127" s="531"/>
      <c r="AW127" s="531"/>
      <c r="AX127" s="531"/>
      <c r="AY127" s="531"/>
      <c r="AZ127" s="531"/>
      <c r="BA127" s="531"/>
      <c r="BB127" s="531"/>
      <c r="BC127" s="529"/>
      <c r="BD127" s="529"/>
      <c r="BE127" s="529"/>
      <c r="BF127" s="529"/>
      <c r="BG127" s="529"/>
      <c r="BH127" s="529"/>
      <c r="BI127" s="530">
        <f>E127*30%</f>
        <v>9000</v>
      </c>
      <c r="BJ127" s="530"/>
      <c r="BK127" s="530">
        <f>E127*40%</f>
        <v>12000</v>
      </c>
      <c r="BL127" s="530">
        <f>E127*30%</f>
        <v>9000</v>
      </c>
      <c r="BM127" s="531"/>
      <c r="BN127" s="531"/>
      <c r="BO127" s="528">
        <f t="shared" si="294"/>
        <v>30000</v>
      </c>
      <c r="BP127" s="517">
        <f t="shared" si="148"/>
        <v>0</v>
      </c>
      <c r="BQ127" s="532">
        <f t="shared" si="295"/>
        <v>0</v>
      </c>
      <c r="BR127" s="532">
        <f t="shared" si="296"/>
        <v>0</v>
      </c>
      <c r="BS127" s="532">
        <f t="shared" si="297"/>
        <v>0</v>
      </c>
      <c r="BT127" s="532">
        <f t="shared" si="298"/>
        <v>0</v>
      </c>
      <c r="BU127" s="532">
        <f t="shared" si="299"/>
        <v>30000</v>
      </c>
      <c r="BV127" s="532">
        <f t="shared" si="300"/>
        <v>30000</v>
      </c>
      <c r="BW127" s="518">
        <f t="shared" si="176"/>
        <v>0</v>
      </c>
      <c r="BX127" s="533"/>
      <c r="BY127" s="534"/>
      <c r="BZ127" s="535"/>
      <c r="CA127" s="535"/>
      <c r="CB127" s="533"/>
      <c r="CC127" s="534"/>
      <c r="CD127" s="535"/>
      <c r="CE127" s="535"/>
      <c r="CF127" s="533"/>
      <c r="CG127" s="534"/>
      <c r="CH127" s="535"/>
      <c r="CI127" s="535"/>
      <c r="CJ127" s="535"/>
      <c r="CK127" s="536"/>
      <c r="CL127" s="536"/>
    </row>
    <row r="128" spans="1:90" s="571" customFormat="1" ht="13.25" customHeight="1" x14ac:dyDescent="0.3">
      <c r="A128" s="594"/>
      <c r="B128" s="595"/>
      <c r="C128" s="582" t="str">
        <f>'CC detallado'!A170</f>
        <v xml:space="preserve">3.3 </v>
      </c>
      <c r="D128" s="583" t="str">
        <f>'CC detallado'!F170</f>
        <v>Auditoria Externa del Programa realizadas</v>
      </c>
      <c r="E128" s="596">
        <f>E129</f>
        <v>100000</v>
      </c>
      <c r="F128" s="585"/>
      <c r="G128" s="597">
        <f>G129</f>
        <v>0</v>
      </c>
      <c r="H128" s="597">
        <f t="shared" ref="H128:BS128" si="301">H129</f>
        <v>0</v>
      </c>
      <c r="I128" s="597">
        <f t="shared" si="301"/>
        <v>0</v>
      </c>
      <c r="J128" s="597">
        <f t="shared" si="301"/>
        <v>0</v>
      </c>
      <c r="K128" s="597">
        <f t="shared" si="301"/>
        <v>0</v>
      </c>
      <c r="L128" s="597">
        <f t="shared" si="301"/>
        <v>0</v>
      </c>
      <c r="M128" s="597">
        <f t="shared" si="301"/>
        <v>0</v>
      </c>
      <c r="N128" s="597">
        <f t="shared" si="301"/>
        <v>0</v>
      </c>
      <c r="O128" s="597">
        <f t="shared" si="301"/>
        <v>0</v>
      </c>
      <c r="P128" s="597">
        <f t="shared" si="301"/>
        <v>0</v>
      </c>
      <c r="Q128" s="597">
        <f t="shared" si="301"/>
        <v>0</v>
      </c>
      <c r="R128" s="597">
        <f t="shared" si="301"/>
        <v>0</v>
      </c>
      <c r="S128" s="597">
        <f t="shared" si="301"/>
        <v>20000</v>
      </c>
      <c r="T128" s="597">
        <f t="shared" si="301"/>
        <v>0</v>
      </c>
      <c r="U128" s="597">
        <f t="shared" si="301"/>
        <v>0</v>
      </c>
      <c r="V128" s="597">
        <f t="shared" si="301"/>
        <v>16000</v>
      </c>
      <c r="W128" s="597">
        <f t="shared" si="301"/>
        <v>0</v>
      </c>
      <c r="X128" s="597">
        <f t="shared" si="301"/>
        <v>0</v>
      </c>
      <c r="Y128" s="597">
        <f t="shared" si="301"/>
        <v>0</v>
      </c>
      <c r="Z128" s="597">
        <f t="shared" si="301"/>
        <v>0</v>
      </c>
      <c r="AA128" s="597">
        <f t="shared" si="301"/>
        <v>0</v>
      </c>
      <c r="AB128" s="597">
        <f t="shared" si="301"/>
        <v>0</v>
      </c>
      <c r="AC128" s="597">
        <f t="shared" si="301"/>
        <v>0</v>
      </c>
      <c r="AD128" s="597">
        <f t="shared" si="301"/>
        <v>0</v>
      </c>
      <c r="AE128" s="597">
        <f t="shared" si="301"/>
        <v>0</v>
      </c>
      <c r="AF128" s="597">
        <f t="shared" si="301"/>
        <v>0</v>
      </c>
      <c r="AG128" s="597">
        <f t="shared" si="301"/>
        <v>0</v>
      </c>
      <c r="AH128" s="597">
        <f t="shared" si="301"/>
        <v>0</v>
      </c>
      <c r="AI128" s="597">
        <f t="shared" si="301"/>
        <v>16000</v>
      </c>
      <c r="AJ128" s="597">
        <f t="shared" si="301"/>
        <v>0</v>
      </c>
      <c r="AK128" s="597">
        <f t="shared" si="301"/>
        <v>0</v>
      </c>
      <c r="AL128" s="597">
        <f t="shared" si="301"/>
        <v>0</v>
      </c>
      <c r="AM128" s="597">
        <f t="shared" si="301"/>
        <v>0</v>
      </c>
      <c r="AN128" s="597">
        <f t="shared" si="301"/>
        <v>0</v>
      </c>
      <c r="AO128" s="597">
        <f t="shared" si="301"/>
        <v>0</v>
      </c>
      <c r="AP128" s="597">
        <f t="shared" si="301"/>
        <v>0</v>
      </c>
      <c r="AQ128" s="597">
        <f t="shared" si="301"/>
        <v>0</v>
      </c>
      <c r="AR128" s="597">
        <f t="shared" si="301"/>
        <v>0</v>
      </c>
      <c r="AS128" s="597">
        <f t="shared" si="301"/>
        <v>0</v>
      </c>
      <c r="AT128" s="597">
        <f t="shared" si="301"/>
        <v>16000</v>
      </c>
      <c r="AU128" s="597">
        <f t="shared" si="301"/>
        <v>0</v>
      </c>
      <c r="AV128" s="597">
        <f t="shared" si="301"/>
        <v>0</v>
      </c>
      <c r="AW128" s="597">
        <f t="shared" si="301"/>
        <v>0</v>
      </c>
      <c r="AX128" s="597">
        <f t="shared" si="301"/>
        <v>0</v>
      </c>
      <c r="AY128" s="597">
        <f t="shared" si="301"/>
        <v>0</v>
      </c>
      <c r="AZ128" s="597">
        <f t="shared" si="301"/>
        <v>0</v>
      </c>
      <c r="BA128" s="597">
        <f t="shared" si="301"/>
        <v>0</v>
      </c>
      <c r="BB128" s="597">
        <f t="shared" si="301"/>
        <v>0</v>
      </c>
      <c r="BC128" s="597">
        <f t="shared" si="301"/>
        <v>0</v>
      </c>
      <c r="BD128" s="597">
        <f t="shared" si="301"/>
        <v>0</v>
      </c>
      <c r="BE128" s="597">
        <f t="shared" si="301"/>
        <v>0</v>
      </c>
      <c r="BF128" s="597">
        <f t="shared" si="301"/>
        <v>16000</v>
      </c>
      <c r="BG128" s="597">
        <f t="shared" si="301"/>
        <v>0</v>
      </c>
      <c r="BH128" s="597">
        <f t="shared" si="301"/>
        <v>0</v>
      </c>
      <c r="BI128" s="597">
        <f t="shared" si="301"/>
        <v>0</v>
      </c>
      <c r="BJ128" s="597">
        <f t="shared" si="301"/>
        <v>0</v>
      </c>
      <c r="BK128" s="597">
        <f t="shared" si="301"/>
        <v>0</v>
      </c>
      <c r="BL128" s="597">
        <f t="shared" si="301"/>
        <v>0</v>
      </c>
      <c r="BM128" s="597">
        <f t="shared" si="301"/>
        <v>16000</v>
      </c>
      <c r="BN128" s="597">
        <f t="shared" si="301"/>
        <v>0</v>
      </c>
      <c r="BO128" s="597">
        <f t="shared" si="301"/>
        <v>100000</v>
      </c>
      <c r="BP128" s="517">
        <f t="shared" si="148"/>
        <v>0</v>
      </c>
      <c r="BQ128" s="597">
        <f t="shared" si="301"/>
        <v>0</v>
      </c>
      <c r="BR128" s="597">
        <f t="shared" si="301"/>
        <v>36000</v>
      </c>
      <c r="BS128" s="597">
        <f t="shared" si="301"/>
        <v>16000</v>
      </c>
      <c r="BT128" s="597">
        <f t="shared" ref="BT128:BV128" si="302">BT129</f>
        <v>16000</v>
      </c>
      <c r="BU128" s="597">
        <f t="shared" si="302"/>
        <v>32000</v>
      </c>
      <c r="BV128" s="597">
        <f t="shared" si="302"/>
        <v>100000</v>
      </c>
      <c r="BW128" s="518">
        <f t="shared" si="176"/>
        <v>0</v>
      </c>
      <c r="BX128" s="567"/>
      <c r="BY128" s="567"/>
      <c r="BZ128" s="568"/>
      <c r="CA128" s="568"/>
      <c r="CB128" s="569"/>
      <c r="CC128" s="567"/>
      <c r="CD128" s="568"/>
      <c r="CE128" s="568"/>
      <c r="CF128" s="569"/>
      <c r="CG128" s="567"/>
      <c r="CH128" s="568"/>
      <c r="CI128" s="568"/>
      <c r="CJ128" s="568"/>
      <c r="CK128" s="570"/>
      <c r="CL128" s="570"/>
    </row>
    <row r="129" spans="1:90" s="537" customFormat="1" ht="13.25" customHeight="1" outlineLevel="1" x14ac:dyDescent="0.3">
      <c r="A129" s="523"/>
      <c r="B129" s="524" t="s">
        <v>96</v>
      </c>
      <c r="C129" s="525" t="str">
        <f>'CC detallado'!A171</f>
        <v>3.3.1</v>
      </c>
      <c r="D129" s="560" t="str">
        <f>'CC detallado'!F171</f>
        <v>Auditoria Externa</v>
      </c>
      <c r="E129" s="527">
        <f>'CC detallado'!N171</f>
        <v>100000</v>
      </c>
      <c r="F129" s="593"/>
      <c r="G129" s="528"/>
      <c r="H129" s="531"/>
      <c r="I129" s="531"/>
      <c r="J129" s="531"/>
      <c r="K129" s="531"/>
      <c r="L129" s="529"/>
      <c r="M129" s="529"/>
      <c r="N129" s="529"/>
      <c r="O129" s="529"/>
      <c r="P129" s="529"/>
      <c r="Q129" s="529"/>
      <c r="R129" s="529"/>
      <c r="S129" s="530">
        <f>E129*20%</f>
        <v>20000</v>
      </c>
      <c r="T129" s="530"/>
      <c r="U129" s="530"/>
      <c r="V129" s="530">
        <f>(E129*80%)/5</f>
        <v>16000</v>
      </c>
      <c r="W129" s="530"/>
      <c r="X129" s="530"/>
      <c r="Y129" s="530"/>
      <c r="Z129" s="530"/>
      <c r="AA129" s="530"/>
      <c r="AB129" s="530"/>
      <c r="AC129" s="530"/>
      <c r="AD129" s="530"/>
      <c r="AE129" s="530"/>
      <c r="AF129" s="530"/>
      <c r="AG129" s="530"/>
      <c r="AH129" s="530"/>
      <c r="AI129" s="530">
        <f>V129</f>
        <v>16000</v>
      </c>
      <c r="AJ129" s="530"/>
      <c r="AK129" s="530"/>
      <c r="AL129" s="530"/>
      <c r="AM129" s="530"/>
      <c r="AN129" s="530"/>
      <c r="AO129" s="530"/>
      <c r="AP129" s="530"/>
      <c r="AQ129" s="530"/>
      <c r="AR129" s="530"/>
      <c r="AS129" s="530"/>
      <c r="AT129" s="530">
        <f>AI129</f>
        <v>16000</v>
      </c>
      <c r="AU129" s="530"/>
      <c r="AV129" s="530"/>
      <c r="AW129" s="530"/>
      <c r="AX129" s="530"/>
      <c r="AY129" s="530"/>
      <c r="AZ129" s="530"/>
      <c r="BA129" s="530"/>
      <c r="BB129" s="530"/>
      <c r="BC129" s="530"/>
      <c r="BD129" s="530"/>
      <c r="BE129" s="530"/>
      <c r="BF129" s="530">
        <f>AT129</f>
        <v>16000</v>
      </c>
      <c r="BG129" s="530"/>
      <c r="BH129" s="530"/>
      <c r="BI129" s="530"/>
      <c r="BJ129" s="530"/>
      <c r="BK129" s="530"/>
      <c r="BL129" s="530"/>
      <c r="BM129" s="530">
        <f>BF129</f>
        <v>16000</v>
      </c>
      <c r="BN129" s="530"/>
      <c r="BO129" s="528">
        <f t="shared" si="294"/>
        <v>100000</v>
      </c>
      <c r="BP129" s="517">
        <f t="shared" si="148"/>
        <v>0</v>
      </c>
      <c r="BQ129" s="532">
        <f t="shared" ref="BQ129" si="303">SUM(G129:M129)</f>
        <v>0</v>
      </c>
      <c r="BR129" s="532">
        <f t="shared" ref="BR129" si="304">SUM(N129:AD129)</f>
        <v>36000</v>
      </c>
      <c r="BS129" s="532">
        <f t="shared" ref="BS129" si="305">SUM(AE129:AP129)</f>
        <v>16000</v>
      </c>
      <c r="BT129" s="532">
        <f t="shared" ref="BT129" si="306">SUM(AQ129:BB129)</f>
        <v>16000</v>
      </c>
      <c r="BU129" s="532">
        <f t="shared" ref="BU129" si="307">SUM(BC129:BN129)</f>
        <v>32000</v>
      </c>
      <c r="BV129" s="532">
        <f t="shared" ref="BV129" si="308">SUM(BQ129:BU129)</f>
        <v>100000</v>
      </c>
      <c r="BW129" s="518">
        <f t="shared" si="176"/>
        <v>0</v>
      </c>
      <c r="BX129" s="534"/>
      <c r="BY129" s="534"/>
      <c r="BZ129" s="535"/>
      <c r="CA129" s="535"/>
      <c r="CB129" s="538"/>
      <c r="CC129" s="534"/>
      <c r="CD129" s="535"/>
      <c r="CE129" s="535"/>
      <c r="CF129" s="538"/>
      <c r="CG129" s="534"/>
      <c r="CH129" s="535"/>
      <c r="CI129" s="535"/>
      <c r="CJ129" s="535"/>
      <c r="CK129" s="536"/>
      <c r="CL129" s="536"/>
    </row>
    <row r="130" spans="1:90" s="571" customFormat="1" ht="13.25" customHeight="1" x14ac:dyDescent="0.3">
      <c r="A130" s="493"/>
      <c r="B130" s="494"/>
      <c r="C130" s="495"/>
      <c r="D130" s="496" t="str">
        <f>'CC detallado'!F172</f>
        <v>Imprevisto</v>
      </c>
      <c r="E130" s="506">
        <f>'CC detallado'!N172</f>
        <v>300000</v>
      </c>
      <c r="F130" s="507">
        <f>E130/$E$131</f>
        <v>2.0000000419182554E-2</v>
      </c>
      <c r="G130" s="579"/>
      <c r="H130" s="579"/>
      <c r="I130" s="579"/>
      <c r="J130" s="579"/>
      <c r="K130" s="579"/>
      <c r="L130" s="579"/>
      <c r="M130" s="579"/>
      <c r="N130" s="579"/>
      <c r="O130" s="579"/>
      <c r="P130" s="579"/>
      <c r="Q130" s="579"/>
      <c r="R130" s="579"/>
      <c r="S130" s="579"/>
      <c r="T130" s="579"/>
      <c r="U130" s="579"/>
      <c r="V130" s="579"/>
      <c r="W130" s="579"/>
      <c r="X130" s="579"/>
      <c r="Y130" s="579"/>
      <c r="Z130" s="579">
        <f>E130*70%</f>
        <v>210000</v>
      </c>
      <c r="AA130" s="579"/>
      <c r="AB130" s="579"/>
      <c r="AC130" s="579"/>
      <c r="AD130" s="579"/>
      <c r="AE130" s="579"/>
      <c r="AF130" s="579"/>
      <c r="AG130" s="579"/>
      <c r="AH130" s="579"/>
      <c r="AI130" s="579"/>
      <c r="AJ130" s="579"/>
      <c r="AK130" s="579"/>
      <c r="AL130" s="579"/>
      <c r="AM130" s="579"/>
      <c r="AN130" s="579"/>
      <c r="AO130" s="579"/>
      <c r="AP130" s="579"/>
      <c r="AQ130" s="579"/>
      <c r="AR130" s="579"/>
      <c r="AS130" s="579"/>
      <c r="AT130" s="579"/>
      <c r="AU130" s="579"/>
      <c r="AV130" s="579"/>
      <c r="AW130" s="579"/>
      <c r="AX130" s="579"/>
      <c r="AY130" s="579">
        <f>E130*30%</f>
        <v>90000</v>
      </c>
      <c r="AZ130" s="579"/>
      <c r="BA130" s="579"/>
      <c r="BB130" s="579"/>
      <c r="BC130" s="579"/>
      <c r="BD130" s="579"/>
      <c r="BE130" s="579"/>
      <c r="BF130" s="579"/>
      <c r="BG130" s="579"/>
      <c r="BH130" s="579"/>
      <c r="BI130" s="579"/>
      <c r="BJ130" s="579"/>
      <c r="BK130" s="579"/>
      <c r="BL130" s="579"/>
      <c r="BM130" s="579"/>
      <c r="BN130" s="579"/>
      <c r="BO130" s="579">
        <f t="shared" si="294"/>
        <v>300000</v>
      </c>
      <c r="BP130" s="517">
        <f t="shared" si="148"/>
        <v>0</v>
      </c>
      <c r="BQ130" s="497">
        <f>SUM(G130:R130)</f>
        <v>0</v>
      </c>
      <c r="BR130" s="497">
        <f>SUM(S130:AD130)</f>
        <v>210000</v>
      </c>
      <c r="BS130" s="497">
        <f>SUM(AE130:AP130)</f>
        <v>0</v>
      </c>
      <c r="BT130" s="497">
        <f>SUM(AQ130:BB130)</f>
        <v>90000</v>
      </c>
      <c r="BU130" s="497">
        <f>SUM(BC130:BN130)</f>
        <v>0</v>
      </c>
      <c r="BV130" s="497">
        <f>SUM(BQ130:BU130)</f>
        <v>300000</v>
      </c>
      <c r="BW130" s="518">
        <f t="shared" si="176"/>
        <v>0</v>
      </c>
      <c r="BX130" s="567"/>
      <c r="BY130" s="567"/>
      <c r="BZ130" s="568"/>
      <c r="CA130" s="568"/>
      <c r="CB130" s="569"/>
      <c r="CC130" s="567"/>
      <c r="CD130" s="568"/>
      <c r="CE130" s="568"/>
      <c r="CF130" s="569"/>
      <c r="CG130" s="567"/>
      <c r="CH130" s="568"/>
      <c r="CI130" s="568"/>
      <c r="CJ130" s="568"/>
      <c r="CK130" s="570"/>
      <c r="CL130" s="570"/>
    </row>
    <row r="131" spans="1:90" s="571" customFormat="1" ht="13.25" customHeight="1" x14ac:dyDescent="0.3">
      <c r="A131" s="493"/>
      <c r="B131" s="494"/>
      <c r="C131" s="495"/>
      <c r="D131" s="496" t="str">
        <f>'CC detallado'!F173</f>
        <v>Total</v>
      </c>
      <c r="E131" s="506">
        <f>E19+E83+E118+E130</f>
        <v>14999999.685613092</v>
      </c>
      <c r="F131" s="507">
        <f>E131/$E$131</f>
        <v>1</v>
      </c>
      <c r="G131" s="506">
        <f>G19+G83+G118+G130</f>
        <v>19791.982908866026</v>
      </c>
      <c r="H131" s="506">
        <f t="shared" ref="H131:BS131" si="309">H19+H83+H118+H130</f>
        <v>19791.982908866026</v>
      </c>
      <c r="I131" s="506">
        <f t="shared" si="309"/>
        <v>19791.982908866026</v>
      </c>
      <c r="J131" s="506">
        <f t="shared" si="309"/>
        <v>35477.595997076518</v>
      </c>
      <c r="K131" s="506">
        <f t="shared" si="309"/>
        <v>73858.671490414345</v>
      </c>
      <c r="L131" s="506">
        <f t="shared" si="309"/>
        <v>878199.93810679403</v>
      </c>
      <c r="M131" s="506">
        <f t="shared" si="309"/>
        <v>133034.88497810456</v>
      </c>
      <c r="N131" s="506">
        <f t="shared" si="309"/>
        <v>894430.63468294521</v>
      </c>
      <c r="O131" s="506">
        <f t="shared" si="309"/>
        <v>749892.26338930381</v>
      </c>
      <c r="P131" s="506">
        <f t="shared" si="309"/>
        <v>134032.86102802865</v>
      </c>
      <c r="Q131" s="506">
        <f t="shared" si="309"/>
        <v>120539.86052204114</v>
      </c>
      <c r="R131" s="506">
        <f t="shared" si="309"/>
        <v>492603.10896191298</v>
      </c>
      <c r="S131" s="506">
        <f t="shared" si="309"/>
        <v>146862.07280067159</v>
      </c>
      <c r="T131" s="506">
        <f t="shared" si="309"/>
        <v>1590561.9553103696</v>
      </c>
      <c r="U131" s="506">
        <f t="shared" si="309"/>
        <v>111636.6728006716</v>
      </c>
      <c r="V131" s="506">
        <f t="shared" si="309"/>
        <v>164139.62439453229</v>
      </c>
      <c r="W131" s="506">
        <f t="shared" si="309"/>
        <v>1584751.4301965225</v>
      </c>
      <c r="X131" s="506">
        <f t="shared" si="309"/>
        <v>215773.28943079471</v>
      </c>
      <c r="Y131" s="506">
        <f t="shared" si="309"/>
        <v>1628114.2582949547</v>
      </c>
      <c r="Z131" s="506">
        <f t="shared" si="309"/>
        <v>362153.05067140935</v>
      </c>
      <c r="AA131" s="506">
        <f t="shared" si="309"/>
        <v>1626207.932877515</v>
      </c>
      <c r="AB131" s="506">
        <f t="shared" si="309"/>
        <v>87892.635761643833</v>
      </c>
      <c r="AC131" s="506">
        <f t="shared" si="309"/>
        <v>1534506.5672846665</v>
      </c>
      <c r="AD131" s="506">
        <f t="shared" si="309"/>
        <v>52494.873350894406</v>
      </c>
      <c r="AE131" s="506">
        <f t="shared" si="309"/>
        <v>149057.31519044013</v>
      </c>
      <c r="AF131" s="506">
        <f t="shared" si="309"/>
        <v>145202.17218872943</v>
      </c>
      <c r="AG131" s="506">
        <f t="shared" si="309"/>
        <v>164172.20648343905</v>
      </c>
      <c r="AH131" s="506">
        <f t="shared" si="309"/>
        <v>47665.985479334922</v>
      </c>
      <c r="AI131" s="506">
        <f t="shared" si="309"/>
        <v>69737.835707029299</v>
      </c>
      <c r="AJ131" s="506">
        <f t="shared" si="309"/>
        <v>59027.260567882739</v>
      </c>
      <c r="AK131" s="506">
        <f t="shared" si="309"/>
        <v>61158.985985322441</v>
      </c>
      <c r="AL131" s="506">
        <f t="shared" si="309"/>
        <v>39426.484720353648</v>
      </c>
      <c r="AM131" s="506">
        <f t="shared" si="309"/>
        <v>79266.761326864013</v>
      </c>
      <c r="AN131" s="506">
        <f t="shared" si="309"/>
        <v>29787.759808901457</v>
      </c>
      <c r="AO131" s="506">
        <f t="shared" si="309"/>
        <v>28101.13474565302</v>
      </c>
      <c r="AP131" s="506">
        <f t="shared" si="309"/>
        <v>28101.13474565302</v>
      </c>
      <c r="AQ131" s="506">
        <f t="shared" si="309"/>
        <v>19668.00942941082</v>
      </c>
      <c r="AR131" s="506">
        <f t="shared" si="309"/>
        <v>19668.00942941082</v>
      </c>
      <c r="AS131" s="506">
        <f t="shared" si="309"/>
        <v>19668.00942941082</v>
      </c>
      <c r="AT131" s="506">
        <f t="shared" si="309"/>
        <v>41571.197150780361</v>
      </c>
      <c r="AU131" s="506">
        <f t="shared" si="309"/>
        <v>28101.13474565302</v>
      </c>
      <c r="AV131" s="506">
        <f t="shared" si="309"/>
        <v>22197.94702428348</v>
      </c>
      <c r="AW131" s="506">
        <f t="shared" si="309"/>
        <v>24727.884619156139</v>
      </c>
      <c r="AX131" s="506">
        <f t="shared" si="309"/>
        <v>19668.00942941082</v>
      </c>
      <c r="AY131" s="506">
        <f t="shared" si="309"/>
        <v>299413.32904486032</v>
      </c>
      <c r="AZ131" s="506">
        <f t="shared" si="309"/>
        <v>219533.07942435093</v>
      </c>
      <c r="BA131" s="506">
        <f t="shared" si="309"/>
        <v>44668.00942941082</v>
      </c>
      <c r="BB131" s="506">
        <f t="shared" si="309"/>
        <v>44668.00942941082</v>
      </c>
      <c r="BC131" s="506">
        <f t="shared" si="309"/>
        <v>14353.179288244224</v>
      </c>
      <c r="BD131" s="506">
        <f t="shared" si="309"/>
        <v>14353.179288244224</v>
      </c>
      <c r="BE131" s="506">
        <f t="shared" si="309"/>
        <v>14353.179288244224</v>
      </c>
      <c r="BF131" s="506">
        <f t="shared" si="309"/>
        <v>24281.329060549841</v>
      </c>
      <c r="BG131" s="506">
        <f t="shared" si="309"/>
        <v>8281.3290605498405</v>
      </c>
      <c r="BH131" s="506">
        <f t="shared" si="309"/>
        <v>8281.3290605498405</v>
      </c>
      <c r="BI131" s="506">
        <f t="shared" si="309"/>
        <v>207026.64867599934</v>
      </c>
      <c r="BJ131" s="506">
        <f t="shared" si="309"/>
        <v>198026.64867599934</v>
      </c>
      <c r="BK131" s="506">
        <f t="shared" si="309"/>
        <v>45281.329060549841</v>
      </c>
      <c r="BL131" s="506">
        <f t="shared" si="309"/>
        <v>52401.079440040477</v>
      </c>
      <c r="BM131" s="506">
        <f t="shared" si="309"/>
        <v>24281.329060549841</v>
      </c>
      <c r="BN131" s="506">
        <f t="shared" si="309"/>
        <v>8281.3290605498405</v>
      </c>
      <c r="BO131" s="506">
        <f t="shared" si="309"/>
        <v>14999999.685613094</v>
      </c>
      <c r="BP131" s="517">
        <f t="shared" si="148"/>
        <v>0</v>
      </c>
      <c r="BQ131" s="506">
        <f t="shared" si="309"/>
        <v>1559201.4102175084</v>
      </c>
      <c r="BR131" s="506">
        <f t="shared" si="309"/>
        <v>11117338.720840355</v>
      </c>
      <c r="BS131" s="506">
        <f t="shared" si="309"/>
        <v>900705.03694960312</v>
      </c>
      <c r="BT131" s="506">
        <f t="shared" ref="BT131:BV131" si="310">BT19+BT83+BT118+BT130</f>
        <v>803552.62858554919</v>
      </c>
      <c r="BU131" s="506">
        <f t="shared" si="310"/>
        <v>619201.8890200709</v>
      </c>
      <c r="BV131" s="506">
        <f t="shared" si="310"/>
        <v>14999999.685613092</v>
      </c>
      <c r="BW131" s="518">
        <f t="shared" si="176"/>
        <v>0</v>
      </c>
      <c r="BX131" s="567"/>
      <c r="BY131" s="568"/>
      <c r="BZ131" s="451"/>
      <c r="CA131" s="598"/>
      <c r="CB131" s="569"/>
      <c r="CC131" s="567"/>
      <c r="CD131" s="568"/>
      <c r="CE131" s="568"/>
      <c r="CF131" s="569"/>
      <c r="CG131" s="567"/>
      <c r="CH131" s="568"/>
      <c r="CI131" s="568"/>
      <c r="CJ131" s="568"/>
      <c r="CK131" s="570"/>
      <c r="CL131" s="570"/>
    </row>
    <row r="132" spans="1:90" ht="13.25" customHeight="1" x14ac:dyDescent="0.3">
      <c r="BW132" s="518">
        <f t="shared" si="176"/>
        <v>0</v>
      </c>
    </row>
    <row r="133" spans="1:90" ht="13.25" customHeight="1" collapsed="1" x14ac:dyDescent="0.3">
      <c r="E133" s="601"/>
      <c r="BW133" s="602"/>
    </row>
  </sheetData>
  <mergeCells count="35">
    <mergeCell ref="CF86:CI86"/>
    <mergeCell ref="BX10:CA10"/>
    <mergeCell ref="CB10:CE10"/>
    <mergeCell ref="CF10:CI10"/>
    <mergeCell ref="BC5:BE5"/>
    <mergeCell ref="BF5:BH5"/>
    <mergeCell ref="BI5:BK5"/>
    <mergeCell ref="BL5:BN5"/>
    <mergeCell ref="BX86:CA86"/>
    <mergeCell ref="CB86:CE86"/>
    <mergeCell ref="C1:F1"/>
    <mergeCell ref="C4:E4"/>
    <mergeCell ref="G4:R4"/>
    <mergeCell ref="S4:AD4"/>
    <mergeCell ref="G5:I5"/>
    <mergeCell ref="J5:L5"/>
    <mergeCell ref="M5:O5"/>
    <mergeCell ref="A3:D3"/>
    <mergeCell ref="P5:R5"/>
    <mergeCell ref="S5:U5"/>
    <mergeCell ref="V5:X5"/>
    <mergeCell ref="Y5:AA5"/>
    <mergeCell ref="AB5:AD5"/>
    <mergeCell ref="AQ5:AS5"/>
    <mergeCell ref="AE5:AG5"/>
    <mergeCell ref="AH5:AJ5"/>
    <mergeCell ref="AK5:AM5"/>
    <mergeCell ref="BO4:BO7"/>
    <mergeCell ref="BC4:BN4"/>
    <mergeCell ref="AE4:AP4"/>
    <mergeCell ref="AN5:AP5"/>
    <mergeCell ref="AQ4:BB4"/>
    <mergeCell ref="AT5:AV5"/>
    <mergeCell ref="AW5:AY5"/>
    <mergeCell ref="AZ5:BB5"/>
  </mergeCells>
  <pageMargins left="0.70866141732283472" right="0.70866141732283472" top="0.74803149606299213" bottom="0.74803149606299213" header="0.31496062992125984" footer="0.31496062992125984"/>
  <pageSetup paperSize="5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5"/>
  <sheetViews>
    <sheetView showGridLines="0" zoomScale="120" zoomScaleNormal="120" workbookViewId="0">
      <selection activeCell="A3" sqref="A3"/>
    </sheetView>
  </sheetViews>
  <sheetFormatPr defaultColWidth="11.453125" defaultRowHeight="13" x14ac:dyDescent="0.3"/>
  <cols>
    <col min="1" max="1" width="32" style="2" customWidth="1"/>
    <col min="2" max="2" width="13.08984375" style="2" customWidth="1"/>
    <col min="3" max="10" width="6.08984375" style="2" bestFit="1" customWidth="1"/>
    <col min="11" max="13" width="7.08984375" style="2" bestFit="1" customWidth="1"/>
    <col min="14" max="19" width="6.6328125" style="2" bestFit="1" customWidth="1"/>
    <col min="20" max="16384" width="11.453125" style="2"/>
  </cols>
  <sheetData>
    <row r="1" spans="1:19" x14ac:dyDescent="0.3">
      <c r="B1" s="710" t="s">
        <v>42</v>
      </c>
      <c r="C1" s="710"/>
      <c r="D1" s="710"/>
      <c r="E1" s="710" t="s">
        <v>43</v>
      </c>
      <c r="F1" s="710"/>
      <c r="G1" s="710"/>
      <c r="H1" s="710" t="s">
        <v>44</v>
      </c>
      <c r="I1" s="710"/>
      <c r="J1" s="710"/>
      <c r="K1" s="710" t="s">
        <v>45</v>
      </c>
      <c r="L1" s="710"/>
      <c r="M1" s="710"/>
      <c r="N1" s="710" t="s">
        <v>42</v>
      </c>
      <c r="O1" s="710"/>
      <c r="P1" s="710"/>
      <c r="Q1" s="710" t="s">
        <v>43</v>
      </c>
      <c r="R1" s="710"/>
      <c r="S1" s="710"/>
    </row>
    <row r="2" spans="1:19" x14ac:dyDescent="0.3">
      <c r="A2" s="3"/>
      <c r="B2" s="3" t="s">
        <v>18</v>
      </c>
      <c r="C2" s="3" t="s">
        <v>19</v>
      </c>
      <c r="D2" s="3" t="s">
        <v>20</v>
      </c>
      <c r="E2" s="3" t="s">
        <v>21</v>
      </c>
      <c r="F2" s="3" t="s">
        <v>22</v>
      </c>
      <c r="G2" s="3" t="s">
        <v>23</v>
      </c>
      <c r="H2" s="3" t="s">
        <v>24</v>
      </c>
      <c r="I2" s="3" t="s">
        <v>25</v>
      </c>
      <c r="J2" s="3" t="s">
        <v>26</v>
      </c>
      <c r="K2" s="3" t="s">
        <v>27</v>
      </c>
      <c r="L2" s="3" t="s">
        <v>28</v>
      </c>
      <c r="M2" s="3" t="s">
        <v>29</v>
      </c>
      <c r="N2" s="3" t="s">
        <v>30</v>
      </c>
      <c r="O2" s="3" t="s">
        <v>31</v>
      </c>
      <c r="P2" s="3" t="s">
        <v>33</v>
      </c>
      <c r="Q2" s="3" t="s">
        <v>34</v>
      </c>
      <c r="R2" s="3" t="s">
        <v>35</v>
      </c>
      <c r="S2" s="3" t="s">
        <v>36</v>
      </c>
    </row>
    <row r="3" spans="1:19" x14ac:dyDescent="0.3">
      <c r="A3" s="1" t="s">
        <v>10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3"/>
      <c r="O3" s="3"/>
    </row>
    <row r="4" spans="1:19" x14ac:dyDescent="0.3">
      <c r="A4" s="1" t="s">
        <v>13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3"/>
      <c r="P4" s="3"/>
    </row>
    <row r="5" spans="1:19" x14ac:dyDescent="0.3">
      <c r="A5" s="1" t="s">
        <v>15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3"/>
      <c r="P5" s="3"/>
    </row>
    <row r="6" spans="1:19" x14ac:dyDescent="0.3">
      <c r="A6" s="1" t="s">
        <v>12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"/>
      <c r="P6" s="3"/>
    </row>
    <row r="7" spans="1:19" ht="26" x14ac:dyDescent="0.3">
      <c r="A7" s="1" t="s">
        <v>16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3"/>
      <c r="P7" s="3"/>
    </row>
    <row r="8" spans="1:19" x14ac:dyDescent="0.3">
      <c r="A8" s="1" t="s">
        <v>17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3"/>
      <c r="P8" s="3"/>
    </row>
    <row r="9" spans="1:19" x14ac:dyDescent="0.3">
      <c r="A9" s="1" t="s">
        <v>11</v>
      </c>
      <c r="C9" s="3"/>
      <c r="D9" s="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9" x14ac:dyDescent="0.3">
      <c r="A10" s="1" t="s">
        <v>14</v>
      </c>
      <c r="C10" s="3"/>
      <c r="D10" s="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4" spans="1:19" x14ac:dyDescent="0.3">
      <c r="A14" s="2" t="s">
        <v>66</v>
      </c>
    </row>
    <row r="15" spans="1:19" x14ac:dyDescent="0.3">
      <c r="A15" s="2" t="s">
        <v>67</v>
      </c>
    </row>
  </sheetData>
  <mergeCells count="6"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135"/>
  <sheetViews>
    <sheetView showGridLines="0" topLeftCell="C1" zoomScale="60" zoomScaleNormal="60" zoomScaleSheetLayoutView="90" workbookViewId="0">
      <pane xSplit="3" ySplit="7" topLeftCell="F20" activePane="bottomRight" state="frozen"/>
      <selection activeCell="C1" sqref="C1"/>
      <selection pane="topRight" activeCell="F1" sqref="F1"/>
      <selection pane="bottomLeft" activeCell="C8" sqref="C8"/>
      <selection pane="bottomRight" activeCell="T144" sqref="T144"/>
    </sheetView>
  </sheetViews>
  <sheetFormatPr defaultColWidth="11.453125" defaultRowHeight="12" outlineLevelRow="1" outlineLevelCol="1" x14ac:dyDescent="0.35"/>
  <cols>
    <col min="1" max="1" width="4.81640625" style="22" customWidth="1"/>
    <col min="2" max="2" width="6.1796875" style="614" customWidth="1"/>
    <col min="3" max="3" width="7.54296875" style="615" customWidth="1"/>
    <col min="4" max="4" width="48.08984375" style="22" customWidth="1"/>
    <col min="5" max="5" width="12.6328125" style="67" customWidth="1"/>
    <col min="6" max="6" width="37.36328125" style="26" customWidth="1"/>
    <col min="7" max="7" width="35.6328125" style="26" customWidth="1"/>
    <col min="8" max="8" width="31" style="26" customWidth="1"/>
    <col min="9" max="11" width="8.81640625" style="68" customWidth="1" outlineLevel="1"/>
    <col min="12" max="13" width="9.1796875" style="68" customWidth="1" outlineLevel="1"/>
    <col min="14" max="14" width="10.36328125" style="68" customWidth="1" outlineLevel="1"/>
    <col min="15" max="15" width="9.1796875" style="68" customWidth="1" outlineLevel="1"/>
    <col min="16" max="17" width="10.36328125" style="68" customWidth="1" outlineLevel="1"/>
    <col min="18" max="19" width="9.90625" style="68" customWidth="1" outlineLevel="1"/>
    <col min="20" max="20" width="10.36328125" style="68" customWidth="1" outlineLevel="1"/>
    <col min="21" max="21" width="12.36328125" style="68" customWidth="1"/>
    <col min="22" max="23" width="20.08984375" style="15" customWidth="1"/>
    <col min="24" max="24" width="20.08984375" style="19" customWidth="1"/>
    <col min="25" max="27" width="2.90625" style="15" customWidth="1"/>
    <col min="28" max="28" width="2.90625" style="19" customWidth="1"/>
    <col min="29" max="30" width="2.90625" style="15" customWidth="1"/>
    <col min="31" max="31" width="24.54296875" style="15" customWidth="1"/>
    <col min="32" max="33" width="11.453125" style="21"/>
    <col min="34" max="16384" width="11.453125" style="5"/>
  </cols>
  <sheetData>
    <row r="1" spans="1:33" ht="18.5" x14ac:dyDescent="0.35">
      <c r="C1" s="711" t="s">
        <v>661</v>
      </c>
      <c r="D1" s="711"/>
      <c r="E1" s="711"/>
      <c r="F1" s="711"/>
      <c r="G1" s="711"/>
      <c r="H1" s="711"/>
    </row>
    <row r="3" spans="1:33" ht="12.5" thickBot="1" x14ac:dyDescent="0.4">
      <c r="A3" s="717"/>
      <c r="B3" s="717"/>
      <c r="C3" s="717"/>
      <c r="D3" s="717"/>
    </row>
    <row r="4" spans="1:33" ht="13" thickTop="1" thickBot="1" x14ac:dyDescent="0.4">
      <c r="A4" s="616"/>
      <c r="B4" s="617"/>
      <c r="C4" s="712" t="s">
        <v>819</v>
      </c>
      <c r="D4" s="712"/>
      <c r="E4" s="712"/>
      <c r="F4" s="712"/>
      <c r="G4" s="712"/>
      <c r="H4" s="712"/>
      <c r="I4" s="718" t="s">
        <v>204</v>
      </c>
      <c r="J4" s="718"/>
      <c r="K4" s="718"/>
      <c r="L4" s="718"/>
      <c r="M4" s="718"/>
      <c r="N4" s="718"/>
      <c r="O4" s="718"/>
      <c r="P4" s="718"/>
      <c r="Q4" s="718"/>
      <c r="R4" s="718"/>
      <c r="S4" s="718"/>
      <c r="T4" s="718"/>
      <c r="U4" s="715" t="s">
        <v>69</v>
      </c>
    </row>
    <row r="5" spans="1:33" ht="13" thickTop="1" thickBot="1" x14ac:dyDescent="0.4">
      <c r="A5" s="616"/>
      <c r="B5" s="617"/>
      <c r="C5" s="712"/>
      <c r="D5" s="712"/>
      <c r="E5" s="712"/>
      <c r="F5" s="712"/>
      <c r="G5" s="712"/>
      <c r="H5" s="712"/>
      <c r="I5" s="716" t="s">
        <v>37</v>
      </c>
      <c r="J5" s="716"/>
      <c r="K5" s="716"/>
      <c r="L5" s="716" t="s">
        <v>38</v>
      </c>
      <c r="M5" s="716"/>
      <c r="N5" s="716"/>
      <c r="O5" s="716" t="s">
        <v>39</v>
      </c>
      <c r="P5" s="716"/>
      <c r="Q5" s="716"/>
      <c r="R5" s="716" t="s">
        <v>40</v>
      </c>
      <c r="S5" s="716"/>
      <c r="T5" s="716"/>
      <c r="U5" s="715"/>
    </row>
    <row r="6" spans="1:33" s="367" customFormat="1" ht="13" thickTop="1" thickBot="1" x14ac:dyDescent="0.4">
      <c r="A6" s="618"/>
      <c r="B6" s="619"/>
      <c r="C6" s="712"/>
      <c r="D6" s="712"/>
      <c r="E6" s="712"/>
      <c r="F6" s="712"/>
      <c r="G6" s="712"/>
      <c r="H6" s="712"/>
      <c r="I6" s="654" t="s">
        <v>236</v>
      </c>
      <c r="J6" s="654" t="s">
        <v>237</v>
      </c>
      <c r="K6" s="654" t="s">
        <v>238</v>
      </c>
      <c r="L6" s="654" t="s">
        <v>239</v>
      </c>
      <c r="M6" s="654" t="s">
        <v>240</v>
      </c>
      <c r="N6" s="654" t="s">
        <v>241</v>
      </c>
      <c r="O6" s="654" t="s">
        <v>242</v>
      </c>
      <c r="P6" s="654" t="s">
        <v>243</v>
      </c>
      <c r="Q6" s="654" t="s">
        <v>244</v>
      </c>
      <c r="R6" s="654" t="s">
        <v>245</v>
      </c>
      <c r="S6" s="654" t="s">
        <v>246</v>
      </c>
      <c r="T6" s="654" t="s">
        <v>247</v>
      </c>
      <c r="U6" s="715"/>
      <c r="V6" s="365"/>
      <c r="W6" s="365"/>
      <c r="X6" s="364"/>
      <c r="Y6" s="365"/>
      <c r="Z6" s="365"/>
      <c r="AA6" s="365"/>
      <c r="AB6" s="364"/>
      <c r="AC6" s="365"/>
      <c r="AD6" s="365"/>
      <c r="AE6" s="365"/>
      <c r="AF6" s="366"/>
      <c r="AG6" s="366"/>
    </row>
    <row r="7" spans="1:33" s="22" customFormat="1" ht="33" customHeight="1" thickTop="1" thickBot="1" x14ac:dyDescent="0.4">
      <c r="A7" s="31" t="s">
        <v>90</v>
      </c>
      <c r="B7" s="441"/>
      <c r="C7" s="443" t="s">
        <v>90</v>
      </c>
      <c r="D7" s="444" t="s">
        <v>0</v>
      </c>
      <c r="E7" s="445" t="s">
        <v>820</v>
      </c>
      <c r="F7" s="444" t="s">
        <v>821</v>
      </c>
      <c r="G7" s="444" t="s">
        <v>841</v>
      </c>
      <c r="H7" s="444" t="s">
        <v>854</v>
      </c>
      <c r="I7" s="655" t="s">
        <v>18</v>
      </c>
      <c r="J7" s="655" t="s">
        <v>19</v>
      </c>
      <c r="K7" s="655" t="s">
        <v>20</v>
      </c>
      <c r="L7" s="655" t="s">
        <v>21</v>
      </c>
      <c r="M7" s="655" t="s">
        <v>22</v>
      </c>
      <c r="N7" s="655" t="s">
        <v>23</v>
      </c>
      <c r="O7" s="655" t="s">
        <v>24</v>
      </c>
      <c r="P7" s="655" t="s">
        <v>25</v>
      </c>
      <c r="Q7" s="655" t="s">
        <v>26</v>
      </c>
      <c r="R7" s="655" t="s">
        <v>27</v>
      </c>
      <c r="S7" s="655" t="s">
        <v>28</v>
      </c>
      <c r="T7" s="655" t="s">
        <v>29</v>
      </c>
      <c r="U7" s="715"/>
      <c r="V7" s="23"/>
      <c r="W7" s="23"/>
      <c r="X7" s="24"/>
      <c r="Y7" s="23"/>
      <c r="Z7" s="23"/>
      <c r="AA7" s="23"/>
      <c r="AB7" s="24"/>
      <c r="AC7" s="23"/>
      <c r="AD7" s="23"/>
      <c r="AE7" s="23"/>
      <c r="AF7" s="25"/>
      <c r="AG7" s="25"/>
    </row>
    <row r="8" spans="1:33" ht="12.5" thickTop="1" x14ac:dyDescent="0.35">
      <c r="A8" s="620"/>
      <c r="B8" s="621"/>
      <c r="C8" s="622"/>
      <c r="D8" s="623" t="str">
        <f>'CC detallado'!F5</f>
        <v>A. Planificación</v>
      </c>
      <c r="E8" s="442">
        <v>0</v>
      </c>
      <c r="F8" s="623"/>
      <c r="G8" s="623"/>
      <c r="H8" s="623"/>
      <c r="I8" s="623"/>
      <c r="J8" s="623"/>
      <c r="K8" s="623"/>
      <c r="L8" s="623"/>
      <c r="M8" s="623"/>
      <c r="N8" s="623"/>
      <c r="O8" s="623"/>
      <c r="P8" s="623"/>
      <c r="Q8" s="623"/>
      <c r="R8" s="623"/>
      <c r="S8" s="623"/>
      <c r="T8" s="623"/>
      <c r="U8" s="623"/>
    </row>
    <row r="9" spans="1:33" outlineLevel="1" x14ac:dyDescent="0.35">
      <c r="A9" s="625"/>
      <c r="B9" s="626"/>
      <c r="C9" s="627"/>
      <c r="D9" s="628" t="str">
        <f>'CC detallado'!F6</f>
        <v xml:space="preserve">Revisión bibliográfica (Propuesta de la nueva metodología). </v>
      </c>
      <c r="E9" s="53">
        <v>0</v>
      </c>
      <c r="F9" s="628"/>
      <c r="G9" s="628"/>
      <c r="H9" s="628"/>
      <c r="I9" s="628"/>
      <c r="J9" s="628"/>
      <c r="K9" s="628"/>
      <c r="L9" s="628"/>
      <c r="M9" s="628"/>
      <c r="N9" s="628"/>
      <c r="O9" s="628"/>
      <c r="P9" s="628"/>
      <c r="Q9" s="628"/>
      <c r="R9" s="628"/>
      <c r="S9" s="628"/>
      <c r="T9" s="628"/>
      <c r="U9" s="628"/>
    </row>
    <row r="10" spans="1:33" outlineLevel="1" x14ac:dyDescent="0.35">
      <c r="A10" s="625"/>
      <c r="B10" s="626"/>
      <c r="C10" s="627"/>
      <c r="D10" s="628" t="str">
        <f>'CC detallado'!F7</f>
        <v xml:space="preserve">Definición de actividades para el operativo. </v>
      </c>
      <c r="E10" s="53">
        <v>0</v>
      </c>
      <c r="F10" s="628"/>
      <c r="G10" s="628"/>
      <c r="H10" s="628"/>
      <c r="I10" s="628"/>
      <c r="J10" s="628"/>
      <c r="K10" s="628"/>
      <c r="L10" s="628"/>
      <c r="M10" s="628"/>
      <c r="N10" s="628"/>
      <c r="O10" s="628"/>
      <c r="P10" s="628"/>
      <c r="Q10" s="628"/>
      <c r="R10" s="628"/>
      <c r="S10" s="628"/>
      <c r="T10" s="628"/>
      <c r="U10" s="628"/>
      <c r="V10" s="603"/>
      <c r="W10" s="713"/>
      <c r="X10" s="713"/>
      <c r="Y10" s="713"/>
      <c r="Z10" s="713"/>
      <c r="AA10" s="713"/>
      <c r="AB10" s="713"/>
      <c r="AC10" s="713"/>
      <c r="AD10" s="713"/>
    </row>
    <row r="11" spans="1:33" outlineLevel="1" x14ac:dyDescent="0.35">
      <c r="A11" s="625"/>
      <c r="B11" s="626"/>
      <c r="C11" s="627"/>
      <c r="D11" s="628" t="str">
        <f>'CC detallado'!F8</f>
        <v>Elaboración de presupuesto.</v>
      </c>
      <c r="E11" s="53">
        <v>0</v>
      </c>
      <c r="F11" s="628"/>
      <c r="G11" s="628"/>
      <c r="H11" s="628"/>
      <c r="I11" s="628"/>
      <c r="J11" s="628"/>
      <c r="K11" s="628"/>
      <c r="L11" s="628"/>
      <c r="M11" s="628"/>
      <c r="N11" s="628"/>
      <c r="O11" s="628"/>
      <c r="P11" s="628"/>
      <c r="Q11" s="628"/>
      <c r="R11" s="628"/>
      <c r="S11" s="628"/>
      <c r="T11" s="628"/>
      <c r="U11" s="628"/>
    </row>
    <row r="12" spans="1:33" outlineLevel="1" x14ac:dyDescent="0.35">
      <c r="A12" s="625"/>
      <c r="B12" s="626"/>
      <c r="C12" s="627"/>
      <c r="D12" s="628" t="str">
        <f>'CC detallado'!F9</f>
        <v>Elaboración de cronogramas de actividades.</v>
      </c>
      <c r="E12" s="53">
        <v>0</v>
      </c>
      <c r="F12" s="628"/>
      <c r="G12" s="628"/>
      <c r="H12" s="628"/>
      <c r="I12" s="628"/>
      <c r="J12" s="628"/>
      <c r="K12" s="628"/>
      <c r="L12" s="628"/>
      <c r="M12" s="628"/>
      <c r="N12" s="628"/>
      <c r="O12" s="628"/>
      <c r="P12" s="628"/>
      <c r="Q12" s="628"/>
      <c r="R12" s="628"/>
      <c r="S12" s="628"/>
      <c r="T12" s="628"/>
      <c r="U12" s="628"/>
    </row>
    <row r="13" spans="1:33" outlineLevel="1" x14ac:dyDescent="0.35">
      <c r="A13" s="625"/>
      <c r="B13" s="626"/>
      <c r="C13" s="627"/>
      <c r="D13" s="628" t="str">
        <f>'CC detallado'!F10</f>
        <v>Elaboración del plan operativo (Proyecto CAN 2018)</v>
      </c>
      <c r="E13" s="53">
        <v>0</v>
      </c>
      <c r="F13" s="628"/>
      <c r="G13" s="628"/>
      <c r="H13" s="628"/>
      <c r="I13" s="628"/>
      <c r="J13" s="628"/>
      <c r="K13" s="628"/>
      <c r="L13" s="628"/>
      <c r="M13" s="628"/>
      <c r="N13" s="628"/>
      <c r="O13" s="628"/>
      <c r="P13" s="628"/>
      <c r="Q13" s="628"/>
      <c r="R13" s="628"/>
      <c r="S13" s="628"/>
      <c r="T13" s="628"/>
      <c r="U13" s="628"/>
    </row>
    <row r="14" spans="1:33" outlineLevel="1" x14ac:dyDescent="0.35">
      <c r="A14" s="625"/>
      <c r="B14" s="626"/>
      <c r="C14" s="627"/>
      <c r="D14" s="628" t="str">
        <f>'CC detallado'!F11</f>
        <v>Gestión de recursos (Cooperantes)</v>
      </c>
      <c r="E14" s="53">
        <v>0</v>
      </c>
      <c r="F14" s="628"/>
      <c r="G14" s="628"/>
      <c r="H14" s="628"/>
      <c r="I14" s="628"/>
      <c r="J14" s="628"/>
      <c r="K14" s="628"/>
      <c r="L14" s="628"/>
      <c r="M14" s="628"/>
      <c r="N14" s="628"/>
      <c r="O14" s="628"/>
      <c r="P14" s="628"/>
      <c r="Q14" s="628"/>
      <c r="R14" s="628"/>
      <c r="S14" s="628"/>
      <c r="T14" s="628"/>
      <c r="U14" s="628"/>
    </row>
    <row r="15" spans="1:33" outlineLevel="1" x14ac:dyDescent="0.35">
      <c r="A15" s="625"/>
      <c r="B15" s="626"/>
      <c r="C15" s="627"/>
      <c r="D15" s="628" t="str">
        <f>'CC detallado'!F12</f>
        <v>Gestión de las documentaciones legales para el censo.</v>
      </c>
      <c r="E15" s="53">
        <v>0</v>
      </c>
      <c r="F15" s="628"/>
      <c r="G15" s="628"/>
      <c r="H15" s="628"/>
      <c r="I15" s="628"/>
      <c r="J15" s="628"/>
      <c r="K15" s="628"/>
      <c r="L15" s="628"/>
      <c r="M15" s="628"/>
      <c r="N15" s="628"/>
      <c r="O15" s="628"/>
      <c r="P15" s="628"/>
      <c r="Q15" s="628"/>
      <c r="R15" s="628"/>
      <c r="S15" s="628"/>
      <c r="T15" s="628"/>
      <c r="U15" s="628"/>
    </row>
    <row r="16" spans="1:33" outlineLevel="1" x14ac:dyDescent="0.35">
      <c r="A16" s="625"/>
      <c r="B16" s="626"/>
      <c r="C16" s="627"/>
      <c r="D16" s="628" t="str">
        <f>'CC detallado'!F13</f>
        <v>Conformación de la Comisión Nacional CAN 2018.</v>
      </c>
      <c r="E16" s="53">
        <v>0</v>
      </c>
      <c r="F16" s="628"/>
      <c r="G16" s="628"/>
      <c r="H16" s="628"/>
      <c r="I16" s="628"/>
      <c r="J16" s="628"/>
      <c r="K16" s="628"/>
      <c r="L16" s="628"/>
      <c r="M16" s="628"/>
      <c r="N16" s="628"/>
      <c r="O16" s="628"/>
      <c r="P16" s="628"/>
      <c r="Q16" s="628"/>
      <c r="R16" s="628"/>
      <c r="S16" s="628"/>
      <c r="T16" s="628"/>
      <c r="U16" s="628"/>
    </row>
    <row r="17" spans="1:33" outlineLevel="1" x14ac:dyDescent="0.35">
      <c r="A17" s="625"/>
      <c r="B17" s="626"/>
      <c r="C17" s="627"/>
      <c r="D17" s="628" t="str">
        <f>'CC detallado'!F14</f>
        <v>Socialización y validación de la nueva metodología y presupuesto.</v>
      </c>
      <c r="E17" s="53">
        <v>0</v>
      </c>
      <c r="F17" s="628"/>
      <c r="G17" s="628"/>
      <c r="H17" s="628"/>
      <c r="I17" s="628"/>
      <c r="J17" s="628"/>
      <c r="K17" s="628"/>
      <c r="L17" s="628"/>
      <c r="M17" s="628"/>
      <c r="N17" s="628"/>
      <c r="O17" s="628"/>
      <c r="P17" s="628"/>
      <c r="Q17" s="628"/>
      <c r="R17" s="628"/>
      <c r="S17" s="628"/>
      <c r="T17" s="628"/>
      <c r="U17" s="628"/>
    </row>
    <row r="18" spans="1:33" outlineLevel="1" x14ac:dyDescent="0.35">
      <c r="A18" s="625"/>
      <c r="B18" s="626"/>
      <c r="C18" s="627"/>
      <c r="D18" s="628" t="str">
        <f>'CC detallado'!F15</f>
        <v xml:space="preserve">Validación del plan Operativo  y  boleta censal. </v>
      </c>
      <c r="E18" s="53">
        <v>0</v>
      </c>
      <c r="F18" s="628"/>
      <c r="G18" s="628"/>
      <c r="H18" s="628"/>
      <c r="I18" s="628"/>
      <c r="J18" s="628"/>
      <c r="K18" s="628"/>
      <c r="L18" s="628"/>
      <c r="M18" s="628"/>
      <c r="N18" s="628"/>
      <c r="O18" s="628"/>
      <c r="P18" s="628"/>
      <c r="Q18" s="628"/>
      <c r="R18" s="628"/>
      <c r="S18" s="628"/>
      <c r="T18" s="628"/>
      <c r="U18" s="628"/>
    </row>
    <row r="19" spans="1:33" ht="24" x14ac:dyDescent="0.35">
      <c r="A19" s="620"/>
      <c r="B19" s="621"/>
      <c r="C19" s="629">
        <f>'CC detallado'!A16</f>
        <v>1</v>
      </c>
      <c r="D19" s="624" t="str">
        <f>'CC detallado'!F16</f>
        <v>Componente 1 - Diseño e implementación del Sistema del Censo Agropecuario</v>
      </c>
      <c r="E19" s="54">
        <f>E20+E29+E73+E77</f>
        <v>10319559.142013833</v>
      </c>
      <c r="F19" s="624"/>
      <c r="G19" s="624"/>
      <c r="H19" s="624"/>
      <c r="I19" s="76">
        <f t="shared" ref="I19:U19" si="0">I20+I29+I73+I77</f>
        <v>19791.982908866026</v>
      </c>
      <c r="J19" s="76">
        <f t="shared" si="0"/>
        <v>19791.982908866026</v>
      </c>
      <c r="K19" s="76">
        <f t="shared" si="0"/>
        <v>19791.982908866026</v>
      </c>
      <c r="L19" s="76">
        <f t="shared" si="0"/>
        <v>24851.858098611345</v>
      </c>
      <c r="M19" s="76">
        <f t="shared" si="0"/>
        <v>38007.533591949177</v>
      </c>
      <c r="N19" s="76">
        <f t="shared" si="0"/>
        <v>63977.03373843513</v>
      </c>
      <c r="O19" s="76">
        <f t="shared" si="0"/>
        <v>80505.959358269844</v>
      </c>
      <c r="P19" s="76">
        <f t="shared" si="0"/>
        <v>80505.959358269844</v>
      </c>
      <c r="Q19" s="76">
        <f t="shared" si="0"/>
        <v>178330.21302667935</v>
      </c>
      <c r="R19" s="76">
        <f t="shared" si="0"/>
        <v>90794.372244085331</v>
      </c>
      <c r="S19" s="76">
        <f t="shared" si="0"/>
        <v>87421.122117588442</v>
      </c>
      <c r="T19" s="76">
        <f t="shared" si="0"/>
        <v>234157.50262020272</v>
      </c>
      <c r="U19" s="76">
        <f t="shared" si="0"/>
        <v>937927.50288068922</v>
      </c>
    </row>
    <row r="20" spans="1:33" s="169" customFormat="1" x14ac:dyDescent="0.35">
      <c r="A20" s="65"/>
      <c r="B20" s="175"/>
      <c r="C20" s="432" t="str">
        <f>'CC detallado'!A17</f>
        <v>1.1</v>
      </c>
      <c r="D20" s="65" t="str">
        <f>'CC detallado'!F17</f>
        <v>Producto 1: Cartografía actualizada</v>
      </c>
      <c r="E20" s="131">
        <f>SUM(E21:E28)</f>
        <v>596896.60988362285</v>
      </c>
      <c r="F20" s="65"/>
      <c r="G20" s="65"/>
      <c r="H20" s="65"/>
      <c r="I20" s="165">
        <f>SUM(I21:I28)</f>
        <v>0</v>
      </c>
      <c r="J20" s="165">
        <f t="shared" ref="J20:U20" si="1">SUM(J21:J28)</f>
        <v>0</v>
      </c>
      <c r="K20" s="165">
        <f t="shared" si="1"/>
        <v>0</v>
      </c>
      <c r="L20" s="165">
        <f t="shared" si="1"/>
        <v>0</v>
      </c>
      <c r="M20" s="165">
        <f t="shared" si="1"/>
        <v>0</v>
      </c>
      <c r="N20" s="165">
        <f t="shared" si="1"/>
        <v>4844.14407700424</v>
      </c>
      <c r="O20" s="165">
        <f t="shared" si="1"/>
        <v>31492.82007632959</v>
      </c>
      <c r="P20" s="165">
        <f t="shared" si="1"/>
        <v>31492.82007632959</v>
      </c>
      <c r="Q20" s="165">
        <f t="shared" si="1"/>
        <v>31492.82007632959</v>
      </c>
      <c r="R20" s="165">
        <f t="shared" si="1"/>
        <v>37227.345291374288</v>
      </c>
      <c r="S20" s="165">
        <f t="shared" si="1"/>
        <v>37227.345291374288</v>
      </c>
      <c r="T20" s="165">
        <f t="shared" si="1"/>
        <v>37227.345291374288</v>
      </c>
      <c r="U20" s="165">
        <f t="shared" si="1"/>
        <v>211004.64018011588</v>
      </c>
      <c r="V20" s="166"/>
      <c r="W20" s="166"/>
      <c r="X20" s="167"/>
      <c r="Y20" s="166"/>
      <c r="Z20" s="166"/>
      <c r="AA20" s="166"/>
      <c r="AB20" s="167"/>
      <c r="AC20" s="166"/>
      <c r="AD20" s="166"/>
      <c r="AE20" s="166"/>
      <c r="AF20" s="168"/>
      <c r="AG20" s="168"/>
    </row>
    <row r="21" spans="1:33" s="151" customFormat="1" outlineLevel="1" x14ac:dyDescent="0.35">
      <c r="A21" s="630"/>
      <c r="B21" s="631" t="s">
        <v>91</v>
      </c>
      <c r="C21" s="632" t="str">
        <f>'CC detallado'!A18</f>
        <v>1.1.1</v>
      </c>
      <c r="D21" s="630" t="str">
        <f>'CC detallado'!F18</f>
        <v>Técnico en SIG - Coordinador de Campo</v>
      </c>
      <c r="E21" s="133">
        <f>'CC detallado'!N18</f>
        <v>16191.600607185022</v>
      </c>
      <c r="F21" s="630" t="s">
        <v>822</v>
      </c>
      <c r="G21" s="630" t="s">
        <v>842</v>
      </c>
      <c r="H21" s="630" t="s">
        <v>855</v>
      </c>
      <c r="I21" s="144"/>
      <c r="J21" s="144"/>
      <c r="K21" s="144"/>
      <c r="L21" s="144"/>
      <c r="M21" s="146"/>
      <c r="N21" s="146"/>
      <c r="O21" s="147">
        <f>E21/12</f>
        <v>1349.3000505987518</v>
      </c>
      <c r="P21" s="147">
        <f t="shared" ref="P21:T28" si="2">O21</f>
        <v>1349.3000505987518</v>
      </c>
      <c r="Q21" s="147">
        <f t="shared" si="2"/>
        <v>1349.3000505987518</v>
      </c>
      <c r="R21" s="147">
        <f t="shared" si="2"/>
        <v>1349.3000505987518</v>
      </c>
      <c r="S21" s="147">
        <f t="shared" si="2"/>
        <v>1349.3000505987518</v>
      </c>
      <c r="T21" s="147">
        <f t="shared" si="2"/>
        <v>1349.3000505987518</v>
      </c>
      <c r="U21" s="144">
        <f t="shared" ref="U21:U28" si="3">SUM(I21:T21)</f>
        <v>8095.8003035925112</v>
      </c>
      <c r="V21" s="148"/>
      <c r="W21" s="152"/>
      <c r="X21" s="149"/>
      <c r="Y21" s="148"/>
      <c r="Z21" s="148"/>
      <c r="AA21" s="152"/>
      <c r="AB21" s="149"/>
      <c r="AC21" s="148"/>
      <c r="AD21" s="148"/>
      <c r="AE21" s="148"/>
      <c r="AF21" s="150"/>
      <c r="AG21" s="150"/>
    </row>
    <row r="22" spans="1:33" s="151" customFormat="1" outlineLevel="1" x14ac:dyDescent="0.35">
      <c r="A22" s="630"/>
      <c r="B22" s="631" t="s">
        <v>91</v>
      </c>
      <c r="C22" s="632" t="str">
        <f>'CC detallado'!A19</f>
        <v>1.1.2</v>
      </c>
      <c r="D22" s="630" t="str">
        <f>'CC detallado'!F19</f>
        <v>Técnico en SIG - Supervisor de Campo</v>
      </c>
      <c r="E22" s="133">
        <f>'CC detallado'!N19</f>
        <v>20239.500758981278</v>
      </c>
      <c r="F22" s="630" t="s">
        <v>822</v>
      </c>
      <c r="G22" s="630" t="s">
        <v>842</v>
      </c>
      <c r="H22" s="630" t="s">
        <v>855</v>
      </c>
      <c r="I22" s="144"/>
      <c r="J22" s="144"/>
      <c r="K22" s="144"/>
      <c r="L22" s="144"/>
      <c r="M22" s="146"/>
      <c r="N22" s="146"/>
      <c r="O22" s="147">
        <f>E22/12</f>
        <v>1686.6250632484398</v>
      </c>
      <c r="P22" s="147">
        <f t="shared" si="2"/>
        <v>1686.6250632484398</v>
      </c>
      <c r="Q22" s="147">
        <f t="shared" si="2"/>
        <v>1686.6250632484398</v>
      </c>
      <c r="R22" s="147">
        <f t="shared" si="2"/>
        <v>1686.6250632484398</v>
      </c>
      <c r="S22" s="147">
        <f t="shared" si="2"/>
        <v>1686.6250632484398</v>
      </c>
      <c r="T22" s="147">
        <f t="shared" si="2"/>
        <v>1686.6250632484398</v>
      </c>
      <c r="U22" s="144">
        <f t="shared" si="3"/>
        <v>10119.750379490641</v>
      </c>
      <c r="V22" s="148"/>
      <c r="W22" s="153"/>
      <c r="X22" s="149"/>
      <c r="Y22" s="148"/>
      <c r="Z22" s="148"/>
      <c r="AA22" s="153"/>
      <c r="AB22" s="149"/>
      <c r="AC22" s="148"/>
      <c r="AD22" s="148"/>
      <c r="AE22" s="148"/>
      <c r="AF22" s="150"/>
      <c r="AG22" s="150"/>
    </row>
    <row r="23" spans="1:33" s="151" customFormat="1" outlineLevel="1" x14ac:dyDescent="0.35">
      <c r="A23" s="630"/>
      <c r="B23" s="631" t="s">
        <v>91</v>
      </c>
      <c r="C23" s="633" t="str">
        <f>'CC detallado'!A20</f>
        <v>1.1.3</v>
      </c>
      <c r="D23" s="634" t="str">
        <f>'CC detallado'!F20</f>
        <v>Técnico en SIG - Supervisor en Gabinete</v>
      </c>
      <c r="E23" s="133">
        <f>'CC detallado'!N20</f>
        <v>20239.500758981278</v>
      </c>
      <c r="F23" s="634" t="s">
        <v>822</v>
      </c>
      <c r="G23" s="634" t="s">
        <v>842</v>
      </c>
      <c r="H23" s="630" t="s">
        <v>855</v>
      </c>
      <c r="I23" s="144"/>
      <c r="J23" s="144"/>
      <c r="K23" s="144"/>
      <c r="L23" s="144"/>
      <c r="M23" s="144"/>
      <c r="N23" s="144"/>
      <c r="O23" s="144"/>
      <c r="P23" s="146"/>
      <c r="Q23" s="146"/>
      <c r="R23" s="147">
        <f>E23/12</f>
        <v>1686.6250632484398</v>
      </c>
      <c r="S23" s="147">
        <f t="shared" si="2"/>
        <v>1686.6250632484398</v>
      </c>
      <c r="T23" s="147">
        <f t="shared" si="2"/>
        <v>1686.6250632484398</v>
      </c>
      <c r="U23" s="144">
        <f t="shared" si="3"/>
        <v>5059.8751897453194</v>
      </c>
      <c r="V23" s="148"/>
      <c r="W23" s="153"/>
      <c r="X23" s="149"/>
      <c r="Y23" s="148"/>
      <c r="Z23" s="148"/>
      <c r="AA23" s="153"/>
      <c r="AB23" s="149"/>
      <c r="AC23" s="148"/>
      <c r="AD23" s="148"/>
      <c r="AE23" s="148"/>
      <c r="AF23" s="150"/>
      <c r="AG23" s="150"/>
    </row>
    <row r="24" spans="1:33" s="151" customFormat="1" outlineLevel="1" x14ac:dyDescent="0.35">
      <c r="A24" s="630"/>
      <c r="B24" s="631" t="s">
        <v>91</v>
      </c>
      <c r="C24" s="633" t="str">
        <f>'CC detallado'!A21</f>
        <v>1.1.4</v>
      </c>
      <c r="D24" s="634" t="str">
        <f>'CC detallado'!F21</f>
        <v>Técnicos en SIG - Gabinete</v>
      </c>
      <c r="E24" s="133">
        <f>'CC detallado'!N21</f>
        <v>48574.801821555069</v>
      </c>
      <c r="F24" s="634" t="s">
        <v>822</v>
      </c>
      <c r="G24" s="634" t="s">
        <v>842</v>
      </c>
      <c r="H24" s="630" t="s">
        <v>855</v>
      </c>
      <c r="I24" s="144"/>
      <c r="J24" s="144"/>
      <c r="K24" s="144"/>
      <c r="L24" s="144"/>
      <c r="M24" s="144"/>
      <c r="N24" s="144"/>
      <c r="O24" s="144"/>
      <c r="P24" s="146"/>
      <c r="Q24" s="146"/>
      <c r="R24" s="147">
        <f>E24/12</f>
        <v>4047.9001517962556</v>
      </c>
      <c r="S24" s="147">
        <f t="shared" si="2"/>
        <v>4047.9001517962556</v>
      </c>
      <c r="T24" s="147">
        <f t="shared" si="2"/>
        <v>4047.9001517962556</v>
      </c>
      <c r="U24" s="144">
        <f t="shared" si="3"/>
        <v>12143.700455388767</v>
      </c>
      <c r="V24" s="148"/>
      <c r="W24" s="153"/>
      <c r="X24" s="149"/>
      <c r="Y24" s="148"/>
      <c r="Z24" s="148"/>
      <c r="AA24" s="153"/>
      <c r="AB24" s="149"/>
      <c r="AC24" s="148"/>
      <c r="AD24" s="148"/>
      <c r="AE24" s="148"/>
      <c r="AF24" s="150"/>
      <c r="AG24" s="150"/>
    </row>
    <row r="25" spans="1:33" s="151" customFormat="1" outlineLevel="1" x14ac:dyDescent="0.35">
      <c r="A25" s="630"/>
      <c r="B25" s="631" t="s">
        <v>92</v>
      </c>
      <c r="C25" s="632" t="str">
        <f>'CC detallado'!A22</f>
        <v>1.1.5</v>
      </c>
      <c r="D25" s="630" t="str">
        <f>'CC detallado'!F22</f>
        <v>Viáticos - Técnicos actualizadores de Campo</v>
      </c>
      <c r="E25" s="133">
        <f>'CC detallado'!N22</f>
        <v>141676.50531286895</v>
      </c>
      <c r="F25" s="630" t="s">
        <v>843</v>
      </c>
      <c r="G25" s="630" t="s">
        <v>852</v>
      </c>
      <c r="H25" s="630" t="s">
        <v>857</v>
      </c>
      <c r="I25" s="144"/>
      <c r="J25" s="144"/>
      <c r="K25" s="144"/>
      <c r="L25" s="144"/>
      <c r="M25" s="146"/>
      <c r="N25" s="146"/>
      <c r="O25" s="147">
        <f>E25/12</f>
        <v>11806.37544273908</v>
      </c>
      <c r="P25" s="147">
        <f t="shared" si="2"/>
        <v>11806.37544273908</v>
      </c>
      <c r="Q25" s="147">
        <f t="shared" si="2"/>
        <v>11806.37544273908</v>
      </c>
      <c r="R25" s="147">
        <f t="shared" si="2"/>
        <v>11806.37544273908</v>
      </c>
      <c r="S25" s="147">
        <f t="shared" si="2"/>
        <v>11806.37544273908</v>
      </c>
      <c r="T25" s="147">
        <f t="shared" si="2"/>
        <v>11806.37544273908</v>
      </c>
      <c r="U25" s="144">
        <f t="shared" si="3"/>
        <v>70838.252656434473</v>
      </c>
      <c r="V25" s="148"/>
      <c r="W25" s="153"/>
      <c r="X25" s="149"/>
      <c r="Y25" s="148"/>
      <c r="Z25" s="148"/>
      <c r="AA25" s="153"/>
      <c r="AB25" s="149"/>
      <c r="AC25" s="148"/>
      <c r="AD25" s="148"/>
      <c r="AE25" s="148"/>
      <c r="AF25" s="150"/>
      <c r="AG25" s="150"/>
    </row>
    <row r="26" spans="1:33" s="151" customFormat="1" outlineLevel="1" x14ac:dyDescent="0.35">
      <c r="A26" s="630"/>
      <c r="B26" s="631" t="s">
        <v>92</v>
      </c>
      <c r="C26" s="632" t="str">
        <f>'CC detallado'!A23</f>
        <v>1.1.6</v>
      </c>
      <c r="D26" s="630" t="str">
        <f>'CC detallado'!F23</f>
        <v>Viáticos - Conductores de vehículos</v>
      </c>
      <c r="E26" s="133">
        <f>'CC detallado'!N23</f>
        <v>141676.50531286895</v>
      </c>
      <c r="F26" s="630" t="s">
        <v>843</v>
      </c>
      <c r="G26" s="630" t="s">
        <v>852</v>
      </c>
      <c r="H26" s="630" t="s">
        <v>857</v>
      </c>
      <c r="I26" s="144"/>
      <c r="J26" s="144"/>
      <c r="K26" s="144"/>
      <c r="L26" s="144"/>
      <c r="M26" s="146"/>
      <c r="N26" s="146"/>
      <c r="O26" s="147">
        <f>E26/12</f>
        <v>11806.37544273908</v>
      </c>
      <c r="P26" s="147">
        <f t="shared" si="2"/>
        <v>11806.37544273908</v>
      </c>
      <c r="Q26" s="147">
        <f t="shared" si="2"/>
        <v>11806.37544273908</v>
      </c>
      <c r="R26" s="147">
        <f t="shared" si="2"/>
        <v>11806.37544273908</v>
      </c>
      <c r="S26" s="147">
        <f t="shared" si="2"/>
        <v>11806.37544273908</v>
      </c>
      <c r="T26" s="147">
        <f t="shared" si="2"/>
        <v>11806.37544273908</v>
      </c>
      <c r="U26" s="144">
        <f t="shared" si="3"/>
        <v>70838.252656434473</v>
      </c>
      <c r="V26" s="148"/>
      <c r="W26" s="153"/>
      <c r="X26" s="149"/>
      <c r="Y26" s="148"/>
      <c r="Z26" s="148"/>
      <c r="AA26" s="153"/>
      <c r="AB26" s="149"/>
      <c r="AC26" s="148"/>
      <c r="AD26" s="148"/>
      <c r="AE26" s="148"/>
      <c r="AF26" s="150"/>
      <c r="AG26" s="150"/>
    </row>
    <row r="27" spans="1:33" s="151" customFormat="1" outlineLevel="1" x14ac:dyDescent="0.35">
      <c r="A27" s="630"/>
      <c r="B27" s="631" t="s">
        <v>94</v>
      </c>
      <c r="C27" s="632" t="str">
        <f>'CC detallado'!A24</f>
        <v>1.1.7</v>
      </c>
      <c r="D27" s="630" t="str">
        <f>'CC detallado'!F24</f>
        <v>Combustible (675.000 km a recorrer)</v>
      </c>
      <c r="E27" s="133">
        <f>'CC detallado'!N24</f>
        <v>175409.00657783775</v>
      </c>
      <c r="F27" s="630" t="s">
        <v>844</v>
      </c>
      <c r="G27" s="630" t="s">
        <v>845</v>
      </c>
      <c r="H27" s="630" t="s">
        <v>857</v>
      </c>
      <c r="I27" s="144"/>
      <c r="J27" s="144"/>
      <c r="K27" s="144"/>
      <c r="L27" s="146"/>
      <c r="M27" s="146"/>
      <c r="N27" s="147">
        <f>E27/43</f>
        <v>4079.2792227404129</v>
      </c>
      <c r="O27" s="147">
        <f>N27</f>
        <v>4079.2792227404129</v>
      </c>
      <c r="P27" s="147">
        <f t="shared" si="2"/>
        <v>4079.2792227404129</v>
      </c>
      <c r="Q27" s="147">
        <f t="shared" si="2"/>
        <v>4079.2792227404129</v>
      </c>
      <c r="R27" s="147">
        <f t="shared" si="2"/>
        <v>4079.2792227404129</v>
      </c>
      <c r="S27" s="147">
        <f t="shared" si="2"/>
        <v>4079.2792227404129</v>
      </c>
      <c r="T27" s="147">
        <f t="shared" si="2"/>
        <v>4079.2792227404129</v>
      </c>
      <c r="U27" s="144">
        <f t="shared" si="3"/>
        <v>28554.95455918289</v>
      </c>
      <c r="V27" s="148"/>
      <c r="W27" s="153"/>
      <c r="X27" s="149"/>
      <c r="Y27" s="148"/>
      <c r="Z27" s="148"/>
      <c r="AA27" s="153"/>
      <c r="AB27" s="149"/>
      <c r="AC27" s="148"/>
      <c r="AD27" s="148"/>
      <c r="AE27" s="148"/>
      <c r="AF27" s="150"/>
      <c r="AG27" s="150"/>
    </row>
    <row r="28" spans="1:33" s="151" customFormat="1" ht="24" outlineLevel="1" x14ac:dyDescent="0.35">
      <c r="A28" s="630"/>
      <c r="B28" s="631" t="s">
        <v>94</v>
      </c>
      <c r="C28" s="632" t="str">
        <f>'CC detallado'!A25</f>
        <v>1.1.8</v>
      </c>
      <c r="D28" s="630" t="str">
        <f>'CC detallado'!F25</f>
        <v>Mantenimiento de vehículos</v>
      </c>
      <c r="E28" s="133">
        <f>'CC detallado'!N25</f>
        <v>32889.188733344577</v>
      </c>
      <c r="F28" s="630" t="s">
        <v>822</v>
      </c>
      <c r="G28" s="630" t="s">
        <v>853</v>
      </c>
      <c r="H28" s="630" t="s">
        <v>855</v>
      </c>
      <c r="I28" s="144"/>
      <c r="J28" s="144"/>
      <c r="K28" s="144"/>
      <c r="L28" s="146"/>
      <c r="M28" s="146"/>
      <c r="N28" s="147">
        <f>E28/43</f>
        <v>764.8648542638274</v>
      </c>
      <c r="O28" s="147">
        <f>N28</f>
        <v>764.8648542638274</v>
      </c>
      <c r="P28" s="147">
        <f t="shared" si="2"/>
        <v>764.8648542638274</v>
      </c>
      <c r="Q28" s="147">
        <f t="shared" si="2"/>
        <v>764.8648542638274</v>
      </c>
      <c r="R28" s="147">
        <f t="shared" si="2"/>
        <v>764.8648542638274</v>
      </c>
      <c r="S28" s="147">
        <f t="shared" si="2"/>
        <v>764.8648542638274</v>
      </c>
      <c r="T28" s="147">
        <f t="shared" si="2"/>
        <v>764.8648542638274</v>
      </c>
      <c r="U28" s="144">
        <f t="shared" si="3"/>
        <v>5354.0539798467917</v>
      </c>
      <c r="V28" s="148"/>
      <c r="W28" s="153"/>
      <c r="X28" s="149"/>
      <c r="Y28" s="148"/>
      <c r="Z28" s="148"/>
      <c r="AA28" s="153"/>
      <c r="AB28" s="149"/>
      <c r="AC28" s="148"/>
      <c r="AD28" s="148"/>
      <c r="AE28" s="148"/>
      <c r="AF28" s="150"/>
      <c r="AG28" s="150"/>
    </row>
    <row r="29" spans="1:33" s="169" customFormat="1" x14ac:dyDescent="0.35">
      <c r="A29" s="65"/>
      <c r="B29" s="175"/>
      <c r="C29" s="432" t="str">
        <f>'CC detallado'!A26</f>
        <v>1.2</v>
      </c>
      <c r="D29" s="65" t="str">
        <f>'CC detallado'!F26</f>
        <v>Producto 2: Censo realizado</v>
      </c>
      <c r="E29" s="131">
        <f>E30+E36+E43+E45+E58+E61</f>
        <v>9247055.1526395697</v>
      </c>
      <c r="F29" s="65"/>
      <c r="G29" s="65"/>
      <c r="H29" s="65"/>
      <c r="I29" s="165">
        <f>I30+I36+I43+I45+I58+I61</f>
        <v>19791.982908866026</v>
      </c>
      <c r="J29" s="165">
        <f t="shared" ref="J29:U29" si="4">J30+J36+J43+J45+J58+J61</f>
        <v>19791.982908866026</v>
      </c>
      <c r="K29" s="165">
        <f t="shared" si="4"/>
        <v>19791.982908866026</v>
      </c>
      <c r="L29" s="165">
        <f t="shared" si="4"/>
        <v>24851.858098611345</v>
      </c>
      <c r="M29" s="165">
        <f t="shared" si="4"/>
        <v>38007.533591949177</v>
      </c>
      <c r="N29" s="165">
        <f t="shared" si="4"/>
        <v>59132.889661430891</v>
      </c>
      <c r="O29" s="165">
        <f t="shared" si="4"/>
        <v>49013.139281940254</v>
      </c>
      <c r="P29" s="165">
        <f t="shared" si="4"/>
        <v>49013.139281940254</v>
      </c>
      <c r="Q29" s="165">
        <f t="shared" si="4"/>
        <v>146837.39295034978</v>
      </c>
      <c r="R29" s="165">
        <f t="shared" si="4"/>
        <v>53567.026952711036</v>
      </c>
      <c r="S29" s="165">
        <f t="shared" si="4"/>
        <v>50193.776826214162</v>
      </c>
      <c r="T29" s="165">
        <f t="shared" si="4"/>
        <v>196930.15732882844</v>
      </c>
      <c r="U29" s="165">
        <f t="shared" si="4"/>
        <v>726922.8627005734</v>
      </c>
      <c r="V29" s="166"/>
      <c r="W29" s="166"/>
      <c r="X29" s="167"/>
      <c r="Y29" s="166"/>
      <c r="Z29" s="166"/>
      <c r="AA29" s="166"/>
      <c r="AB29" s="167"/>
      <c r="AC29" s="166"/>
      <c r="AD29" s="166"/>
      <c r="AE29" s="166"/>
      <c r="AF29" s="168"/>
      <c r="AG29" s="168"/>
    </row>
    <row r="30" spans="1:33" s="151" customFormat="1" outlineLevel="1" x14ac:dyDescent="0.35">
      <c r="A30" s="635"/>
      <c r="B30" s="636"/>
      <c r="C30" s="433" t="str">
        <f>'CC detallado'!A27</f>
        <v>1.2.1</v>
      </c>
      <c r="D30" s="637" t="str">
        <f>'CC detallado'!F27</f>
        <v>Sistema de captura de datos desarrollado</v>
      </c>
      <c r="E30" s="135">
        <f>SUM(E31:E35)</f>
        <v>134930.00505987517</v>
      </c>
      <c r="F30" s="637"/>
      <c r="G30" s="637"/>
      <c r="H30" s="637"/>
      <c r="I30" s="158">
        <f>SUM(I31:I35)</f>
        <v>0</v>
      </c>
      <c r="J30" s="158">
        <f t="shared" ref="J30:U30" si="5">SUM(J31:J35)</f>
        <v>0</v>
      </c>
      <c r="K30" s="158">
        <f t="shared" si="5"/>
        <v>0</v>
      </c>
      <c r="L30" s="158">
        <f t="shared" si="5"/>
        <v>0</v>
      </c>
      <c r="M30" s="158">
        <f t="shared" si="5"/>
        <v>8095.8003035925112</v>
      </c>
      <c r="N30" s="158">
        <f t="shared" si="5"/>
        <v>8095.8003035925112</v>
      </c>
      <c r="O30" s="158">
        <f t="shared" si="5"/>
        <v>8095.8003035925112</v>
      </c>
      <c r="P30" s="158">
        <f t="shared" si="5"/>
        <v>8095.8003035925112</v>
      </c>
      <c r="Q30" s="158">
        <f t="shared" si="5"/>
        <v>8095.8003035925112</v>
      </c>
      <c r="R30" s="158">
        <f t="shared" si="5"/>
        <v>12649.6879743633</v>
      </c>
      <c r="S30" s="158">
        <f t="shared" si="5"/>
        <v>9276.4378478664185</v>
      </c>
      <c r="T30" s="158">
        <f t="shared" si="5"/>
        <v>9276.4378478664185</v>
      </c>
      <c r="U30" s="158">
        <f t="shared" si="5"/>
        <v>71681.565188058696</v>
      </c>
      <c r="V30" s="148"/>
      <c r="W30" s="153"/>
      <c r="X30" s="149"/>
      <c r="Y30" s="148"/>
      <c r="Z30" s="148"/>
      <c r="AA30" s="153"/>
      <c r="AB30" s="149"/>
      <c r="AC30" s="148"/>
      <c r="AD30" s="148"/>
      <c r="AE30" s="148"/>
      <c r="AF30" s="150"/>
      <c r="AG30" s="150"/>
    </row>
    <row r="31" spans="1:33" s="151" customFormat="1" outlineLevel="1" x14ac:dyDescent="0.35">
      <c r="A31" s="630"/>
      <c r="B31" s="631" t="s">
        <v>91</v>
      </c>
      <c r="C31" s="632" t="str">
        <f>'CC detallado'!A28</f>
        <v>1.2.1.1</v>
      </c>
      <c r="D31" s="630" t="str">
        <f>'CC detallado'!F28</f>
        <v>Programador principal</v>
      </c>
      <c r="E31" s="133">
        <f>'CC detallado'!N28</f>
        <v>66115.702479338841</v>
      </c>
      <c r="F31" s="630" t="s">
        <v>822</v>
      </c>
      <c r="G31" s="630" t="s">
        <v>842</v>
      </c>
      <c r="H31" s="630" t="s">
        <v>855</v>
      </c>
      <c r="I31" s="159"/>
      <c r="J31" s="145"/>
      <c r="K31" s="146"/>
      <c r="L31" s="146"/>
      <c r="M31" s="147">
        <f>E31/14</f>
        <v>4722.5501770956316</v>
      </c>
      <c r="N31" s="147">
        <f>M31</f>
        <v>4722.5501770956316</v>
      </c>
      <c r="O31" s="147">
        <f t="shared" ref="O31:T32" si="6">N31</f>
        <v>4722.5501770956316</v>
      </c>
      <c r="P31" s="147">
        <f t="shared" si="6"/>
        <v>4722.5501770956316</v>
      </c>
      <c r="Q31" s="147">
        <f t="shared" si="6"/>
        <v>4722.5501770956316</v>
      </c>
      <c r="R31" s="147">
        <f t="shared" si="6"/>
        <v>4722.5501770956316</v>
      </c>
      <c r="S31" s="147">
        <f t="shared" si="6"/>
        <v>4722.5501770956316</v>
      </c>
      <c r="T31" s="147">
        <f t="shared" si="6"/>
        <v>4722.5501770956316</v>
      </c>
      <c r="U31" s="144">
        <f>SUM(I31:T31)</f>
        <v>37780.401416765053</v>
      </c>
      <c r="V31" s="148"/>
      <c r="W31" s="153"/>
      <c r="X31" s="149"/>
      <c r="Y31" s="148"/>
      <c r="Z31" s="148"/>
      <c r="AA31" s="153"/>
      <c r="AB31" s="149"/>
      <c r="AC31" s="148"/>
      <c r="AD31" s="148"/>
      <c r="AE31" s="148"/>
      <c r="AF31" s="150"/>
      <c r="AG31" s="150"/>
    </row>
    <row r="32" spans="1:33" s="151" customFormat="1" outlineLevel="1" x14ac:dyDescent="0.35">
      <c r="A32" s="630"/>
      <c r="B32" s="631" t="s">
        <v>91</v>
      </c>
      <c r="C32" s="632" t="str">
        <f>'CC detallado'!A29</f>
        <v>1.2.1.2</v>
      </c>
      <c r="D32" s="630" t="str">
        <f>'CC detallado'!F29</f>
        <v>Programador asistente</v>
      </c>
      <c r="E32" s="133">
        <f>'CC detallado'!N29</f>
        <v>20239.500758981278</v>
      </c>
      <c r="F32" s="630" t="s">
        <v>822</v>
      </c>
      <c r="G32" s="630" t="s">
        <v>842</v>
      </c>
      <c r="H32" s="630" t="s">
        <v>855</v>
      </c>
      <c r="I32" s="159"/>
      <c r="J32" s="145"/>
      <c r="K32" s="146"/>
      <c r="L32" s="146"/>
      <c r="M32" s="147">
        <f>E32/6</f>
        <v>3373.2501264968796</v>
      </c>
      <c r="N32" s="147">
        <f>M32</f>
        <v>3373.2501264968796</v>
      </c>
      <c r="O32" s="147">
        <f t="shared" si="6"/>
        <v>3373.2501264968796</v>
      </c>
      <c r="P32" s="147">
        <f t="shared" si="6"/>
        <v>3373.2501264968796</v>
      </c>
      <c r="Q32" s="147">
        <f t="shared" si="6"/>
        <v>3373.2501264968796</v>
      </c>
      <c r="R32" s="147">
        <f t="shared" si="6"/>
        <v>3373.2501264968796</v>
      </c>
      <c r="S32" s="145"/>
      <c r="T32" s="145"/>
      <c r="U32" s="144">
        <f>SUM(I32:T32)</f>
        <v>20239.500758981281</v>
      </c>
      <c r="V32" s="148"/>
      <c r="W32" s="152"/>
      <c r="X32" s="149"/>
      <c r="Y32" s="148"/>
      <c r="Z32" s="148"/>
      <c r="AA32" s="152"/>
      <c r="AB32" s="149"/>
      <c r="AC32" s="148"/>
      <c r="AD32" s="148"/>
      <c r="AE32" s="148"/>
      <c r="AF32" s="150"/>
      <c r="AG32" s="150"/>
    </row>
    <row r="33" spans="1:33" s="151" customFormat="1" outlineLevel="1" x14ac:dyDescent="0.35">
      <c r="A33" s="630"/>
      <c r="B33" s="631" t="s">
        <v>91</v>
      </c>
      <c r="C33" s="633" t="str">
        <f>'CC detallado'!A30</f>
        <v>1.2.1.3</v>
      </c>
      <c r="D33" s="634" t="str">
        <f>'CC detallado'!F30</f>
        <v>Administrador de Sistema</v>
      </c>
      <c r="E33" s="133">
        <f>'CC detallado'!N30</f>
        <v>15179.625569235959</v>
      </c>
      <c r="F33" s="634" t="s">
        <v>822</v>
      </c>
      <c r="G33" s="634" t="s">
        <v>842</v>
      </c>
      <c r="H33" s="630" t="s">
        <v>855</v>
      </c>
      <c r="I33" s="144"/>
      <c r="J33" s="144"/>
      <c r="K33" s="144"/>
      <c r="L33" s="144"/>
      <c r="M33" s="145"/>
      <c r="N33" s="145"/>
      <c r="O33" s="145"/>
      <c r="P33" s="146"/>
      <c r="Q33" s="146"/>
      <c r="R33" s="147">
        <f>E33/10</f>
        <v>1517.9625569235959</v>
      </c>
      <c r="S33" s="147">
        <f t="shared" ref="S33:T35" si="7">R33</f>
        <v>1517.9625569235959</v>
      </c>
      <c r="T33" s="147">
        <f t="shared" si="7"/>
        <v>1517.9625569235959</v>
      </c>
      <c r="U33" s="144">
        <f>SUM(I33:T33)</f>
        <v>4553.8876707707877</v>
      </c>
      <c r="V33" s="148"/>
      <c r="W33" s="153"/>
      <c r="X33" s="149"/>
      <c r="Y33" s="148"/>
      <c r="Z33" s="148"/>
      <c r="AA33" s="153"/>
      <c r="AB33" s="149"/>
      <c r="AC33" s="148"/>
      <c r="AD33" s="148"/>
      <c r="AE33" s="148"/>
      <c r="AF33" s="150"/>
      <c r="AG33" s="150"/>
    </row>
    <row r="34" spans="1:33" s="151" customFormat="1" outlineLevel="1" x14ac:dyDescent="0.35">
      <c r="A34" s="630"/>
      <c r="B34" s="631" t="s">
        <v>91</v>
      </c>
      <c r="C34" s="633" t="str">
        <f>'CC detallado'!A31</f>
        <v>1.2.1.4</v>
      </c>
      <c r="D34" s="634" t="str">
        <f>'CC detallado'!F31</f>
        <v>Administrador de red</v>
      </c>
      <c r="E34" s="133">
        <f>'CC detallado'!N31</f>
        <v>15179.625569235959</v>
      </c>
      <c r="F34" s="634" t="s">
        <v>822</v>
      </c>
      <c r="G34" s="634" t="s">
        <v>842</v>
      </c>
      <c r="H34" s="630" t="s">
        <v>855</v>
      </c>
      <c r="I34" s="144"/>
      <c r="J34" s="144"/>
      <c r="K34" s="144"/>
      <c r="L34" s="144"/>
      <c r="M34" s="145"/>
      <c r="N34" s="145"/>
      <c r="O34" s="145"/>
      <c r="P34" s="146"/>
      <c r="Q34" s="146"/>
      <c r="R34" s="147">
        <f>E34/10</f>
        <v>1517.9625569235959</v>
      </c>
      <c r="S34" s="147">
        <f t="shared" si="7"/>
        <v>1517.9625569235959</v>
      </c>
      <c r="T34" s="147">
        <f t="shared" si="7"/>
        <v>1517.9625569235959</v>
      </c>
      <c r="U34" s="144">
        <f>SUM(I34:T34)</f>
        <v>4553.8876707707877</v>
      </c>
      <c r="V34" s="148"/>
      <c r="W34" s="152"/>
      <c r="X34" s="149"/>
      <c r="Y34" s="148"/>
      <c r="Z34" s="148"/>
      <c r="AA34" s="152"/>
      <c r="AB34" s="149"/>
      <c r="AC34" s="148"/>
      <c r="AD34" s="148"/>
      <c r="AE34" s="148"/>
      <c r="AF34" s="150"/>
      <c r="AG34" s="150"/>
    </row>
    <row r="35" spans="1:33" s="151" customFormat="1" outlineLevel="1" x14ac:dyDescent="0.35">
      <c r="A35" s="630"/>
      <c r="B35" s="631" t="s">
        <v>91</v>
      </c>
      <c r="C35" s="632" t="str">
        <f>'CC detallado'!A32</f>
        <v>1.2.1.5</v>
      </c>
      <c r="D35" s="630" t="str">
        <f>'CC detallado'!F32</f>
        <v>Experto en aplicaciones web</v>
      </c>
      <c r="E35" s="133">
        <f>'CC detallado'!N32</f>
        <v>18215.550683083151</v>
      </c>
      <c r="F35" s="630" t="s">
        <v>822</v>
      </c>
      <c r="G35" s="630" t="s">
        <v>842</v>
      </c>
      <c r="H35" s="630" t="s">
        <v>855</v>
      </c>
      <c r="I35" s="144"/>
      <c r="J35" s="144"/>
      <c r="K35" s="144"/>
      <c r="L35" s="144"/>
      <c r="M35" s="145"/>
      <c r="N35" s="145"/>
      <c r="O35" s="145"/>
      <c r="P35" s="146"/>
      <c r="Q35" s="146"/>
      <c r="R35" s="147">
        <f>E35/12</f>
        <v>1517.9625569235959</v>
      </c>
      <c r="S35" s="147">
        <f t="shared" si="7"/>
        <v>1517.9625569235959</v>
      </c>
      <c r="T35" s="147">
        <f t="shared" si="7"/>
        <v>1517.9625569235959</v>
      </c>
      <c r="U35" s="144">
        <f>SUM(I35:T35)</f>
        <v>4553.8876707707877</v>
      </c>
      <c r="V35" s="148"/>
      <c r="W35" s="153"/>
      <c r="X35" s="149"/>
      <c r="Y35" s="148"/>
      <c r="Z35" s="148"/>
      <c r="AA35" s="153"/>
      <c r="AB35" s="149"/>
      <c r="AC35" s="148"/>
      <c r="AD35" s="148"/>
      <c r="AE35" s="148"/>
      <c r="AF35" s="150"/>
      <c r="AG35" s="150"/>
    </row>
    <row r="36" spans="1:33" s="151" customFormat="1" outlineLevel="1" x14ac:dyDescent="0.35">
      <c r="A36" s="635"/>
      <c r="B36" s="636"/>
      <c r="C36" s="433" t="str">
        <f>'CC detallado'!A33</f>
        <v>1.2.2</v>
      </c>
      <c r="D36" s="637" t="str">
        <f>'CC detallado'!F33</f>
        <v>Pre Censo</v>
      </c>
      <c r="E36" s="135">
        <f>SUM(E37:E42)</f>
        <v>897945.69067296328</v>
      </c>
      <c r="F36" s="637"/>
      <c r="G36" s="637"/>
      <c r="H36" s="637"/>
      <c r="I36" s="158">
        <f t="shared" ref="I36:U36" si="8">SUM(I37:I42)</f>
        <v>19791.982908866026</v>
      </c>
      <c r="J36" s="158">
        <f t="shared" si="8"/>
        <v>19791.982908866026</v>
      </c>
      <c r="K36" s="158">
        <f t="shared" si="8"/>
        <v>19791.982908866026</v>
      </c>
      <c r="L36" s="158">
        <f t="shared" si="8"/>
        <v>19791.982908866026</v>
      </c>
      <c r="M36" s="158">
        <f t="shared" si="8"/>
        <v>19791.982908866026</v>
      </c>
      <c r="N36" s="158">
        <f t="shared" si="8"/>
        <v>40917.33897834774</v>
      </c>
      <c r="O36" s="158">
        <f t="shared" si="8"/>
        <v>40917.33897834774</v>
      </c>
      <c r="P36" s="158">
        <f t="shared" si="8"/>
        <v>40917.33897834774</v>
      </c>
      <c r="Q36" s="158">
        <f t="shared" si="8"/>
        <v>40917.33897834774</v>
      </c>
      <c r="R36" s="158">
        <f t="shared" si="8"/>
        <v>40917.33897834774</v>
      </c>
      <c r="S36" s="158">
        <f t="shared" si="8"/>
        <v>40917.33897834774</v>
      </c>
      <c r="T36" s="158">
        <f t="shared" si="8"/>
        <v>40917.33897834774</v>
      </c>
      <c r="U36" s="158">
        <f t="shared" si="8"/>
        <v>385381.28739276429</v>
      </c>
      <c r="V36" s="148"/>
      <c r="W36" s="152"/>
      <c r="X36" s="149"/>
      <c r="Y36" s="148"/>
      <c r="Z36" s="148"/>
      <c r="AA36" s="152"/>
      <c r="AB36" s="149"/>
      <c r="AC36" s="148"/>
      <c r="AD36" s="148"/>
      <c r="AE36" s="148"/>
      <c r="AF36" s="150"/>
      <c r="AG36" s="150"/>
    </row>
    <row r="37" spans="1:33" s="151" customFormat="1" outlineLevel="1" x14ac:dyDescent="0.35">
      <c r="A37" s="630"/>
      <c r="B37" s="631" t="s">
        <v>92</v>
      </c>
      <c r="C37" s="632" t="str">
        <f>'CC detallado'!A34</f>
        <v>1.2.2.1</v>
      </c>
      <c r="D37" s="630" t="str">
        <f>'CC detallado'!F34</f>
        <v xml:space="preserve">Provisión de Viatico </v>
      </c>
      <c r="E37" s="133">
        <f>'CC detallado'!N34</f>
        <v>160566.70602125148</v>
      </c>
      <c r="F37" s="630" t="s">
        <v>843</v>
      </c>
      <c r="G37" s="630" t="s">
        <v>852</v>
      </c>
      <c r="H37" s="630" t="s">
        <v>857</v>
      </c>
      <c r="I37" s="159"/>
      <c r="J37" s="159"/>
      <c r="K37" s="159"/>
      <c r="L37" s="144"/>
      <c r="M37" s="144"/>
      <c r="N37" s="147">
        <f>E37/13</f>
        <v>12351.285078557807</v>
      </c>
      <c r="O37" s="147">
        <f>N37</f>
        <v>12351.285078557807</v>
      </c>
      <c r="P37" s="147">
        <f t="shared" ref="P37:T40" si="9">O37</f>
        <v>12351.285078557807</v>
      </c>
      <c r="Q37" s="147">
        <f t="shared" si="9"/>
        <v>12351.285078557807</v>
      </c>
      <c r="R37" s="147">
        <f t="shared" si="9"/>
        <v>12351.285078557807</v>
      </c>
      <c r="S37" s="147">
        <f t="shared" si="9"/>
        <v>12351.285078557807</v>
      </c>
      <c r="T37" s="147">
        <f t="shared" si="9"/>
        <v>12351.285078557807</v>
      </c>
      <c r="U37" s="144">
        <f t="shared" ref="U37:U42" si="10">SUM(I37:T37)</f>
        <v>86458.995549904648</v>
      </c>
      <c r="V37" s="148"/>
      <c r="W37" s="148"/>
      <c r="X37" s="149"/>
      <c r="Y37" s="148"/>
      <c r="Z37" s="148"/>
      <c r="AA37" s="148"/>
      <c r="AB37" s="149"/>
      <c r="AC37" s="148"/>
      <c r="AD37" s="148"/>
      <c r="AE37" s="148"/>
      <c r="AF37" s="150"/>
      <c r="AG37" s="150"/>
    </row>
    <row r="38" spans="1:33" s="151" customFormat="1" outlineLevel="1" x14ac:dyDescent="0.35">
      <c r="A38" s="630"/>
      <c r="B38" s="631" t="s">
        <v>92</v>
      </c>
      <c r="C38" s="632" t="str">
        <f>'CC detallado'!A35</f>
        <v>1.2.2.2</v>
      </c>
      <c r="D38" s="630" t="str">
        <f>'CC detallado'!F35</f>
        <v>Combustible (450.000 km a recorrer)</v>
      </c>
      <c r="E38" s="133">
        <f>'CC detallado'!N35</f>
        <v>107944.00404790015</v>
      </c>
      <c r="F38" s="630" t="s">
        <v>844</v>
      </c>
      <c r="G38" s="630" t="s">
        <v>845</v>
      </c>
      <c r="H38" s="630" t="s">
        <v>857</v>
      </c>
      <c r="I38" s="159"/>
      <c r="J38" s="159"/>
      <c r="K38" s="159"/>
      <c r="L38" s="146"/>
      <c r="M38" s="146"/>
      <c r="N38" s="147">
        <f>E38/13</f>
        <v>8303.3849267615497</v>
      </c>
      <c r="O38" s="147">
        <f>N38</f>
        <v>8303.3849267615497</v>
      </c>
      <c r="P38" s="147">
        <f t="shared" si="9"/>
        <v>8303.3849267615497</v>
      </c>
      <c r="Q38" s="147">
        <f t="shared" si="9"/>
        <v>8303.3849267615497</v>
      </c>
      <c r="R38" s="147">
        <f t="shared" si="9"/>
        <v>8303.3849267615497</v>
      </c>
      <c r="S38" s="147">
        <f t="shared" si="9"/>
        <v>8303.3849267615497</v>
      </c>
      <c r="T38" s="147">
        <f t="shared" si="9"/>
        <v>8303.3849267615497</v>
      </c>
      <c r="U38" s="144">
        <f t="shared" si="10"/>
        <v>58123.694487330853</v>
      </c>
      <c r="V38" s="148"/>
      <c r="W38" s="153"/>
      <c r="X38" s="149"/>
      <c r="Y38" s="148"/>
      <c r="Z38" s="148"/>
      <c r="AA38" s="153"/>
      <c r="AB38" s="149"/>
      <c r="AC38" s="148"/>
      <c r="AD38" s="148"/>
      <c r="AE38" s="148"/>
      <c r="AF38" s="150"/>
      <c r="AG38" s="150"/>
    </row>
    <row r="39" spans="1:33" s="151" customFormat="1" ht="24" outlineLevel="1" x14ac:dyDescent="0.35">
      <c r="A39" s="630"/>
      <c r="B39" s="631"/>
      <c r="C39" s="633" t="str">
        <f>'CC detallado'!A36</f>
        <v>1.2.2.3</v>
      </c>
      <c r="D39" s="634" t="str">
        <f>'CC detallado'!F36</f>
        <v>Mantenimiento de vehículos</v>
      </c>
      <c r="E39" s="133">
        <f>'CC detallado'!N36</f>
        <v>20239.500758981278</v>
      </c>
      <c r="F39" s="630" t="s">
        <v>822</v>
      </c>
      <c r="G39" s="630" t="s">
        <v>853</v>
      </c>
      <c r="H39" s="630" t="s">
        <v>855</v>
      </c>
      <c r="I39" s="144"/>
      <c r="J39" s="144"/>
      <c r="K39" s="144"/>
      <c r="L39" s="146"/>
      <c r="M39" s="146"/>
      <c r="N39" s="147">
        <f>E39/43</f>
        <v>470.68606416235531</v>
      </c>
      <c r="O39" s="147">
        <f>N39</f>
        <v>470.68606416235531</v>
      </c>
      <c r="P39" s="147">
        <f t="shared" si="9"/>
        <v>470.68606416235531</v>
      </c>
      <c r="Q39" s="147">
        <f t="shared" si="9"/>
        <v>470.68606416235531</v>
      </c>
      <c r="R39" s="147">
        <f t="shared" si="9"/>
        <v>470.68606416235531</v>
      </c>
      <c r="S39" s="147">
        <f t="shared" si="9"/>
        <v>470.68606416235531</v>
      </c>
      <c r="T39" s="147">
        <f t="shared" si="9"/>
        <v>470.68606416235531</v>
      </c>
      <c r="U39" s="144">
        <f t="shared" si="10"/>
        <v>3294.8024491364872</v>
      </c>
      <c r="V39" s="148"/>
      <c r="W39" s="153"/>
      <c r="X39" s="149"/>
      <c r="Y39" s="148"/>
      <c r="Z39" s="148"/>
      <c r="AA39" s="153"/>
      <c r="AB39" s="149"/>
      <c r="AC39" s="148"/>
      <c r="AD39" s="148"/>
      <c r="AE39" s="148"/>
      <c r="AF39" s="150"/>
      <c r="AG39" s="150"/>
    </row>
    <row r="40" spans="1:33" s="151" customFormat="1" ht="24" outlineLevel="1" x14ac:dyDescent="0.35">
      <c r="A40" s="630"/>
      <c r="B40" s="631" t="s">
        <v>92</v>
      </c>
      <c r="C40" s="633" t="str">
        <f>'CC detallado'!A37</f>
        <v>1.2.2.4</v>
      </c>
      <c r="D40" s="634" t="str">
        <f>'CC detallado'!F37</f>
        <v>Remuneración Extraordinaria</v>
      </c>
      <c r="E40" s="133">
        <f>'CC detallado'!N37</f>
        <v>161200.87704503289</v>
      </c>
      <c r="F40" s="634" t="s">
        <v>846</v>
      </c>
      <c r="G40" s="634" t="s">
        <v>847</v>
      </c>
      <c r="H40" s="634" t="s">
        <v>858</v>
      </c>
      <c r="I40" s="147">
        <f>'Rem Adic'!B123</f>
        <v>5072.2437735424746</v>
      </c>
      <c r="J40" s="147">
        <f>I40</f>
        <v>5072.2437735424746</v>
      </c>
      <c r="K40" s="147">
        <f t="shared" ref="K40:T42" si="11">J40</f>
        <v>5072.2437735424746</v>
      </c>
      <c r="L40" s="147">
        <f t="shared" si="11"/>
        <v>5072.2437735424746</v>
      </c>
      <c r="M40" s="147">
        <f t="shared" si="11"/>
        <v>5072.2437735424746</v>
      </c>
      <c r="N40" s="147">
        <f t="shared" si="11"/>
        <v>5072.2437735424746</v>
      </c>
      <c r="O40" s="147">
        <f t="shared" si="11"/>
        <v>5072.2437735424746</v>
      </c>
      <c r="P40" s="147">
        <f t="shared" si="9"/>
        <v>5072.2437735424746</v>
      </c>
      <c r="Q40" s="147">
        <f t="shared" si="9"/>
        <v>5072.2437735424746</v>
      </c>
      <c r="R40" s="147">
        <f t="shared" si="9"/>
        <v>5072.2437735424746</v>
      </c>
      <c r="S40" s="147">
        <f t="shared" si="9"/>
        <v>5072.2437735424746</v>
      </c>
      <c r="T40" s="147">
        <f t="shared" si="9"/>
        <v>5072.2437735424746</v>
      </c>
      <c r="U40" s="144">
        <f t="shared" si="10"/>
        <v>60866.925282509699</v>
      </c>
      <c r="V40" s="148"/>
      <c r="W40" s="148"/>
      <c r="X40" s="149"/>
      <c r="Y40" s="148"/>
      <c r="Z40" s="148"/>
      <c r="AA40" s="148"/>
      <c r="AB40" s="149"/>
      <c r="AC40" s="148"/>
      <c r="AD40" s="148"/>
      <c r="AE40" s="148"/>
      <c r="AF40" s="150"/>
      <c r="AG40" s="150"/>
    </row>
    <row r="41" spans="1:33" s="151" customFormat="1" ht="24" outlineLevel="1" x14ac:dyDescent="0.35">
      <c r="A41" s="630"/>
      <c r="B41" s="631" t="s">
        <v>92</v>
      </c>
      <c r="C41" s="632" t="str">
        <f>'CC detallado'!A38</f>
        <v>1.2.2.5</v>
      </c>
      <c r="D41" s="630" t="str">
        <f>'CC detallado'!F38</f>
        <v>Remuneración Adicional</v>
      </c>
      <c r="E41" s="133">
        <f>'CC detallado'!N38</f>
        <v>121733.85056501941</v>
      </c>
      <c r="F41" s="634" t="s">
        <v>846</v>
      </c>
      <c r="G41" s="634" t="s">
        <v>847</v>
      </c>
      <c r="H41" s="634" t="s">
        <v>858</v>
      </c>
      <c r="I41" s="147">
        <f>'Rem Adic'!B124</f>
        <v>5072.2437735424746</v>
      </c>
      <c r="J41" s="147">
        <f t="shared" ref="J41:J42" si="12">I41</f>
        <v>5072.2437735424746</v>
      </c>
      <c r="K41" s="147">
        <f t="shared" si="11"/>
        <v>5072.2437735424746</v>
      </c>
      <c r="L41" s="147">
        <f t="shared" si="11"/>
        <v>5072.2437735424746</v>
      </c>
      <c r="M41" s="147">
        <f t="shared" si="11"/>
        <v>5072.2437735424746</v>
      </c>
      <c r="N41" s="147">
        <f t="shared" si="11"/>
        <v>5072.2437735424746</v>
      </c>
      <c r="O41" s="147">
        <f t="shared" si="11"/>
        <v>5072.2437735424746</v>
      </c>
      <c r="P41" s="147">
        <f t="shared" si="11"/>
        <v>5072.2437735424746</v>
      </c>
      <c r="Q41" s="147">
        <f t="shared" si="11"/>
        <v>5072.2437735424746</v>
      </c>
      <c r="R41" s="147">
        <f t="shared" si="11"/>
        <v>5072.2437735424746</v>
      </c>
      <c r="S41" s="147">
        <f t="shared" si="11"/>
        <v>5072.2437735424746</v>
      </c>
      <c r="T41" s="147">
        <f t="shared" si="11"/>
        <v>5072.2437735424746</v>
      </c>
      <c r="U41" s="144">
        <f t="shared" si="10"/>
        <v>60866.925282509699</v>
      </c>
      <c r="V41" s="148"/>
      <c r="W41" s="148"/>
      <c r="X41" s="149"/>
      <c r="Y41" s="148"/>
      <c r="Z41" s="148"/>
      <c r="AA41" s="148"/>
      <c r="AB41" s="149"/>
      <c r="AC41" s="148"/>
      <c r="AD41" s="148"/>
      <c r="AE41" s="148"/>
      <c r="AF41" s="150"/>
      <c r="AG41" s="150"/>
    </row>
    <row r="42" spans="1:33" s="151" customFormat="1" ht="24" outlineLevel="1" x14ac:dyDescent="0.35">
      <c r="A42" s="630"/>
      <c r="B42" s="631"/>
      <c r="C42" s="632" t="str">
        <f>'CC detallado'!A39</f>
        <v>1.2.2.6</v>
      </c>
      <c r="D42" s="630" t="str">
        <f>'CC detallado'!F39</f>
        <v xml:space="preserve">Gratificaciones </v>
      </c>
      <c r="E42" s="133">
        <f>'CC detallado'!N39</f>
        <v>326260.75223477813</v>
      </c>
      <c r="F42" s="634" t="s">
        <v>846</v>
      </c>
      <c r="G42" s="634" t="s">
        <v>847</v>
      </c>
      <c r="H42" s="634" t="s">
        <v>858</v>
      </c>
      <c r="I42" s="147">
        <f>'Rem Adic'!B125</f>
        <v>9647.495361781077</v>
      </c>
      <c r="J42" s="147">
        <f t="shared" si="12"/>
        <v>9647.495361781077</v>
      </c>
      <c r="K42" s="147">
        <f t="shared" si="11"/>
        <v>9647.495361781077</v>
      </c>
      <c r="L42" s="147">
        <f t="shared" si="11"/>
        <v>9647.495361781077</v>
      </c>
      <c r="M42" s="147">
        <f t="shared" si="11"/>
        <v>9647.495361781077</v>
      </c>
      <c r="N42" s="147">
        <f t="shared" si="11"/>
        <v>9647.495361781077</v>
      </c>
      <c r="O42" s="147">
        <f t="shared" si="11"/>
        <v>9647.495361781077</v>
      </c>
      <c r="P42" s="147">
        <f t="shared" si="11"/>
        <v>9647.495361781077</v>
      </c>
      <c r="Q42" s="147">
        <f t="shared" si="11"/>
        <v>9647.495361781077</v>
      </c>
      <c r="R42" s="147">
        <f t="shared" si="11"/>
        <v>9647.495361781077</v>
      </c>
      <c r="S42" s="147">
        <f t="shared" si="11"/>
        <v>9647.495361781077</v>
      </c>
      <c r="T42" s="147">
        <f t="shared" si="11"/>
        <v>9647.495361781077</v>
      </c>
      <c r="U42" s="144">
        <f t="shared" si="10"/>
        <v>115769.94434137295</v>
      </c>
      <c r="V42" s="148"/>
      <c r="W42" s="148"/>
      <c r="X42" s="149"/>
      <c r="Y42" s="148"/>
      <c r="Z42" s="148"/>
      <c r="AA42" s="148"/>
      <c r="AB42" s="149"/>
      <c r="AC42" s="148"/>
      <c r="AD42" s="148"/>
      <c r="AE42" s="148"/>
      <c r="AF42" s="150"/>
      <c r="AG42" s="150"/>
    </row>
    <row r="43" spans="1:33" s="151" customFormat="1" outlineLevel="1" x14ac:dyDescent="0.35">
      <c r="A43" s="630"/>
      <c r="B43" s="631"/>
      <c r="C43" s="433" t="str">
        <f>'CC detallado'!A40</f>
        <v>1.2.3</v>
      </c>
      <c r="D43" s="637" t="str">
        <f>'CC detallado'!F40</f>
        <v>Prueba piloto realizada</v>
      </c>
      <c r="E43" s="135">
        <f>E44</f>
        <v>75898.127846179792</v>
      </c>
      <c r="F43" s="637"/>
      <c r="G43" s="637"/>
      <c r="H43" s="637"/>
      <c r="I43" s="158">
        <f t="shared" ref="I43:U43" si="13">I44</f>
        <v>0</v>
      </c>
      <c r="J43" s="158">
        <f t="shared" si="13"/>
        <v>0</v>
      </c>
      <c r="K43" s="158">
        <f t="shared" si="13"/>
        <v>0</v>
      </c>
      <c r="L43" s="158">
        <f t="shared" si="13"/>
        <v>0</v>
      </c>
      <c r="M43" s="158">
        <f t="shared" si="13"/>
        <v>0</v>
      </c>
      <c r="N43" s="158">
        <f t="shared" si="13"/>
        <v>0</v>
      </c>
      <c r="O43" s="158">
        <f t="shared" si="13"/>
        <v>0</v>
      </c>
      <c r="P43" s="158">
        <f t="shared" si="13"/>
        <v>0</v>
      </c>
      <c r="Q43" s="158">
        <f t="shared" si="13"/>
        <v>0</v>
      </c>
      <c r="R43" s="158">
        <f t="shared" si="13"/>
        <v>0</v>
      </c>
      <c r="S43" s="158">
        <f t="shared" si="13"/>
        <v>0</v>
      </c>
      <c r="T43" s="158">
        <f t="shared" si="13"/>
        <v>0</v>
      </c>
      <c r="U43" s="158">
        <f t="shared" si="13"/>
        <v>0</v>
      </c>
      <c r="V43" s="148"/>
      <c r="W43" s="148"/>
      <c r="X43" s="149"/>
      <c r="Y43" s="148"/>
      <c r="Z43" s="148"/>
      <c r="AA43" s="148"/>
      <c r="AB43" s="149"/>
      <c r="AC43" s="148"/>
      <c r="AD43" s="148"/>
      <c r="AE43" s="148"/>
      <c r="AF43" s="150"/>
      <c r="AG43" s="150"/>
    </row>
    <row r="44" spans="1:33" s="151" customFormat="1" outlineLevel="1" x14ac:dyDescent="0.35">
      <c r="A44" s="630"/>
      <c r="B44" s="631"/>
      <c r="C44" s="632" t="str">
        <f>'CC detallado'!A41</f>
        <v>1.2.3.1</v>
      </c>
      <c r="D44" s="630" t="str">
        <f>'CC detallado'!F41</f>
        <v>Servicio de Logística para la Prueba Piloto del Censo</v>
      </c>
      <c r="E44" s="133">
        <f>'CC detallado'!N41</f>
        <v>75898.127846179792</v>
      </c>
      <c r="F44" s="630" t="s">
        <v>828</v>
      </c>
      <c r="G44" s="630" t="s">
        <v>220</v>
      </c>
      <c r="H44" s="630" t="s">
        <v>220</v>
      </c>
      <c r="I44" s="159"/>
      <c r="J44" s="145"/>
      <c r="K44" s="145"/>
      <c r="L44" s="159"/>
      <c r="M44" s="145"/>
      <c r="N44" s="145"/>
      <c r="O44" s="145"/>
      <c r="P44" s="145"/>
      <c r="Q44" s="145"/>
      <c r="R44" s="145"/>
      <c r="S44" s="145"/>
      <c r="T44" s="145"/>
      <c r="U44" s="144">
        <f>SUM(I44:T44)</f>
        <v>0</v>
      </c>
      <c r="V44" s="148"/>
      <c r="W44" s="153"/>
      <c r="X44" s="149"/>
      <c r="Y44" s="148"/>
      <c r="Z44" s="148"/>
      <c r="AA44" s="153"/>
      <c r="AB44" s="149"/>
      <c r="AC44" s="148"/>
      <c r="AD44" s="148"/>
      <c r="AE44" s="148"/>
      <c r="AF44" s="150"/>
      <c r="AG44" s="150"/>
    </row>
    <row r="45" spans="1:33" s="151" customFormat="1" outlineLevel="1" x14ac:dyDescent="0.35">
      <c r="A45" s="630"/>
      <c r="B45" s="631"/>
      <c r="C45" s="433" t="str">
        <f>'CC detallado'!A42</f>
        <v>1.2.4</v>
      </c>
      <c r="D45" s="637" t="str">
        <f>'CC detallado'!F42</f>
        <v>Censo</v>
      </c>
      <c r="E45" s="135">
        <f>E46+E47+E54+E55+E56+E57</f>
        <v>7531602.2938100863</v>
      </c>
      <c r="F45" s="637"/>
      <c r="G45" s="637"/>
      <c r="H45" s="637"/>
      <c r="I45" s="158">
        <f t="shared" ref="I45:U45" si="14">I46+I47+I54+I55+I56+I57</f>
        <v>0</v>
      </c>
      <c r="J45" s="158">
        <f t="shared" si="14"/>
        <v>0</v>
      </c>
      <c r="K45" s="158">
        <f t="shared" si="14"/>
        <v>0</v>
      </c>
      <c r="L45" s="158">
        <f t="shared" si="14"/>
        <v>5059.8751897453203</v>
      </c>
      <c r="M45" s="158">
        <f t="shared" si="14"/>
        <v>10119.750379490641</v>
      </c>
      <c r="N45" s="158">
        <f t="shared" si="14"/>
        <v>10119.750379490641</v>
      </c>
      <c r="O45" s="158">
        <f t="shared" si="14"/>
        <v>0</v>
      </c>
      <c r="P45" s="158">
        <f t="shared" si="14"/>
        <v>0</v>
      </c>
      <c r="Q45" s="158">
        <f t="shared" si="14"/>
        <v>97824.25366840951</v>
      </c>
      <c r="R45" s="158">
        <f t="shared" si="14"/>
        <v>0</v>
      </c>
      <c r="S45" s="158">
        <f t="shared" si="14"/>
        <v>0</v>
      </c>
      <c r="T45" s="158">
        <f t="shared" si="14"/>
        <v>146736.38050261428</v>
      </c>
      <c r="U45" s="158">
        <f t="shared" si="14"/>
        <v>269860.0101197504</v>
      </c>
      <c r="V45" s="148"/>
      <c r="W45" s="148"/>
      <c r="X45" s="149"/>
      <c r="Y45" s="148"/>
      <c r="Z45" s="148"/>
      <c r="AA45" s="148"/>
      <c r="AB45" s="149"/>
      <c r="AC45" s="148"/>
      <c r="AD45" s="148"/>
      <c r="AE45" s="148"/>
      <c r="AF45" s="150"/>
      <c r="AG45" s="150"/>
    </row>
    <row r="46" spans="1:33" s="150" customFormat="1" ht="24" outlineLevel="1" x14ac:dyDescent="0.35">
      <c r="A46" s="638"/>
      <c r="B46" s="639"/>
      <c r="C46" s="632" t="str">
        <f>'CC detallado'!A43</f>
        <v>1.2.4.1</v>
      </c>
      <c r="D46" s="630" t="str">
        <f>'CC detallado'!F43</f>
        <v>Consultoría para desarrollo de las especificaciones técnicas para la contratación de RRHH para el Censo</v>
      </c>
      <c r="E46" s="133">
        <f>'CC detallado'!N43</f>
        <v>25299.3759487266</v>
      </c>
      <c r="F46" s="630" t="s">
        <v>824</v>
      </c>
      <c r="G46" s="630" t="s">
        <v>824</v>
      </c>
      <c r="H46" s="630" t="s">
        <v>855</v>
      </c>
      <c r="I46" s="144"/>
      <c r="J46" s="144"/>
      <c r="K46" s="146"/>
      <c r="L46" s="147">
        <f>E46*20%</f>
        <v>5059.8751897453203</v>
      </c>
      <c r="M46" s="147">
        <f>E46*40%</f>
        <v>10119.750379490641</v>
      </c>
      <c r="N46" s="147">
        <f>E46*40%</f>
        <v>10119.750379490641</v>
      </c>
      <c r="O46" s="144"/>
      <c r="P46" s="144"/>
      <c r="Q46" s="144"/>
      <c r="R46" s="144"/>
      <c r="S46" s="144"/>
      <c r="T46" s="144"/>
      <c r="U46" s="144">
        <f t="shared" ref="U46:U57" si="15">SUM(I46:T46)</f>
        <v>25299.3759487266</v>
      </c>
      <c r="V46" s="148"/>
      <c r="W46" s="152"/>
      <c r="X46" s="149"/>
      <c r="Y46" s="148"/>
      <c r="Z46" s="148"/>
      <c r="AA46" s="152"/>
      <c r="AB46" s="149"/>
      <c r="AC46" s="148"/>
      <c r="AD46" s="148"/>
      <c r="AE46" s="148"/>
    </row>
    <row r="47" spans="1:33" s="151" customFormat="1" ht="24" outlineLevel="1" x14ac:dyDescent="0.35">
      <c r="A47" s="630"/>
      <c r="B47" s="631" t="s">
        <v>93</v>
      </c>
      <c r="C47" s="632" t="str">
        <f>'CC detallado'!A44</f>
        <v>1.2.4.2</v>
      </c>
      <c r="D47" s="630" t="str">
        <f>'CC detallado'!F44</f>
        <v>Firma para contratación y gestión del personal para el trabajo de campo</v>
      </c>
      <c r="E47" s="133">
        <f>'CC detallado'!N44</f>
        <v>7180784.2806544108</v>
      </c>
      <c r="F47" s="630" t="s">
        <v>831</v>
      </c>
      <c r="G47" s="630" t="s">
        <v>831</v>
      </c>
      <c r="H47" s="630" t="s">
        <v>855</v>
      </c>
      <c r="I47" s="159"/>
      <c r="J47" s="159"/>
      <c r="K47" s="159"/>
      <c r="L47" s="144"/>
      <c r="M47" s="144"/>
      <c r="N47" s="144"/>
      <c r="O47" s="146"/>
      <c r="P47" s="146"/>
      <c r="Q47" s="146"/>
      <c r="R47" s="146"/>
      <c r="S47" s="146"/>
      <c r="T47" s="146"/>
      <c r="U47" s="144">
        <f t="shared" si="15"/>
        <v>0</v>
      </c>
      <c r="V47" s="148"/>
      <c r="W47" s="153"/>
      <c r="X47" s="149"/>
      <c r="Y47" s="148"/>
      <c r="Z47" s="148"/>
      <c r="AA47" s="153"/>
      <c r="AB47" s="149"/>
      <c r="AC47" s="148"/>
      <c r="AD47" s="148"/>
      <c r="AE47" s="148"/>
      <c r="AF47" s="150"/>
      <c r="AG47" s="150"/>
    </row>
    <row r="48" spans="1:33" s="151" customFormat="1" outlineLevel="1" x14ac:dyDescent="0.35">
      <c r="A48" s="630"/>
      <c r="B48" s="631" t="s">
        <v>91</v>
      </c>
      <c r="C48" s="633" t="str">
        <f>'CC detallado'!A45</f>
        <v>1.2.4.3</v>
      </c>
      <c r="D48" s="634" t="str">
        <f>'CC detallado'!F45</f>
        <v>Costo del Servicio</v>
      </c>
      <c r="E48" s="133"/>
      <c r="F48" s="630" t="s">
        <v>828</v>
      </c>
      <c r="G48" s="630" t="s">
        <v>220</v>
      </c>
      <c r="H48" s="630" t="s">
        <v>220</v>
      </c>
      <c r="I48" s="159"/>
      <c r="J48" s="159"/>
      <c r="K48" s="159"/>
      <c r="L48" s="159"/>
      <c r="M48" s="145"/>
      <c r="N48" s="145"/>
      <c r="O48" s="145"/>
      <c r="P48" s="145"/>
      <c r="Q48" s="145"/>
      <c r="R48" s="145"/>
      <c r="S48" s="145"/>
      <c r="T48" s="145"/>
      <c r="U48" s="144">
        <f t="shared" si="15"/>
        <v>0</v>
      </c>
      <c r="V48" s="148"/>
      <c r="W48" s="153"/>
      <c r="X48" s="149"/>
      <c r="Y48" s="148"/>
      <c r="Z48" s="148"/>
      <c r="AA48" s="153"/>
      <c r="AB48" s="149"/>
      <c r="AC48" s="148"/>
      <c r="AD48" s="148"/>
      <c r="AE48" s="148"/>
      <c r="AF48" s="150"/>
      <c r="AG48" s="150"/>
    </row>
    <row r="49" spans="1:33" s="151" customFormat="1" outlineLevel="1" x14ac:dyDescent="0.35">
      <c r="A49" s="630"/>
      <c r="B49" s="631" t="s">
        <v>91</v>
      </c>
      <c r="C49" s="633" t="str">
        <f>'CC detallado'!A46</f>
        <v>1.2.4.4</v>
      </c>
      <c r="D49" s="634" t="str">
        <f>'CC detallado'!F46</f>
        <v>Técnico de Capacitación</v>
      </c>
      <c r="E49" s="133"/>
      <c r="F49" s="630" t="s">
        <v>828</v>
      </c>
      <c r="G49" s="630" t="s">
        <v>220</v>
      </c>
      <c r="H49" s="630" t="s">
        <v>220</v>
      </c>
      <c r="I49" s="159"/>
      <c r="J49" s="159"/>
      <c r="K49" s="159"/>
      <c r="L49" s="159"/>
      <c r="M49" s="145"/>
      <c r="N49" s="145"/>
      <c r="O49" s="145"/>
      <c r="P49" s="145"/>
      <c r="Q49" s="145"/>
      <c r="R49" s="145"/>
      <c r="S49" s="145"/>
      <c r="T49" s="145"/>
      <c r="U49" s="144">
        <f t="shared" si="15"/>
        <v>0</v>
      </c>
      <c r="V49" s="148"/>
      <c r="W49" s="153"/>
      <c r="X49" s="149"/>
      <c r="Y49" s="148"/>
      <c r="Z49" s="148"/>
      <c r="AA49" s="153"/>
      <c r="AB49" s="149"/>
      <c r="AC49" s="148"/>
      <c r="AD49" s="148"/>
      <c r="AE49" s="148"/>
      <c r="AF49" s="150"/>
      <c r="AG49" s="150"/>
    </row>
    <row r="50" spans="1:33" s="151" customFormat="1" outlineLevel="1" x14ac:dyDescent="0.35">
      <c r="A50" s="630"/>
      <c r="B50" s="631" t="s">
        <v>91</v>
      </c>
      <c r="C50" s="633" t="str">
        <f>'CC detallado'!A47</f>
        <v>1.2.4.5</v>
      </c>
      <c r="D50" s="630" t="str">
        <f>'CC detallado'!F47</f>
        <v>Jefe departamental</v>
      </c>
      <c r="E50" s="133"/>
      <c r="F50" s="630" t="s">
        <v>828</v>
      </c>
      <c r="G50" s="630" t="s">
        <v>220</v>
      </c>
      <c r="H50" s="630" t="s">
        <v>220</v>
      </c>
      <c r="I50" s="159"/>
      <c r="J50" s="159"/>
      <c r="K50" s="159"/>
      <c r="L50" s="159"/>
      <c r="M50" s="145"/>
      <c r="N50" s="145"/>
      <c r="O50" s="145"/>
      <c r="P50" s="145"/>
      <c r="Q50" s="145"/>
      <c r="R50" s="145"/>
      <c r="S50" s="145"/>
      <c r="T50" s="145"/>
      <c r="U50" s="144">
        <f t="shared" si="15"/>
        <v>0</v>
      </c>
      <c r="V50" s="148"/>
      <c r="W50" s="153"/>
      <c r="X50" s="149"/>
      <c r="Y50" s="148"/>
      <c r="Z50" s="148"/>
      <c r="AA50" s="153"/>
      <c r="AB50" s="149"/>
      <c r="AC50" s="148"/>
      <c r="AD50" s="148"/>
      <c r="AE50" s="148"/>
      <c r="AF50" s="150"/>
      <c r="AG50" s="150"/>
    </row>
    <row r="51" spans="1:33" s="151" customFormat="1" outlineLevel="1" x14ac:dyDescent="0.35">
      <c r="A51" s="630"/>
      <c r="B51" s="631" t="s">
        <v>91</v>
      </c>
      <c r="C51" s="633" t="str">
        <f>'CC detallado'!A48</f>
        <v>1.2.4.6</v>
      </c>
      <c r="D51" s="630" t="str">
        <f>'CC detallado'!F48</f>
        <v>Jefe Distrital</v>
      </c>
      <c r="E51" s="133"/>
      <c r="F51" s="630" t="s">
        <v>828</v>
      </c>
      <c r="G51" s="630" t="s">
        <v>220</v>
      </c>
      <c r="H51" s="630" t="s">
        <v>220</v>
      </c>
      <c r="I51" s="159"/>
      <c r="J51" s="159"/>
      <c r="K51" s="159"/>
      <c r="L51" s="159"/>
      <c r="M51" s="145"/>
      <c r="N51" s="145"/>
      <c r="O51" s="145"/>
      <c r="P51" s="145"/>
      <c r="Q51" s="145"/>
      <c r="R51" s="145"/>
      <c r="S51" s="145"/>
      <c r="T51" s="145"/>
      <c r="U51" s="144">
        <f t="shared" si="15"/>
        <v>0</v>
      </c>
      <c r="V51" s="148"/>
      <c r="W51" s="153"/>
      <c r="X51" s="149"/>
      <c r="Y51" s="148"/>
      <c r="Z51" s="148"/>
      <c r="AA51" s="153"/>
      <c r="AB51" s="149"/>
      <c r="AC51" s="148"/>
      <c r="AD51" s="148"/>
      <c r="AE51" s="148"/>
      <c r="AF51" s="150"/>
      <c r="AG51" s="150"/>
    </row>
    <row r="52" spans="1:33" s="151" customFormat="1" outlineLevel="1" x14ac:dyDescent="0.35">
      <c r="A52" s="630"/>
      <c r="B52" s="631" t="s">
        <v>91</v>
      </c>
      <c r="C52" s="633" t="str">
        <f>'CC detallado'!A49</f>
        <v>1.2.4.7</v>
      </c>
      <c r="D52" s="630" t="str">
        <f>'CC detallado'!F49</f>
        <v>Supervisor</v>
      </c>
      <c r="E52" s="133"/>
      <c r="F52" s="630" t="s">
        <v>828</v>
      </c>
      <c r="G52" s="630" t="s">
        <v>220</v>
      </c>
      <c r="H52" s="630" t="s">
        <v>220</v>
      </c>
      <c r="I52" s="159"/>
      <c r="J52" s="159"/>
      <c r="K52" s="159"/>
      <c r="L52" s="159"/>
      <c r="M52" s="145"/>
      <c r="N52" s="145"/>
      <c r="O52" s="145"/>
      <c r="P52" s="145"/>
      <c r="Q52" s="145"/>
      <c r="R52" s="145"/>
      <c r="S52" s="145"/>
      <c r="T52" s="145"/>
      <c r="U52" s="144">
        <f t="shared" si="15"/>
        <v>0</v>
      </c>
      <c r="V52" s="148"/>
      <c r="W52" s="153"/>
      <c r="X52" s="149"/>
      <c r="Y52" s="148"/>
      <c r="Z52" s="148"/>
      <c r="AA52" s="153"/>
      <c r="AB52" s="149"/>
      <c r="AC52" s="148"/>
      <c r="AD52" s="148"/>
      <c r="AE52" s="148"/>
      <c r="AF52" s="150"/>
      <c r="AG52" s="150"/>
    </row>
    <row r="53" spans="1:33" s="151" customFormat="1" outlineLevel="1" x14ac:dyDescent="0.35">
      <c r="A53" s="630"/>
      <c r="B53" s="631" t="s">
        <v>93</v>
      </c>
      <c r="C53" s="633" t="str">
        <f>'CC detallado'!A50</f>
        <v>1.2.4.8</v>
      </c>
      <c r="D53" s="630" t="str">
        <f>'CC detallado'!F50</f>
        <v>Censista</v>
      </c>
      <c r="E53" s="133"/>
      <c r="F53" s="630" t="s">
        <v>828</v>
      </c>
      <c r="G53" s="630" t="s">
        <v>220</v>
      </c>
      <c r="H53" s="630" t="s">
        <v>220</v>
      </c>
      <c r="I53" s="159"/>
      <c r="J53" s="159"/>
      <c r="K53" s="159"/>
      <c r="L53" s="159"/>
      <c r="M53" s="145"/>
      <c r="N53" s="145"/>
      <c r="O53" s="145"/>
      <c r="P53" s="145"/>
      <c r="Q53" s="145"/>
      <c r="R53" s="145"/>
      <c r="S53" s="145"/>
      <c r="T53" s="145"/>
      <c r="U53" s="144">
        <f t="shared" si="15"/>
        <v>0</v>
      </c>
      <c r="V53" s="148"/>
      <c r="W53" s="153"/>
      <c r="X53" s="149"/>
      <c r="Y53" s="148"/>
      <c r="Z53" s="148"/>
      <c r="AA53" s="153"/>
      <c r="AB53" s="149"/>
      <c r="AC53" s="148"/>
      <c r="AD53" s="148"/>
      <c r="AE53" s="148"/>
      <c r="AF53" s="150"/>
      <c r="AG53" s="150"/>
    </row>
    <row r="54" spans="1:33" s="151" customFormat="1" ht="24" outlineLevel="1" x14ac:dyDescent="0.35">
      <c r="A54" s="630"/>
      <c r="B54" s="631" t="s">
        <v>93</v>
      </c>
      <c r="C54" s="633" t="str">
        <f>'CC detallado'!A51</f>
        <v>1.2.4.9</v>
      </c>
      <c r="D54" s="634" t="str">
        <f>'CC detallado'!F51</f>
        <v>Apoyo Logístico para Censo (Alquiler y mantenimiento de subcentros operativos)</v>
      </c>
      <c r="E54" s="133">
        <f>'CC detallado'!N51</f>
        <v>80958.00303592511</v>
      </c>
      <c r="F54" s="630" t="s">
        <v>828</v>
      </c>
      <c r="G54" s="630" t="s">
        <v>220</v>
      </c>
      <c r="H54" s="630" t="s">
        <v>220</v>
      </c>
      <c r="I54" s="159"/>
      <c r="J54" s="159"/>
      <c r="K54" s="159"/>
      <c r="L54" s="159"/>
      <c r="M54" s="145"/>
      <c r="N54" s="145"/>
      <c r="O54" s="145"/>
      <c r="P54" s="145"/>
      <c r="Q54" s="145"/>
      <c r="R54" s="145"/>
      <c r="S54" s="145"/>
      <c r="T54" s="145"/>
      <c r="U54" s="144">
        <f t="shared" si="15"/>
        <v>0</v>
      </c>
      <c r="V54" s="148"/>
      <c r="W54" s="153"/>
      <c r="X54" s="149"/>
      <c r="Y54" s="148"/>
      <c r="Z54" s="148"/>
      <c r="AA54" s="153"/>
      <c r="AB54" s="149"/>
      <c r="AC54" s="148"/>
      <c r="AD54" s="148"/>
      <c r="AE54" s="148"/>
      <c r="AF54" s="150"/>
      <c r="AG54" s="150"/>
    </row>
    <row r="55" spans="1:33" s="151" customFormat="1" outlineLevel="1" x14ac:dyDescent="0.35">
      <c r="A55" s="630"/>
      <c r="B55" s="631"/>
      <c r="C55" s="633" t="str">
        <f>'CC detallado'!A52</f>
        <v>1.2.4.10</v>
      </c>
      <c r="D55" s="634" t="str">
        <f>'CC detallado'!F52</f>
        <v>Materiales para las capacitaciones y catering</v>
      </c>
      <c r="E55" s="133">
        <f>'CC detallado'!N52</f>
        <v>168662.506324844</v>
      </c>
      <c r="F55" s="634" t="s">
        <v>832</v>
      </c>
      <c r="G55" s="634" t="s">
        <v>832</v>
      </c>
      <c r="H55" s="630" t="s">
        <v>855</v>
      </c>
      <c r="I55" s="159"/>
      <c r="J55" s="144"/>
      <c r="K55" s="144"/>
      <c r="L55" s="144"/>
      <c r="M55" s="146"/>
      <c r="N55" s="146"/>
      <c r="O55" s="146"/>
      <c r="P55" s="146"/>
      <c r="Q55" s="147">
        <f>E55*40%</f>
        <v>67465.002529937599</v>
      </c>
      <c r="R55" s="147"/>
      <c r="S55" s="147"/>
      <c r="T55" s="147">
        <f>E55*60%</f>
        <v>101197.5037949064</v>
      </c>
      <c r="U55" s="144">
        <f t="shared" si="15"/>
        <v>168662.506324844</v>
      </c>
      <c r="V55" s="148"/>
      <c r="W55" s="153"/>
      <c r="X55" s="149"/>
      <c r="Y55" s="148"/>
      <c r="Z55" s="148"/>
      <c r="AA55" s="153"/>
      <c r="AB55" s="149"/>
      <c r="AC55" s="148"/>
      <c r="AD55" s="148"/>
      <c r="AE55" s="148"/>
      <c r="AF55" s="150"/>
      <c r="AG55" s="150"/>
    </row>
    <row r="56" spans="1:33" s="151" customFormat="1" outlineLevel="1" x14ac:dyDescent="0.35">
      <c r="A56" s="630"/>
      <c r="B56" s="631"/>
      <c r="C56" s="633" t="str">
        <f>'CC detallado'!A53</f>
        <v>1.2.4.11</v>
      </c>
      <c r="D56" s="630" t="str">
        <f>'CC detallado'!F53</f>
        <v>Diseño e Impresión de cuestionarios censales</v>
      </c>
      <c r="E56" s="133">
        <f>'CC detallado'!N53</f>
        <v>20239.500758981278</v>
      </c>
      <c r="F56" s="630" t="s">
        <v>833</v>
      </c>
      <c r="G56" s="630" t="s">
        <v>833</v>
      </c>
      <c r="H56" s="630" t="s">
        <v>855</v>
      </c>
      <c r="I56" s="159"/>
      <c r="J56" s="144"/>
      <c r="K56" s="144"/>
      <c r="L56" s="144"/>
      <c r="M56" s="146"/>
      <c r="N56" s="146"/>
      <c r="O56" s="146"/>
      <c r="P56" s="146"/>
      <c r="Q56" s="147">
        <f>E56*40%</f>
        <v>8095.8003035925112</v>
      </c>
      <c r="R56" s="147"/>
      <c r="S56" s="147"/>
      <c r="T56" s="147">
        <f>E56*60%</f>
        <v>12143.700455388765</v>
      </c>
      <c r="U56" s="144">
        <f t="shared" si="15"/>
        <v>20239.500758981278</v>
      </c>
      <c r="V56" s="148"/>
      <c r="W56" s="153"/>
      <c r="X56" s="149"/>
      <c r="Y56" s="148"/>
      <c r="Z56" s="148"/>
      <c r="AA56" s="153"/>
      <c r="AB56" s="149"/>
      <c r="AC56" s="148"/>
      <c r="AD56" s="148"/>
      <c r="AE56" s="148"/>
      <c r="AF56" s="150"/>
      <c r="AG56" s="150"/>
    </row>
    <row r="57" spans="1:33" s="151" customFormat="1" outlineLevel="1" x14ac:dyDescent="0.35">
      <c r="A57" s="630"/>
      <c r="B57" s="631"/>
      <c r="C57" s="633" t="str">
        <f>'CC detallado'!A54</f>
        <v>1.2.4.12</v>
      </c>
      <c r="D57" s="630" t="str">
        <f>'CC detallado'!F54</f>
        <v>Identificador Personal(chalecos, quepis, porta nombre)</v>
      </c>
      <c r="E57" s="133">
        <f>'CC detallado'!N54</f>
        <v>55658.627087198518</v>
      </c>
      <c r="F57" s="630" t="s">
        <v>834</v>
      </c>
      <c r="G57" s="630" t="s">
        <v>834</v>
      </c>
      <c r="H57" s="630" t="s">
        <v>855</v>
      </c>
      <c r="I57" s="159"/>
      <c r="J57" s="144"/>
      <c r="K57" s="144"/>
      <c r="L57" s="144"/>
      <c r="M57" s="146"/>
      <c r="N57" s="146"/>
      <c r="O57" s="146"/>
      <c r="P57" s="146"/>
      <c r="Q57" s="147">
        <f>E57*40%</f>
        <v>22263.450834879408</v>
      </c>
      <c r="R57" s="147"/>
      <c r="S57" s="147"/>
      <c r="T57" s="147">
        <f>E57*60%</f>
        <v>33395.176252319106</v>
      </c>
      <c r="U57" s="144">
        <f t="shared" si="15"/>
        <v>55658.627087198518</v>
      </c>
      <c r="V57" s="148"/>
      <c r="W57" s="153"/>
      <c r="X57" s="149"/>
      <c r="Y57" s="148"/>
      <c r="Z57" s="148"/>
      <c r="AA57" s="153"/>
      <c r="AB57" s="149"/>
      <c r="AC57" s="148"/>
      <c r="AD57" s="148"/>
      <c r="AE57" s="148"/>
      <c r="AF57" s="150"/>
      <c r="AG57" s="150"/>
    </row>
    <row r="58" spans="1:33" s="151" customFormat="1" outlineLevel="1" x14ac:dyDescent="0.35">
      <c r="A58" s="630"/>
      <c r="B58" s="631"/>
      <c r="C58" s="433" t="str">
        <f>'CC detallado'!A55</f>
        <v>1.2.5</v>
      </c>
      <c r="D58" s="637" t="str">
        <f>'CC detallado'!F55</f>
        <v xml:space="preserve">Diseño y difusión del Operativo Censal realizada  </v>
      </c>
      <c r="E58" s="135">
        <f>SUM(E59:E60)</f>
        <v>236127.5088547816</v>
      </c>
      <c r="F58" s="637"/>
      <c r="G58" s="637"/>
      <c r="H58" s="637"/>
      <c r="I58" s="158">
        <f t="shared" ref="I58:U58" si="16">SUM(I59:I60)</f>
        <v>0</v>
      </c>
      <c r="J58" s="158">
        <f t="shared" si="16"/>
        <v>0</v>
      </c>
      <c r="K58" s="158">
        <f t="shared" si="16"/>
        <v>0</v>
      </c>
      <c r="L58" s="158">
        <f t="shared" si="16"/>
        <v>0</v>
      </c>
      <c r="M58" s="158">
        <f t="shared" si="16"/>
        <v>0</v>
      </c>
      <c r="N58" s="158">
        <f t="shared" si="16"/>
        <v>0</v>
      </c>
      <c r="O58" s="158">
        <f t="shared" si="16"/>
        <v>0</v>
      </c>
      <c r="P58" s="158">
        <f t="shared" si="16"/>
        <v>0</v>
      </c>
      <c r="Q58" s="158">
        <f t="shared" si="16"/>
        <v>0</v>
      </c>
      <c r="R58" s="158">
        <f t="shared" si="16"/>
        <v>0</v>
      </c>
      <c r="S58" s="158">
        <f t="shared" si="16"/>
        <v>0</v>
      </c>
      <c r="T58" s="158">
        <f t="shared" si="16"/>
        <v>0</v>
      </c>
      <c r="U58" s="158">
        <f t="shared" si="16"/>
        <v>0</v>
      </c>
      <c r="V58" s="148"/>
      <c r="W58" s="148"/>
      <c r="X58" s="149"/>
      <c r="Y58" s="148"/>
      <c r="Z58" s="148"/>
      <c r="AA58" s="148"/>
      <c r="AB58" s="149"/>
      <c r="AC58" s="148"/>
      <c r="AD58" s="148"/>
      <c r="AE58" s="148"/>
      <c r="AF58" s="150"/>
      <c r="AG58" s="150"/>
    </row>
    <row r="59" spans="1:33" s="151" customFormat="1" outlineLevel="1" x14ac:dyDescent="0.35">
      <c r="A59" s="630"/>
      <c r="B59" s="631" t="s">
        <v>93</v>
      </c>
      <c r="C59" s="632" t="str">
        <f>'CC detallado'!A56</f>
        <v>1.2.5.1</v>
      </c>
      <c r="D59" s="630" t="str">
        <f>'CC detallado'!F56</f>
        <v>Spot Publicitario en Radio</v>
      </c>
      <c r="E59" s="133">
        <f>'CC detallado'!N56</f>
        <v>101197.5037949064</v>
      </c>
      <c r="F59" s="630" t="s">
        <v>828</v>
      </c>
      <c r="G59" s="630" t="s">
        <v>220</v>
      </c>
      <c r="H59" s="630" t="s">
        <v>220</v>
      </c>
      <c r="I59" s="159"/>
      <c r="J59" s="159"/>
      <c r="K59" s="159"/>
      <c r="L59" s="159"/>
      <c r="M59" s="145"/>
      <c r="N59" s="145"/>
      <c r="O59" s="145"/>
      <c r="P59" s="145"/>
      <c r="Q59" s="145"/>
      <c r="R59" s="145"/>
      <c r="S59" s="145"/>
      <c r="T59" s="144"/>
      <c r="U59" s="144">
        <f>SUM(I59:T59)</f>
        <v>0</v>
      </c>
      <c r="V59" s="148"/>
      <c r="W59" s="153"/>
      <c r="X59" s="149"/>
      <c r="Y59" s="148"/>
      <c r="Z59" s="148"/>
      <c r="AA59" s="153"/>
      <c r="AB59" s="149"/>
      <c r="AC59" s="148"/>
      <c r="AD59" s="148"/>
      <c r="AE59" s="148"/>
      <c r="AF59" s="150"/>
      <c r="AG59" s="150"/>
    </row>
    <row r="60" spans="1:33" s="151" customFormat="1" outlineLevel="1" x14ac:dyDescent="0.35">
      <c r="A60" s="630"/>
      <c r="B60" s="631" t="s">
        <v>93</v>
      </c>
      <c r="C60" s="632" t="str">
        <f>'CC detallado'!A57</f>
        <v>1.2.5.2</v>
      </c>
      <c r="D60" s="630" t="str">
        <f>'CC detallado'!F57</f>
        <v>Spot Publicitario en T.V</v>
      </c>
      <c r="E60" s="133">
        <f>'CC detallado'!N57</f>
        <v>134930.0050598752</v>
      </c>
      <c r="F60" s="630" t="s">
        <v>828</v>
      </c>
      <c r="G60" s="630" t="s">
        <v>220</v>
      </c>
      <c r="H60" s="630" t="s">
        <v>220</v>
      </c>
      <c r="I60" s="159"/>
      <c r="J60" s="159"/>
      <c r="K60" s="159"/>
      <c r="L60" s="159"/>
      <c r="M60" s="145"/>
      <c r="N60" s="145"/>
      <c r="O60" s="145"/>
      <c r="P60" s="145"/>
      <c r="Q60" s="145"/>
      <c r="R60" s="145"/>
      <c r="S60" s="145"/>
      <c r="T60" s="144"/>
      <c r="U60" s="144">
        <f>SUM(I60:T60)</f>
        <v>0</v>
      </c>
      <c r="V60" s="148"/>
      <c r="W60" s="152"/>
      <c r="X60" s="149"/>
      <c r="Y60" s="148"/>
      <c r="Z60" s="148"/>
      <c r="AA60" s="152"/>
      <c r="AB60" s="149"/>
      <c r="AC60" s="148"/>
      <c r="AD60" s="148"/>
      <c r="AE60" s="148"/>
      <c r="AF60" s="150"/>
      <c r="AG60" s="150"/>
    </row>
    <row r="61" spans="1:33" s="151" customFormat="1" ht="24" outlineLevel="1" x14ac:dyDescent="0.35">
      <c r="A61" s="630"/>
      <c r="B61" s="631"/>
      <c r="C61" s="433" t="str">
        <f>'CC detallado'!A58</f>
        <v>1.2.6</v>
      </c>
      <c r="D61" s="637" t="str">
        <f>'CC detallado'!F58</f>
        <v>Sistema de procesamiento, análisis y difusión de datos del Censo desarrollado</v>
      </c>
      <c r="E61" s="135">
        <f>E62+E63+E64+E65+E66+E69+E70+E71+E72</f>
        <v>370551.52639568225</v>
      </c>
      <c r="F61" s="637"/>
      <c r="G61" s="637"/>
      <c r="H61" s="637"/>
      <c r="I61" s="158">
        <f t="shared" ref="I61:U61" si="17">I62+I63+I64+I65+I66+I69+I70+I71+I72</f>
        <v>0</v>
      </c>
      <c r="J61" s="158">
        <f t="shared" si="17"/>
        <v>0</v>
      </c>
      <c r="K61" s="158">
        <f t="shared" si="17"/>
        <v>0</v>
      </c>
      <c r="L61" s="158">
        <f t="shared" si="17"/>
        <v>0</v>
      </c>
      <c r="M61" s="158">
        <f t="shared" si="17"/>
        <v>0</v>
      </c>
      <c r="N61" s="158">
        <f t="shared" si="17"/>
        <v>0</v>
      </c>
      <c r="O61" s="158">
        <f t="shared" si="17"/>
        <v>0</v>
      </c>
      <c r="P61" s="158">
        <f t="shared" si="17"/>
        <v>0</v>
      </c>
      <c r="Q61" s="158">
        <f t="shared" si="17"/>
        <v>0</v>
      </c>
      <c r="R61" s="158">
        <f t="shared" si="17"/>
        <v>0</v>
      </c>
      <c r="S61" s="158">
        <f t="shared" si="17"/>
        <v>0</v>
      </c>
      <c r="T61" s="158">
        <f t="shared" si="17"/>
        <v>0</v>
      </c>
      <c r="U61" s="158">
        <f t="shared" si="17"/>
        <v>0</v>
      </c>
      <c r="V61" s="148"/>
      <c r="W61" s="148"/>
      <c r="X61" s="149"/>
      <c r="Y61" s="148"/>
      <c r="Z61" s="148"/>
      <c r="AA61" s="148"/>
      <c r="AB61" s="149"/>
      <c r="AC61" s="148"/>
      <c r="AD61" s="148"/>
      <c r="AE61" s="148"/>
      <c r="AF61" s="150"/>
      <c r="AG61" s="150"/>
    </row>
    <row r="62" spans="1:33" s="151" customFormat="1" outlineLevel="1" x14ac:dyDescent="0.35">
      <c r="A62" s="630"/>
      <c r="B62" s="631" t="s">
        <v>91</v>
      </c>
      <c r="C62" s="632" t="str">
        <f>'CC detallado'!A59</f>
        <v>1.2.6.1</v>
      </c>
      <c r="D62" s="630" t="str">
        <f>'CC detallado'!F59</f>
        <v>Administrador de Sistema</v>
      </c>
      <c r="E62" s="133">
        <f>'CC detallado'!N59</f>
        <v>18215.550683083151</v>
      </c>
      <c r="F62" s="630" t="s">
        <v>828</v>
      </c>
      <c r="G62" s="630" t="s">
        <v>220</v>
      </c>
      <c r="H62" s="630" t="s">
        <v>220</v>
      </c>
      <c r="I62" s="144"/>
      <c r="J62" s="144"/>
      <c r="K62" s="144"/>
      <c r="L62" s="144"/>
      <c r="M62" s="145"/>
      <c r="N62" s="145"/>
      <c r="O62" s="145"/>
      <c r="P62" s="145"/>
      <c r="Q62" s="145"/>
      <c r="R62" s="145"/>
      <c r="S62" s="145"/>
      <c r="T62" s="145"/>
      <c r="U62" s="144">
        <f t="shared" ref="U62:U72" si="18">SUM(I62:T62)</f>
        <v>0</v>
      </c>
      <c r="V62" s="148"/>
      <c r="W62" s="153"/>
      <c r="X62" s="149"/>
      <c r="Y62" s="148"/>
      <c r="Z62" s="148"/>
      <c r="AA62" s="153"/>
      <c r="AB62" s="149"/>
      <c r="AC62" s="148"/>
      <c r="AD62" s="148"/>
      <c r="AE62" s="148"/>
      <c r="AF62" s="150"/>
      <c r="AG62" s="150"/>
    </row>
    <row r="63" spans="1:33" s="151" customFormat="1" outlineLevel="1" x14ac:dyDescent="0.35">
      <c r="A63" s="630"/>
      <c r="B63" s="631" t="s">
        <v>91</v>
      </c>
      <c r="C63" s="632" t="str">
        <f>'CC detallado'!A60</f>
        <v>1.2.6.2</v>
      </c>
      <c r="D63" s="630" t="str">
        <f>'CC detallado'!F60</f>
        <v>Administrador de red</v>
      </c>
      <c r="E63" s="133">
        <f>'CC detallado'!N60</f>
        <v>18215.550683083151</v>
      </c>
      <c r="F63" s="630" t="s">
        <v>828</v>
      </c>
      <c r="G63" s="630" t="s">
        <v>220</v>
      </c>
      <c r="H63" s="630" t="s">
        <v>220</v>
      </c>
      <c r="I63" s="144"/>
      <c r="J63" s="144"/>
      <c r="K63" s="144"/>
      <c r="L63" s="144"/>
      <c r="M63" s="145"/>
      <c r="N63" s="145"/>
      <c r="O63" s="145"/>
      <c r="P63" s="145"/>
      <c r="Q63" s="145"/>
      <c r="R63" s="145"/>
      <c r="S63" s="145"/>
      <c r="T63" s="145"/>
      <c r="U63" s="144">
        <f t="shared" si="18"/>
        <v>0</v>
      </c>
      <c r="V63" s="148"/>
      <c r="W63" s="152"/>
      <c r="X63" s="149"/>
      <c r="Y63" s="148"/>
      <c r="Z63" s="148"/>
      <c r="AA63" s="152"/>
      <c r="AB63" s="149"/>
      <c r="AC63" s="148"/>
      <c r="AD63" s="148"/>
      <c r="AE63" s="148"/>
      <c r="AF63" s="150"/>
      <c r="AG63" s="150"/>
    </row>
    <row r="64" spans="1:33" s="151" customFormat="1" outlineLevel="1" x14ac:dyDescent="0.35">
      <c r="A64" s="630"/>
      <c r="B64" s="631" t="s">
        <v>91</v>
      </c>
      <c r="C64" s="632" t="str">
        <f>'CC detallado'!A61</f>
        <v>1.2.6.3</v>
      </c>
      <c r="D64" s="630" t="str">
        <f>'CC detallado'!F61</f>
        <v>Experto en web</v>
      </c>
      <c r="E64" s="133">
        <f>'CC detallado'!N61</f>
        <v>18215.550683083151</v>
      </c>
      <c r="F64" s="630" t="s">
        <v>828</v>
      </c>
      <c r="G64" s="630" t="s">
        <v>220</v>
      </c>
      <c r="H64" s="630" t="s">
        <v>220</v>
      </c>
      <c r="I64" s="144"/>
      <c r="J64" s="144"/>
      <c r="K64" s="144"/>
      <c r="L64" s="144"/>
      <c r="M64" s="145"/>
      <c r="N64" s="145"/>
      <c r="O64" s="145"/>
      <c r="P64" s="145"/>
      <c r="Q64" s="145"/>
      <c r="R64" s="145"/>
      <c r="S64" s="145"/>
      <c r="T64" s="145"/>
      <c r="U64" s="144">
        <f t="shared" si="18"/>
        <v>0</v>
      </c>
      <c r="V64" s="148"/>
      <c r="W64" s="153"/>
      <c r="X64" s="149"/>
      <c r="Y64" s="148"/>
      <c r="Z64" s="148"/>
      <c r="AA64" s="153"/>
      <c r="AB64" s="149"/>
      <c r="AC64" s="148"/>
      <c r="AD64" s="148"/>
      <c r="AE64" s="148"/>
      <c r="AF64" s="150"/>
      <c r="AG64" s="150"/>
    </row>
    <row r="65" spans="1:33" s="151" customFormat="1" outlineLevel="1" x14ac:dyDescent="0.35">
      <c r="A65" s="630"/>
      <c r="B65" s="631" t="s">
        <v>91</v>
      </c>
      <c r="C65" s="632" t="str">
        <f>'CC detallado'!A62</f>
        <v>1.2.6.4</v>
      </c>
      <c r="D65" s="630" t="str">
        <f>'CC detallado'!F62</f>
        <v>Programadores</v>
      </c>
      <c r="E65" s="133">
        <f>'CC detallado'!N62</f>
        <v>10119.750379490639</v>
      </c>
      <c r="F65" s="630" t="s">
        <v>828</v>
      </c>
      <c r="G65" s="630" t="s">
        <v>220</v>
      </c>
      <c r="H65" s="630" t="s">
        <v>220</v>
      </c>
      <c r="I65" s="144"/>
      <c r="J65" s="144"/>
      <c r="K65" s="144"/>
      <c r="L65" s="144"/>
      <c r="M65" s="145"/>
      <c r="N65" s="145"/>
      <c r="O65" s="145"/>
      <c r="P65" s="145"/>
      <c r="Q65" s="145"/>
      <c r="R65" s="145"/>
      <c r="S65" s="145"/>
      <c r="T65" s="145"/>
      <c r="U65" s="144">
        <f t="shared" si="18"/>
        <v>0</v>
      </c>
      <c r="V65" s="148"/>
      <c r="W65" s="153"/>
      <c r="X65" s="149"/>
      <c r="Y65" s="148"/>
      <c r="Z65" s="148"/>
      <c r="AA65" s="153"/>
      <c r="AB65" s="149"/>
      <c r="AC65" s="148"/>
      <c r="AD65" s="148"/>
      <c r="AE65" s="148"/>
      <c r="AF65" s="150"/>
      <c r="AG65" s="150"/>
    </row>
    <row r="66" spans="1:33" s="151" customFormat="1" ht="24" outlineLevel="1" x14ac:dyDescent="0.35">
      <c r="A66" s="630"/>
      <c r="B66" s="631"/>
      <c r="C66" s="633" t="str">
        <f>'CC detallado'!A63</f>
        <v>1.2.6.5</v>
      </c>
      <c r="D66" s="634" t="str">
        <f>'CC detallado'!F63</f>
        <v>Firma para contratación y gestión del personal para el trabajo de campo</v>
      </c>
      <c r="E66" s="133">
        <f>'CC detallado'!N63</f>
        <v>183842.13189407997</v>
      </c>
      <c r="F66" s="634" t="s">
        <v>831</v>
      </c>
      <c r="G66" s="634" t="s">
        <v>867</v>
      </c>
      <c r="H66" s="630" t="s">
        <v>855</v>
      </c>
      <c r="I66" s="144"/>
      <c r="J66" s="144"/>
      <c r="K66" s="144"/>
      <c r="L66" s="144"/>
      <c r="M66" s="144"/>
      <c r="N66" s="146"/>
      <c r="O66" s="146"/>
      <c r="P66" s="146"/>
      <c r="Q66" s="146"/>
      <c r="R66" s="146"/>
      <c r="S66" s="146"/>
      <c r="T66" s="146"/>
      <c r="U66" s="144">
        <f t="shared" si="18"/>
        <v>0</v>
      </c>
      <c r="V66" s="148"/>
      <c r="W66" s="153"/>
      <c r="X66" s="149"/>
      <c r="Y66" s="148"/>
      <c r="Z66" s="148"/>
      <c r="AA66" s="153"/>
      <c r="AB66" s="149"/>
      <c r="AC66" s="148"/>
      <c r="AD66" s="148"/>
      <c r="AE66" s="148"/>
      <c r="AF66" s="150"/>
      <c r="AG66" s="150"/>
    </row>
    <row r="67" spans="1:33" s="151" customFormat="1" outlineLevel="1" x14ac:dyDescent="0.35">
      <c r="A67" s="630"/>
      <c r="B67" s="631" t="s">
        <v>91</v>
      </c>
      <c r="C67" s="632" t="str">
        <f>'CC detallado'!A64</f>
        <v>1.2.6.6</v>
      </c>
      <c r="D67" s="630" t="str">
        <f>'CC detallado'!F64</f>
        <v>Costo del Servicio</v>
      </c>
      <c r="E67" s="133">
        <f>'CC detallado'!N64</f>
        <v>15179.625569235959</v>
      </c>
      <c r="F67" s="630" t="s">
        <v>828</v>
      </c>
      <c r="G67" s="630" t="s">
        <v>220</v>
      </c>
      <c r="H67" s="630" t="s">
        <v>220</v>
      </c>
      <c r="I67" s="144"/>
      <c r="J67" s="144"/>
      <c r="K67" s="144"/>
      <c r="L67" s="144"/>
      <c r="M67" s="145"/>
      <c r="N67" s="145"/>
      <c r="O67" s="145"/>
      <c r="P67" s="145"/>
      <c r="Q67" s="145"/>
      <c r="R67" s="145"/>
      <c r="S67" s="145"/>
      <c r="T67" s="145"/>
      <c r="U67" s="144">
        <f t="shared" si="18"/>
        <v>0</v>
      </c>
      <c r="V67" s="148"/>
      <c r="W67" s="153"/>
      <c r="X67" s="149"/>
      <c r="Y67" s="148"/>
      <c r="Z67" s="148"/>
      <c r="AA67" s="153"/>
      <c r="AB67" s="149"/>
      <c r="AC67" s="148"/>
      <c r="AD67" s="148"/>
      <c r="AE67" s="148"/>
      <c r="AF67" s="150"/>
      <c r="AG67" s="150"/>
    </row>
    <row r="68" spans="1:33" s="151" customFormat="1" outlineLevel="1" x14ac:dyDescent="0.35">
      <c r="A68" s="630"/>
      <c r="B68" s="631"/>
      <c r="C68" s="633" t="str">
        <f>'CC detallado'!A65</f>
        <v>1.2.6.7</v>
      </c>
      <c r="D68" s="634" t="str">
        <f>'CC detallado'!F65</f>
        <v>Responsable de puesto de captura</v>
      </c>
      <c r="E68" s="133">
        <f>'CC detallado'!N65</f>
        <v>168662.506324844</v>
      </c>
      <c r="F68" s="634" t="s">
        <v>828</v>
      </c>
      <c r="G68" s="630" t="s">
        <v>220</v>
      </c>
      <c r="H68" s="630" t="s">
        <v>220</v>
      </c>
      <c r="I68" s="144"/>
      <c r="J68" s="144"/>
      <c r="K68" s="144"/>
      <c r="L68" s="144"/>
      <c r="M68" s="145"/>
      <c r="N68" s="145"/>
      <c r="O68" s="145"/>
      <c r="P68" s="145"/>
      <c r="Q68" s="145"/>
      <c r="R68" s="145"/>
      <c r="S68" s="145"/>
      <c r="T68" s="145"/>
      <c r="U68" s="144">
        <f t="shared" si="18"/>
        <v>0</v>
      </c>
      <c r="V68" s="148"/>
      <c r="W68" s="153"/>
      <c r="X68" s="149"/>
      <c r="Y68" s="148"/>
      <c r="Z68" s="148"/>
      <c r="AA68" s="153"/>
      <c r="AB68" s="149"/>
      <c r="AC68" s="148"/>
      <c r="AD68" s="148"/>
      <c r="AE68" s="148"/>
      <c r="AF68" s="150"/>
      <c r="AG68" s="150"/>
    </row>
    <row r="69" spans="1:33" s="151" customFormat="1" outlineLevel="1" x14ac:dyDescent="0.35">
      <c r="A69" s="630"/>
      <c r="B69" s="631" t="s">
        <v>91</v>
      </c>
      <c r="C69" s="632" t="str">
        <f>'CC detallado'!A66</f>
        <v>1.2.6.8</v>
      </c>
      <c r="D69" s="630" t="str">
        <f>'CC detallado'!F66</f>
        <v>Soporte técnico (puesto de captura y gabinete)</v>
      </c>
      <c r="E69" s="133">
        <f>'CC detallado'!N66</f>
        <v>16191.600607185022</v>
      </c>
      <c r="F69" s="630" t="s">
        <v>828</v>
      </c>
      <c r="G69" s="630" t="s">
        <v>220</v>
      </c>
      <c r="H69" s="630" t="s">
        <v>220</v>
      </c>
      <c r="I69" s="144"/>
      <c r="J69" s="144"/>
      <c r="K69" s="144"/>
      <c r="L69" s="144"/>
      <c r="M69" s="145"/>
      <c r="N69" s="145"/>
      <c r="O69" s="145"/>
      <c r="P69" s="145"/>
      <c r="Q69" s="145"/>
      <c r="R69" s="145"/>
      <c r="S69" s="145"/>
      <c r="T69" s="145"/>
      <c r="U69" s="144">
        <f t="shared" si="18"/>
        <v>0</v>
      </c>
      <c r="V69" s="148"/>
      <c r="W69" s="153"/>
      <c r="X69" s="149"/>
      <c r="Y69" s="148"/>
      <c r="Z69" s="148"/>
      <c r="AA69" s="153"/>
      <c r="AB69" s="149"/>
      <c r="AC69" s="148"/>
      <c r="AD69" s="148"/>
      <c r="AE69" s="148"/>
      <c r="AF69" s="150"/>
      <c r="AG69" s="150"/>
    </row>
    <row r="70" spans="1:33" s="151" customFormat="1" outlineLevel="1" x14ac:dyDescent="0.35">
      <c r="A70" s="630"/>
      <c r="B70" s="631" t="s">
        <v>91</v>
      </c>
      <c r="C70" s="632" t="str">
        <f>'CC detallado'!A67</f>
        <v>1.2.6.9</v>
      </c>
      <c r="D70" s="630" t="str">
        <f>'CC detallado'!F67</f>
        <v>Digitadores y supervisores (de contingencia)</v>
      </c>
      <c r="E70" s="133">
        <f>'CC detallado'!N67</f>
        <v>26986.001011975037</v>
      </c>
      <c r="F70" s="630" t="s">
        <v>828</v>
      </c>
      <c r="G70" s="630" t="s">
        <v>220</v>
      </c>
      <c r="H70" s="630" t="s">
        <v>220</v>
      </c>
      <c r="I70" s="144"/>
      <c r="J70" s="144"/>
      <c r="K70" s="144"/>
      <c r="L70" s="144"/>
      <c r="M70" s="145"/>
      <c r="N70" s="145"/>
      <c r="O70" s="145"/>
      <c r="P70" s="145"/>
      <c r="Q70" s="145"/>
      <c r="R70" s="145"/>
      <c r="S70" s="145"/>
      <c r="T70" s="145"/>
      <c r="U70" s="144">
        <f t="shared" si="18"/>
        <v>0</v>
      </c>
      <c r="V70" s="148"/>
      <c r="W70" s="153"/>
      <c r="X70" s="149"/>
      <c r="Y70" s="148"/>
      <c r="Z70" s="148"/>
      <c r="AA70" s="153"/>
      <c r="AB70" s="149"/>
      <c r="AC70" s="148"/>
      <c r="AD70" s="148"/>
      <c r="AE70" s="148"/>
      <c r="AF70" s="150"/>
      <c r="AG70" s="150"/>
    </row>
    <row r="71" spans="1:33" s="151" customFormat="1" outlineLevel="1" x14ac:dyDescent="0.35">
      <c r="A71" s="634"/>
      <c r="B71" s="639" t="s">
        <v>91</v>
      </c>
      <c r="C71" s="632" t="str">
        <f>'CC detallado'!A68</f>
        <v>1.2.6.10</v>
      </c>
      <c r="D71" s="630" t="str">
        <f>'CC detallado'!F68</f>
        <v>Analistas de datos</v>
      </c>
      <c r="E71" s="133">
        <f>'CC detallado'!N68</f>
        <v>24793.388429752067</v>
      </c>
      <c r="F71" s="630" t="s">
        <v>828</v>
      </c>
      <c r="G71" s="630" t="s">
        <v>220</v>
      </c>
      <c r="H71" s="630" t="s">
        <v>220</v>
      </c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>
        <f t="shared" si="18"/>
        <v>0</v>
      </c>
      <c r="V71" s="148"/>
      <c r="W71" s="153"/>
      <c r="X71" s="149"/>
      <c r="Y71" s="148"/>
      <c r="Z71" s="148"/>
      <c r="AA71" s="153"/>
      <c r="AB71" s="149"/>
      <c r="AC71" s="148"/>
      <c r="AD71" s="148"/>
      <c r="AE71" s="148"/>
      <c r="AF71" s="150"/>
      <c r="AG71" s="150"/>
    </row>
    <row r="72" spans="1:33" s="151" customFormat="1" outlineLevel="1" x14ac:dyDescent="0.35">
      <c r="A72" s="634"/>
      <c r="B72" s="639"/>
      <c r="C72" s="632" t="str">
        <f>'CC detallado'!A69</f>
        <v>1.2.6.11</v>
      </c>
      <c r="D72" s="630" t="str">
        <f>'CC detallado'!F69</f>
        <v>Críticos y supervisores</v>
      </c>
      <c r="E72" s="133">
        <f>'CC detallado'!N69</f>
        <v>53972.002023950074</v>
      </c>
      <c r="F72" s="630" t="s">
        <v>828</v>
      </c>
      <c r="G72" s="630" t="s">
        <v>220</v>
      </c>
      <c r="H72" s="630" t="s">
        <v>220</v>
      </c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>
        <f t="shared" si="18"/>
        <v>0</v>
      </c>
      <c r="V72" s="148"/>
      <c r="W72" s="153"/>
      <c r="X72" s="149"/>
      <c r="Y72" s="148"/>
      <c r="Z72" s="148"/>
      <c r="AA72" s="153"/>
      <c r="AB72" s="149"/>
      <c r="AC72" s="148"/>
      <c r="AD72" s="148"/>
      <c r="AE72" s="148"/>
      <c r="AF72" s="150"/>
      <c r="AG72" s="150"/>
    </row>
    <row r="73" spans="1:33" s="151" customFormat="1" x14ac:dyDescent="0.35">
      <c r="A73" s="640"/>
      <c r="B73" s="641"/>
      <c r="C73" s="642" t="str">
        <f>'CC detallado'!A70</f>
        <v>1.3</v>
      </c>
      <c r="D73" s="643" t="str">
        <f>'CC detallado'!F70</f>
        <v>Producto 3: Encuesta post-censal de evaluación realizada</v>
      </c>
      <c r="E73" s="140">
        <f>SUM(E74:E76)</f>
        <v>355857</v>
      </c>
      <c r="F73" s="643"/>
      <c r="G73" s="643"/>
      <c r="H73" s="643"/>
      <c r="I73" s="157">
        <f t="shared" ref="I73:U73" si="19">SUM(I74:I76)</f>
        <v>0</v>
      </c>
      <c r="J73" s="157">
        <f t="shared" si="19"/>
        <v>0</v>
      </c>
      <c r="K73" s="157">
        <f t="shared" si="19"/>
        <v>0</v>
      </c>
      <c r="L73" s="157">
        <f t="shared" si="19"/>
        <v>0</v>
      </c>
      <c r="M73" s="157">
        <f t="shared" si="19"/>
        <v>0</v>
      </c>
      <c r="N73" s="157">
        <f t="shared" si="19"/>
        <v>0</v>
      </c>
      <c r="O73" s="157">
        <f t="shared" si="19"/>
        <v>0</v>
      </c>
      <c r="P73" s="157">
        <f t="shared" si="19"/>
        <v>0</v>
      </c>
      <c r="Q73" s="157">
        <f t="shared" si="19"/>
        <v>0</v>
      </c>
      <c r="R73" s="157">
        <f t="shared" si="19"/>
        <v>0</v>
      </c>
      <c r="S73" s="157">
        <f t="shared" si="19"/>
        <v>0</v>
      </c>
      <c r="T73" s="157">
        <f t="shared" si="19"/>
        <v>0</v>
      </c>
      <c r="U73" s="157">
        <f t="shared" si="19"/>
        <v>0</v>
      </c>
      <c r="V73" s="148"/>
      <c r="W73" s="153"/>
      <c r="X73" s="149"/>
      <c r="Y73" s="148"/>
      <c r="Z73" s="148"/>
      <c r="AA73" s="153"/>
      <c r="AB73" s="149"/>
      <c r="AC73" s="148"/>
      <c r="AD73" s="148"/>
      <c r="AE73" s="148"/>
      <c r="AF73" s="150"/>
      <c r="AG73" s="150"/>
    </row>
    <row r="74" spans="1:33" s="150" customFormat="1" outlineLevel="1" x14ac:dyDescent="0.35">
      <c r="A74" s="630"/>
      <c r="B74" s="631"/>
      <c r="C74" s="633" t="str">
        <f>'CC detallado'!A71</f>
        <v>1.3.1</v>
      </c>
      <c r="D74" s="634" t="str">
        <f>'CC detallado'!F71</f>
        <v>Análisis y evaluación de la cobertura censal</v>
      </c>
      <c r="E74" s="133">
        <f>'CC detallado'!N71</f>
        <v>20000</v>
      </c>
      <c r="F74" s="634" t="s">
        <v>828</v>
      </c>
      <c r="G74" s="630" t="s">
        <v>220</v>
      </c>
      <c r="H74" s="630" t="s">
        <v>220</v>
      </c>
      <c r="I74" s="144"/>
      <c r="J74" s="144"/>
      <c r="K74" s="144"/>
      <c r="L74" s="144"/>
      <c r="M74" s="145"/>
      <c r="N74" s="145"/>
      <c r="O74" s="145"/>
      <c r="P74" s="145"/>
      <c r="Q74" s="145"/>
      <c r="R74" s="145"/>
      <c r="S74" s="145"/>
      <c r="T74" s="145"/>
      <c r="U74" s="144">
        <f>SUM(I74:T74)</f>
        <v>0</v>
      </c>
      <c r="V74" s="148"/>
      <c r="W74" s="153"/>
      <c r="X74" s="149"/>
      <c r="Y74" s="148"/>
      <c r="Z74" s="148"/>
      <c r="AA74" s="153"/>
      <c r="AB74" s="149"/>
      <c r="AC74" s="148"/>
      <c r="AD74" s="148"/>
      <c r="AE74" s="148"/>
    </row>
    <row r="75" spans="1:33" s="151" customFormat="1" outlineLevel="1" x14ac:dyDescent="0.35">
      <c r="A75" s="630"/>
      <c r="B75" s="631"/>
      <c r="C75" s="633" t="str">
        <f>'CC detallado'!A72</f>
        <v>1.3.2</v>
      </c>
      <c r="D75" s="634" t="str">
        <f>'CC detallado'!F72</f>
        <v>Evaluación por muestreo de la calidad de los datos</v>
      </c>
      <c r="E75" s="133">
        <f>'CC detallado'!N72</f>
        <v>315857</v>
      </c>
      <c r="F75" s="634" t="s">
        <v>828</v>
      </c>
      <c r="G75" s="630" t="s">
        <v>220</v>
      </c>
      <c r="H75" s="630" t="s">
        <v>220</v>
      </c>
      <c r="I75" s="144"/>
      <c r="J75" s="144"/>
      <c r="K75" s="144"/>
      <c r="L75" s="144"/>
      <c r="M75" s="145"/>
      <c r="N75" s="145"/>
      <c r="O75" s="145"/>
      <c r="P75" s="145"/>
      <c r="Q75" s="145"/>
      <c r="R75" s="145"/>
      <c r="S75" s="145"/>
      <c r="T75" s="145"/>
      <c r="U75" s="144">
        <f>SUM(I75:T75)</f>
        <v>0</v>
      </c>
      <c r="V75" s="148"/>
      <c r="W75" s="152"/>
      <c r="X75" s="149"/>
      <c r="Y75" s="148"/>
      <c r="Z75" s="148"/>
      <c r="AA75" s="152"/>
      <c r="AB75" s="149"/>
      <c r="AC75" s="148"/>
      <c r="AD75" s="148"/>
      <c r="AE75" s="148"/>
      <c r="AF75" s="150"/>
      <c r="AG75" s="150"/>
    </row>
    <row r="76" spans="1:33" s="151" customFormat="1" outlineLevel="1" x14ac:dyDescent="0.35">
      <c r="A76" s="630"/>
      <c r="B76" s="631" t="s">
        <v>91</v>
      </c>
      <c r="C76" s="633" t="str">
        <f>'CC detallado'!A73</f>
        <v>1.3.3</v>
      </c>
      <c r="D76" s="634" t="str">
        <f>'CC detallado'!F73</f>
        <v>Evaluación y documentación del Operativo Censal</v>
      </c>
      <c r="E76" s="133">
        <f>'CC detallado'!N73</f>
        <v>20000</v>
      </c>
      <c r="F76" s="634" t="s">
        <v>828</v>
      </c>
      <c r="G76" s="630" t="s">
        <v>220</v>
      </c>
      <c r="H76" s="630" t="s">
        <v>220</v>
      </c>
      <c r="I76" s="144"/>
      <c r="J76" s="144"/>
      <c r="K76" s="144"/>
      <c r="L76" s="144"/>
      <c r="M76" s="145"/>
      <c r="N76" s="145"/>
      <c r="O76" s="145"/>
      <c r="P76" s="145"/>
      <c r="Q76" s="145"/>
      <c r="R76" s="145"/>
      <c r="S76" s="145"/>
      <c r="T76" s="145"/>
      <c r="U76" s="144">
        <f>SUM(I76:T76)</f>
        <v>0</v>
      </c>
      <c r="V76" s="148"/>
      <c r="W76" s="153"/>
      <c r="X76" s="149"/>
      <c r="Y76" s="148"/>
      <c r="Z76" s="148"/>
      <c r="AA76" s="153"/>
      <c r="AB76" s="149"/>
      <c r="AC76" s="148"/>
      <c r="AD76" s="148"/>
      <c r="AE76" s="148"/>
      <c r="AF76" s="150"/>
      <c r="AG76" s="150"/>
    </row>
    <row r="77" spans="1:33" s="151" customFormat="1" x14ac:dyDescent="0.35">
      <c r="A77" s="635"/>
      <c r="B77" s="636"/>
      <c r="C77" s="432" t="str">
        <f>'CC detallado'!A74</f>
        <v xml:space="preserve">1.4 </v>
      </c>
      <c r="D77" s="65" t="str">
        <f>'CC detallado'!F74</f>
        <v>Producto 4: Difusión de resultados realizada</v>
      </c>
      <c r="E77" s="140">
        <f>SUM(E78:E82)</f>
        <v>119750.37949063924</v>
      </c>
      <c r="F77" s="65"/>
      <c r="G77" s="65"/>
      <c r="H77" s="65"/>
      <c r="I77" s="157">
        <f>SUM(I78:I82)</f>
        <v>0</v>
      </c>
      <c r="J77" s="157">
        <f t="shared" ref="J77:U77" si="20">SUM(J78:J82)</f>
        <v>0</v>
      </c>
      <c r="K77" s="157">
        <f t="shared" si="20"/>
        <v>0</v>
      </c>
      <c r="L77" s="157">
        <f t="shared" si="20"/>
        <v>0</v>
      </c>
      <c r="M77" s="157">
        <f t="shared" si="20"/>
        <v>0</v>
      </c>
      <c r="N77" s="157">
        <f t="shared" si="20"/>
        <v>0</v>
      </c>
      <c r="O77" s="157">
        <f t="shared" si="20"/>
        <v>0</v>
      </c>
      <c r="P77" s="157">
        <f t="shared" si="20"/>
        <v>0</v>
      </c>
      <c r="Q77" s="157">
        <f t="shared" si="20"/>
        <v>0</v>
      </c>
      <c r="R77" s="157">
        <f t="shared" si="20"/>
        <v>0</v>
      </c>
      <c r="S77" s="157">
        <f t="shared" si="20"/>
        <v>0</v>
      </c>
      <c r="T77" s="157">
        <f t="shared" si="20"/>
        <v>0</v>
      </c>
      <c r="U77" s="157">
        <f t="shared" si="20"/>
        <v>0</v>
      </c>
      <c r="V77" s="148"/>
      <c r="W77" s="153"/>
      <c r="X77" s="149"/>
      <c r="Y77" s="148"/>
      <c r="Z77" s="148"/>
      <c r="AA77" s="153"/>
      <c r="AB77" s="149"/>
      <c r="AC77" s="148"/>
      <c r="AD77" s="148"/>
      <c r="AE77" s="148"/>
      <c r="AF77" s="150"/>
      <c r="AG77" s="150"/>
    </row>
    <row r="78" spans="1:33" s="151" customFormat="1" outlineLevel="1" x14ac:dyDescent="0.35">
      <c r="A78" s="630"/>
      <c r="B78" s="631" t="s">
        <v>91</v>
      </c>
      <c r="C78" s="632" t="str">
        <f>'CC detallado'!A75</f>
        <v>1.4.1</v>
      </c>
      <c r="D78" s="630" t="str">
        <f>'CC detallado'!F75</f>
        <v>Sistematización y Análisis</v>
      </c>
      <c r="E78" s="133">
        <f>'CC detallado'!N75</f>
        <v>14167.650531286896</v>
      </c>
      <c r="F78" s="630" t="s">
        <v>828</v>
      </c>
      <c r="G78" s="630" t="s">
        <v>220</v>
      </c>
      <c r="H78" s="630" t="s">
        <v>220</v>
      </c>
      <c r="I78" s="144"/>
      <c r="J78" s="144"/>
      <c r="K78" s="144"/>
      <c r="L78" s="144"/>
      <c r="M78" s="145"/>
      <c r="N78" s="145"/>
      <c r="O78" s="145"/>
      <c r="P78" s="145"/>
      <c r="Q78" s="145"/>
      <c r="R78" s="145"/>
      <c r="S78" s="145"/>
      <c r="T78" s="145"/>
      <c r="U78" s="144">
        <f>SUM(I78:T78)</f>
        <v>0</v>
      </c>
      <c r="V78" s="148"/>
      <c r="W78" s="153"/>
      <c r="X78" s="149"/>
      <c r="Y78" s="148"/>
      <c r="Z78" s="148"/>
      <c r="AA78" s="153"/>
      <c r="AB78" s="149"/>
      <c r="AC78" s="148"/>
      <c r="AD78" s="148"/>
      <c r="AE78" s="148"/>
      <c r="AF78" s="150"/>
      <c r="AG78" s="150"/>
    </row>
    <row r="79" spans="1:33" s="151" customFormat="1" outlineLevel="1" x14ac:dyDescent="0.35">
      <c r="A79" s="630"/>
      <c r="B79" s="631"/>
      <c r="C79" s="632" t="str">
        <f>'CC detallado'!A76</f>
        <v>1.4.2</v>
      </c>
      <c r="D79" s="630" t="str">
        <f>'CC detallado'!F76</f>
        <v>Experto en comunicación de resultados censales</v>
      </c>
      <c r="E79" s="133">
        <f>'CC detallado'!N76</f>
        <v>10119.750379490639</v>
      </c>
      <c r="F79" s="630" t="s">
        <v>828</v>
      </c>
      <c r="G79" s="630" t="s">
        <v>220</v>
      </c>
      <c r="H79" s="630" t="s">
        <v>220</v>
      </c>
      <c r="I79" s="144"/>
      <c r="J79" s="144"/>
      <c r="K79" s="144"/>
      <c r="L79" s="144"/>
      <c r="M79" s="145"/>
      <c r="N79" s="145"/>
      <c r="O79" s="145"/>
      <c r="P79" s="145"/>
      <c r="Q79" s="145"/>
      <c r="R79" s="145"/>
      <c r="S79" s="145"/>
      <c r="T79" s="145"/>
      <c r="U79" s="144">
        <f>SUM(I79:T79)</f>
        <v>0</v>
      </c>
      <c r="V79" s="148"/>
      <c r="W79" s="153"/>
      <c r="X79" s="149"/>
      <c r="Y79" s="148"/>
      <c r="Z79" s="148"/>
      <c r="AA79" s="153"/>
      <c r="AB79" s="149"/>
      <c r="AC79" s="148"/>
      <c r="AD79" s="148"/>
      <c r="AE79" s="148"/>
      <c r="AF79" s="150"/>
      <c r="AG79" s="150"/>
    </row>
    <row r="80" spans="1:33" s="151" customFormat="1" outlineLevel="1" x14ac:dyDescent="0.35">
      <c r="A80" s="630"/>
      <c r="B80" s="631" t="s">
        <v>94</v>
      </c>
      <c r="C80" s="632" t="str">
        <f>'CC detallado'!A77</f>
        <v>1.4.3</v>
      </c>
      <c r="D80" s="630" t="str">
        <f>'CC detallado'!F77</f>
        <v>Experto en diseño e implementación de la base de datos</v>
      </c>
      <c r="E80" s="133">
        <f>'CC detallado'!N79</f>
        <v>84331.253162421999</v>
      </c>
      <c r="F80" s="630" t="s">
        <v>828</v>
      </c>
      <c r="G80" s="630" t="s">
        <v>220</v>
      </c>
      <c r="H80" s="630" t="s">
        <v>220</v>
      </c>
      <c r="I80" s="144"/>
      <c r="J80" s="144"/>
      <c r="K80" s="144"/>
      <c r="L80" s="144"/>
      <c r="M80" s="145"/>
      <c r="N80" s="145"/>
      <c r="O80" s="145"/>
      <c r="P80" s="145"/>
      <c r="Q80" s="145"/>
      <c r="R80" s="145"/>
      <c r="S80" s="145"/>
      <c r="T80" s="145"/>
      <c r="U80" s="144">
        <f>SUM(I80:T80)</f>
        <v>0</v>
      </c>
      <c r="V80" s="148"/>
      <c r="W80" s="152"/>
      <c r="X80" s="149"/>
      <c r="Y80" s="148"/>
      <c r="Z80" s="148"/>
      <c r="AA80" s="152"/>
      <c r="AB80" s="149"/>
      <c r="AC80" s="148"/>
      <c r="AD80" s="148"/>
      <c r="AE80" s="148"/>
      <c r="AF80" s="150"/>
      <c r="AG80" s="150"/>
    </row>
    <row r="81" spans="1:33" s="151" customFormat="1" outlineLevel="1" x14ac:dyDescent="0.35">
      <c r="A81" s="630"/>
      <c r="B81" s="631"/>
      <c r="C81" s="632" t="str">
        <f>'CC detallado'!A78</f>
        <v>1.4.4</v>
      </c>
      <c r="D81" s="630" t="str">
        <f>'CC detallado'!F78</f>
        <v>Asistente para Diseño e implementación de la base de datos</v>
      </c>
      <c r="E81" s="133">
        <f>'CC detallado'!N77</f>
        <v>7083.8252656434479</v>
      </c>
      <c r="F81" s="630" t="s">
        <v>828</v>
      </c>
      <c r="G81" s="630" t="s">
        <v>220</v>
      </c>
      <c r="H81" s="630" t="s">
        <v>220</v>
      </c>
      <c r="I81" s="144"/>
      <c r="J81" s="144"/>
      <c r="K81" s="144"/>
      <c r="L81" s="144"/>
      <c r="M81" s="145"/>
      <c r="N81" s="145"/>
      <c r="O81" s="145"/>
      <c r="P81" s="145"/>
      <c r="Q81" s="145"/>
      <c r="R81" s="145"/>
      <c r="S81" s="145"/>
      <c r="T81" s="145"/>
      <c r="U81" s="144">
        <f>SUM(I81:T81)</f>
        <v>0</v>
      </c>
      <c r="V81" s="148"/>
      <c r="W81" s="153"/>
      <c r="X81" s="149"/>
      <c r="Y81" s="148"/>
      <c r="Z81" s="148"/>
      <c r="AA81" s="153"/>
      <c r="AB81" s="149"/>
      <c r="AC81" s="148"/>
      <c r="AD81" s="148"/>
      <c r="AE81" s="148"/>
      <c r="AF81" s="150"/>
      <c r="AG81" s="150"/>
    </row>
    <row r="82" spans="1:33" s="151" customFormat="1" outlineLevel="1" x14ac:dyDescent="0.35">
      <c r="A82" s="630"/>
      <c r="B82" s="631"/>
      <c r="C82" s="632" t="str">
        <f>'CC detallado'!A79</f>
        <v>1.4.5</v>
      </c>
      <c r="D82" s="630" t="str">
        <f>'CC detallado'!F79</f>
        <v>Publicaciones de resultados censales</v>
      </c>
      <c r="E82" s="133">
        <f>'CC detallado'!N78</f>
        <v>4047.9001517962556</v>
      </c>
      <c r="F82" s="630" t="s">
        <v>828</v>
      </c>
      <c r="G82" s="630" t="s">
        <v>220</v>
      </c>
      <c r="H82" s="630" t="s">
        <v>220</v>
      </c>
      <c r="I82" s="144"/>
      <c r="J82" s="144"/>
      <c r="K82" s="144"/>
      <c r="L82" s="144"/>
      <c r="M82" s="145"/>
      <c r="N82" s="145"/>
      <c r="O82" s="145"/>
      <c r="P82" s="145"/>
      <c r="Q82" s="145"/>
      <c r="R82" s="145"/>
      <c r="S82" s="145"/>
      <c r="T82" s="145"/>
      <c r="U82" s="144">
        <f>SUM(I82:T82)</f>
        <v>0</v>
      </c>
      <c r="V82" s="148"/>
      <c r="W82" s="153"/>
      <c r="X82" s="149"/>
      <c r="Y82" s="148"/>
      <c r="Z82" s="148"/>
      <c r="AA82" s="153"/>
      <c r="AB82" s="149"/>
      <c r="AC82" s="148"/>
      <c r="AD82" s="148"/>
      <c r="AE82" s="148"/>
      <c r="AF82" s="150"/>
      <c r="AG82" s="150"/>
    </row>
    <row r="83" spans="1:33" s="11" customFormat="1" ht="24" x14ac:dyDescent="0.35">
      <c r="A83" s="620"/>
      <c r="B83" s="621"/>
      <c r="C83" s="629">
        <f>'CC detallado'!A80</f>
        <v>2</v>
      </c>
      <c r="D83" s="624" t="str">
        <f>'CC detallado'!F80</f>
        <v>Componente 2 - Fortalecimiento Institucional de las entidades del sistema de estadísticas agropecuarias</v>
      </c>
      <c r="E83" s="54">
        <f>E84+E100+E104+E116</f>
        <v>3669420.1354359938</v>
      </c>
      <c r="F83" s="624"/>
      <c r="G83" s="624"/>
      <c r="H83" s="624"/>
      <c r="I83" s="54">
        <f>I84+I100+I104+I116</f>
        <v>0</v>
      </c>
      <c r="J83" s="54">
        <f t="shared" ref="J83:U83" si="21">J84+J100+J104+J116</f>
        <v>0</v>
      </c>
      <c r="K83" s="54">
        <f t="shared" si="21"/>
        <v>0</v>
      </c>
      <c r="L83" s="54">
        <f t="shared" si="21"/>
        <v>0</v>
      </c>
      <c r="M83" s="54">
        <f t="shared" si="21"/>
        <v>25225.4</v>
      </c>
      <c r="N83" s="54">
        <f t="shared" si="21"/>
        <v>803597.16646989377</v>
      </c>
      <c r="O83" s="54">
        <f t="shared" si="21"/>
        <v>41903.187721369541</v>
      </c>
      <c r="P83" s="54">
        <f t="shared" si="21"/>
        <v>803298.93742621026</v>
      </c>
      <c r="Q83" s="54">
        <f t="shared" si="21"/>
        <v>560936.31246415933</v>
      </c>
      <c r="R83" s="54">
        <f t="shared" si="21"/>
        <v>32612.750885478163</v>
      </c>
      <c r="S83" s="54">
        <f t="shared" si="21"/>
        <v>22493.000505987518</v>
      </c>
      <c r="T83" s="54">
        <f t="shared" si="21"/>
        <v>247819.8684432451</v>
      </c>
      <c r="U83" s="54">
        <f t="shared" si="21"/>
        <v>2537886.6239163438</v>
      </c>
      <c r="V83" s="16"/>
      <c r="W83" s="18"/>
      <c r="X83" s="17"/>
      <c r="Y83" s="16"/>
      <c r="Z83" s="16"/>
      <c r="AA83" s="18"/>
      <c r="AB83" s="17"/>
      <c r="AC83" s="16"/>
      <c r="AD83" s="16"/>
      <c r="AE83" s="16"/>
      <c r="AF83" s="12"/>
      <c r="AG83" s="12"/>
    </row>
    <row r="84" spans="1:33" s="151" customFormat="1" ht="24" x14ac:dyDescent="0.35">
      <c r="A84" s="635"/>
      <c r="B84" s="636"/>
      <c r="C84" s="432" t="str">
        <f>'CC detallado'!A81</f>
        <v>2.1</v>
      </c>
      <c r="D84" s="65" t="str">
        <f>'CC detallado'!F81</f>
        <v xml:space="preserve">Producto 5: Técnicos capacitados en generación información estadística </v>
      </c>
      <c r="E84" s="140">
        <f>E85+E90+E93+E94+E95+E96+E97+E98+E99</f>
        <v>2581682.5742958346</v>
      </c>
      <c r="F84" s="65"/>
      <c r="G84" s="65"/>
      <c r="H84" s="65"/>
      <c r="I84" s="157">
        <f t="shared" ref="I84:U84" si="22">I85+I90+I93+I94+I95+I96+I97+I98+I99</f>
        <v>0</v>
      </c>
      <c r="J84" s="157">
        <f t="shared" si="22"/>
        <v>0</v>
      </c>
      <c r="K84" s="157">
        <f t="shared" si="22"/>
        <v>0</v>
      </c>
      <c r="L84" s="157">
        <f t="shared" si="22"/>
        <v>0</v>
      </c>
      <c r="M84" s="157">
        <f t="shared" si="22"/>
        <v>25225.4</v>
      </c>
      <c r="N84" s="157">
        <f t="shared" si="22"/>
        <v>803597.16646989377</v>
      </c>
      <c r="O84" s="157">
        <f t="shared" si="22"/>
        <v>17903.187721369541</v>
      </c>
      <c r="P84" s="157">
        <f t="shared" si="22"/>
        <v>803298.93742621026</v>
      </c>
      <c r="Q84" s="157">
        <f t="shared" si="22"/>
        <v>553346.49967954133</v>
      </c>
      <c r="R84" s="157">
        <f t="shared" si="22"/>
        <v>25022.938100860181</v>
      </c>
      <c r="S84" s="157">
        <f t="shared" si="22"/>
        <v>14903.187721369541</v>
      </c>
      <c r="T84" s="157">
        <f t="shared" si="22"/>
        <v>240230.05565862713</v>
      </c>
      <c r="U84" s="157">
        <f t="shared" si="22"/>
        <v>2483527.3727778718</v>
      </c>
      <c r="V84" s="148"/>
      <c r="W84" s="153"/>
      <c r="X84" s="149"/>
      <c r="Y84" s="148"/>
      <c r="Z84" s="148"/>
      <c r="AA84" s="153"/>
      <c r="AB84" s="149"/>
      <c r="AC84" s="148"/>
      <c r="AD84" s="148"/>
      <c r="AE84" s="148"/>
      <c r="AF84" s="150"/>
      <c r="AG84" s="150"/>
    </row>
    <row r="85" spans="1:33" s="151" customFormat="1" outlineLevel="1" x14ac:dyDescent="0.35">
      <c r="A85" s="630"/>
      <c r="B85" s="631"/>
      <c r="C85" s="433" t="str">
        <f>'CC detallado'!A82</f>
        <v>2.1.1</v>
      </c>
      <c r="D85" s="637" t="str">
        <f>'CC detallado'!F82</f>
        <v>Buenas practicas para el Censo Agrario formuladas</v>
      </c>
      <c r="E85" s="135">
        <f>SUM(E86:E89)</f>
        <v>70000</v>
      </c>
      <c r="F85" s="637"/>
      <c r="G85" s="637"/>
      <c r="H85" s="637"/>
      <c r="I85" s="158">
        <f>SUM(I86:I89)</f>
        <v>0</v>
      </c>
      <c r="J85" s="158">
        <f t="shared" ref="J85:U85" si="23">SUM(J86:J89)</f>
        <v>0</v>
      </c>
      <c r="K85" s="158">
        <f t="shared" si="23"/>
        <v>0</v>
      </c>
      <c r="L85" s="158">
        <f t="shared" si="23"/>
        <v>0</v>
      </c>
      <c r="M85" s="158">
        <f t="shared" si="23"/>
        <v>16000</v>
      </c>
      <c r="N85" s="158">
        <f t="shared" si="23"/>
        <v>12000</v>
      </c>
      <c r="O85" s="158">
        <f t="shared" si="23"/>
        <v>12000</v>
      </c>
      <c r="P85" s="158">
        <f t="shared" si="23"/>
        <v>0</v>
      </c>
      <c r="Q85" s="158">
        <f t="shared" si="23"/>
        <v>0</v>
      </c>
      <c r="R85" s="158">
        <f t="shared" si="23"/>
        <v>0</v>
      </c>
      <c r="S85" s="158">
        <f t="shared" si="23"/>
        <v>0</v>
      </c>
      <c r="T85" s="158">
        <f t="shared" si="23"/>
        <v>0</v>
      </c>
      <c r="U85" s="158">
        <f t="shared" si="23"/>
        <v>40000</v>
      </c>
      <c r="V85" s="148"/>
      <c r="W85" s="148"/>
      <c r="X85" s="149"/>
      <c r="Y85" s="148"/>
      <c r="Z85" s="148"/>
      <c r="AA85" s="148"/>
      <c r="AB85" s="149"/>
      <c r="AC85" s="148"/>
      <c r="AD85" s="148"/>
      <c r="AE85" s="148"/>
      <c r="AF85" s="150"/>
      <c r="AG85" s="150"/>
    </row>
    <row r="86" spans="1:33" s="151" customFormat="1" ht="24" outlineLevel="1" x14ac:dyDescent="0.35">
      <c r="A86" s="630"/>
      <c r="B86" s="631" t="s">
        <v>91</v>
      </c>
      <c r="C86" s="632" t="str">
        <f>'CC detallado'!A83</f>
        <v>2.1.1.1</v>
      </c>
      <c r="D86" s="630" t="str">
        <f>'CC detallado'!F83</f>
        <v>Experto en programación en plataforma CSpro con aplicación a Tablet</v>
      </c>
      <c r="E86" s="141">
        <f>'CC detallado'!N83</f>
        <v>25000</v>
      </c>
      <c r="F86" s="630" t="s">
        <v>829</v>
      </c>
      <c r="G86" s="630" t="s">
        <v>829</v>
      </c>
      <c r="H86" s="630" t="s">
        <v>855</v>
      </c>
      <c r="I86" s="159"/>
      <c r="J86" s="144"/>
      <c r="K86" s="159"/>
      <c r="L86" s="146"/>
      <c r="M86" s="147">
        <f>E86*40%</f>
        <v>10000</v>
      </c>
      <c r="N86" s="147">
        <f>E86*30%</f>
        <v>7500</v>
      </c>
      <c r="O86" s="147">
        <f>E86*30%</f>
        <v>7500</v>
      </c>
      <c r="P86" s="145"/>
      <c r="Q86" s="145"/>
      <c r="R86" s="145"/>
      <c r="S86" s="145"/>
      <c r="T86" s="145"/>
      <c r="U86" s="144">
        <f>SUM(I86:T86)</f>
        <v>25000</v>
      </c>
      <c r="V86" s="604"/>
      <c r="W86" s="714"/>
      <c r="X86" s="714"/>
      <c r="Y86" s="714"/>
      <c r="Z86" s="714"/>
      <c r="AA86" s="714"/>
      <c r="AB86" s="714"/>
      <c r="AC86" s="714"/>
      <c r="AD86" s="714"/>
      <c r="AE86" s="148"/>
      <c r="AF86" s="150"/>
      <c r="AG86" s="150"/>
    </row>
    <row r="87" spans="1:33" s="151" customFormat="1" outlineLevel="1" x14ac:dyDescent="0.35">
      <c r="A87" s="630"/>
      <c r="B87" s="631" t="s">
        <v>91</v>
      </c>
      <c r="C87" s="632" t="str">
        <f>'CC detallado'!A84</f>
        <v>2.1.1.2</v>
      </c>
      <c r="D87" s="630" t="str">
        <f>'CC detallado'!F84</f>
        <v>DCEA capacitada y equipada para producción de estadísticas</v>
      </c>
      <c r="E87" s="141">
        <f>'CC detallado'!N84</f>
        <v>15000</v>
      </c>
      <c r="F87" s="630" t="s">
        <v>829</v>
      </c>
      <c r="G87" s="630" t="s">
        <v>829</v>
      </c>
      <c r="H87" s="630" t="s">
        <v>855</v>
      </c>
      <c r="I87" s="159"/>
      <c r="J87" s="144"/>
      <c r="K87" s="159"/>
      <c r="L87" s="146"/>
      <c r="M87" s="147">
        <f>E87*40%</f>
        <v>6000</v>
      </c>
      <c r="N87" s="147">
        <f>E87*30%</f>
        <v>4500</v>
      </c>
      <c r="O87" s="147">
        <f>E87*30%</f>
        <v>4500</v>
      </c>
      <c r="P87" s="145"/>
      <c r="Q87" s="145"/>
      <c r="R87" s="145"/>
      <c r="S87" s="145"/>
      <c r="T87" s="145"/>
      <c r="U87" s="144">
        <f>SUM(I87:T87)</f>
        <v>15000</v>
      </c>
      <c r="V87" s="148"/>
      <c r="W87" s="148"/>
      <c r="X87" s="149"/>
      <c r="Y87" s="148"/>
      <c r="Z87" s="148"/>
      <c r="AA87" s="148"/>
      <c r="AB87" s="149"/>
      <c r="AC87" s="148"/>
      <c r="AD87" s="148"/>
      <c r="AE87" s="148"/>
      <c r="AF87" s="150"/>
      <c r="AG87" s="150"/>
    </row>
    <row r="88" spans="1:33" s="151" customFormat="1" ht="24" outlineLevel="1" x14ac:dyDescent="0.35">
      <c r="A88" s="630"/>
      <c r="B88" s="631" t="s">
        <v>91</v>
      </c>
      <c r="C88" s="632" t="str">
        <f>'CC detallado'!A85</f>
        <v>2.1.1.3</v>
      </c>
      <c r="D88" s="630" t="str">
        <f>'CC detallado'!F85</f>
        <v>Experto en transmisión de datos vía web y monitoreo informático de cobertura censal</v>
      </c>
      <c r="E88" s="141">
        <f>'CC detallado'!N85</f>
        <v>15000</v>
      </c>
      <c r="F88" s="630" t="s">
        <v>829</v>
      </c>
      <c r="G88" s="630" t="s">
        <v>829</v>
      </c>
      <c r="H88" s="630" t="s">
        <v>855</v>
      </c>
      <c r="I88" s="159"/>
      <c r="J88" s="159"/>
      <c r="K88" s="159"/>
      <c r="L88" s="159"/>
      <c r="M88" s="159"/>
      <c r="N88" s="159"/>
      <c r="O88" s="144"/>
      <c r="P88" s="144"/>
      <c r="Q88" s="144"/>
      <c r="R88" s="144"/>
      <c r="S88" s="144"/>
      <c r="T88" s="146"/>
      <c r="U88" s="144">
        <f>SUM(I88:T88)</f>
        <v>0</v>
      </c>
      <c r="V88" s="148"/>
      <c r="W88" s="148"/>
      <c r="X88" s="149"/>
      <c r="Y88" s="148"/>
      <c r="Z88" s="148"/>
      <c r="AA88" s="148"/>
      <c r="AB88" s="149"/>
      <c r="AC88" s="148"/>
      <c r="AD88" s="148"/>
      <c r="AE88" s="148"/>
      <c r="AF88" s="150"/>
      <c r="AG88" s="150"/>
    </row>
    <row r="89" spans="1:33" s="151" customFormat="1" outlineLevel="1" x14ac:dyDescent="0.35">
      <c r="A89" s="630"/>
      <c r="B89" s="631" t="s">
        <v>91</v>
      </c>
      <c r="C89" s="632" t="str">
        <f>'CC detallado'!A86</f>
        <v>2.1.1.4</v>
      </c>
      <c r="D89" s="630" t="str">
        <f>'CC detallado'!F86</f>
        <v>Experto en gestión de base de datos</v>
      </c>
      <c r="E89" s="141">
        <f>'CC detallado'!N86</f>
        <v>15000</v>
      </c>
      <c r="F89" s="630" t="s">
        <v>829</v>
      </c>
      <c r="G89" s="630" t="s">
        <v>829</v>
      </c>
      <c r="H89" s="630" t="s">
        <v>855</v>
      </c>
      <c r="I89" s="159"/>
      <c r="J89" s="159"/>
      <c r="K89" s="159"/>
      <c r="L89" s="159"/>
      <c r="M89" s="145"/>
      <c r="N89" s="145"/>
      <c r="O89" s="144"/>
      <c r="P89" s="144"/>
      <c r="Q89" s="144"/>
      <c r="R89" s="144"/>
      <c r="S89" s="144"/>
      <c r="T89" s="146"/>
      <c r="U89" s="144">
        <f>SUM(I89:T89)</f>
        <v>0</v>
      </c>
      <c r="V89" s="148"/>
      <c r="W89" s="148"/>
      <c r="X89" s="149"/>
      <c r="Y89" s="148"/>
      <c r="Z89" s="148"/>
      <c r="AA89" s="148"/>
      <c r="AB89" s="149"/>
      <c r="AC89" s="148"/>
      <c r="AD89" s="148"/>
      <c r="AE89" s="148"/>
      <c r="AF89" s="150"/>
      <c r="AG89" s="150"/>
    </row>
    <row r="90" spans="1:33" s="151" customFormat="1" ht="24" outlineLevel="1" x14ac:dyDescent="0.35">
      <c r="A90" s="630"/>
      <c r="B90" s="631"/>
      <c r="C90" s="433" t="str">
        <f>'CC detallado'!A87</f>
        <v>2.1.2</v>
      </c>
      <c r="D90" s="637" t="str">
        <f>'CC detallado'!F87</f>
        <v>Conocimiento de experiencias censales en otros países de la región adquiridas</v>
      </c>
      <c r="E90" s="135">
        <f>SUM(E91:E92)</f>
        <v>65419.126328217237</v>
      </c>
      <c r="F90" s="637"/>
      <c r="G90" s="637"/>
      <c r="H90" s="637"/>
      <c r="I90" s="158">
        <f t="shared" ref="I90:U90" si="24">SUM(I91:I92)</f>
        <v>0</v>
      </c>
      <c r="J90" s="158">
        <f t="shared" si="24"/>
        <v>0</v>
      </c>
      <c r="K90" s="158">
        <f t="shared" si="24"/>
        <v>0</v>
      </c>
      <c r="L90" s="158">
        <f t="shared" si="24"/>
        <v>0</v>
      </c>
      <c r="M90" s="158">
        <f t="shared" si="24"/>
        <v>0</v>
      </c>
      <c r="N90" s="158">
        <f t="shared" si="24"/>
        <v>0</v>
      </c>
      <c r="O90" s="158">
        <f t="shared" si="24"/>
        <v>5903.1877213695398</v>
      </c>
      <c r="P90" s="158">
        <f t="shared" si="24"/>
        <v>5903.1877213695398</v>
      </c>
      <c r="Q90" s="158">
        <f t="shared" si="24"/>
        <v>5903.1877213695398</v>
      </c>
      <c r="R90" s="158">
        <f t="shared" si="24"/>
        <v>14903.187721369541</v>
      </c>
      <c r="S90" s="158">
        <f t="shared" si="24"/>
        <v>14903.187721369541</v>
      </c>
      <c r="T90" s="158">
        <f t="shared" si="24"/>
        <v>17903.187721369541</v>
      </c>
      <c r="U90" s="158">
        <f t="shared" si="24"/>
        <v>65419.126328217237</v>
      </c>
      <c r="V90" s="148"/>
      <c r="W90" s="148"/>
      <c r="X90" s="149"/>
      <c r="Y90" s="148"/>
      <c r="Z90" s="148"/>
      <c r="AA90" s="148"/>
      <c r="AB90" s="149"/>
      <c r="AC90" s="148"/>
      <c r="AD90" s="148"/>
      <c r="AE90" s="148"/>
      <c r="AF90" s="150"/>
      <c r="AG90" s="150"/>
    </row>
    <row r="91" spans="1:33" s="151" customFormat="1" ht="24" outlineLevel="1" x14ac:dyDescent="0.35">
      <c r="A91" s="630"/>
      <c r="B91" s="631"/>
      <c r="C91" s="632" t="str">
        <f>'CC detallado'!A88</f>
        <v>2.1.2.1</v>
      </c>
      <c r="D91" s="630" t="str">
        <f>'CC detallado'!F88</f>
        <v>Experto en áreas temáticas de censos agropecuarios con aplicación de dispositivos móviles de captura (Tablet)</v>
      </c>
      <c r="E91" s="141">
        <f>'CC detallado'!N88</f>
        <v>30000</v>
      </c>
      <c r="F91" s="630" t="s">
        <v>829</v>
      </c>
      <c r="G91" s="630" t="s">
        <v>829</v>
      </c>
      <c r="H91" s="630" t="s">
        <v>855</v>
      </c>
      <c r="I91" s="159"/>
      <c r="J91" s="144"/>
      <c r="K91" s="144"/>
      <c r="L91" s="144"/>
      <c r="M91" s="144"/>
      <c r="N91" s="144"/>
      <c r="O91" s="144"/>
      <c r="P91" s="144"/>
      <c r="Q91" s="146"/>
      <c r="R91" s="147">
        <f>E91*30%</f>
        <v>9000</v>
      </c>
      <c r="S91" s="147">
        <f>E91*30%</f>
        <v>9000</v>
      </c>
      <c r="T91" s="147">
        <f>E91*40%</f>
        <v>12000</v>
      </c>
      <c r="U91" s="144">
        <f t="shared" ref="U91:U99" si="25">SUM(I91:T91)</f>
        <v>30000</v>
      </c>
      <c r="V91" s="148"/>
      <c r="W91" s="148"/>
      <c r="X91" s="149"/>
      <c r="Y91" s="148"/>
      <c r="Z91" s="148"/>
      <c r="AA91" s="148"/>
      <c r="AB91" s="149"/>
      <c r="AC91" s="148"/>
      <c r="AD91" s="148"/>
      <c r="AE91" s="148"/>
      <c r="AF91" s="150"/>
      <c r="AG91" s="150"/>
    </row>
    <row r="92" spans="1:33" s="151" customFormat="1" outlineLevel="1" x14ac:dyDescent="0.35">
      <c r="A92" s="630"/>
      <c r="B92" s="631"/>
      <c r="C92" s="632" t="str">
        <f>'CC detallado'!A89</f>
        <v>2.1.2.2</v>
      </c>
      <c r="D92" s="630" t="str">
        <f>'CC detallado'!F89</f>
        <v>Intercambio de experiencias con otros países de la región</v>
      </c>
      <c r="E92" s="141">
        <f>'CC detallado'!N89</f>
        <v>35419.126328217237</v>
      </c>
      <c r="F92" s="630" t="s">
        <v>868</v>
      </c>
      <c r="G92" s="630" t="s">
        <v>852</v>
      </c>
      <c r="H92" s="630" t="s">
        <v>46</v>
      </c>
      <c r="I92" s="159"/>
      <c r="J92" s="144"/>
      <c r="K92" s="144"/>
      <c r="L92" s="146"/>
      <c r="M92" s="146"/>
      <c r="N92" s="146"/>
      <c r="O92" s="147">
        <f>E92/6</f>
        <v>5903.1877213695398</v>
      </c>
      <c r="P92" s="147">
        <f>O92</f>
        <v>5903.1877213695398</v>
      </c>
      <c r="Q92" s="147">
        <f t="shared" ref="Q92:T92" si="26">P92</f>
        <v>5903.1877213695398</v>
      </c>
      <c r="R92" s="147">
        <f t="shared" si="26"/>
        <v>5903.1877213695398</v>
      </c>
      <c r="S92" s="147">
        <f t="shared" si="26"/>
        <v>5903.1877213695398</v>
      </c>
      <c r="T92" s="147">
        <f t="shared" si="26"/>
        <v>5903.1877213695398</v>
      </c>
      <c r="U92" s="144">
        <f t="shared" si="25"/>
        <v>35419.126328217237</v>
      </c>
      <c r="V92" s="148"/>
      <c r="W92" s="148"/>
      <c r="X92" s="149"/>
      <c r="Y92" s="148"/>
      <c r="Z92" s="148"/>
      <c r="AA92" s="148"/>
      <c r="AB92" s="149"/>
      <c r="AC92" s="148"/>
      <c r="AD92" s="148"/>
      <c r="AE92" s="148"/>
      <c r="AF92" s="150"/>
      <c r="AG92" s="150"/>
    </row>
    <row r="93" spans="1:33" s="151" customFormat="1" outlineLevel="1" x14ac:dyDescent="0.35">
      <c r="A93" s="630"/>
      <c r="B93" s="631"/>
      <c r="C93" s="433" t="str">
        <f>'CC detallado'!A90</f>
        <v>2.1.3</v>
      </c>
      <c r="D93" s="637" t="s">
        <v>448</v>
      </c>
      <c r="E93" s="135">
        <f>'CC detallado'!N90</f>
        <v>35587.78883454208</v>
      </c>
      <c r="F93" s="637" t="s">
        <v>822</v>
      </c>
      <c r="G93" s="630" t="s">
        <v>850</v>
      </c>
      <c r="H93" s="630" t="s">
        <v>855</v>
      </c>
      <c r="I93" s="159"/>
      <c r="J93" s="144"/>
      <c r="K93" s="144"/>
      <c r="L93" s="144"/>
      <c r="M93" s="146"/>
      <c r="N93" s="146"/>
      <c r="O93" s="146"/>
      <c r="P93" s="146"/>
      <c r="Q93" s="147">
        <f>E93*40%</f>
        <v>14235.115533816832</v>
      </c>
      <c r="R93" s="147"/>
      <c r="S93" s="147"/>
      <c r="T93" s="147">
        <f>E93*60%</f>
        <v>21352.673300725248</v>
      </c>
      <c r="U93" s="144">
        <f t="shared" si="25"/>
        <v>35587.78883454208</v>
      </c>
      <c r="V93" s="148"/>
      <c r="W93" s="153"/>
      <c r="X93" s="149"/>
      <c r="Y93" s="148"/>
      <c r="Z93" s="148"/>
      <c r="AA93" s="153"/>
      <c r="AB93" s="149"/>
      <c r="AC93" s="148"/>
      <c r="AD93" s="148"/>
      <c r="AE93" s="148"/>
      <c r="AF93" s="150"/>
      <c r="AG93" s="150"/>
    </row>
    <row r="94" spans="1:33" s="151" customFormat="1" outlineLevel="1" x14ac:dyDescent="0.35">
      <c r="A94" s="630"/>
      <c r="B94" s="631"/>
      <c r="C94" s="433" t="str">
        <f>'CC detallado'!A95</f>
        <v>2.1.4</v>
      </c>
      <c r="D94" s="637" t="str">
        <f>'CC detallado'!F95</f>
        <v>Mobiliarios</v>
      </c>
      <c r="E94" s="135">
        <f>'CC detallado'!N95</f>
        <v>32383.201214370049</v>
      </c>
      <c r="F94" s="637" t="s">
        <v>835</v>
      </c>
      <c r="G94" s="630" t="s">
        <v>851</v>
      </c>
      <c r="H94" s="630" t="s">
        <v>855</v>
      </c>
      <c r="I94" s="159"/>
      <c r="J94" s="144"/>
      <c r="K94" s="144"/>
      <c r="L94" s="144"/>
      <c r="M94" s="146"/>
      <c r="N94" s="146"/>
      <c r="O94" s="146"/>
      <c r="P94" s="146"/>
      <c r="Q94" s="147">
        <f>E94*40%</f>
        <v>12953.280485748021</v>
      </c>
      <c r="R94" s="147"/>
      <c r="S94" s="147"/>
      <c r="T94" s="147">
        <f>E94*60%</f>
        <v>19429.92072862203</v>
      </c>
      <c r="U94" s="144">
        <f t="shared" si="25"/>
        <v>32383.201214370049</v>
      </c>
      <c r="V94" s="148"/>
      <c r="W94" s="153"/>
      <c r="X94" s="149"/>
      <c r="Y94" s="148"/>
      <c r="Z94" s="148"/>
      <c r="AA94" s="153"/>
      <c r="AB94" s="149"/>
      <c r="AC94" s="148"/>
      <c r="AD94" s="148"/>
      <c r="AE94" s="148"/>
      <c r="AF94" s="150"/>
      <c r="AG94" s="150"/>
    </row>
    <row r="95" spans="1:33" s="151" customFormat="1" outlineLevel="1" x14ac:dyDescent="0.35">
      <c r="A95" s="630"/>
      <c r="B95" s="631"/>
      <c r="C95" s="433" t="str">
        <f>'CC detallado'!A100</f>
        <v>2.1.5</v>
      </c>
      <c r="D95" s="637" t="str">
        <f>'CC detallado'!F100</f>
        <v>Equipos Informáticos</v>
      </c>
      <c r="E95" s="135">
        <f>'CC detallado'!N100</f>
        <v>302573.7898465172</v>
      </c>
      <c r="F95" s="637" t="s">
        <v>836</v>
      </c>
      <c r="G95" s="630" t="s">
        <v>851</v>
      </c>
      <c r="H95" s="630" t="s">
        <v>855</v>
      </c>
      <c r="I95" s="159"/>
      <c r="J95" s="144"/>
      <c r="K95" s="144"/>
      <c r="L95" s="144"/>
      <c r="M95" s="146"/>
      <c r="N95" s="146"/>
      <c r="O95" s="146"/>
      <c r="P95" s="146"/>
      <c r="Q95" s="147">
        <f>E95*40%</f>
        <v>121029.51593860688</v>
      </c>
      <c r="R95" s="147"/>
      <c r="S95" s="147"/>
      <c r="T95" s="147">
        <f>E95*60%</f>
        <v>181544.2739079103</v>
      </c>
      <c r="U95" s="144">
        <f t="shared" si="25"/>
        <v>302573.7898465172</v>
      </c>
      <c r="V95" s="148"/>
      <c r="W95" s="153"/>
      <c r="X95" s="149"/>
      <c r="Y95" s="148"/>
      <c r="Z95" s="148"/>
      <c r="AA95" s="153"/>
      <c r="AB95" s="149"/>
      <c r="AC95" s="148"/>
      <c r="AD95" s="148"/>
      <c r="AE95" s="148"/>
      <c r="AF95" s="150"/>
      <c r="AG95" s="150"/>
    </row>
    <row r="96" spans="1:33" s="151" customFormat="1" outlineLevel="1" x14ac:dyDescent="0.35">
      <c r="A96" s="630"/>
      <c r="B96" s="631" t="s">
        <v>94</v>
      </c>
      <c r="C96" s="433" t="str">
        <f>'CC detallado'!A130</f>
        <v>2.1.6</v>
      </c>
      <c r="D96" s="637" t="str">
        <f>'CC detallado'!F130</f>
        <v>Transporte y Movilidad</v>
      </c>
      <c r="E96" s="135">
        <f>'CC detallado'!N130</f>
        <v>650000</v>
      </c>
      <c r="F96" s="637" t="s">
        <v>837</v>
      </c>
      <c r="G96" s="630" t="s">
        <v>851</v>
      </c>
      <c r="H96" s="630" t="s">
        <v>855</v>
      </c>
      <c r="I96" s="144"/>
      <c r="J96" s="144"/>
      <c r="K96" s="144"/>
      <c r="L96" s="146"/>
      <c r="M96" s="146"/>
      <c r="N96" s="147">
        <f>E96*40%</f>
        <v>260000</v>
      </c>
      <c r="O96" s="147"/>
      <c r="P96" s="147"/>
      <c r="Q96" s="147">
        <f>E96*60%</f>
        <v>390000</v>
      </c>
      <c r="R96" s="144"/>
      <c r="S96" s="144"/>
      <c r="T96" s="144"/>
      <c r="U96" s="144">
        <f t="shared" si="25"/>
        <v>650000</v>
      </c>
      <c r="V96" s="148"/>
      <c r="W96" s="153"/>
      <c r="X96" s="149"/>
      <c r="Y96" s="148"/>
      <c r="Z96" s="148"/>
      <c r="AA96" s="153"/>
      <c r="AB96" s="149"/>
      <c r="AC96" s="148"/>
      <c r="AD96" s="148"/>
      <c r="AE96" s="148"/>
      <c r="AF96" s="150"/>
      <c r="AG96" s="150"/>
    </row>
    <row r="97" spans="1:33" s="151" customFormat="1" outlineLevel="1" x14ac:dyDescent="0.35">
      <c r="A97" s="635"/>
      <c r="B97" s="636"/>
      <c r="C97" s="433" t="str">
        <f>'CC detallado'!A133</f>
        <v>2.1.7</v>
      </c>
      <c r="D97" s="637" t="str">
        <f>'CC detallado'!F133</f>
        <v>Dispositivo de Captura adquirido</v>
      </c>
      <c r="E97" s="135">
        <f>'CC detallado'!N133</f>
        <v>1328992.9161747345</v>
      </c>
      <c r="F97" s="637" t="s">
        <v>838</v>
      </c>
      <c r="G97" s="630" t="s">
        <v>851</v>
      </c>
      <c r="H97" s="630" t="s">
        <v>855</v>
      </c>
      <c r="I97" s="144"/>
      <c r="J97" s="144"/>
      <c r="K97" s="146"/>
      <c r="L97" s="146"/>
      <c r="M97" s="146"/>
      <c r="N97" s="147">
        <f>E97*40%</f>
        <v>531597.16646989377</v>
      </c>
      <c r="O97" s="147"/>
      <c r="P97" s="147">
        <f>E97*60%</f>
        <v>797395.74970484071</v>
      </c>
      <c r="Q97" s="144"/>
      <c r="R97" s="144"/>
      <c r="S97" s="144"/>
      <c r="T97" s="144"/>
      <c r="U97" s="144">
        <f t="shared" si="25"/>
        <v>1328992.9161747345</v>
      </c>
      <c r="V97" s="148"/>
      <c r="W97" s="153"/>
      <c r="X97" s="149"/>
      <c r="Y97" s="148"/>
      <c r="Z97" s="148"/>
      <c r="AA97" s="153"/>
      <c r="AB97" s="149"/>
      <c r="AC97" s="148"/>
      <c r="AD97" s="148"/>
      <c r="AE97" s="148"/>
      <c r="AF97" s="150"/>
      <c r="AG97" s="150"/>
    </row>
    <row r="98" spans="1:33" s="151" customFormat="1" ht="24" outlineLevel="1" x14ac:dyDescent="0.35">
      <c r="A98" s="635"/>
      <c r="B98" s="636"/>
      <c r="C98" s="433" t="str">
        <f>'CC detallado'!A138</f>
        <v>2.1.8</v>
      </c>
      <c r="D98" s="637" t="str">
        <f>'CC detallado'!F138</f>
        <v>Mantenimiento de equipos informáticos</v>
      </c>
      <c r="E98" s="135">
        <f>'CC detallado'!N138</f>
        <v>50598.751897453199</v>
      </c>
      <c r="F98" s="637" t="s">
        <v>830</v>
      </c>
      <c r="G98" s="630" t="s">
        <v>842</v>
      </c>
      <c r="H98" s="630" t="s">
        <v>855</v>
      </c>
      <c r="I98" s="144"/>
      <c r="J98" s="144"/>
      <c r="K98" s="146"/>
      <c r="L98" s="146"/>
      <c r="M98" s="146"/>
      <c r="N98" s="147"/>
      <c r="O98" s="147"/>
      <c r="P98" s="147"/>
      <c r="Q98" s="147"/>
      <c r="R98" s="147">
        <f>E98/5</f>
        <v>10119.750379490641</v>
      </c>
      <c r="S98" s="147"/>
      <c r="T98" s="147"/>
      <c r="U98" s="144">
        <f t="shared" si="25"/>
        <v>10119.750379490641</v>
      </c>
      <c r="V98" s="148"/>
      <c r="W98" s="153"/>
      <c r="X98" s="149"/>
      <c r="Y98" s="148"/>
      <c r="Z98" s="148"/>
      <c r="AA98" s="153"/>
      <c r="AB98" s="149"/>
      <c r="AC98" s="148"/>
      <c r="AD98" s="148"/>
      <c r="AE98" s="148"/>
      <c r="AF98" s="150"/>
      <c r="AG98" s="150"/>
    </row>
    <row r="99" spans="1:33" s="151" customFormat="1" outlineLevel="1" x14ac:dyDescent="0.35">
      <c r="A99" s="635"/>
      <c r="B99" s="636"/>
      <c r="C99" s="433" t="str">
        <f>'CC detallado'!A140</f>
        <v>2.1.9</v>
      </c>
      <c r="D99" s="637" t="str">
        <f>'CC detallado'!F140</f>
        <v>Apoyo Informático</v>
      </c>
      <c r="E99" s="135">
        <f>'CC detallado'!N140</f>
        <v>46127</v>
      </c>
      <c r="F99" s="637" t="s">
        <v>824</v>
      </c>
      <c r="G99" s="630" t="s">
        <v>842</v>
      </c>
      <c r="H99" s="630" t="s">
        <v>855</v>
      </c>
      <c r="I99" s="144"/>
      <c r="J99" s="144"/>
      <c r="K99" s="146"/>
      <c r="L99" s="146"/>
      <c r="M99" s="147">
        <f>E99*20%</f>
        <v>9225.4</v>
      </c>
      <c r="N99" s="147"/>
      <c r="O99" s="147"/>
      <c r="P99" s="147"/>
      <c r="Q99" s="147">
        <f>M99</f>
        <v>9225.4</v>
      </c>
      <c r="R99" s="147"/>
      <c r="S99" s="147"/>
      <c r="T99" s="147"/>
      <c r="U99" s="144">
        <f t="shared" si="25"/>
        <v>18450.8</v>
      </c>
      <c r="V99" s="148"/>
      <c r="W99" s="153"/>
      <c r="X99" s="149"/>
      <c r="Y99" s="148"/>
      <c r="Z99" s="148"/>
      <c r="AA99" s="153"/>
      <c r="AB99" s="149"/>
      <c r="AC99" s="148"/>
      <c r="AD99" s="148"/>
      <c r="AE99" s="148"/>
      <c r="AF99" s="150"/>
      <c r="AG99" s="150"/>
    </row>
    <row r="100" spans="1:33" s="169" customFormat="1" x14ac:dyDescent="0.35">
      <c r="A100" s="644"/>
      <c r="B100" s="645"/>
      <c r="C100" s="432" t="str">
        <f>'CC detallado'!A142</f>
        <v>2.2</v>
      </c>
      <c r="D100" s="65" t="str">
        <f>'CC detallado'!F142</f>
        <v>Producto 6: Modelo de uso de imágenes satelitales desarrollado</v>
      </c>
      <c r="E100" s="131">
        <f>SUM(E101:E103)</f>
        <v>84718.502276943836</v>
      </c>
      <c r="F100" s="65"/>
      <c r="G100" s="65"/>
      <c r="H100" s="65"/>
      <c r="I100" s="165">
        <f t="shared" ref="I100:U100" si="27">SUM(I101:I103)</f>
        <v>0</v>
      </c>
      <c r="J100" s="165">
        <f t="shared" si="27"/>
        <v>0</v>
      </c>
      <c r="K100" s="165">
        <f t="shared" si="27"/>
        <v>0</v>
      </c>
      <c r="L100" s="165">
        <f t="shared" si="27"/>
        <v>0</v>
      </c>
      <c r="M100" s="165">
        <f t="shared" si="27"/>
        <v>0</v>
      </c>
      <c r="N100" s="165">
        <f t="shared" si="27"/>
        <v>0</v>
      </c>
      <c r="O100" s="165">
        <f t="shared" si="27"/>
        <v>24000</v>
      </c>
      <c r="P100" s="165">
        <f t="shared" si="27"/>
        <v>0</v>
      </c>
      <c r="Q100" s="165">
        <f t="shared" si="27"/>
        <v>7589.8127846179796</v>
      </c>
      <c r="R100" s="165">
        <f t="shared" si="27"/>
        <v>7589.8127846179796</v>
      </c>
      <c r="S100" s="165">
        <f t="shared" si="27"/>
        <v>7589.8127846179796</v>
      </c>
      <c r="T100" s="165">
        <f t="shared" si="27"/>
        <v>7589.8127846179796</v>
      </c>
      <c r="U100" s="165">
        <f t="shared" si="27"/>
        <v>54359.251138471918</v>
      </c>
      <c r="V100" s="166"/>
      <c r="W100" s="166"/>
      <c r="X100" s="167"/>
      <c r="Y100" s="166"/>
      <c r="Z100" s="166"/>
      <c r="AA100" s="166"/>
      <c r="AB100" s="167"/>
      <c r="AC100" s="166"/>
      <c r="AD100" s="166"/>
      <c r="AE100" s="166"/>
      <c r="AF100" s="168"/>
      <c r="AG100" s="168"/>
    </row>
    <row r="101" spans="1:33" s="150" customFormat="1" outlineLevel="1" x14ac:dyDescent="0.35">
      <c r="A101" s="634"/>
      <c r="B101" s="639"/>
      <c r="C101" s="632" t="str">
        <f>'CC detallado'!A143</f>
        <v>2.2.1</v>
      </c>
      <c r="D101" s="630" t="str">
        <f>'CC detallado'!F143</f>
        <v>Expertos en procesamiento de imágenes satelitales</v>
      </c>
      <c r="E101" s="141">
        <f>'CC detallado'!N143</f>
        <v>26986.001011975037</v>
      </c>
      <c r="F101" s="630" t="s">
        <v>824</v>
      </c>
      <c r="G101" s="630" t="s">
        <v>824</v>
      </c>
      <c r="H101" s="630" t="s">
        <v>855</v>
      </c>
      <c r="I101" s="144"/>
      <c r="J101" s="144"/>
      <c r="K101" s="144"/>
      <c r="L101" s="144"/>
      <c r="M101" s="144"/>
      <c r="N101" s="144"/>
      <c r="O101" s="146"/>
      <c r="P101" s="146"/>
      <c r="Q101" s="147">
        <f>E101/8</f>
        <v>3373.2501264968796</v>
      </c>
      <c r="R101" s="147">
        <f>Q101</f>
        <v>3373.2501264968796</v>
      </c>
      <c r="S101" s="147">
        <f t="shared" ref="S101:T102" si="28">R101</f>
        <v>3373.2501264968796</v>
      </c>
      <c r="T101" s="147">
        <f t="shared" si="28"/>
        <v>3373.2501264968796</v>
      </c>
      <c r="U101" s="144">
        <f>SUM(I101:T101)</f>
        <v>13493.000505987518</v>
      </c>
      <c r="V101" s="148"/>
      <c r="W101" s="148"/>
      <c r="X101" s="149"/>
      <c r="Y101" s="148"/>
      <c r="Z101" s="148"/>
      <c r="AA101" s="148"/>
      <c r="AB101" s="149"/>
      <c r="AC101" s="148"/>
      <c r="AD101" s="148"/>
      <c r="AE101" s="148"/>
    </row>
    <row r="102" spans="1:33" s="150" customFormat="1" outlineLevel="1" x14ac:dyDescent="0.35">
      <c r="A102" s="634"/>
      <c r="B102" s="639"/>
      <c r="C102" s="632" t="str">
        <f>'CC detallado'!A144</f>
        <v>2.2.2</v>
      </c>
      <c r="D102" s="630" t="str">
        <f>'CC detallado'!F144</f>
        <v>Convenio con institución experta en interpretación de imágenes</v>
      </c>
      <c r="E102" s="141">
        <f>'CC detallado'!N144</f>
        <v>33732.5012649688</v>
      </c>
      <c r="F102" s="630" t="s">
        <v>839</v>
      </c>
      <c r="G102" s="630" t="s">
        <v>839</v>
      </c>
      <c r="H102" s="630" t="s">
        <v>855</v>
      </c>
      <c r="I102" s="144"/>
      <c r="J102" s="144"/>
      <c r="K102" s="144"/>
      <c r="L102" s="144"/>
      <c r="M102" s="144"/>
      <c r="N102" s="144"/>
      <c r="O102" s="144"/>
      <c r="P102" s="147"/>
      <c r="Q102" s="147">
        <f>E102/8</f>
        <v>4216.5626581211</v>
      </c>
      <c r="R102" s="147">
        <f>Q102</f>
        <v>4216.5626581211</v>
      </c>
      <c r="S102" s="147">
        <f t="shared" si="28"/>
        <v>4216.5626581211</v>
      </c>
      <c r="T102" s="147">
        <f t="shared" si="28"/>
        <v>4216.5626581211</v>
      </c>
      <c r="U102" s="144">
        <f>SUM(I102:T102)</f>
        <v>16866.2506324844</v>
      </c>
      <c r="V102" s="148"/>
      <c r="W102" s="148"/>
      <c r="X102" s="149"/>
      <c r="Y102" s="148"/>
      <c r="Z102" s="148"/>
      <c r="AA102" s="148"/>
      <c r="AB102" s="149"/>
      <c r="AC102" s="148"/>
      <c r="AD102" s="148"/>
      <c r="AE102" s="148"/>
    </row>
    <row r="103" spans="1:33" s="150" customFormat="1" outlineLevel="1" x14ac:dyDescent="0.35">
      <c r="A103" s="634"/>
      <c r="B103" s="639"/>
      <c r="C103" s="632" t="str">
        <f>'CC detallado'!A145</f>
        <v>2.2.3</v>
      </c>
      <c r="D103" s="630" t="str">
        <f>'CC detallado'!F145</f>
        <v>Imágenes Satelitales de alta resolución</v>
      </c>
      <c r="E103" s="141">
        <f>'CC detallado'!N145</f>
        <v>24000</v>
      </c>
      <c r="F103" s="630" t="s">
        <v>840</v>
      </c>
      <c r="G103" s="630" t="s">
        <v>840</v>
      </c>
      <c r="H103" s="630" t="s">
        <v>855</v>
      </c>
      <c r="I103" s="144"/>
      <c r="J103" s="144"/>
      <c r="K103" s="144"/>
      <c r="L103" s="146"/>
      <c r="M103" s="146"/>
      <c r="N103" s="147"/>
      <c r="O103" s="147">
        <f>E103</f>
        <v>24000</v>
      </c>
      <c r="P103" s="144"/>
      <c r="Q103" s="144"/>
      <c r="R103" s="144"/>
      <c r="S103" s="144"/>
      <c r="T103" s="144"/>
      <c r="U103" s="144">
        <f>SUM(I103:T103)</f>
        <v>24000</v>
      </c>
      <c r="V103" s="148"/>
      <c r="W103" s="148"/>
      <c r="X103" s="149"/>
      <c r="Y103" s="148"/>
      <c r="Z103" s="148"/>
      <c r="AA103" s="148"/>
      <c r="AB103" s="149"/>
      <c r="AC103" s="148"/>
      <c r="AD103" s="148"/>
      <c r="AE103" s="148"/>
    </row>
    <row r="104" spans="1:33" s="169" customFormat="1" x14ac:dyDescent="0.35">
      <c r="A104" s="65"/>
      <c r="B104" s="175"/>
      <c r="C104" s="432" t="str">
        <f>'CC detallado'!A146</f>
        <v>2.3</v>
      </c>
      <c r="D104" s="65" t="str">
        <f>'CC detallado'!F146</f>
        <v>Producto 7: Encuestas realizadas</v>
      </c>
      <c r="E104" s="131">
        <f>SUM(E105:E115)</f>
        <v>922061.05582728959</v>
      </c>
      <c r="F104" s="65"/>
      <c r="G104" s="65"/>
      <c r="H104" s="65"/>
      <c r="I104" s="165">
        <f t="shared" ref="I104:U104" si="29">SUM(I105:I115)</f>
        <v>0</v>
      </c>
      <c r="J104" s="165">
        <f t="shared" si="29"/>
        <v>0</v>
      </c>
      <c r="K104" s="165">
        <f t="shared" si="29"/>
        <v>0</v>
      </c>
      <c r="L104" s="165">
        <f t="shared" si="29"/>
        <v>0</v>
      </c>
      <c r="M104" s="165">
        <f t="shared" si="29"/>
        <v>0</v>
      </c>
      <c r="N104" s="165">
        <f t="shared" si="29"/>
        <v>0</v>
      </c>
      <c r="O104" s="165">
        <f t="shared" si="29"/>
        <v>0</v>
      </c>
      <c r="P104" s="165">
        <f t="shared" si="29"/>
        <v>0</v>
      </c>
      <c r="Q104" s="165">
        <f t="shared" si="29"/>
        <v>0</v>
      </c>
      <c r="R104" s="165">
        <f t="shared" si="29"/>
        <v>0</v>
      </c>
      <c r="S104" s="165">
        <f t="shared" si="29"/>
        <v>0</v>
      </c>
      <c r="T104" s="165">
        <f t="shared" si="29"/>
        <v>0</v>
      </c>
      <c r="U104" s="165">
        <f t="shared" si="29"/>
        <v>0</v>
      </c>
      <c r="V104" s="166"/>
      <c r="W104" s="174"/>
      <c r="X104" s="167"/>
      <c r="Y104" s="166"/>
      <c r="Z104" s="166"/>
      <c r="AA104" s="174"/>
      <c r="AB104" s="167"/>
      <c r="AC104" s="166"/>
      <c r="AD104" s="166"/>
      <c r="AE104" s="166"/>
      <c r="AF104" s="168"/>
      <c r="AG104" s="168"/>
    </row>
    <row r="105" spans="1:33" s="151" customFormat="1" outlineLevel="1" x14ac:dyDescent="0.35">
      <c r="A105" s="630"/>
      <c r="B105" s="631" t="s">
        <v>91</v>
      </c>
      <c r="C105" s="632" t="str">
        <f>'CC detallado'!A147</f>
        <v>2.3.1</v>
      </c>
      <c r="D105" s="630" t="str">
        <f>'CC detallado'!F147</f>
        <v>Diseño del Marco Muestral Maestro</v>
      </c>
      <c r="E105" s="133">
        <f>'CC detallado'!N147</f>
        <v>24287.400910777535</v>
      </c>
      <c r="F105" s="630" t="s">
        <v>825</v>
      </c>
      <c r="G105" s="630" t="s">
        <v>220</v>
      </c>
      <c r="H105" s="630" t="s">
        <v>220</v>
      </c>
      <c r="I105" s="144"/>
      <c r="J105" s="144"/>
      <c r="K105" s="144"/>
      <c r="L105" s="144"/>
      <c r="M105" s="145"/>
      <c r="N105" s="145"/>
      <c r="O105" s="145"/>
      <c r="P105" s="145"/>
      <c r="Q105" s="145"/>
      <c r="R105" s="145"/>
      <c r="S105" s="145"/>
      <c r="T105" s="145"/>
      <c r="U105" s="144">
        <f t="shared" ref="U105:U115" si="30">SUM(I105:T105)</f>
        <v>0</v>
      </c>
      <c r="V105" s="148"/>
      <c r="W105" s="153"/>
      <c r="X105" s="149"/>
      <c r="Y105" s="148"/>
      <c r="Z105" s="148"/>
      <c r="AA105" s="153"/>
      <c r="AB105" s="149"/>
      <c r="AC105" s="148"/>
      <c r="AD105" s="148"/>
      <c r="AE105" s="148"/>
      <c r="AF105" s="150"/>
      <c r="AG105" s="150"/>
    </row>
    <row r="106" spans="1:33" s="151" customFormat="1" outlineLevel="1" x14ac:dyDescent="0.35">
      <c r="A106" s="630"/>
      <c r="B106" s="631" t="s">
        <v>91</v>
      </c>
      <c r="C106" s="632" t="str">
        <f>'CC detallado'!A148</f>
        <v>2.3.2</v>
      </c>
      <c r="D106" s="630" t="str">
        <f>'CC detallado'!F148</f>
        <v>Validación del Marco Muestral Maestro</v>
      </c>
      <c r="E106" s="133">
        <f>'CC detallado'!N148</f>
        <v>10119.750379490639</v>
      </c>
      <c r="F106" s="630" t="s">
        <v>825</v>
      </c>
      <c r="G106" s="630" t="s">
        <v>220</v>
      </c>
      <c r="H106" s="630" t="s">
        <v>220</v>
      </c>
      <c r="I106" s="144"/>
      <c r="J106" s="144"/>
      <c r="K106" s="144"/>
      <c r="L106" s="144"/>
      <c r="M106" s="145"/>
      <c r="N106" s="145"/>
      <c r="O106" s="145"/>
      <c r="P106" s="145"/>
      <c r="Q106" s="145"/>
      <c r="R106" s="145"/>
      <c r="S106" s="145"/>
      <c r="T106" s="145"/>
      <c r="U106" s="144">
        <f t="shared" si="30"/>
        <v>0</v>
      </c>
      <c r="V106" s="148"/>
      <c r="W106" s="153"/>
      <c r="X106" s="149"/>
      <c r="Y106" s="148"/>
      <c r="Z106" s="148"/>
      <c r="AA106" s="153"/>
      <c r="AB106" s="149"/>
      <c r="AC106" s="148"/>
      <c r="AD106" s="148"/>
      <c r="AE106" s="148"/>
      <c r="AF106" s="150"/>
      <c r="AG106" s="150"/>
    </row>
    <row r="107" spans="1:33" s="151" customFormat="1" outlineLevel="1" x14ac:dyDescent="0.35">
      <c r="A107" s="630"/>
      <c r="B107" s="631" t="s">
        <v>91</v>
      </c>
      <c r="C107" s="632" t="str">
        <f>'CC detallado'!A149</f>
        <v>2.3.3</v>
      </c>
      <c r="D107" s="630" t="str">
        <f>'CC detallado'!F149</f>
        <v>Proceso de Selección de las Muestras</v>
      </c>
      <c r="E107" s="133">
        <f>'CC detallado'!N149</f>
        <v>3373.2501264968796</v>
      </c>
      <c r="F107" s="630" t="s">
        <v>825</v>
      </c>
      <c r="G107" s="630" t="s">
        <v>220</v>
      </c>
      <c r="H107" s="630" t="s">
        <v>220</v>
      </c>
      <c r="I107" s="144"/>
      <c r="J107" s="144"/>
      <c r="K107" s="144"/>
      <c r="L107" s="144"/>
      <c r="M107" s="145"/>
      <c r="N107" s="145"/>
      <c r="O107" s="145"/>
      <c r="P107" s="145"/>
      <c r="Q107" s="145"/>
      <c r="R107" s="145"/>
      <c r="S107" s="145"/>
      <c r="T107" s="145"/>
      <c r="U107" s="144">
        <f t="shared" si="30"/>
        <v>0</v>
      </c>
      <c r="V107" s="148"/>
      <c r="W107" s="153"/>
      <c r="X107" s="149"/>
      <c r="Y107" s="148"/>
      <c r="Z107" s="148"/>
      <c r="AA107" s="153"/>
      <c r="AB107" s="149"/>
      <c r="AC107" s="148"/>
      <c r="AD107" s="148"/>
      <c r="AE107" s="148"/>
      <c r="AF107" s="150"/>
      <c r="AG107" s="150"/>
    </row>
    <row r="108" spans="1:33" s="151" customFormat="1" outlineLevel="1" x14ac:dyDescent="0.35">
      <c r="A108" s="630"/>
      <c r="B108" s="631" t="s">
        <v>91</v>
      </c>
      <c r="C108" s="632" t="str">
        <f>'CC detallado'!A150</f>
        <v>2.3.4</v>
      </c>
      <c r="D108" s="630" t="str">
        <f>'CC detallado'!F150</f>
        <v>Diseño de contenido conceptual de las encuestas</v>
      </c>
      <c r="E108" s="133">
        <f>'CC detallado'!N150</f>
        <v>3373.2501264968796</v>
      </c>
      <c r="F108" s="630" t="s">
        <v>825</v>
      </c>
      <c r="G108" s="630" t="s">
        <v>220</v>
      </c>
      <c r="H108" s="630" t="s">
        <v>220</v>
      </c>
      <c r="I108" s="144"/>
      <c r="J108" s="144"/>
      <c r="K108" s="144"/>
      <c r="L108" s="144"/>
      <c r="M108" s="145"/>
      <c r="N108" s="145"/>
      <c r="O108" s="145"/>
      <c r="P108" s="145"/>
      <c r="Q108" s="145"/>
      <c r="R108" s="145"/>
      <c r="S108" s="145"/>
      <c r="T108" s="145"/>
      <c r="U108" s="144">
        <f t="shared" si="30"/>
        <v>0</v>
      </c>
      <c r="V108" s="148"/>
      <c r="W108" s="149"/>
      <c r="X108" s="149"/>
      <c r="Y108" s="148"/>
      <c r="Z108" s="148"/>
      <c r="AA108" s="149"/>
      <c r="AB108" s="149"/>
      <c r="AC108" s="148"/>
      <c r="AD108" s="148"/>
      <c r="AE108" s="148"/>
      <c r="AF108" s="150"/>
      <c r="AG108" s="150"/>
    </row>
    <row r="109" spans="1:33" s="151" customFormat="1" outlineLevel="1" x14ac:dyDescent="0.35">
      <c r="A109" s="630"/>
      <c r="B109" s="631" t="s">
        <v>91</v>
      </c>
      <c r="C109" s="632" t="str">
        <f>'CC detallado'!A151</f>
        <v>2.3.5</v>
      </c>
      <c r="D109" s="630" t="str">
        <f>'CC detallado'!F151</f>
        <v>Talleres con usuarios</v>
      </c>
      <c r="E109" s="133">
        <f>'CC detallado'!N151</f>
        <v>5059.8751897453194</v>
      </c>
      <c r="F109" s="630" t="s">
        <v>825</v>
      </c>
      <c r="G109" s="630" t="s">
        <v>220</v>
      </c>
      <c r="H109" s="630" t="s">
        <v>220</v>
      </c>
      <c r="I109" s="144"/>
      <c r="J109" s="144"/>
      <c r="K109" s="144"/>
      <c r="L109" s="144"/>
      <c r="M109" s="145"/>
      <c r="N109" s="145"/>
      <c r="O109" s="145"/>
      <c r="P109" s="145"/>
      <c r="Q109" s="145"/>
      <c r="R109" s="145"/>
      <c r="S109" s="145"/>
      <c r="T109" s="145"/>
      <c r="U109" s="144">
        <f t="shared" si="30"/>
        <v>0</v>
      </c>
      <c r="V109" s="148"/>
      <c r="W109" s="149"/>
      <c r="X109" s="149"/>
      <c r="Y109" s="148"/>
      <c r="Z109" s="148"/>
      <c r="AA109" s="149"/>
      <c r="AB109" s="149"/>
      <c r="AC109" s="148"/>
      <c r="AD109" s="148"/>
      <c r="AE109" s="148"/>
      <c r="AF109" s="150"/>
      <c r="AG109" s="150"/>
    </row>
    <row r="110" spans="1:33" s="151" customFormat="1" outlineLevel="1" x14ac:dyDescent="0.35">
      <c r="A110" s="630"/>
      <c r="B110" s="631" t="s">
        <v>91</v>
      </c>
      <c r="C110" s="632" t="str">
        <f>'CC detallado'!A152</f>
        <v>2.3.6</v>
      </c>
      <c r="D110" s="630" t="str">
        <f>'CC detallado'!F152</f>
        <v>Preparación de la cartográfica</v>
      </c>
      <c r="E110" s="133">
        <f>'CC detallado'!N152</f>
        <v>3373.2501264968796</v>
      </c>
      <c r="F110" s="630" t="s">
        <v>825</v>
      </c>
      <c r="G110" s="630" t="s">
        <v>220</v>
      </c>
      <c r="H110" s="630" t="s">
        <v>220</v>
      </c>
      <c r="I110" s="144"/>
      <c r="J110" s="144"/>
      <c r="K110" s="144"/>
      <c r="L110" s="144"/>
      <c r="M110" s="145"/>
      <c r="N110" s="145"/>
      <c r="O110" s="145"/>
      <c r="P110" s="145"/>
      <c r="Q110" s="145"/>
      <c r="R110" s="145"/>
      <c r="S110" s="145"/>
      <c r="T110" s="145"/>
      <c r="U110" s="144">
        <f t="shared" si="30"/>
        <v>0</v>
      </c>
      <c r="V110" s="148"/>
      <c r="W110" s="149"/>
      <c r="X110" s="148"/>
      <c r="Y110" s="148"/>
      <c r="Z110" s="148"/>
      <c r="AA110" s="149"/>
      <c r="AB110" s="148"/>
      <c r="AC110" s="148"/>
      <c r="AD110" s="148"/>
      <c r="AE110" s="148"/>
      <c r="AF110" s="150"/>
      <c r="AG110" s="150"/>
    </row>
    <row r="111" spans="1:33" s="151" customFormat="1" outlineLevel="1" x14ac:dyDescent="0.35">
      <c r="A111" s="630"/>
      <c r="B111" s="631" t="s">
        <v>91</v>
      </c>
      <c r="C111" s="632" t="str">
        <f>'CC detallado'!A153</f>
        <v>2.3.7</v>
      </c>
      <c r="D111" s="630" t="str">
        <f>'CC detallado'!F153</f>
        <v>Selección y Capacitación del Personal de la Encuesta</v>
      </c>
      <c r="E111" s="133">
        <f>'CC detallado'!N153</f>
        <v>5059.8751897453194</v>
      </c>
      <c r="F111" s="630" t="s">
        <v>825</v>
      </c>
      <c r="G111" s="630" t="s">
        <v>220</v>
      </c>
      <c r="H111" s="630" t="s">
        <v>220</v>
      </c>
      <c r="I111" s="144"/>
      <c r="J111" s="144"/>
      <c r="K111" s="144"/>
      <c r="L111" s="144"/>
      <c r="M111" s="145"/>
      <c r="N111" s="145"/>
      <c r="O111" s="145"/>
      <c r="P111" s="145"/>
      <c r="Q111" s="145"/>
      <c r="R111" s="145"/>
      <c r="S111" s="145"/>
      <c r="T111" s="145"/>
      <c r="U111" s="144">
        <f t="shared" si="30"/>
        <v>0</v>
      </c>
      <c r="V111" s="148"/>
      <c r="W111" s="148"/>
      <c r="X111" s="149"/>
      <c r="Y111" s="148"/>
      <c r="Z111" s="148"/>
      <c r="AA111" s="153"/>
      <c r="AB111" s="149"/>
      <c r="AC111" s="148"/>
      <c r="AD111" s="148"/>
      <c r="AE111" s="148"/>
      <c r="AF111" s="150"/>
      <c r="AG111" s="150"/>
    </row>
    <row r="112" spans="1:33" s="151" customFormat="1" outlineLevel="1" x14ac:dyDescent="0.35">
      <c r="A112" s="630"/>
      <c r="B112" s="631" t="s">
        <v>91</v>
      </c>
      <c r="C112" s="632" t="str">
        <f>'CC detallado'!A154</f>
        <v>2.3.8</v>
      </c>
      <c r="D112" s="630" t="str">
        <f>'CC detallado'!F154</f>
        <v>Prueba Piloto</v>
      </c>
      <c r="E112" s="133">
        <f>'CC detallado'!N154</f>
        <v>5059.8751897453194</v>
      </c>
      <c r="F112" s="630" t="s">
        <v>825</v>
      </c>
      <c r="G112" s="630" t="s">
        <v>220</v>
      </c>
      <c r="H112" s="630" t="s">
        <v>220</v>
      </c>
      <c r="I112" s="144"/>
      <c r="J112" s="144"/>
      <c r="K112" s="144"/>
      <c r="L112" s="144"/>
      <c r="M112" s="145"/>
      <c r="N112" s="145"/>
      <c r="O112" s="145"/>
      <c r="P112" s="145"/>
      <c r="Q112" s="145"/>
      <c r="R112" s="145"/>
      <c r="S112" s="145"/>
      <c r="T112" s="145"/>
      <c r="U112" s="144">
        <f t="shared" si="30"/>
        <v>0</v>
      </c>
      <c r="V112" s="148"/>
      <c r="W112" s="148"/>
      <c r="X112" s="149"/>
      <c r="Y112" s="148"/>
      <c r="Z112" s="148"/>
      <c r="AA112" s="148"/>
      <c r="AB112" s="149"/>
      <c r="AC112" s="148"/>
      <c r="AD112" s="148"/>
      <c r="AE112" s="148"/>
      <c r="AF112" s="150"/>
      <c r="AG112" s="150"/>
    </row>
    <row r="113" spans="1:33" s="151" customFormat="1" outlineLevel="1" x14ac:dyDescent="0.35">
      <c r="A113" s="630"/>
      <c r="B113" s="631" t="s">
        <v>91</v>
      </c>
      <c r="C113" s="632" t="str">
        <f>'CC detallado'!A155</f>
        <v>2.3.9</v>
      </c>
      <c r="D113" s="630" t="str">
        <f>'CC detallado'!F155</f>
        <v>Manual de metodología de preparación de la encuesta.</v>
      </c>
      <c r="E113" s="133">
        <f>'CC detallado'!N155</f>
        <v>3373.2501264968796</v>
      </c>
      <c r="F113" s="630" t="s">
        <v>825</v>
      </c>
      <c r="G113" s="630" t="s">
        <v>220</v>
      </c>
      <c r="H113" s="630" t="s">
        <v>220</v>
      </c>
      <c r="I113" s="144"/>
      <c r="J113" s="144"/>
      <c r="K113" s="144"/>
      <c r="L113" s="144"/>
      <c r="M113" s="145"/>
      <c r="N113" s="145"/>
      <c r="O113" s="145"/>
      <c r="P113" s="145"/>
      <c r="Q113" s="145"/>
      <c r="R113" s="145"/>
      <c r="S113" s="145"/>
      <c r="T113" s="145"/>
      <c r="U113" s="144">
        <f t="shared" si="30"/>
        <v>0</v>
      </c>
      <c r="V113" s="148"/>
      <c r="W113" s="153"/>
      <c r="X113" s="149"/>
      <c r="Y113" s="148"/>
      <c r="Z113" s="148"/>
      <c r="AA113" s="153"/>
      <c r="AB113" s="149"/>
      <c r="AC113" s="148"/>
      <c r="AD113" s="148"/>
      <c r="AE113" s="148"/>
      <c r="AF113" s="150"/>
      <c r="AG113" s="150"/>
    </row>
    <row r="114" spans="1:33" s="151" customFormat="1" outlineLevel="1" x14ac:dyDescent="0.35">
      <c r="A114" s="630"/>
      <c r="B114" s="631"/>
      <c r="C114" s="632" t="str">
        <f>'CC detallado'!A156</f>
        <v>2.3.10</v>
      </c>
      <c r="D114" s="630" t="str">
        <f>'CC detallado'!F156</f>
        <v>Operativo de Campo (7500 encuestas en 2 ondas)</v>
      </c>
      <c r="E114" s="133">
        <f>'CC detallado'!N156</f>
        <v>758981.27846179798</v>
      </c>
      <c r="F114" s="630" t="s">
        <v>825</v>
      </c>
      <c r="G114" s="630" t="s">
        <v>220</v>
      </c>
      <c r="H114" s="630" t="s">
        <v>220</v>
      </c>
      <c r="I114" s="144"/>
      <c r="J114" s="144"/>
      <c r="K114" s="144"/>
      <c r="L114" s="144"/>
      <c r="M114" s="145"/>
      <c r="N114" s="145"/>
      <c r="O114" s="145"/>
      <c r="P114" s="145"/>
      <c r="Q114" s="145"/>
      <c r="R114" s="145"/>
      <c r="S114" s="145"/>
      <c r="T114" s="145"/>
      <c r="U114" s="144">
        <f t="shared" si="30"/>
        <v>0</v>
      </c>
      <c r="V114" s="148"/>
      <c r="W114" s="153"/>
      <c r="X114" s="149"/>
      <c r="Y114" s="148"/>
      <c r="Z114" s="148"/>
      <c r="AA114" s="153"/>
      <c r="AB114" s="149"/>
      <c r="AC114" s="148"/>
      <c r="AD114" s="148"/>
      <c r="AE114" s="148"/>
      <c r="AF114" s="150"/>
      <c r="AG114" s="150"/>
    </row>
    <row r="115" spans="1:33" s="151" customFormat="1" outlineLevel="1" x14ac:dyDescent="0.35">
      <c r="A115" s="630"/>
      <c r="B115" s="631" t="s">
        <v>94</v>
      </c>
      <c r="C115" s="632" t="str">
        <f>'CC detallado'!A157</f>
        <v>2.3.11</v>
      </c>
      <c r="D115" s="630" t="str">
        <f>'CC detallado'!F157</f>
        <v>Publicación y difusión de resultados</v>
      </c>
      <c r="E115" s="133">
        <f>'CC detallado'!N157</f>
        <v>100000</v>
      </c>
      <c r="F115" s="630" t="s">
        <v>825</v>
      </c>
      <c r="G115" s="630" t="s">
        <v>220</v>
      </c>
      <c r="H115" s="630" t="s">
        <v>220</v>
      </c>
      <c r="I115" s="144"/>
      <c r="J115" s="144"/>
      <c r="K115" s="144"/>
      <c r="L115" s="144"/>
      <c r="M115" s="145"/>
      <c r="N115" s="145"/>
      <c r="O115" s="145"/>
      <c r="P115" s="145"/>
      <c r="Q115" s="145"/>
      <c r="R115" s="145"/>
      <c r="S115" s="145"/>
      <c r="T115" s="145"/>
      <c r="U115" s="144">
        <f t="shared" si="30"/>
        <v>0</v>
      </c>
      <c r="V115" s="148"/>
      <c r="W115" s="153"/>
      <c r="X115" s="149"/>
      <c r="Y115" s="148"/>
      <c r="Z115" s="148"/>
      <c r="AA115" s="153"/>
      <c r="AB115" s="149"/>
      <c r="AC115" s="148"/>
      <c r="AD115" s="148"/>
      <c r="AE115" s="148"/>
      <c r="AF115" s="150"/>
      <c r="AG115" s="150"/>
    </row>
    <row r="116" spans="1:33" s="169" customFormat="1" x14ac:dyDescent="0.35">
      <c r="A116" s="65"/>
      <c r="B116" s="175"/>
      <c r="C116" s="432" t="str">
        <f>'CC detallado'!A158</f>
        <v>2.4</v>
      </c>
      <c r="D116" s="65" t="str">
        <f>'CC detallado'!F158</f>
        <v>Producto 8: Estudios temáticos con información censal realizados</v>
      </c>
      <c r="E116" s="131">
        <f>'CC detallado'!N158</f>
        <v>80958.00303592511</v>
      </c>
      <c r="F116" s="65"/>
      <c r="G116" s="65"/>
      <c r="H116" s="65"/>
      <c r="I116" s="165">
        <f>I117</f>
        <v>0</v>
      </c>
      <c r="J116" s="165">
        <f t="shared" ref="J116:U116" si="31">J117</f>
        <v>0</v>
      </c>
      <c r="K116" s="165">
        <f t="shared" si="31"/>
        <v>0</v>
      </c>
      <c r="L116" s="165">
        <f t="shared" si="31"/>
        <v>0</v>
      </c>
      <c r="M116" s="165">
        <f t="shared" si="31"/>
        <v>0</v>
      </c>
      <c r="N116" s="165">
        <f t="shared" si="31"/>
        <v>0</v>
      </c>
      <c r="O116" s="165">
        <f t="shared" si="31"/>
        <v>0</v>
      </c>
      <c r="P116" s="165">
        <f t="shared" si="31"/>
        <v>0</v>
      </c>
      <c r="Q116" s="165">
        <f t="shared" si="31"/>
        <v>0</v>
      </c>
      <c r="R116" s="165">
        <f t="shared" si="31"/>
        <v>0</v>
      </c>
      <c r="S116" s="165">
        <f t="shared" si="31"/>
        <v>0</v>
      </c>
      <c r="T116" s="165">
        <f t="shared" si="31"/>
        <v>0</v>
      </c>
      <c r="U116" s="165">
        <f t="shared" si="31"/>
        <v>0</v>
      </c>
      <c r="V116" s="166"/>
      <c r="W116" s="174"/>
      <c r="X116" s="167"/>
      <c r="Y116" s="166"/>
      <c r="Z116" s="166"/>
      <c r="AA116" s="174"/>
      <c r="AB116" s="167"/>
      <c r="AC116" s="166"/>
      <c r="AD116" s="166"/>
      <c r="AE116" s="166"/>
      <c r="AF116" s="168"/>
      <c r="AG116" s="168"/>
    </row>
    <row r="117" spans="1:33" s="151" customFormat="1" outlineLevel="1" x14ac:dyDescent="0.35">
      <c r="A117" s="630"/>
      <c r="B117" s="631" t="s">
        <v>91</v>
      </c>
      <c r="C117" s="632" t="str">
        <f>'CC detallado'!A159</f>
        <v>2.4.1</v>
      </c>
      <c r="D117" s="630" t="str">
        <f>'CC detallado'!F159</f>
        <v>Análisis Temáticos (a definir) y Evaluación de los resultados del Censo</v>
      </c>
      <c r="E117" s="133">
        <f>'CC detallado'!N159</f>
        <v>80958.00303592511</v>
      </c>
      <c r="F117" s="630" t="s">
        <v>825</v>
      </c>
      <c r="G117" s="630" t="s">
        <v>220</v>
      </c>
      <c r="H117" s="630" t="s">
        <v>220</v>
      </c>
      <c r="I117" s="144"/>
      <c r="J117" s="144"/>
      <c r="K117" s="144"/>
      <c r="L117" s="144"/>
      <c r="M117" s="145"/>
      <c r="N117" s="145"/>
      <c r="O117" s="145"/>
      <c r="P117" s="145"/>
      <c r="Q117" s="145"/>
      <c r="R117" s="145"/>
      <c r="S117" s="145"/>
      <c r="T117" s="145"/>
      <c r="U117" s="144">
        <f>SUM(I117:T117)</f>
        <v>0</v>
      </c>
      <c r="V117" s="148"/>
      <c r="W117" s="153"/>
      <c r="X117" s="149"/>
      <c r="Y117" s="148"/>
      <c r="Z117" s="148"/>
      <c r="AA117" s="153"/>
      <c r="AB117" s="149"/>
      <c r="AC117" s="148"/>
      <c r="AD117" s="148"/>
      <c r="AE117" s="148"/>
      <c r="AF117" s="150"/>
      <c r="AG117" s="150"/>
    </row>
    <row r="118" spans="1:33" s="11" customFormat="1" x14ac:dyDescent="0.35">
      <c r="A118" s="620"/>
      <c r="B118" s="621"/>
      <c r="C118" s="629">
        <f>'CC detallado'!A160</f>
        <v>3</v>
      </c>
      <c r="D118" s="624" t="str">
        <f>'CC detallado'!F160</f>
        <v>Administración, Auditoría y Evaluación</v>
      </c>
      <c r="E118" s="54">
        <f>E119+E125+E128</f>
        <v>711020.40816326533</v>
      </c>
      <c r="F118" s="624"/>
      <c r="G118" s="624"/>
      <c r="H118" s="624"/>
      <c r="I118" s="54">
        <f>I119+I125+I128</f>
        <v>0</v>
      </c>
      <c r="J118" s="54">
        <f t="shared" ref="J118:U118" si="32">J119+J125+J128</f>
        <v>0</v>
      </c>
      <c r="K118" s="54">
        <f t="shared" si="32"/>
        <v>0</v>
      </c>
      <c r="L118" s="54">
        <f t="shared" si="32"/>
        <v>10625.737898465171</v>
      </c>
      <c r="M118" s="54">
        <f t="shared" si="32"/>
        <v>10625.737898465171</v>
      </c>
      <c r="N118" s="54">
        <f t="shared" si="32"/>
        <v>10625.737898465171</v>
      </c>
      <c r="O118" s="54">
        <f t="shared" si="32"/>
        <v>10625.737898465171</v>
      </c>
      <c r="P118" s="54">
        <f t="shared" si="32"/>
        <v>10625.737898465171</v>
      </c>
      <c r="Q118" s="54">
        <f t="shared" si="32"/>
        <v>10625.737898465171</v>
      </c>
      <c r="R118" s="54">
        <f t="shared" si="32"/>
        <v>10625.737898465171</v>
      </c>
      <c r="S118" s="54">
        <f t="shared" si="32"/>
        <v>10625.737898465171</v>
      </c>
      <c r="T118" s="54">
        <f t="shared" si="32"/>
        <v>10625.737898465171</v>
      </c>
      <c r="U118" s="54">
        <f t="shared" si="32"/>
        <v>95631.641086186544</v>
      </c>
      <c r="V118" s="16"/>
      <c r="W118" s="18"/>
      <c r="X118" s="17"/>
      <c r="Y118" s="17"/>
      <c r="Z118" s="17"/>
      <c r="AA118" s="18"/>
      <c r="AB118" s="17"/>
      <c r="AC118" s="17"/>
      <c r="AD118" s="17"/>
      <c r="AE118" s="16"/>
      <c r="AF118" s="12"/>
      <c r="AG118" s="12"/>
    </row>
    <row r="119" spans="1:33" s="61" customFormat="1" x14ac:dyDescent="0.35">
      <c r="A119" s="646"/>
      <c r="B119" s="647"/>
      <c r="C119" s="648" t="str">
        <f>'CC detallado'!A161</f>
        <v>3.1</v>
      </c>
      <c r="D119" s="646" t="str">
        <f>'CC detallado'!F161</f>
        <v>Administración del Programa</v>
      </c>
      <c r="E119" s="56">
        <f>SUM(E120:E124)</f>
        <v>551020.40816326533</v>
      </c>
      <c r="F119" s="646"/>
      <c r="G119" s="646"/>
      <c r="H119" s="646"/>
      <c r="I119" s="77">
        <f t="shared" ref="I119:U119" si="33">SUM(I120:I124)</f>
        <v>0</v>
      </c>
      <c r="J119" s="77">
        <f t="shared" si="33"/>
        <v>0</v>
      </c>
      <c r="K119" s="77">
        <f t="shared" si="33"/>
        <v>0</v>
      </c>
      <c r="L119" s="77">
        <f t="shared" si="33"/>
        <v>10625.737898465171</v>
      </c>
      <c r="M119" s="77">
        <f t="shared" si="33"/>
        <v>10625.737898465171</v>
      </c>
      <c r="N119" s="77">
        <f t="shared" si="33"/>
        <v>10625.737898465171</v>
      </c>
      <c r="O119" s="77">
        <f t="shared" si="33"/>
        <v>10625.737898465171</v>
      </c>
      <c r="P119" s="77">
        <f t="shared" si="33"/>
        <v>10625.737898465171</v>
      </c>
      <c r="Q119" s="77">
        <f t="shared" si="33"/>
        <v>10625.737898465171</v>
      </c>
      <c r="R119" s="77">
        <f t="shared" si="33"/>
        <v>10625.737898465171</v>
      </c>
      <c r="S119" s="77">
        <f t="shared" si="33"/>
        <v>10625.737898465171</v>
      </c>
      <c r="T119" s="77">
        <f t="shared" si="33"/>
        <v>10625.737898465171</v>
      </c>
      <c r="U119" s="77">
        <f t="shared" si="33"/>
        <v>95631.641086186544</v>
      </c>
      <c r="V119" s="57"/>
      <c r="W119" s="59"/>
      <c r="X119" s="58"/>
      <c r="Y119" s="58"/>
      <c r="Z119" s="58"/>
      <c r="AA119" s="59"/>
      <c r="AB119" s="58"/>
      <c r="AC119" s="57"/>
      <c r="AD119" s="58"/>
      <c r="AE119" s="57"/>
      <c r="AF119" s="60"/>
      <c r="AG119" s="60"/>
    </row>
    <row r="120" spans="1:33" s="151" customFormat="1" outlineLevel="1" x14ac:dyDescent="0.35">
      <c r="A120" s="630"/>
      <c r="B120" s="631" t="s">
        <v>91</v>
      </c>
      <c r="C120" s="632" t="str">
        <f>'CC detallado'!A162</f>
        <v>3.1.1</v>
      </c>
      <c r="D120" s="630" t="str">
        <f>'CC detallado'!F162</f>
        <v>Coordinador General</v>
      </c>
      <c r="E120" s="133">
        <f>'CC detallado'!N162</f>
        <v>144206.44290774161</v>
      </c>
      <c r="F120" s="630" t="s">
        <v>824</v>
      </c>
      <c r="G120" s="630" t="s">
        <v>848</v>
      </c>
      <c r="H120" s="630" t="s">
        <v>856</v>
      </c>
      <c r="I120" s="144"/>
      <c r="J120" s="146"/>
      <c r="K120" s="146"/>
      <c r="L120" s="147">
        <f>E120/57</f>
        <v>2529.9375948726597</v>
      </c>
      <c r="M120" s="147">
        <f t="shared" ref="M120:T123" si="34">L120</f>
        <v>2529.9375948726597</v>
      </c>
      <c r="N120" s="147">
        <f t="shared" si="34"/>
        <v>2529.9375948726597</v>
      </c>
      <c r="O120" s="147">
        <f t="shared" si="34"/>
        <v>2529.9375948726597</v>
      </c>
      <c r="P120" s="147">
        <f t="shared" si="34"/>
        <v>2529.9375948726597</v>
      </c>
      <c r="Q120" s="147">
        <f t="shared" si="34"/>
        <v>2529.9375948726597</v>
      </c>
      <c r="R120" s="147">
        <f t="shared" si="34"/>
        <v>2529.9375948726597</v>
      </c>
      <c r="S120" s="147">
        <f t="shared" si="34"/>
        <v>2529.9375948726597</v>
      </c>
      <c r="T120" s="147">
        <f t="shared" si="34"/>
        <v>2529.9375948726597</v>
      </c>
      <c r="U120" s="144">
        <f>SUM(I120:T120)</f>
        <v>22769.438353853937</v>
      </c>
      <c r="V120" s="148"/>
      <c r="W120" s="148"/>
      <c r="X120" s="149"/>
      <c r="Y120" s="148"/>
      <c r="Z120" s="148"/>
      <c r="AA120" s="148"/>
      <c r="AB120" s="149"/>
      <c r="AC120" s="148"/>
      <c r="AD120" s="148"/>
      <c r="AE120" s="148"/>
      <c r="AF120" s="150"/>
      <c r="AG120" s="150"/>
    </row>
    <row r="121" spans="1:33" s="151" customFormat="1" outlineLevel="1" x14ac:dyDescent="0.35">
      <c r="A121" s="630"/>
      <c r="B121" s="631"/>
      <c r="C121" s="632" t="str">
        <f>'CC detallado'!A163</f>
        <v>3.1.2</v>
      </c>
      <c r="D121" s="630" t="str">
        <f>'CC detallado'!F163</f>
        <v>Especialista Planificación y Monitoreo del Programa</v>
      </c>
      <c r="E121" s="133">
        <f>'CC detallado'!N163</f>
        <v>97149.603643110138</v>
      </c>
      <c r="F121" s="630" t="s">
        <v>824</v>
      </c>
      <c r="G121" s="630" t="s">
        <v>848</v>
      </c>
      <c r="H121" s="630" t="s">
        <v>856</v>
      </c>
      <c r="I121" s="144"/>
      <c r="J121" s="146"/>
      <c r="K121" s="146"/>
      <c r="L121" s="147">
        <f>E121/48</f>
        <v>2023.9500758981278</v>
      </c>
      <c r="M121" s="147">
        <f t="shared" si="34"/>
        <v>2023.9500758981278</v>
      </c>
      <c r="N121" s="147">
        <f t="shared" si="34"/>
        <v>2023.9500758981278</v>
      </c>
      <c r="O121" s="147">
        <f t="shared" si="34"/>
        <v>2023.9500758981278</v>
      </c>
      <c r="P121" s="147">
        <f t="shared" si="34"/>
        <v>2023.9500758981278</v>
      </c>
      <c r="Q121" s="147">
        <f t="shared" si="34"/>
        <v>2023.9500758981278</v>
      </c>
      <c r="R121" s="147">
        <f t="shared" si="34"/>
        <v>2023.9500758981278</v>
      </c>
      <c r="S121" s="147">
        <f t="shared" si="34"/>
        <v>2023.9500758981278</v>
      </c>
      <c r="T121" s="147">
        <f t="shared" si="34"/>
        <v>2023.9500758981278</v>
      </c>
      <c r="U121" s="144">
        <f>SUM(I121:T121)</f>
        <v>18215.550683083151</v>
      </c>
      <c r="V121" s="148"/>
      <c r="W121" s="148"/>
      <c r="X121" s="149"/>
      <c r="Y121" s="148"/>
      <c r="Z121" s="148"/>
      <c r="AA121" s="148"/>
      <c r="AB121" s="149"/>
      <c r="AC121" s="148"/>
      <c r="AD121" s="148"/>
      <c r="AE121" s="148"/>
      <c r="AF121" s="150"/>
      <c r="AG121" s="150"/>
    </row>
    <row r="122" spans="1:33" s="151" customFormat="1" outlineLevel="1" x14ac:dyDescent="0.35">
      <c r="A122" s="630"/>
      <c r="B122" s="631" t="s">
        <v>91</v>
      </c>
      <c r="C122" s="632" t="str">
        <f>'CC detallado'!A164</f>
        <v>3.1.3</v>
      </c>
      <c r="D122" s="630" t="str">
        <f>'CC detallado'!F164</f>
        <v>Especialista Financiero</v>
      </c>
      <c r="E122" s="133">
        <f>'CC detallado'!N164</f>
        <v>115365.15432619328</v>
      </c>
      <c r="F122" s="630" t="s">
        <v>824</v>
      </c>
      <c r="G122" s="630" t="s">
        <v>848</v>
      </c>
      <c r="H122" s="630" t="s">
        <v>856</v>
      </c>
      <c r="I122" s="144"/>
      <c r="J122" s="146"/>
      <c r="K122" s="146"/>
      <c r="L122" s="147">
        <f>E122/57</f>
        <v>2023.9500758981278</v>
      </c>
      <c r="M122" s="147">
        <f t="shared" si="34"/>
        <v>2023.9500758981278</v>
      </c>
      <c r="N122" s="147">
        <f t="shared" si="34"/>
        <v>2023.9500758981278</v>
      </c>
      <c r="O122" s="147">
        <f t="shared" si="34"/>
        <v>2023.9500758981278</v>
      </c>
      <c r="P122" s="147">
        <f t="shared" si="34"/>
        <v>2023.9500758981278</v>
      </c>
      <c r="Q122" s="147">
        <f t="shared" si="34"/>
        <v>2023.9500758981278</v>
      </c>
      <c r="R122" s="147">
        <f t="shared" si="34"/>
        <v>2023.9500758981278</v>
      </c>
      <c r="S122" s="147">
        <f t="shared" si="34"/>
        <v>2023.9500758981278</v>
      </c>
      <c r="T122" s="147">
        <f t="shared" si="34"/>
        <v>2023.9500758981278</v>
      </c>
      <c r="U122" s="144">
        <f>SUM(I122:T122)</f>
        <v>18215.550683083151</v>
      </c>
      <c r="V122" s="148"/>
      <c r="W122" s="152"/>
      <c r="X122" s="149"/>
      <c r="Y122" s="148"/>
      <c r="Z122" s="148"/>
      <c r="AA122" s="152"/>
      <c r="AB122" s="149"/>
      <c r="AC122" s="148"/>
      <c r="AD122" s="148"/>
      <c r="AE122" s="148"/>
      <c r="AF122" s="150"/>
      <c r="AG122" s="150"/>
    </row>
    <row r="123" spans="1:33" s="151" customFormat="1" outlineLevel="1" x14ac:dyDescent="0.35">
      <c r="A123" s="630"/>
      <c r="B123" s="631" t="s">
        <v>91</v>
      </c>
      <c r="C123" s="632" t="str">
        <f>'CC detallado'!A165</f>
        <v>3.1.4</v>
      </c>
      <c r="D123" s="630" t="str">
        <f>'CC detallado'!F165</f>
        <v>Especialista Adquisiciones</v>
      </c>
      <c r="E123" s="133">
        <f>'CC detallado'!N165</f>
        <v>194299.20728622028</v>
      </c>
      <c r="F123" s="630" t="s">
        <v>824</v>
      </c>
      <c r="G123" s="630" t="s">
        <v>848</v>
      </c>
      <c r="H123" s="630" t="s">
        <v>856</v>
      </c>
      <c r="I123" s="144"/>
      <c r="J123" s="146"/>
      <c r="K123" s="146"/>
      <c r="L123" s="147">
        <f>E123/48</f>
        <v>4047.9001517962556</v>
      </c>
      <c r="M123" s="147">
        <f t="shared" si="34"/>
        <v>4047.9001517962556</v>
      </c>
      <c r="N123" s="147">
        <f t="shared" si="34"/>
        <v>4047.9001517962556</v>
      </c>
      <c r="O123" s="147">
        <f t="shared" si="34"/>
        <v>4047.9001517962556</v>
      </c>
      <c r="P123" s="147">
        <f t="shared" si="34"/>
        <v>4047.9001517962556</v>
      </c>
      <c r="Q123" s="147">
        <f t="shared" si="34"/>
        <v>4047.9001517962556</v>
      </c>
      <c r="R123" s="147">
        <f t="shared" si="34"/>
        <v>4047.9001517962556</v>
      </c>
      <c r="S123" s="147">
        <f t="shared" si="34"/>
        <v>4047.9001517962556</v>
      </c>
      <c r="T123" s="147">
        <f t="shared" si="34"/>
        <v>4047.9001517962556</v>
      </c>
      <c r="U123" s="144">
        <f>SUM(I123:T123)</f>
        <v>36431.101366166302</v>
      </c>
      <c r="V123" s="148"/>
      <c r="W123" s="153"/>
      <c r="X123" s="149"/>
      <c r="Y123" s="148"/>
      <c r="Z123" s="148"/>
      <c r="AA123" s="153"/>
      <c r="AB123" s="149"/>
      <c r="AC123" s="148"/>
      <c r="AD123" s="148"/>
      <c r="AE123" s="148"/>
      <c r="AF123" s="150"/>
      <c r="AG123" s="150"/>
    </row>
    <row r="124" spans="1:33" s="151" customFormat="1" outlineLevel="1" x14ac:dyDescent="0.35">
      <c r="A124" s="630"/>
      <c r="B124" s="631"/>
      <c r="C124" s="632" t="str">
        <f>'CC detallado'!A166</f>
        <v>3.1.5</v>
      </c>
      <c r="D124" s="630" t="str">
        <f>'CC detallado'!F166</f>
        <v>Imprevistos</v>
      </c>
      <c r="E124" s="133">
        <f>'CC detallado'!N166</f>
        <v>0</v>
      </c>
      <c r="F124" s="630" t="s">
        <v>220</v>
      </c>
      <c r="G124" s="630" t="s">
        <v>220</v>
      </c>
      <c r="H124" s="630" t="s">
        <v>220</v>
      </c>
      <c r="I124" s="144"/>
      <c r="J124" s="144"/>
      <c r="K124" s="144"/>
      <c r="L124" s="144"/>
      <c r="M124" s="145"/>
      <c r="N124" s="145"/>
      <c r="O124" s="145"/>
      <c r="P124" s="145"/>
      <c r="Q124" s="145"/>
      <c r="R124" s="145"/>
      <c r="S124" s="145"/>
      <c r="T124" s="145"/>
      <c r="U124" s="144">
        <f>SUM(I124:T124)</f>
        <v>0</v>
      </c>
      <c r="V124" s="148"/>
      <c r="W124" s="153"/>
      <c r="X124" s="149"/>
      <c r="Y124" s="148"/>
      <c r="Z124" s="148"/>
      <c r="AA124" s="153"/>
      <c r="AB124" s="149"/>
      <c r="AC124" s="148"/>
      <c r="AD124" s="148"/>
      <c r="AE124" s="148"/>
      <c r="AF124" s="150"/>
      <c r="AG124" s="150"/>
    </row>
    <row r="125" spans="1:33" s="11" customFormat="1" x14ac:dyDescent="0.35">
      <c r="A125" s="649"/>
      <c r="B125" s="650"/>
      <c r="C125" s="648" t="str">
        <f>'CC detallado'!A167</f>
        <v>3.2</v>
      </c>
      <c r="D125" s="646" t="str">
        <f>'CC detallado'!F167</f>
        <v>Evaluaciones Intermedia y Final realizadas</v>
      </c>
      <c r="E125" s="55">
        <f>SUM(E126:E127)</f>
        <v>60000</v>
      </c>
      <c r="F125" s="646"/>
      <c r="G125" s="646"/>
      <c r="H125" s="646"/>
      <c r="I125" s="78">
        <f>SUM(I126:I127)</f>
        <v>0</v>
      </c>
      <c r="J125" s="78">
        <f t="shared" ref="J125:U125" si="35">SUM(J126:J127)</f>
        <v>0</v>
      </c>
      <c r="K125" s="78">
        <f t="shared" si="35"/>
        <v>0</v>
      </c>
      <c r="L125" s="78">
        <f t="shared" si="35"/>
        <v>0</v>
      </c>
      <c r="M125" s="78">
        <f t="shared" si="35"/>
        <v>0</v>
      </c>
      <c r="N125" s="78">
        <f t="shared" si="35"/>
        <v>0</v>
      </c>
      <c r="O125" s="78">
        <f t="shared" si="35"/>
        <v>0</v>
      </c>
      <c r="P125" s="78">
        <f t="shared" si="35"/>
        <v>0</v>
      </c>
      <c r="Q125" s="78">
        <f t="shared" si="35"/>
        <v>0</v>
      </c>
      <c r="R125" s="78">
        <f t="shared" si="35"/>
        <v>0</v>
      </c>
      <c r="S125" s="78">
        <f t="shared" si="35"/>
        <v>0</v>
      </c>
      <c r="T125" s="78">
        <f t="shared" si="35"/>
        <v>0</v>
      </c>
      <c r="U125" s="78">
        <f t="shared" si="35"/>
        <v>0</v>
      </c>
      <c r="V125" s="16"/>
      <c r="W125" s="18"/>
      <c r="X125" s="17"/>
      <c r="Y125" s="16"/>
      <c r="Z125" s="16"/>
      <c r="AA125" s="18"/>
      <c r="AB125" s="17"/>
      <c r="AC125" s="16"/>
      <c r="AD125" s="16"/>
      <c r="AE125" s="16"/>
      <c r="AF125" s="12"/>
      <c r="AG125" s="12"/>
    </row>
    <row r="126" spans="1:33" s="151" customFormat="1" outlineLevel="1" x14ac:dyDescent="0.35">
      <c r="A126" s="630"/>
      <c r="B126" s="631" t="s">
        <v>95</v>
      </c>
      <c r="C126" s="632" t="str">
        <f>'CC detallado'!A168</f>
        <v>3.2.1</v>
      </c>
      <c r="D126" s="630" t="str">
        <f>'CC detallado'!F168</f>
        <v xml:space="preserve">Evaluación Intermedia </v>
      </c>
      <c r="E126" s="133">
        <f>'CC detallado'!N168</f>
        <v>30000</v>
      </c>
      <c r="F126" s="630" t="s">
        <v>827</v>
      </c>
      <c r="G126" s="630" t="s">
        <v>220</v>
      </c>
      <c r="H126" s="630" t="s">
        <v>220</v>
      </c>
      <c r="I126" s="144"/>
      <c r="J126" s="144"/>
      <c r="K126" s="144"/>
      <c r="L126" s="144"/>
      <c r="M126" s="145"/>
      <c r="N126" s="145"/>
      <c r="O126" s="145"/>
      <c r="P126" s="145"/>
      <c r="Q126" s="145"/>
      <c r="R126" s="145"/>
      <c r="S126" s="145"/>
      <c r="T126" s="145"/>
      <c r="U126" s="144">
        <f>SUM(I126:T126)</f>
        <v>0</v>
      </c>
      <c r="V126" s="148"/>
      <c r="W126" s="148"/>
      <c r="X126" s="149"/>
      <c r="Y126" s="148"/>
      <c r="Z126" s="148"/>
      <c r="AA126" s="148"/>
      <c r="AB126" s="149"/>
      <c r="AC126" s="148"/>
      <c r="AD126" s="148"/>
      <c r="AE126" s="148"/>
      <c r="AF126" s="150"/>
      <c r="AG126" s="150"/>
    </row>
    <row r="127" spans="1:33" s="151" customFormat="1" outlineLevel="1" x14ac:dyDescent="0.35">
      <c r="A127" s="630"/>
      <c r="B127" s="631" t="s">
        <v>95</v>
      </c>
      <c r="C127" s="632" t="str">
        <f>'CC detallado'!A169</f>
        <v>3.2.2</v>
      </c>
      <c r="D127" s="630" t="str">
        <f>'CC detallado'!F169</f>
        <v>Evaluación Final</v>
      </c>
      <c r="E127" s="133">
        <f>'CC detallado'!N169</f>
        <v>30000</v>
      </c>
      <c r="F127" s="630" t="s">
        <v>826</v>
      </c>
      <c r="G127" s="630" t="s">
        <v>220</v>
      </c>
      <c r="H127" s="630" t="s">
        <v>220</v>
      </c>
      <c r="I127" s="144"/>
      <c r="J127" s="144"/>
      <c r="K127" s="144"/>
      <c r="L127" s="144"/>
      <c r="M127" s="145"/>
      <c r="N127" s="145"/>
      <c r="O127" s="145"/>
      <c r="P127" s="145"/>
      <c r="Q127" s="145"/>
      <c r="R127" s="145"/>
      <c r="S127" s="145"/>
      <c r="T127" s="145"/>
      <c r="U127" s="144">
        <f>SUM(I127:T127)</f>
        <v>0</v>
      </c>
      <c r="V127" s="148"/>
      <c r="W127" s="152"/>
      <c r="X127" s="149"/>
      <c r="Y127" s="148"/>
      <c r="Z127" s="148"/>
      <c r="AA127" s="152"/>
      <c r="AB127" s="149"/>
      <c r="AC127" s="148"/>
      <c r="AD127" s="148"/>
      <c r="AE127" s="148"/>
      <c r="AF127" s="150"/>
      <c r="AG127" s="150"/>
    </row>
    <row r="128" spans="1:33" s="11" customFormat="1" x14ac:dyDescent="0.35">
      <c r="A128" s="649"/>
      <c r="B128" s="650"/>
      <c r="C128" s="648" t="str">
        <f>'CC detallado'!A170</f>
        <v xml:space="preserve">3.3 </v>
      </c>
      <c r="D128" s="646" t="str">
        <f>'CC detallado'!F170</f>
        <v>Auditoria Externa del Programa realizadas</v>
      </c>
      <c r="E128" s="55">
        <f>E129</f>
        <v>100000</v>
      </c>
      <c r="F128" s="646"/>
      <c r="G128" s="646"/>
      <c r="H128" s="646"/>
      <c r="I128" s="78">
        <f>I129</f>
        <v>0</v>
      </c>
      <c r="J128" s="78">
        <f t="shared" ref="J128:U128" si="36">J129</f>
        <v>0</v>
      </c>
      <c r="K128" s="78">
        <f t="shared" si="36"/>
        <v>0</v>
      </c>
      <c r="L128" s="78">
        <f t="shared" si="36"/>
        <v>0</v>
      </c>
      <c r="M128" s="78">
        <f t="shared" si="36"/>
        <v>0</v>
      </c>
      <c r="N128" s="78">
        <f t="shared" si="36"/>
        <v>0</v>
      </c>
      <c r="O128" s="78">
        <f t="shared" si="36"/>
        <v>0</v>
      </c>
      <c r="P128" s="78">
        <f t="shared" si="36"/>
        <v>0</v>
      </c>
      <c r="Q128" s="78">
        <f t="shared" si="36"/>
        <v>0</v>
      </c>
      <c r="R128" s="78">
        <f t="shared" si="36"/>
        <v>0</v>
      </c>
      <c r="S128" s="78">
        <f t="shared" si="36"/>
        <v>0</v>
      </c>
      <c r="T128" s="78">
        <f t="shared" si="36"/>
        <v>0</v>
      </c>
      <c r="U128" s="78">
        <f t="shared" si="36"/>
        <v>0</v>
      </c>
      <c r="V128" s="16"/>
      <c r="W128" s="18"/>
      <c r="X128" s="17"/>
      <c r="Y128" s="16"/>
      <c r="Z128" s="16"/>
      <c r="AA128" s="18"/>
      <c r="AB128" s="17"/>
      <c r="AC128" s="16"/>
      <c r="AD128" s="16"/>
      <c r="AE128" s="16"/>
      <c r="AF128" s="12"/>
      <c r="AG128" s="12"/>
    </row>
    <row r="129" spans="1:33" s="151" customFormat="1" outlineLevel="1" x14ac:dyDescent="0.35">
      <c r="A129" s="630"/>
      <c r="B129" s="631" t="s">
        <v>96</v>
      </c>
      <c r="C129" s="632" t="str">
        <f>'CC detallado'!A171</f>
        <v>3.3.1</v>
      </c>
      <c r="D129" s="630" t="str">
        <f>'CC detallado'!F171</f>
        <v>Auditoria Externa</v>
      </c>
      <c r="E129" s="133">
        <f>'CC detallado'!N171</f>
        <v>100000</v>
      </c>
      <c r="F129" s="630" t="s">
        <v>823</v>
      </c>
      <c r="G129" s="630" t="s">
        <v>849</v>
      </c>
      <c r="H129" s="630" t="s">
        <v>855</v>
      </c>
      <c r="I129" s="144"/>
      <c r="J129" s="145"/>
      <c r="K129" s="145"/>
      <c r="L129" s="145"/>
      <c r="M129" s="145"/>
      <c r="N129" s="146"/>
      <c r="O129" s="146"/>
      <c r="P129" s="146"/>
      <c r="Q129" s="146"/>
      <c r="R129" s="146"/>
      <c r="S129" s="146"/>
      <c r="T129" s="146"/>
      <c r="U129" s="144">
        <f>SUM(I129:T129)</f>
        <v>0</v>
      </c>
      <c r="V129" s="148"/>
      <c r="W129" s="153"/>
      <c r="X129" s="149"/>
      <c r="Y129" s="148"/>
      <c r="Z129" s="148"/>
      <c r="AA129" s="153"/>
      <c r="AB129" s="149"/>
      <c r="AC129" s="148"/>
      <c r="AD129" s="148"/>
      <c r="AE129" s="148"/>
      <c r="AF129" s="150"/>
      <c r="AG129" s="150"/>
    </row>
    <row r="130" spans="1:33" s="11" customFormat="1" x14ac:dyDescent="0.35">
      <c r="A130" s="620"/>
      <c r="B130" s="621"/>
      <c r="C130" s="651"/>
      <c r="D130" s="624" t="str">
        <f>'CC detallado'!F172</f>
        <v>Imprevisto</v>
      </c>
      <c r="E130" s="54">
        <f>'CC detallado'!N172</f>
        <v>300000</v>
      </c>
      <c r="F130" s="624"/>
      <c r="G130" s="624"/>
      <c r="H130" s="624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>
        <f>SUM(I130:T130)</f>
        <v>0</v>
      </c>
      <c r="V130" s="16"/>
      <c r="W130" s="18"/>
      <c r="X130" s="17"/>
      <c r="Y130" s="16"/>
      <c r="Z130" s="16"/>
      <c r="AA130" s="18"/>
      <c r="AB130" s="17"/>
      <c r="AC130" s="16"/>
      <c r="AD130" s="16"/>
      <c r="AE130" s="16"/>
      <c r="AF130" s="12"/>
      <c r="AG130" s="12"/>
    </row>
    <row r="131" spans="1:33" s="11" customFormat="1" x14ac:dyDescent="0.35">
      <c r="A131" s="620"/>
      <c r="B131" s="621"/>
      <c r="C131" s="652"/>
      <c r="D131" s="653" t="str">
        <f>'CC detallado'!F173</f>
        <v>Total</v>
      </c>
      <c r="E131" s="436">
        <f>E19+E83+E118+E130</f>
        <v>14999999.685613092</v>
      </c>
      <c r="F131" s="653"/>
      <c r="G131" s="653"/>
      <c r="H131" s="653"/>
      <c r="I131" s="436">
        <f t="shared" ref="I131:U131" si="37">I19+I83+I118+I130</f>
        <v>19791.982908866026</v>
      </c>
      <c r="J131" s="436">
        <f t="shared" si="37"/>
        <v>19791.982908866026</v>
      </c>
      <c r="K131" s="436">
        <f t="shared" si="37"/>
        <v>19791.982908866026</v>
      </c>
      <c r="L131" s="436">
        <f t="shared" si="37"/>
        <v>35477.595997076518</v>
      </c>
      <c r="M131" s="436">
        <f t="shared" si="37"/>
        <v>73858.671490414345</v>
      </c>
      <c r="N131" s="436">
        <f t="shared" si="37"/>
        <v>878199.93810679403</v>
      </c>
      <c r="O131" s="436">
        <f t="shared" si="37"/>
        <v>133034.88497810456</v>
      </c>
      <c r="P131" s="436">
        <f t="shared" si="37"/>
        <v>894430.63468294521</v>
      </c>
      <c r="Q131" s="436">
        <f t="shared" si="37"/>
        <v>749892.26338930381</v>
      </c>
      <c r="R131" s="436">
        <f t="shared" si="37"/>
        <v>134032.86102802865</v>
      </c>
      <c r="S131" s="436">
        <f t="shared" si="37"/>
        <v>120539.86052204114</v>
      </c>
      <c r="T131" s="436">
        <f t="shared" si="37"/>
        <v>492603.10896191298</v>
      </c>
      <c r="U131" s="436">
        <f t="shared" si="37"/>
        <v>3571445.7678832198</v>
      </c>
      <c r="V131" s="20"/>
      <c r="W131" s="18"/>
      <c r="X131" s="17"/>
      <c r="Y131" s="16"/>
      <c r="Z131" s="16"/>
      <c r="AA131" s="18"/>
      <c r="AB131" s="17"/>
      <c r="AC131" s="16"/>
      <c r="AD131" s="16"/>
      <c r="AE131" s="16"/>
      <c r="AF131" s="12"/>
      <c r="AG131" s="12"/>
    </row>
    <row r="133" spans="1:33" collapsed="1" x14ac:dyDescent="0.35">
      <c r="E133" s="66"/>
    </row>
    <row r="134" spans="1:33" x14ac:dyDescent="0.35">
      <c r="E134" s="66"/>
    </row>
    <row r="135" spans="1:33" x14ac:dyDescent="0.35">
      <c r="A135" s="22" t="s">
        <v>213</v>
      </c>
      <c r="B135" s="35">
        <v>5929</v>
      </c>
      <c r="C135" s="431"/>
    </row>
  </sheetData>
  <autoFilter ref="C7:H131" xr:uid="{00000000-0009-0000-0000-000007000000}"/>
  <mergeCells count="13">
    <mergeCell ref="C1:H1"/>
    <mergeCell ref="C4:H6"/>
    <mergeCell ref="W10:Z10"/>
    <mergeCell ref="AA10:AD10"/>
    <mergeCell ref="W86:Z86"/>
    <mergeCell ref="AA86:AD86"/>
    <mergeCell ref="U4:U7"/>
    <mergeCell ref="I5:K5"/>
    <mergeCell ref="L5:N5"/>
    <mergeCell ref="O5:Q5"/>
    <mergeCell ref="R5:T5"/>
    <mergeCell ref="A3:D3"/>
    <mergeCell ref="I4:T4"/>
  </mergeCells>
  <pageMargins left="0.70866141732283472" right="0.70866141732283472" top="0.74803149606299213" bottom="0.74803149606299213" header="0.31496062992125984" footer="0.31496062992125984"/>
  <pageSetup paperSize="5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J130"/>
  <sheetViews>
    <sheetView showGridLines="0" topLeftCell="C1" zoomScale="60" zoomScaleNormal="60" workbookViewId="0">
      <pane xSplit="4" ySplit="6" topLeftCell="G7" activePane="bottomRight" state="frozen"/>
      <selection activeCell="C1" sqref="C1"/>
      <selection pane="topRight" activeCell="F1" sqref="F1"/>
      <selection pane="bottomLeft" activeCell="C5" sqref="C5"/>
      <selection pane="bottomRight" activeCell="C18" sqref="C18:C130"/>
    </sheetView>
  </sheetViews>
  <sheetFormatPr defaultColWidth="11.453125" defaultRowHeight="12" outlineLevelCol="1" x14ac:dyDescent="0.35"/>
  <cols>
    <col min="1" max="1" width="7" style="13" customWidth="1"/>
    <col min="2" max="2" width="5.90625" style="14" bestFit="1" customWidth="1"/>
    <col min="3" max="3" width="8.6328125" style="14" customWidth="1"/>
    <col min="4" max="4" width="36.90625" style="13" customWidth="1"/>
    <col min="5" max="5" width="15" style="64" customWidth="1"/>
    <col min="6" max="6" width="8.08984375" style="44" customWidth="1"/>
    <col min="7" max="66" width="2.6328125" style="36" customWidth="1" outlineLevel="1"/>
    <col min="67" max="67" width="2.90625" style="15" customWidth="1"/>
    <col min="68" max="68" width="2.90625" style="19" customWidth="1"/>
    <col min="69" max="71" width="2.90625" style="15" customWidth="1"/>
    <col min="72" max="72" width="2.90625" style="19" customWidth="1"/>
    <col min="73" max="75" width="2.90625" style="15" customWidth="1"/>
    <col min="76" max="76" width="2.90625" style="19" customWidth="1"/>
    <col min="77" max="78" width="2.90625" style="15" customWidth="1"/>
    <col min="79" max="79" width="24.54296875" style="15" bestFit="1" customWidth="1"/>
    <col min="80" max="81" width="11.453125" style="21"/>
    <col min="82" max="16384" width="11.453125" style="5"/>
  </cols>
  <sheetData>
    <row r="1" spans="1:81" ht="15.65" customHeight="1" x14ac:dyDescent="0.35">
      <c r="D1" s="719" t="s">
        <v>661</v>
      </c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719"/>
      <c r="S1" s="719"/>
      <c r="T1" s="719"/>
      <c r="U1" s="719"/>
      <c r="V1" s="719"/>
      <c r="W1" s="719"/>
      <c r="X1" s="719"/>
      <c r="Y1" s="719"/>
      <c r="Z1" s="719"/>
      <c r="AA1" s="719"/>
      <c r="AB1" s="719"/>
      <c r="AC1" s="719"/>
      <c r="AD1" s="719"/>
      <c r="AE1" s="719"/>
      <c r="AF1" s="719"/>
      <c r="AG1" s="719"/>
      <c r="AH1" s="719"/>
      <c r="AI1" s="719"/>
      <c r="AJ1" s="719"/>
      <c r="AK1" s="719"/>
      <c r="AL1" s="719"/>
      <c r="AM1" s="719"/>
      <c r="AN1" s="719"/>
      <c r="AO1" s="719"/>
      <c r="AP1" s="719"/>
      <c r="AQ1" s="719"/>
      <c r="AR1" s="719"/>
      <c r="AS1" s="719"/>
      <c r="AT1" s="719"/>
      <c r="AU1" s="719"/>
      <c r="AV1" s="719"/>
      <c r="AW1" s="719"/>
      <c r="AX1" s="719"/>
      <c r="AY1" s="719"/>
      <c r="AZ1" s="719"/>
      <c r="BA1" s="719"/>
      <c r="BB1" s="719"/>
      <c r="BC1" s="719"/>
      <c r="BD1" s="719"/>
      <c r="BE1" s="719"/>
      <c r="BF1" s="719"/>
      <c r="BG1" s="719"/>
      <c r="BH1" s="719"/>
      <c r="BI1" s="719"/>
      <c r="BJ1" s="719"/>
      <c r="BK1" s="719"/>
      <c r="BL1" s="719"/>
      <c r="BM1" s="719"/>
      <c r="BN1" s="719"/>
    </row>
    <row r="3" spans="1:81" ht="21" customHeight="1" x14ac:dyDescent="0.35">
      <c r="A3" s="435"/>
      <c r="B3" s="435"/>
      <c r="C3" s="605"/>
      <c r="D3" s="723" t="s">
        <v>818</v>
      </c>
      <c r="E3" s="723"/>
      <c r="G3" s="724" t="s">
        <v>204</v>
      </c>
      <c r="H3" s="725"/>
      <c r="I3" s="725"/>
      <c r="J3" s="725"/>
      <c r="K3" s="725"/>
      <c r="L3" s="725"/>
      <c r="M3" s="725"/>
      <c r="N3" s="725"/>
      <c r="O3" s="725"/>
      <c r="P3" s="725"/>
      <c r="Q3" s="725"/>
      <c r="R3" s="726"/>
      <c r="S3" s="724" t="s">
        <v>205</v>
      </c>
      <c r="T3" s="725"/>
      <c r="U3" s="725"/>
      <c r="V3" s="725"/>
      <c r="W3" s="725"/>
      <c r="X3" s="725"/>
      <c r="Y3" s="725"/>
      <c r="Z3" s="725"/>
      <c r="AA3" s="725"/>
      <c r="AB3" s="725"/>
      <c r="AC3" s="725"/>
      <c r="AD3" s="726"/>
      <c r="AE3" s="724" t="s">
        <v>206</v>
      </c>
      <c r="AF3" s="725"/>
      <c r="AG3" s="725"/>
      <c r="AH3" s="725"/>
      <c r="AI3" s="725"/>
      <c r="AJ3" s="725"/>
      <c r="AK3" s="725"/>
      <c r="AL3" s="725"/>
      <c r="AM3" s="725"/>
      <c r="AN3" s="725"/>
      <c r="AO3" s="725"/>
      <c r="AP3" s="726"/>
      <c r="AQ3" s="724" t="s">
        <v>207</v>
      </c>
      <c r="AR3" s="725"/>
      <c r="AS3" s="725"/>
      <c r="AT3" s="725"/>
      <c r="AU3" s="725"/>
      <c r="AV3" s="725"/>
      <c r="AW3" s="725"/>
      <c r="AX3" s="725"/>
      <c r="AY3" s="725"/>
      <c r="AZ3" s="725"/>
      <c r="BA3" s="725"/>
      <c r="BB3" s="726"/>
      <c r="BC3" s="724" t="s">
        <v>208</v>
      </c>
      <c r="BD3" s="725"/>
      <c r="BE3" s="725"/>
      <c r="BF3" s="725"/>
      <c r="BG3" s="725"/>
      <c r="BH3" s="725"/>
      <c r="BI3" s="725"/>
      <c r="BJ3" s="725"/>
      <c r="BK3" s="725"/>
      <c r="BL3" s="725"/>
      <c r="BM3" s="725"/>
      <c r="BN3" s="726"/>
    </row>
    <row r="4" spans="1:81" x14ac:dyDescent="0.35">
      <c r="A4" s="33"/>
      <c r="B4" s="34"/>
      <c r="C4" s="34"/>
      <c r="D4" s="33"/>
      <c r="E4" s="62"/>
      <c r="G4" s="720" t="s">
        <v>37</v>
      </c>
      <c r="H4" s="721"/>
      <c r="I4" s="722"/>
      <c r="J4" s="720" t="s">
        <v>38</v>
      </c>
      <c r="K4" s="721"/>
      <c r="L4" s="722"/>
      <c r="M4" s="720" t="s">
        <v>39</v>
      </c>
      <c r="N4" s="721"/>
      <c r="O4" s="722"/>
      <c r="P4" s="720" t="s">
        <v>40</v>
      </c>
      <c r="Q4" s="721"/>
      <c r="R4" s="722"/>
      <c r="S4" s="720" t="s">
        <v>798</v>
      </c>
      <c r="T4" s="721"/>
      <c r="U4" s="722"/>
      <c r="V4" s="720" t="s">
        <v>799</v>
      </c>
      <c r="W4" s="721"/>
      <c r="X4" s="722"/>
      <c r="Y4" s="720" t="s">
        <v>800</v>
      </c>
      <c r="Z4" s="721"/>
      <c r="AA4" s="722"/>
      <c r="AB4" s="720" t="s">
        <v>801</v>
      </c>
      <c r="AC4" s="721"/>
      <c r="AD4" s="722"/>
      <c r="AE4" s="720" t="s">
        <v>802</v>
      </c>
      <c r="AF4" s="721"/>
      <c r="AG4" s="722"/>
      <c r="AH4" s="720" t="s">
        <v>803</v>
      </c>
      <c r="AI4" s="721"/>
      <c r="AJ4" s="722"/>
      <c r="AK4" s="720" t="s">
        <v>804</v>
      </c>
      <c r="AL4" s="721"/>
      <c r="AM4" s="722"/>
      <c r="AN4" s="720" t="s">
        <v>805</v>
      </c>
      <c r="AO4" s="721"/>
      <c r="AP4" s="722"/>
      <c r="AQ4" s="720" t="s">
        <v>806</v>
      </c>
      <c r="AR4" s="721"/>
      <c r="AS4" s="722"/>
      <c r="AT4" s="720" t="s">
        <v>807</v>
      </c>
      <c r="AU4" s="721"/>
      <c r="AV4" s="722"/>
      <c r="AW4" s="720" t="s">
        <v>808</v>
      </c>
      <c r="AX4" s="721"/>
      <c r="AY4" s="722"/>
      <c r="AZ4" s="720" t="s">
        <v>809</v>
      </c>
      <c r="BA4" s="721"/>
      <c r="BB4" s="722"/>
      <c r="BC4" s="720" t="s">
        <v>810</v>
      </c>
      <c r="BD4" s="721"/>
      <c r="BE4" s="722"/>
      <c r="BF4" s="720" t="s">
        <v>811</v>
      </c>
      <c r="BG4" s="721"/>
      <c r="BH4" s="722"/>
      <c r="BI4" s="720" t="s">
        <v>812</v>
      </c>
      <c r="BJ4" s="721"/>
      <c r="BK4" s="722"/>
      <c r="BL4" s="720" t="s">
        <v>813</v>
      </c>
      <c r="BM4" s="721"/>
      <c r="BN4" s="722"/>
    </row>
    <row r="5" spans="1:81" ht="30.65" customHeight="1" x14ac:dyDescent="0.35">
      <c r="A5" s="33"/>
      <c r="B5" s="34"/>
      <c r="C5" s="34"/>
      <c r="D5" s="33"/>
      <c r="E5" s="62"/>
      <c r="G5" s="422" t="s">
        <v>236</v>
      </c>
      <c r="H5" s="422" t="s">
        <v>237</v>
      </c>
      <c r="I5" s="422" t="s">
        <v>238</v>
      </c>
      <c r="J5" s="422" t="s">
        <v>239</v>
      </c>
      <c r="K5" s="423" t="s">
        <v>240</v>
      </c>
      <c r="L5" s="424" t="s">
        <v>241</v>
      </c>
      <c r="M5" s="422" t="s">
        <v>242</v>
      </c>
      <c r="N5" s="423" t="s">
        <v>243</v>
      </c>
      <c r="O5" s="424" t="s">
        <v>244</v>
      </c>
      <c r="P5" s="422" t="s">
        <v>245</v>
      </c>
      <c r="Q5" s="423" t="s">
        <v>246</v>
      </c>
      <c r="R5" s="424" t="s">
        <v>247</v>
      </c>
      <c r="S5" s="422" t="s">
        <v>236</v>
      </c>
      <c r="T5" s="422" t="s">
        <v>237</v>
      </c>
      <c r="U5" s="422" t="s">
        <v>238</v>
      </c>
      <c r="V5" s="422" t="s">
        <v>239</v>
      </c>
      <c r="W5" s="423" t="s">
        <v>240</v>
      </c>
      <c r="X5" s="424" t="s">
        <v>241</v>
      </c>
      <c r="Y5" s="422" t="s">
        <v>242</v>
      </c>
      <c r="Z5" s="41" t="s">
        <v>243</v>
      </c>
      <c r="AA5" s="42" t="s">
        <v>244</v>
      </c>
      <c r="AB5" s="43" t="s">
        <v>245</v>
      </c>
      <c r="AC5" s="423" t="s">
        <v>246</v>
      </c>
      <c r="AD5" s="424" t="s">
        <v>247</v>
      </c>
      <c r="AE5" s="422" t="s">
        <v>236</v>
      </c>
      <c r="AF5" s="422" t="s">
        <v>237</v>
      </c>
      <c r="AG5" s="422" t="s">
        <v>238</v>
      </c>
      <c r="AH5" s="422" t="s">
        <v>239</v>
      </c>
      <c r="AI5" s="423" t="s">
        <v>240</v>
      </c>
      <c r="AJ5" s="424" t="s">
        <v>241</v>
      </c>
      <c r="AK5" s="422" t="s">
        <v>242</v>
      </c>
      <c r="AL5" s="423" t="s">
        <v>243</v>
      </c>
      <c r="AM5" s="424" t="s">
        <v>244</v>
      </c>
      <c r="AN5" s="422" t="s">
        <v>245</v>
      </c>
      <c r="AO5" s="423" t="s">
        <v>246</v>
      </c>
      <c r="AP5" s="424" t="s">
        <v>247</v>
      </c>
      <c r="AQ5" s="422" t="s">
        <v>236</v>
      </c>
      <c r="AR5" s="422" t="s">
        <v>237</v>
      </c>
      <c r="AS5" s="422" t="s">
        <v>238</v>
      </c>
      <c r="AT5" s="422" t="s">
        <v>239</v>
      </c>
      <c r="AU5" s="423" t="s">
        <v>240</v>
      </c>
      <c r="AV5" s="424" t="s">
        <v>241</v>
      </c>
      <c r="AW5" s="422" t="s">
        <v>242</v>
      </c>
      <c r="AX5" s="423" t="s">
        <v>243</v>
      </c>
      <c r="AY5" s="41" t="s">
        <v>244</v>
      </c>
      <c r="AZ5" s="41" t="s">
        <v>245</v>
      </c>
      <c r="BA5" s="423" t="s">
        <v>246</v>
      </c>
      <c r="BB5" s="424" t="s">
        <v>247</v>
      </c>
      <c r="BC5" s="422" t="s">
        <v>236</v>
      </c>
      <c r="BD5" s="422" t="s">
        <v>237</v>
      </c>
      <c r="BE5" s="422" t="s">
        <v>238</v>
      </c>
      <c r="BF5" s="422" t="s">
        <v>239</v>
      </c>
      <c r="BG5" s="423" t="s">
        <v>240</v>
      </c>
      <c r="BH5" s="424" t="s">
        <v>241</v>
      </c>
      <c r="BI5" s="41" t="s">
        <v>242</v>
      </c>
      <c r="BJ5" s="41" t="s">
        <v>243</v>
      </c>
      <c r="BK5" s="424" t="s">
        <v>244</v>
      </c>
      <c r="BL5" s="422" t="s">
        <v>245</v>
      </c>
      <c r="BM5" s="423" t="s">
        <v>246</v>
      </c>
      <c r="BN5" s="424" t="s">
        <v>247</v>
      </c>
    </row>
    <row r="6" spans="1:81" s="22" customFormat="1" ht="28.5" x14ac:dyDescent="0.35">
      <c r="A6" s="31" t="s">
        <v>90</v>
      </c>
      <c r="B6" s="32"/>
      <c r="C6" s="32"/>
      <c r="D6" s="434" t="s">
        <v>0</v>
      </c>
      <c r="E6" s="63"/>
      <c r="F6" s="44"/>
      <c r="G6" s="40" t="s">
        <v>18</v>
      </c>
      <c r="H6" s="40" t="s">
        <v>19</v>
      </c>
      <c r="I6" s="40" t="s">
        <v>20</v>
      </c>
      <c r="J6" s="40" t="s">
        <v>21</v>
      </c>
      <c r="K6" s="40" t="s">
        <v>22</v>
      </c>
      <c r="L6" s="40" t="s">
        <v>23</v>
      </c>
      <c r="M6" s="40" t="s">
        <v>24</v>
      </c>
      <c r="N6" s="40" t="s">
        <v>25</v>
      </c>
      <c r="O6" s="40" t="s">
        <v>26</v>
      </c>
      <c r="P6" s="40" t="s">
        <v>27</v>
      </c>
      <c r="Q6" s="40" t="s">
        <v>28</v>
      </c>
      <c r="R6" s="40" t="s">
        <v>29</v>
      </c>
      <c r="S6" s="40" t="s">
        <v>30</v>
      </c>
      <c r="T6" s="40" t="s">
        <v>31</v>
      </c>
      <c r="U6" s="40" t="s">
        <v>33</v>
      </c>
      <c r="V6" s="40" t="s">
        <v>34</v>
      </c>
      <c r="W6" s="40" t="s">
        <v>35</v>
      </c>
      <c r="X6" s="40" t="s">
        <v>36</v>
      </c>
      <c r="Y6" s="40" t="s">
        <v>162</v>
      </c>
      <c r="Z6" s="40" t="s">
        <v>163</v>
      </c>
      <c r="AA6" s="40" t="s">
        <v>164</v>
      </c>
      <c r="AB6" s="40" t="s">
        <v>165</v>
      </c>
      <c r="AC6" s="40" t="s">
        <v>166</v>
      </c>
      <c r="AD6" s="40" t="s">
        <v>167</v>
      </c>
      <c r="AE6" s="40" t="s">
        <v>168</v>
      </c>
      <c r="AF6" s="40" t="s">
        <v>169</v>
      </c>
      <c r="AG6" s="40" t="s">
        <v>170</v>
      </c>
      <c r="AH6" s="40" t="s">
        <v>171</v>
      </c>
      <c r="AI6" s="40" t="s">
        <v>172</v>
      </c>
      <c r="AJ6" s="40" t="s">
        <v>173</v>
      </c>
      <c r="AK6" s="40" t="s">
        <v>174</v>
      </c>
      <c r="AL6" s="40" t="s">
        <v>175</v>
      </c>
      <c r="AM6" s="40" t="s">
        <v>176</v>
      </c>
      <c r="AN6" s="40" t="s">
        <v>177</v>
      </c>
      <c r="AO6" s="40" t="s">
        <v>178</v>
      </c>
      <c r="AP6" s="40" t="s">
        <v>179</v>
      </c>
      <c r="AQ6" s="40" t="s">
        <v>180</v>
      </c>
      <c r="AR6" s="40" t="s">
        <v>181</v>
      </c>
      <c r="AS6" s="40" t="s">
        <v>182</v>
      </c>
      <c r="AT6" s="40" t="s">
        <v>183</v>
      </c>
      <c r="AU6" s="40" t="s">
        <v>184</v>
      </c>
      <c r="AV6" s="40" t="s">
        <v>185</v>
      </c>
      <c r="AW6" s="40" t="s">
        <v>186</v>
      </c>
      <c r="AX6" s="40" t="s">
        <v>187</v>
      </c>
      <c r="AY6" s="40" t="s">
        <v>188</v>
      </c>
      <c r="AZ6" s="40" t="s">
        <v>189</v>
      </c>
      <c r="BA6" s="40" t="s">
        <v>190</v>
      </c>
      <c r="BB6" s="40" t="s">
        <v>191</v>
      </c>
      <c r="BC6" s="40" t="s">
        <v>192</v>
      </c>
      <c r="BD6" s="40" t="s">
        <v>193</v>
      </c>
      <c r="BE6" s="40" t="s">
        <v>194</v>
      </c>
      <c r="BF6" s="40" t="s">
        <v>195</v>
      </c>
      <c r="BG6" s="40" t="s">
        <v>196</v>
      </c>
      <c r="BH6" s="40" t="s">
        <v>197</v>
      </c>
      <c r="BI6" s="40" t="s">
        <v>198</v>
      </c>
      <c r="BJ6" s="40" t="s">
        <v>199</v>
      </c>
      <c r="BK6" s="40" t="s">
        <v>200</v>
      </c>
      <c r="BL6" s="40" t="s">
        <v>201</v>
      </c>
      <c r="BM6" s="40" t="s">
        <v>202</v>
      </c>
      <c r="BN6" s="40" t="s">
        <v>203</v>
      </c>
      <c r="BO6" s="23"/>
      <c r="BP6" s="24"/>
      <c r="BQ6" s="23"/>
      <c r="BR6" s="23"/>
      <c r="BS6" s="23"/>
      <c r="BT6" s="24"/>
      <c r="BU6" s="23"/>
      <c r="BV6" s="23"/>
      <c r="BW6" s="23"/>
      <c r="BX6" s="24"/>
      <c r="BY6" s="23"/>
      <c r="BZ6" s="23"/>
      <c r="CA6" s="23"/>
      <c r="CB6" s="25"/>
      <c r="CC6" s="25"/>
    </row>
    <row r="7" spans="1:81" x14ac:dyDescent="0.35">
      <c r="A7" s="27"/>
      <c r="B7" s="28"/>
      <c r="C7" s="28"/>
      <c r="D7" s="39" t="str">
        <f>'CC detallado'!F5</f>
        <v>A. Planificación</v>
      </c>
      <c r="E7" s="52">
        <v>0</v>
      </c>
      <c r="F7" s="45"/>
    </row>
    <row r="8" spans="1:81" ht="24" hidden="1" x14ac:dyDescent="0.35">
      <c r="A8" s="6"/>
      <c r="B8" s="7"/>
      <c r="C8" s="7"/>
      <c r="D8" s="8" t="str">
        <f>'CC detallado'!F6</f>
        <v xml:space="preserve">Revisión bibliográfica (Propuesta de la nueva metodología). </v>
      </c>
      <c r="E8" s="53">
        <v>0</v>
      </c>
    </row>
    <row r="9" spans="1:81" hidden="1" x14ac:dyDescent="0.35">
      <c r="A9" s="6"/>
      <c r="B9" s="7"/>
      <c r="C9" s="7"/>
      <c r="D9" s="8" t="str">
        <f>'CC detallado'!F7</f>
        <v xml:space="preserve">Definición de actividades para el operativo. </v>
      </c>
      <c r="E9" s="53">
        <v>0</v>
      </c>
      <c r="BO9" s="713"/>
      <c r="BP9" s="713"/>
      <c r="BQ9" s="713"/>
      <c r="BR9" s="713"/>
      <c r="BS9" s="713"/>
      <c r="BT9" s="713"/>
      <c r="BU9" s="713"/>
      <c r="BV9" s="713"/>
      <c r="BW9" s="713"/>
      <c r="BX9" s="713"/>
      <c r="BY9" s="713"/>
      <c r="BZ9" s="713"/>
    </row>
    <row r="10" spans="1:81" hidden="1" x14ac:dyDescent="0.35">
      <c r="A10" s="6"/>
      <c r="B10" s="7"/>
      <c r="C10" s="7"/>
      <c r="D10" s="8" t="str">
        <f>'CC detallado'!F8</f>
        <v>Elaboración de presupuesto.</v>
      </c>
      <c r="E10" s="53">
        <v>0</v>
      </c>
    </row>
    <row r="11" spans="1:81" hidden="1" x14ac:dyDescent="0.35">
      <c r="A11" s="6"/>
      <c r="B11" s="7"/>
      <c r="C11" s="7"/>
      <c r="D11" s="8" t="str">
        <f>'CC detallado'!F9</f>
        <v>Elaboración de cronogramas de actividades.</v>
      </c>
      <c r="E11" s="53">
        <v>0</v>
      </c>
    </row>
    <row r="12" spans="1:81" hidden="1" x14ac:dyDescent="0.35">
      <c r="A12" s="6"/>
      <c r="B12" s="7"/>
      <c r="C12" s="7"/>
      <c r="D12" s="8" t="str">
        <f>'CC detallado'!F10</f>
        <v>Elaboración del plan operativo (Proyecto CAN 2018)</v>
      </c>
      <c r="E12" s="53">
        <v>0</v>
      </c>
    </row>
    <row r="13" spans="1:81" hidden="1" x14ac:dyDescent="0.35">
      <c r="A13" s="6"/>
      <c r="B13" s="7"/>
      <c r="C13" s="7"/>
      <c r="D13" s="8" t="str">
        <f>'CC detallado'!F11</f>
        <v>Gestión de recursos (Cooperantes)</v>
      </c>
      <c r="E13" s="53">
        <v>0</v>
      </c>
    </row>
    <row r="14" spans="1:81" ht="24" hidden="1" x14ac:dyDescent="0.35">
      <c r="A14" s="6"/>
      <c r="B14" s="7"/>
      <c r="C14" s="7"/>
      <c r="D14" s="8" t="str">
        <f>'CC detallado'!F12</f>
        <v>Gestión de las documentaciones legales para el censo.</v>
      </c>
      <c r="E14" s="53">
        <v>0</v>
      </c>
    </row>
    <row r="15" spans="1:81" hidden="1" x14ac:dyDescent="0.35">
      <c r="A15" s="6"/>
      <c r="B15" s="7"/>
      <c r="C15" s="7"/>
      <c r="D15" s="8" t="str">
        <f>'CC detallado'!F13</f>
        <v>Conformación de la Comisión Nacional CAN 2018.</v>
      </c>
      <c r="E15" s="53">
        <v>0</v>
      </c>
    </row>
    <row r="16" spans="1:81" ht="24" hidden="1" x14ac:dyDescent="0.35">
      <c r="A16" s="6"/>
      <c r="B16" s="7"/>
      <c r="C16" s="7"/>
      <c r="D16" s="8" t="str">
        <f>'CC detallado'!F14</f>
        <v>Socialización y validación de la nueva metodología y presupuesto.</v>
      </c>
      <c r="E16" s="53">
        <v>0</v>
      </c>
    </row>
    <row r="17" spans="1:88" hidden="1" x14ac:dyDescent="0.35">
      <c r="A17" s="6"/>
      <c r="B17" s="7"/>
      <c r="C17" s="7"/>
      <c r="D17" s="8" t="str">
        <f>'CC detallado'!F15</f>
        <v xml:space="preserve">Validación del plan Operativo  y  boleta censal. </v>
      </c>
      <c r="E17" s="53">
        <v>0</v>
      </c>
    </row>
    <row r="18" spans="1:88" ht="24" collapsed="1" x14ac:dyDescent="0.3">
      <c r="A18" s="27"/>
      <c r="B18" s="28"/>
      <c r="C18" s="505">
        <f>PEP!C19</f>
        <v>1</v>
      </c>
      <c r="D18" s="48" t="str">
        <f>PEP!D19</f>
        <v>Componente 1 - Diseño e implementación del Sistema del Censo Agropecuario</v>
      </c>
      <c r="E18" s="47">
        <f>PEP!E19</f>
        <v>10319559.142013833</v>
      </c>
      <c r="F18" s="46">
        <f>E18/$E$130</f>
        <v>0.68797062388685271</v>
      </c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</row>
    <row r="19" spans="1:88" s="169" customFormat="1" x14ac:dyDescent="0.3">
      <c r="A19" s="172"/>
      <c r="B19" s="173"/>
      <c r="C19" s="512" t="str">
        <f>PEP!C20</f>
        <v>1.1</v>
      </c>
      <c r="D19" s="50" t="str">
        <f>PEP!D20</f>
        <v>Producto 1: Cartografía actualizada</v>
      </c>
      <c r="E19" s="299">
        <f>PEP!E20</f>
        <v>596896.60988362285</v>
      </c>
      <c r="F19" s="281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299"/>
      <c r="X19" s="299"/>
      <c r="Y19" s="299"/>
      <c r="Z19" s="299"/>
      <c r="AA19" s="299"/>
      <c r="AB19" s="299"/>
      <c r="AC19" s="299"/>
      <c r="AD19" s="299"/>
      <c r="AE19" s="299"/>
      <c r="AF19" s="299"/>
      <c r="AG19" s="299"/>
      <c r="AH19" s="299"/>
      <c r="AI19" s="299"/>
      <c r="AJ19" s="299"/>
      <c r="AK19" s="299"/>
      <c r="AL19" s="299"/>
      <c r="AM19" s="299"/>
      <c r="AN19" s="299"/>
      <c r="AO19" s="299"/>
      <c r="AP19" s="299"/>
      <c r="AQ19" s="299"/>
      <c r="AR19" s="299"/>
      <c r="AS19" s="299"/>
      <c r="AT19" s="299"/>
      <c r="AU19" s="299"/>
      <c r="AV19" s="299"/>
      <c r="AW19" s="299"/>
      <c r="AX19" s="299"/>
      <c r="AY19" s="299"/>
      <c r="AZ19" s="299"/>
      <c r="BA19" s="299"/>
      <c r="BB19" s="299"/>
      <c r="BC19" s="299"/>
      <c r="BD19" s="299"/>
      <c r="BE19" s="299"/>
      <c r="BF19" s="299"/>
      <c r="BG19" s="299"/>
      <c r="BH19" s="299"/>
      <c r="BI19" s="299"/>
      <c r="BJ19" s="299"/>
      <c r="BK19" s="299"/>
      <c r="BL19" s="299"/>
      <c r="BM19" s="299"/>
      <c r="BN19" s="299"/>
      <c r="BO19" s="166"/>
      <c r="BP19" s="167"/>
      <c r="BQ19" s="166"/>
      <c r="BR19" s="166"/>
      <c r="BS19" s="166"/>
      <c r="BT19" s="167"/>
      <c r="BU19" s="166"/>
      <c r="BV19" s="166"/>
      <c r="BW19" s="166"/>
      <c r="BX19" s="167"/>
      <c r="BY19" s="166"/>
      <c r="BZ19" s="166"/>
      <c r="CA19" s="166"/>
      <c r="CB19" s="168"/>
      <c r="CC19" s="168"/>
    </row>
    <row r="20" spans="1:88" s="151" customFormat="1" x14ac:dyDescent="0.3">
      <c r="A20" s="142"/>
      <c r="B20" s="143" t="s">
        <v>91</v>
      </c>
      <c r="C20" s="525" t="str">
        <f>PEP!C21</f>
        <v>1.1.1</v>
      </c>
      <c r="D20" s="137" t="str">
        <f>PEP!D21</f>
        <v>Técnico en SIG - Coordinador de Campo</v>
      </c>
      <c r="E20" s="283">
        <f>PEP!E21</f>
        <v>16191.600607185022</v>
      </c>
      <c r="F20" s="281"/>
      <c r="G20" s="284"/>
      <c r="H20" s="284"/>
      <c r="I20" s="284"/>
      <c r="J20" s="284"/>
      <c r="K20" s="286"/>
      <c r="L20" s="286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5"/>
      <c r="BF20" s="285"/>
      <c r="BG20" s="285"/>
      <c r="BH20" s="285"/>
      <c r="BI20" s="285"/>
      <c r="BJ20" s="285"/>
      <c r="BK20" s="285"/>
      <c r="BL20" s="285"/>
      <c r="BM20" s="285"/>
      <c r="BN20" s="285"/>
      <c r="BO20" s="300"/>
      <c r="BP20" s="300"/>
      <c r="BQ20" s="300"/>
      <c r="BR20" s="300"/>
      <c r="BS20" s="300"/>
      <c r="BT20" s="300"/>
      <c r="BU20" s="301"/>
      <c r="BV20" s="714"/>
      <c r="BW20" s="714"/>
      <c r="BX20" s="714"/>
      <c r="BY20" s="714"/>
      <c r="BZ20" s="714"/>
      <c r="CA20" s="714"/>
      <c r="CB20" s="714"/>
      <c r="CC20" s="714"/>
      <c r="CD20" s="714"/>
      <c r="CE20" s="714"/>
      <c r="CF20" s="714"/>
      <c r="CG20" s="714"/>
      <c r="CH20" s="148"/>
      <c r="CI20" s="150"/>
      <c r="CJ20" s="150"/>
    </row>
    <row r="21" spans="1:88" s="151" customFormat="1" x14ac:dyDescent="0.3">
      <c r="A21" s="142"/>
      <c r="B21" s="143" t="s">
        <v>91</v>
      </c>
      <c r="C21" s="525" t="str">
        <f>PEP!C22</f>
        <v>1.1.2</v>
      </c>
      <c r="D21" s="137" t="str">
        <f>PEP!D22</f>
        <v>Técnico en SIG - Supervisor de Campo</v>
      </c>
      <c r="E21" s="283">
        <f>PEP!E22</f>
        <v>20239.500758981278</v>
      </c>
      <c r="F21" s="281"/>
      <c r="G21" s="284"/>
      <c r="H21" s="284"/>
      <c r="I21" s="284"/>
      <c r="J21" s="284"/>
      <c r="K21" s="286"/>
      <c r="L21" s="286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5"/>
      <c r="BF21" s="285"/>
      <c r="BG21" s="285"/>
      <c r="BH21" s="285"/>
      <c r="BI21" s="285"/>
      <c r="BJ21" s="285"/>
      <c r="BK21" s="285"/>
      <c r="BL21" s="285"/>
      <c r="BM21" s="285"/>
      <c r="BN21" s="285"/>
      <c r="BO21" s="148"/>
      <c r="BP21" s="149"/>
      <c r="BQ21" s="148"/>
      <c r="BR21" s="148"/>
      <c r="BS21" s="148"/>
      <c r="BT21" s="149"/>
      <c r="BU21" s="148"/>
      <c r="BV21" s="148"/>
      <c r="BW21" s="148"/>
      <c r="BX21" s="149"/>
      <c r="BY21" s="148"/>
      <c r="BZ21" s="148"/>
      <c r="CA21" s="148"/>
      <c r="CB21" s="150"/>
      <c r="CC21" s="150"/>
    </row>
    <row r="22" spans="1:88" s="151" customFormat="1" x14ac:dyDescent="0.3">
      <c r="A22" s="142"/>
      <c r="B22" s="143" t="s">
        <v>91</v>
      </c>
      <c r="C22" s="539" t="str">
        <f>PEP!C23</f>
        <v>1.1.3</v>
      </c>
      <c r="D22" s="139" t="str">
        <f>PEP!D23</f>
        <v>Técnico en SIG - Supervisor en Gabinete</v>
      </c>
      <c r="E22" s="283">
        <f>PEP!E23</f>
        <v>20239.500758981278</v>
      </c>
      <c r="F22" s="281"/>
      <c r="G22" s="284"/>
      <c r="H22" s="284"/>
      <c r="I22" s="284"/>
      <c r="J22" s="284"/>
      <c r="K22" s="284"/>
      <c r="L22" s="284"/>
      <c r="M22" s="284"/>
      <c r="N22" s="286"/>
      <c r="O22" s="286"/>
      <c r="P22" s="287"/>
      <c r="Q22" s="287"/>
      <c r="R22" s="287"/>
      <c r="S22" s="287"/>
      <c r="T22" s="287"/>
      <c r="U22" s="287"/>
      <c r="V22" s="287"/>
      <c r="W22" s="287"/>
      <c r="X22" s="287"/>
      <c r="Y22" s="287"/>
      <c r="Z22" s="287"/>
      <c r="AA22" s="287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  <c r="BE22" s="285"/>
      <c r="BF22" s="285"/>
      <c r="BG22" s="285"/>
      <c r="BH22" s="285"/>
      <c r="BI22" s="285"/>
      <c r="BJ22" s="285"/>
      <c r="BK22" s="285"/>
      <c r="BL22" s="285"/>
      <c r="BM22" s="285"/>
      <c r="BN22" s="285"/>
      <c r="BO22" s="148"/>
      <c r="BP22" s="149"/>
      <c r="BQ22" s="148"/>
      <c r="BR22" s="148"/>
      <c r="BS22" s="148"/>
      <c r="BT22" s="149"/>
      <c r="BU22" s="148"/>
      <c r="BV22" s="148"/>
      <c r="BW22" s="148"/>
      <c r="BX22" s="149"/>
      <c r="BY22" s="148"/>
      <c r="BZ22" s="148"/>
      <c r="CA22" s="148"/>
      <c r="CB22" s="150"/>
      <c r="CC22" s="150"/>
    </row>
    <row r="23" spans="1:88" s="151" customFormat="1" x14ac:dyDescent="0.3">
      <c r="A23" s="142"/>
      <c r="B23" s="143" t="s">
        <v>91</v>
      </c>
      <c r="C23" s="539" t="str">
        <f>PEP!C24</f>
        <v>1.1.4</v>
      </c>
      <c r="D23" s="139" t="str">
        <f>PEP!D24</f>
        <v>Técnicos en SIG - Gabinete</v>
      </c>
      <c r="E23" s="283">
        <f>PEP!E24</f>
        <v>48574.801821555069</v>
      </c>
      <c r="F23" s="281"/>
      <c r="G23" s="284"/>
      <c r="H23" s="284"/>
      <c r="I23" s="284"/>
      <c r="J23" s="284"/>
      <c r="K23" s="284"/>
      <c r="L23" s="284"/>
      <c r="M23" s="284"/>
      <c r="N23" s="286"/>
      <c r="O23" s="286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5"/>
      <c r="BD23" s="285"/>
      <c r="BE23" s="285"/>
      <c r="BF23" s="285"/>
      <c r="BG23" s="285"/>
      <c r="BH23" s="285"/>
      <c r="BI23" s="285"/>
      <c r="BJ23" s="285"/>
      <c r="BK23" s="285"/>
      <c r="BL23" s="285"/>
      <c r="BM23" s="285"/>
      <c r="BN23" s="285"/>
      <c r="BO23" s="148"/>
      <c r="BP23" s="149"/>
      <c r="BQ23" s="148"/>
      <c r="BR23" s="148"/>
      <c r="BS23" s="148"/>
      <c r="BT23" s="149"/>
      <c r="BU23" s="148"/>
      <c r="BV23" s="148"/>
      <c r="BW23" s="148"/>
      <c r="BX23" s="149"/>
      <c r="BY23" s="148"/>
      <c r="BZ23" s="148"/>
      <c r="CA23" s="148"/>
      <c r="CB23" s="150"/>
      <c r="CC23" s="150"/>
    </row>
    <row r="24" spans="1:88" s="169" customFormat="1" x14ac:dyDescent="0.3">
      <c r="A24" s="163"/>
      <c r="B24" s="164" t="s">
        <v>91</v>
      </c>
      <c r="C24" s="525" t="str">
        <f>PEP!C25</f>
        <v>1.1.5</v>
      </c>
      <c r="D24" s="137" t="str">
        <f>PEP!D25</f>
        <v>Viáticos - Técnicos actualizadores de Campo</v>
      </c>
      <c r="E24" s="283">
        <f>PEP!E25</f>
        <v>141676.50531286895</v>
      </c>
      <c r="F24" s="281"/>
      <c r="G24" s="284"/>
      <c r="H24" s="284"/>
      <c r="I24" s="284"/>
      <c r="J24" s="284"/>
      <c r="K24" s="286"/>
      <c r="L24" s="286"/>
      <c r="M24" s="287"/>
      <c r="N24" s="287"/>
      <c r="O24" s="287"/>
      <c r="P24" s="287"/>
      <c r="Q24" s="287"/>
      <c r="R24" s="287"/>
      <c r="S24" s="287"/>
      <c r="T24" s="287"/>
      <c r="U24" s="287"/>
      <c r="V24" s="287"/>
      <c r="W24" s="287"/>
      <c r="X24" s="287"/>
      <c r="Y24" s="285"/>
      <c r="Z24" s="285"/>
      <c r="AA24" s="285"/>
      <c r="AB24" s="285"/>
      <c r="AC24" s="285"/>
      <c r="AD24" s="285"/>
      <c r="AE24" s="285"/>
      <c r="AF24" s="285"/>
      <c r="AG24" s="285"/>
      <c r="AH24" s="285"/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5"/>
      <c r="BA24" s="285"/>
      <c r="BB24" s="285"/>
      <c r="BC24" s="285"/>
      <c r="BD24" s="285"/>
      <c r="BE24" s="285"/>
      <c r="BF24" s="285"/>
      <c r="BG24" s="285"/>
      <c r="BH24" s="285"/>
      <c r="BI24" s="285"/>
      <c r="BJ24" s="285"/>
      <c r="BK24" s="285"/>
      <c r="BL24" s="285"/>
      <c r="BM24" s="285"/>
      <c r="BN24" s="285"/>
      <c r="BO24" s="295"/>
      <c r="BP24" s="167"/>
      <c r="BQ24" s="166"/>
      <c r="BR24" s="166"/>
      <c r="BS24" s="295"/>
      <c r="BT24" s="167"/>
      <c r="BU24" s="166"/>
      <c r="BV24" s="166"/>
      <c r="BW24" s="295"/>
      <c r="BX24" s="167"/>
      <c r="BY24" s="166"/>
      <c r="BZ24" s="166"/>
      <c r="CA24" s="166"/>
      <c r="CB24" s="168"/>
      <c r="CC24" s="168"/>
    </row>
    <row r="25" spans="1:88" s="151" customFormat="1" x14ac:dyDescent="0.3">
      <c r="A25" s="142"/>
      <c r="B25" s="143" t="s">
        <v>91</v>
      </c>
      <c r="C25" s="525" t="str">
        <f>PEP!C26</f>
        <v>1.1.6</v>
      </c>
      <c r="D25" s="137" t="str">
        <f>PEP!D26</f>
        <v>Viáticos - Conductores de vehículos</v>
      </c>
      <c r="E25" s="283">
        <f>PEP!E26</f>
        <v>141676.50531286895</v>
      </c>
      <c r="F25" s="281"/>
      <c r="G25" s="284"/>
      <c r="H25" s="284"/>
      <c r="I25" s="284"/>
      <c r="J25" s="284"/>
      <c r="K25" s="286"/>
      <c r="L25" s="286"/>
      <c r="M25" s="287"/>
      <c r="N25" s="287"/>
      <c r="O25" s="287"/>
      <c r="P25" s="287"/>
      <c r="Q25" s="287"/>
      <c r="R25" s="287"/>
      <c r="S25" s="287"/>
      <c r="T25" s="287"/>
      <c r="U25" s="287"/>
      <c r="V25" s="287"/>
      <c r="W25" s="287"/>
      <c r="X25" s="287"/>
      <c r="Y25" s="285"/>
      <c r="Z25" s="285"/>
      <c r="AA25" s="285"/>
      <c r="AB25" s="285"/>
      <c r="AC25" s="285"/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5"/>
      <c r="BA25" s="285"/>
      <c r="BB25" s="285"/>
      <c r="BC25" s="285"/>
      <c r="BD25" s="285"/>
      <c r="BE25" s="285"/>
      <c r="BF25" s="285"/>
      <c r="BG25" s="285"/>
      <c r="BH25" s="285"/>
      <c r="BI25" s="285"/>
      <c r="BJ25" s="285"/>
      <c r="BK25" s="285"/>
      <c r="BL25" s="285"/>
      <c r="BM25" s="285"/>
      <c r="BN25" s="285"/>
      <c r="BO25" s="153"/>
      <c r="BP25" s="149"/>
      <c r="BQ25" s="148"/>
      <c r="BR25" s="148"/>
      <c r="BS25" s="153"/>
      <c r="BT25" s="149"/>
      <c r="BU25" s="148"/>
      <c r="BV25" s="148"/>
      <c r="BW25" s="153"/>
      <c r="BX25" s="149"/>
      <c r="BY25" s="148"/>
      <c r="BZ25" s="148"/>
      <c r="CA25" s="148"/>
      <c r="CB25" s="150"/>
      <c r="CC25" s="150"/>
    </row>
    <row r="26" spans="1:88" s="151" customFormat="1" x14ac:dyDescent="0.3">
      <c r="A26" s="142"/>
      <c r="B26" s="143" t="s">
        <v>92</v>
      </c>
      <c r="C26" s="525" t="str">
        <f>PEP!C27</f>
        <v>1.1.7</v>
      </c>
      <c r="D26" s="137" t="str">
        <f>PEP!D27</f>
        <v>Combustible (675.000 km a recorrer)</v>
      </c>
      <c r="E26" s="283">
        <f>PEP!E27</f>
        <v>175409.00657783775</v>
      </c>
      <c r="F26" s="293"/>
      <c r="G26" s="284"/>
      <c r="H26" s="284"/>
      <c r="I26" s="284"/>
      <c r="J26" s="286"/>
      <c r="K26" s="286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87"/>
      <c r="AB26" s="287"/>
      <c r="AC26" s="287"/>
      <c r="AD26" s="287"/>
      <c r="AE26" s="287"/>
      <c r="AF26" s="287"/>
      <c r="AG26" s="287"/>
      <c r="AH26" s="287"/>
      <c r="AI26" s="287"/>
      <c r="AJ26" s="287"/>
      <c r="AK26" s="287"/>
      <c r="AL26" s="287"/>
      <c r="AM26" s="287"/>
      <c r="AN26" s="287"/>
      <c r="AO26" s="287"/>
      <c r="AP26" s="287"/>
      <c r="AQ26" s="287"/>
      <c r="AR26" s="287"/>
      <c r="AS26" s="287"/>
      <c r="AT26" s="287"/>
      <c r="AU26" s="287"/>
      <c r="AV26" s="287"/>
      <c r="AW26" s="287"/>
      <c r="AX26" s="287"/>
      <c r="AY26" s="287"/>
      <c r="AZ26" s="287"/>
      <c r="BA26" s="287"/>
      <c r="BB26" s="287"/>
      <c r="BC26" s="285"/>
      <c r="BD26" s="285"/>
      <c r="BE26" s="285"/>
      <c r="BF26" s="285"/>
      <c r="BG26" s="285"/>
      <c r="BH26" s="285"/>
      <c r="BI26" s="285"/>
      <c r="BJ26" s="285"/>
      <c r="BK26" s="285"/>
      <c r="BL26" s="285"/>
      <c r="BM26" s="285"/>
      <c r="BN26" s="285"/>
      <c r="BO26" s="153"/>
      <c r="BP26" s="149"/>
      <c r="BQ26" s="148"/>
      <c r="BR26" s="148"/>
      <c r="BS26" s="153"/>
      <c r="BT26" s="149"/>
      <c r="BU26" s="148"/>
      <c r="BV26" s="148"/>
      <c r="BW26" s="153"/>
      <c r="BX26" s="149"/>
      <c r="BY26" s="148"/>
      <c r="BZ26" s="148"/>
      <c r="CA26" s="148"/>
      <c r="CB26" s="150"/>
      <c r="CC26" s="150"/>
    </row>
    <row r="27" spans="1:88" s="151" customFormat="1" x14ac:dyDescent="0.3">
      <c r="A27" s="142"/>
      <c r="B27" s="143" t="s">
        <v>91</v>
      </c>
      <c r="C27" s="525" t="str">
        <f>PEP!C28</f>
        <v>1.1.8</v>
      </c>
      <c r="D27" s="137" t="str">
        <f>PEP!D28</f>
        <v>Mantenimiento de vehículos</v>
      </c>
      <c r="E27" s="283">
        <f>PEP!E28</f>
        <v>32889.188733344577</v>
      </c>
      <c r="F27" s="281"/>
      <c r="G27" s="284"/>
      <c r="H27" s="284"/>
      <c r="I27" s="284"/>
      <c r="J27" s="286"/>
      <c r="K27" s="286"/>
      <c r="L27" s="287"/>
      <c r="M27" s="287"/>
      <c r="N27" s="287"/>
      <c r="O27" s="287"/>
      <c r="P27" s="287"/>
      <c r="Q27" s="287"/>
      <c r="R27" s="287"/>
      <c r="S27" s="287"/>
      <c r="T27" s="287"/>
      <c r="U27" s="287"/>
      <c r="V27" s="287"/>
      <c r="W27" s="287"/>
      <c r="X27" s="287"/>
      <c r="Y27" s="287"/>
      <c r="Z27" s="287"/>
      <c r="AA27" s="287"/>
      <c r="AB27" s="287"/>
      <c r="AC27" s="287"/>
      <c r="AD27" s="287"/>
      <c r="AE27" s="287"/>
      <c r="AF27" s="287"/>
      <c r="AG27" s="287"/>
      <c r="AH27" s="287"/>
      <c r="AI27" s="287"/>
      <c r="AJ27" s="287"/>
      <c r="AK27" s="287"/>
      <c r="AL27" s="287"/>
      <c r="AM27" s="287"/>
      <c r="AN27" s="287"/>
      <c r="AO27" s="287"/>
      <c r="AP27" s="287"/>
      <c r="AQ27" s="287"/>
      <c r="AR27" s="287"/>
      <c r="AS27" s="287"/>
      <c r="AT27" s="287"/>
      <c r="AU27" s="287"/>
      <c r="AV27" s="287"/>
      <c r="AW27" s="287"/>
      <c r="AX27" s="287"/>
      <c r="AY27" s="287"/>
      <c r="AZ27" s="287"/>
      <c r="BA27" s="287"/>
      <c r="BB27" s="287"/>
      <c r="BC27" s="284"/>
      <c r="BD27" s="284"/>
      <c r="BE27" s="284"/>
      <c r="BF27" s="284"/>
      <c r="BG27" s="284"/>
      <c r="BH27" s="284"/>
      <c r="BI27" s="284"/>
      <c r="BJ27" s="284"/>
      <c r="BK27" s="284"/>
      <c r="BL27" s="284"/>
      <c r="BM27" s="284"/>
      <c r="BN27" s="284"/>
      <c r="BO27" s="153"/>
      <c r="BP27" s="149"/>
      <c r="BQ27" s="148"/>
      <c r="BR27" s="148"/>
      <c r="BS27" s="153"/>
      <c r="BT27" s="149"/>
      <c r="BU27" s="148"/>
      <c r="BV27" s="148"/>
      <c r="BW27" s="153"/>
      <c r="BX27" s="149"/>
      <c r="BY27" s="148"/>
      <c r="BZ27" s="148"/>
      <c r="CA27" s="148"/>
      <c r="CB27" s="150"/>
      <c r="CC27" s="150"/>
    </row>
    <row r="28" spans="1:88" s="151" customFormat="1" x14ac:dyDescent="0.35">
      <c r="A28" s="142"/>
      <c r="B28" s="143" t="s">
        <v>94</v>
      </c>
      <c r="C28" s="543" t="str">
        <f>PEP!C29</f>
        <v>1.2</v>
      </c>
      <c r="D28" s="65" t="str">
        <f>PEP!D29</f>
        <v>Producto 2: Censo realizado</v>
      </c>
      <c r="E28" s="299">
        <f>PEP!E29</f>
        <v>9247055.1526395697</v>
      </c>
      <c r="F28" s="281"/>
      <c r="G28" s="299"/>
      <c r="H28" s="299"/>
      <c r="I28" s="299"/>
      <c r="J28" s="299"/>
      <c r="K28" s="299"/>
      <c r="L28" s="299"/>
      <c r="M28" s="299"/>
      <c r="N28" s="299"/>
      <c r="O28" s="299"/>
      <c r="P28" s="299"/>
      <c r="Q28" s="299"/>
      <c r="R28" s="299"/>
      <c r="S28" s="299"/>
      <c r="T28" s="299"/>
      <c r="U28" s="299"/>
      <c r="V28" s="299"/>
      <c r="W28" s="299"/>
      <c r="X28" s="299"/>
      <c r="Y28" s="299"/>
      <c r="Z28" s="299"/>
      <c r="AA28" s="299"/>
      <c r="AB28" s="299"/>
      <c r="AC28" s="299"/>
      <c r="AD28" s="299"/>
      <c r="AE28" s="299"/>
      <c r="AF28" s="299"/>
      <c r="AG28" s="299"/>
      <c r="AH28" s="299"/>
      <c r="AI28" s="299"/>
      <c r="AJ28" s="299"/>
      <c r="AK28" s="299"/>
      <c r="AL28" s="299"/>
      <c r="AM28" s="299"/>
      <c r="AN28" s="299"/>
      <c r="AO28" s="299"/>
      <c r="AP28" s="299"/>
      <c r="AQ28" s="299"/>
      <c r="AR28" s="299"/>
      <c r="AS28" s="299"/>
      <c r="AT28" s="299"/>
      <c r="AU28" s="299"/>
      <c r="AV28" s="299"/>
      <c r="AW28" s="299"/>
      <c r="AX28" s="299"/>
      <c r="AY28" s="299"/>
      <c r="AZ28" s="299"/>
      <c r="BA28" s="299"/>
      <c r="BB28" s="299"/>
      <c r="BC28" s="299"/>
      <c r="BD28" s="299"/>
      <c r="BE28" s="299"/>
      <c r="BF28" s="299"/>
      <c r="BG28" s="299"/>
      <c r="BH28" s="299"/>
      <c r="BI28" s="299"/>
      <c r="BJ28" s="299"/>
      <c r="BK28" s="299"/>
      <c r="BL28" s="299"/>
      <c r="BM28" s="299"/>
      <c r="BN28" s="299"/>
      <c r="BO28" s="153"/>
      <c r="BP28" s="149"/>
      <c r="BQ28" s="148"/>
      <c r="BR28" s="148"/>
      <c r="BS28" s="153"/>
      <c r="BT28" s="149"/>
      <c r="BU28" s="148"/>
      <c r="BV28" s="148"/>
      <c r="BW28" s="153"/>
      <c r="BX28" s="149"/>
      <c r="BY28" s="148"/>
      <c r="BZ28" s="148"/>
      <c r="CA28" s="148"/>
      <c r="CB28" s="150"/>
      <c r="CC28" s="150"/>
    </row>
    <row r="29" spans="1:88" s="151" customFormat="1" x14ac:dyDescent="0.35">
      <c r="A29" s="142"/>
      <c r="B29" s="143" t="s">
        <v>92</v>
      </c>
      <c r="C29" s="546" t="str">
        <f>PEP!C30</f>
        <v>1.2.1</v>
      </c>
      <c r="D29" s="134" t="str">
        <f>PEP!D30</f>
        <v>Sistema de captura de datos desarrollado</v>
      </c>
      <c r="E29" s="160">
        <f>PEP!E30</f>
        <v>134930.00505987517</v>
      </c>
      <c r="F29" s="281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0"/>
      <c r="BN29" s="160"/>
      <c r="BO29" s="153"/>
      <c r="BP29" s="149"/>
      <c r="BQ29" s="148"/>
      <c r="BR29" s="148"/>
      <c r="BS29" s="153"/>
      <c r="BT29" s="149"/>
      <c r="BU29" s="148"/>
      <c r="BV29" s="148"/>
      <c r="BW29" s="153"/>
      <c r="BX29" s="149"/>
      <c r="BY29" s="148"/>
      <c r="BZ29" s="148"/>
      <c r="CA29" s="148"/>
      <c r="CB29" s="150"/>
      <c r="CC29" s="150"/>
    </row>
    <row r="30" spans="1:88" s="151" customFormat="1" x14ac:dyDescent="0.3">
      <c r="A30" s="142"/>
      <c r="B30" s="143" t="s">
        <v>91</v>
      </c>
      <c r="C30" s="525" t="str">
        <f>PEP!C31</f>
        <v>1.2.1.1</v>
      </c>
      <c r="D30" s="137" t="str">
        <f>PEP!D31</f>
        <v>Programador principal</v>
      </c>
      <c r="E30" s="283">
        <f>PEP!E31</f>
        <v>66115.702479338841</v>
      </c>
      <c r="F30" s="281"/>
      <c r="G30" s="283"/>
      <c r="H30" s="285"/>
      <c r="I30" s="286"/>
      <c r="J30" s="286"/>
      <c r="K30" s="302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4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  <c r="BE30" s="285"/>
      <c r="BF30" s="285"/>
      <c r="BG30" s="285"/>
      <c r="BH30" s="285"/>
      <c r="BI30" s="285"/>
      <c r="BJ30" s="285"/>
      <c r="BK30" s="285"/>
      <c r="BL30" s="285"/>
      <c r="BM30" s="285"/>
      <c r="BN30" s="285"/>
      <c r="BO30" s="153"/>
      <c r="BP30" s="149"/>
      <c r="BQ30" s="148"/>
      <c r="BR30" s="148"/>
      <c r="BS30" s="153"/>
      <c r="BT30" s="149"/>
      <c r="BU30" s="148"/>
      <c r="BV30" s="148"/>
      <c r="BW30" s="153"/>
      <c r="BX30" s="149"/>
      <c r="BY30" s="148"/>
      <c r="BZ30" s="148"/>
      <c r="CA30" s="148"/>
      <c r="CB30" s="150"/>
      <c r="CC30" s="150"/>
    </row>
    <row r="31" spans="1:88" s="151" customFormat="1" x14ac:dyDescent="0.3">
      <c r="A31" s="142"/>
      <c r="B31" s="143" t="s">
        <v>94</v>
      </c>
      <c r="C31" s="525" t="str">
        <f>PEP!C32</f>
        <v>1.2.1.2</v>
      </c>
      <c r="D31" s="137" t="str">
        <f>PEP!D32</f>
        <v>Programador asistente</v>
      </c>
      <c r="E31" s="283">
        <f>PEP!E32</f>
        <v>20239.500758981278</v>
      </c>
      <c r="F31" s="281"/>
      <c r="G31" s="283"/>
      <c r="H31" s="285"/>
      <c r="I31" s="286"/>
      <c r="J31" s="286"/>
      <c r="K31" s="287"/>
      <c r="L31" s="287"/>
      <c r="M31" s="287"/>
      <c r="N31" s="287"/>
      <c r="O31" s="287"/>
      <c r="P31" s="287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85"/>
      <c r="AC31" s="285"/>
      <c r="AD31" s="285"/>
      <c r="AE31" s="285"/>
      <c r="AF31" s="285"/>
      <c r="AG31" s="285"/>
      <c r="AH31" s="285"/>
      <c r="AI31" s="285"/>
      <c r="AJ31" s="285"/>
      <c r="AK31" s="285"/>
      <c r="AL31" s="285"/>
      <c r="AM31" s="285"/>
      <c r="AN31" s="285"/>
      <c r="AO31" s="285"/>
      <c r="AP31" s="285"/>
      <c r="AQ31" s="285"/>
      <c r="AR31" s="285"/>
      <c r="AS31" s="285"/>
      <c r="AT31" s="285"/>
      <c r="AU31" s="285"/>
      <c r="AV31" s="285"/>
      <c r="AW31" s="285"/>
      <c r="AX31" s="285"/>
      <c r="AY31" s="285"/>
      <c r="AZ31" s="285"/>
      <c r="BA31" s="285"/>
      <c r="BB31" s="285"/>
      <c r="BC31" s="285"/>
      <c r="BD31" s="285"/>
      <c r="BE31" s="285"/>
      <c r="BF31" s="285"/>
      <c r="BG31" s="285"/>
      <c r="BH31" s="285"/>
      <c r="BI31" s="285"/>
      <c r="BJ31" s="285"/>
      <c r="BK31" s="285"/>
      <c r="BL31" s="285"/>
      <c r="BM31" s="285"/>
      <c r="BN31" s="285"/>
      <c r="BO31" s="153"/>
      <c r="BP31" s="149"/>
      <c r="BQ31" s="148"/>
      <c r="BR31" s="148"/>
      <c r="BS31" s="153"/>
      <c r="BT31" s="149"/>
      <c r="BU31" s="148"/>
      <c r="BV31" s="148"/>
      <c r="BW31" s="153"/>
      <c r="BX31" s="149"/>
      <c r="BY31" s="148"/>
      <c r="BZ31" s="148"/>
      <c r="CA31" s="148"/>
      <c r="CB31" s="150"/>
      <c r="CC31" s="150"/>
    </row>
    <row r="32" spans="1:88" s="151" customFormat="1" x14ac:dyDescent="0.3">
      <c r="A32" s="154"/>
      <c r="B32" s="155"/>
      <c r="C32" s="539" t="str">
        <f>PEP!C33</f>
        <v>1.2.1.3</v>
      </c>
      <c r="D32" s="137" t="str">
        <f>PEP!D33</f>
        <v>Administrador de Sistema</v>
      </c>
      <c r="E32" s="283">
        <f>PEP!E33</f>
        <v>15179.625569235959</v>
      </c>
      <c r="F32" s="281"/>
      <c r="G32" s="284"/>
      <c r="H32" s="284"/>
      <c r="I32" s="284"/>
      <c r="J32" s="284"/>
      <c r="K32" s="285"/>
      <c r="L32" s="285"/>
      <c r="M32" s="285"/>
      <c r="N32" s="286"/>
      <c r="O32" s="286"/>
      <c r="P32" s="287"/>
      <c r="Q32" s="287"/>
      <c r="R32" s="287"/>
      <c r="S32" s="287"/>
      <c r="T32" s="287"/>
      <c r="U32" s="287"/>
      <c r="V32" s="287"/>
      <c r="W32" s="287"/>
      <c r="X32" s="287"/>
      <c r="Y32" s="287"/>
      <c r="Z32" s="285"/>
      <c r="AA32" s="285"/>
      <c r="AH32" s="285"/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AT32" s="285"/>
      <c r="AU32" s="285"/>
      <c r="AV32" s="285"/>
      <c r="AW32" s="285"/>
      <c r="AX32" s="285"/>
      <c r="AY32" s="285"/>
      <c r="AZ32" s="285"/>
      <c r="BA32" s="285"/>
      <c r="BB32" s="285"/>
      <c r="BC32" s="285"/>
      <c r="BD32" s="285"/>
      <c r="BE32" s="285"/>
      <c r="BF32" s="285"/>
      <c r="BG32" s="285"/>
      <c r="BH32" s="285"/>
      <c r="BI32" s="285"/>
      <c r="BJ32" s="285"/>
      <c r="BK32" s="285"/>
      <c r="BL32" s="285"/>
      <c r="BM32" s="285"/>
      <c r="BN32" s="285"/>
      <c r="BO32" s="153"/>
      <c r="BP32" s="149"/>
      <c r="BQ32" s="148"/>
      <c r="BR32" s="148"/>
      <c r="BS32" s="153"/>
      <c r="BT32" s="149"/>
      <c r="BU32" s="148"/>
      <c r="BV32" s="148"/>
      <c r="BW32" s="153"/>
      <c r="BX32" s="149"/>
      <c r="BY32" s="148"/>
      <c r="BZ32" s="148"/>
      <c r="CA32" s="148"/>
      <c r="CB32" s="150"/>
      <c r="CC32" s="150"/>
    </row>
    <row r="33" spans="1:88" s="169" customFormat="1" x14ac:dyDescent="0.3">
      <c r="A33" s="163"/>
      <c r="B33" s="164" t="s">
        <v>91</v>
      </c>
      <c r="C33" s="539" t="str">
        <f>PEP!C34</f>
        <v>1.2.1.4</v>
      </c>
      <c r="D33" s="137" t="str">
        <f>PEP!D34</f>
        <v>Administrador de red</v>
      </c>
      <c r="E33" s="283">
        <f>PEP!E34</f>
        <v>15179.625569235959</v>
      </c>
      <c r="F33" s="281"/>
      <c r="G33" s="284"/>
      <c r="H33" s="284"/>
      <c r="I33" s="284"/>
      <c r="J33" s="284"/>
      <c r="K33" s="285"/>
      <c r="L33" s="285"/>
      <c r="M33" s="285"/>
      <c r="N33" s="286"/>
      <c r="O33" s="286"/>
      <c r="P33" s="287"/>
      <c r="Q33" s="287"/>
      <c r="R33" s="287"/>
      <c r="S33" s="287"/>
      <c r="T33" s="287"/>
      <c r="U33" s="287"/>
      <c r="V33" s="287"/>
      <c r="W33" s="287"/>
      <c r="X33" s="287"/>
      <c r="Y33" s="287"/>
      <c r="Z33" s="285"/>
      <c r="AA33" s="285"/>
      <c r="AB33" s="151"/>
      <c r="AC33" s="151"/>
      <c r="AD33" s="151"/>
      <c r="AE33" s="151"/>
      <c r="AF33" s="151"/>
      <c r="AG33" s="151"/>
      <c r="AH33" s="285"/>
      <c r="AI33" s="285"/>
      <c r="AJ33" s="285"/>
      <c r="AK33" s="285"/>
      <c r="AL33" s="285"/>
      <c r="AM33" s="285"/>
      <c r="AN33" s="285"/>
      <c r="AO33" s="285"/>
      <c r="AP33" s="285"/>
      <c r="AQ33" s="285"/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5"/>
      <c r="BF33" s="285"/>
      <c r="BG33" s="285"/>
      <c r="BH33" s="285"/>
      <c r="BI33" s="285"/>
      <c r="BJ33" s="285"/>
      <c r="BK33" s="285"/>
      <c r="BL33" s="285"/>
      <c r="BM33" s="285"/>
      <c r="BN33" s="285"/>
      <c r="BO33" s="174"/>
      <c r="BP33" s="167"/>
      <c r="BQ33" s="166"/>
      <c r="BR33" s="166"/>
      <c r="BS33" s="174"/>
      <c r="BT33" s="167"/>
      <c r="BU33" s="166"/>
      <c r="BV33" s="166"/>
      <c r="BW33" s="174"/>
      <c r="BX33" s="167"/>
      <c r="BY33" s="166"/>
      <c r="BZ33" s="166"/>
      <c r="CA33" s="166"/>
      <c r="CB33" s="168"/>
      <c r="CC33" s="168"/>
    </row>
    <row r="34" spans="1:88" s="151" customFormat="1" x14ac:dyDescent="0.3">
      <c r="A34" s="142"/>
      <c r="B34" s="143" t="s">
        <v>91</v>
      </c>
      <c r="C34" s="525" t="str">
        <f>PEP!C35</f>
        <v>1.2.1.5</v>
      </c>
      <c r="D34" s="137" t="str">
        <f>PEP!D35</f>
        <v>Experto en aplicaciones web</v>
      </c>
      <c r="E34" s="283">
        <f>PEP!E35</f>
        <v>18215.550683083151</v>
      </c>
      <c r="F34" s="281"/>
      <c r="G34" s="284"/>
      <c r="H34" s="284"/>
      <c r="I34" s="284"/>
      <c r="J34" s="284"/>
      <c r="K34" s="285"/>
      <c r="L34" s="285"/>
      <c r="M34" s="285"/>
      <c r="N34" s="286"/>
      <c r="O34" s="286"/>
      <c r="P34" s="287"/>
      <c r="Q34" s="287"/>
      <c r="R34" s="287"/>
      <c r="S34" s="287"/>
      <c r="T34" s="287"/>
      <c r="U34" s="287"/>
      <c r="V34" s="287"/>
      <c r="W34" s="287"/>
      <c r="X34" s="287"/>
      <c r="Y34" s="287"/>
      <c r="Z34" s="287"/>
      <c r="AA34" s="287"/>
      <c r="AH34" s="285"/>
      <c r="AI34" s="285"/>
      <c r="AJ34" s="285"/>
      <c r="AK34" s="285"/>
      <c r="AL34" s="285"/>
      <c r="AM34" s="285"/>
      <c r="AN34" s="285"/>
      <c r="AO34" s="285"/>
      <c r="AP34" s="285"/>
      <c r="AQ34" s="285"/>
      <c r="AR34" s="285"/>
      <c r="AS34" s="285"/>
      <c r="AT34" s="285"/>
      <c r="AU34" s="285"/>
      <c r="AV34" s="285"/>
      <c r="AW34" s="285"/>
      <c r="AX34" s="285"/>
      <c r="AY34" s="285"/>
      <c r="AZ34" s="285"/>
      <c r="BA34" s="285"/>
      <c r="BB34" s="285"/>
      <c r="BC34" s="285"/>
      <c r="BD34" s="285"/>
      <c r="BE34" s="285"/>
      <c r="BF34" s="285"/>
      <c r="BG34" s="285"/>
      <c r="BH34" s="285"/>
      <c r="BI34" s="285"/>
      <c r="BJ34" s="285"/>
      <c r="BK34" s="285"/>
      <c r="BL34" s="285"/>
      <c r="BM34" s="285"/>
      <c r="BN34" s="285"/>
      <c r="BO34" s="152"/>
      <c r="BP34" s="149"/>
      <c r="BQ34" s="148"/>
      <c r="BR34" s="148"/>
      <c r="BS34" s="152"/>
      <c r="BT34" s="149"/>
      <c r="BU34" s="148"/>
      <c r="BV34" s="148"/>
      <c r="BW34" s="152"/>
      <c r="BX34" s="149"/>
      <c r="BY34" s="148"/>
      <c r="BZ34" s="148"/>
      <c r="CA34" s="148"/>
      <c r="CB34" s="150"/>
      <c r="CC34" s="150"/>
    </row>
    <row r="35" spans="1:88" s="151" customFormat="1" x14ac:dyDescent="0.35">
      <c r="A35" s="142"/>
      <c r="B35" s="143" t="s">
        <v>91</v>
      </c>
      <c r="C35" s="546" t="str">
        <f>PEP!C36</f>
        <v>1.2.2</v>
      </c>
      <c r="D35" s="134" t="str">
        <f>PEP!D36</f>
        <v>Pre Censo</v>
      </c>
      <c r="E35" s="160">
        <f>PEP!E36</f>
        <v>897945.69067296328</v>
      </c>
      <c r="F35" s="281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  <c r="BI35" s="160"/>
      <c r="BJ35" s="160"/>
      <c r="BK35" s="160"/>
      <c r="BL35" s="160"/>
      <c r="BM35" s="160"/>
      <c r="BN35" s="160"/>
      <c r="BO35" s="153"/>
      <c r="BP35" s="149"/>
      <c r="BQ35" s="148"/>
      <c r="BR35" s="148"/>
      <c r="BS35" s="153"/>
      <c r="BT35" s="149"/>
      <c r="BU35" s="148"/>
      <c r="BV35" s="148"/>
      <c r="BW35" s="153"/>
      <c r="BX35" s="149"/>
      <c r="BY35" s="148"/>
      <c r="BZ35" s="148"/>
      <c r="CA35" s="148"/>
      <c r="CB35" s="150"/>
      <c r="CC35" s="150"/>
    </row>
    <row r="36" spans="1:88" s="151" customFormat="1" x14ac:dyDescent="0.3">
      <c r="A36" s="142"/>
      <c r="B36" s="143" t="s">
        <v>91</v>
      </c>
      <c r="C36" s="525" t="str">
        <f>PEP!C37</f>
        <v>1.2.2.1</v>
      </c>
      <c r="D36" s="137" t="str">
        <f>PEP!D37</f>
        <v xml:space="preserve">Provisión de Viatico </v>
      </c>
      <c r="E36" s="283">
        <f>PEP!E37</f>
        <v>160566.70602125148</v>
      </c>
      <c r="F36" s="293"/>
      <c r="G36" s="283"/>
      <c r="H36" s="283"/>
      <c r="I36" s="283"/>
      <c r="J36" s="284"/>
      <c r="K36" s="284"/>
      <c r="L36" s="287"/>
      <c r="M36" s="287"/>
      <c r="N36" s="287"/>
      <c r="O36" s="287"/>
      <c r="P36" s="287"/>
      <c r="Q36" s="287"/>
      <c r="R36" s="287"/>
      <c r="S36" s="287"/>
      <c r="T36" s="287"/>
      <c r="U36" s="287"/>
      <c r="V36" s="287"/>
      <c r="W36" s="287"/>
      <c r="X36" s="287"/>
      <c r="Y36" s="285"/>
      <c r="Z36" s="285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5"/>
      <c r="AL36" s="285"/>
      <c r="AM36" s="285"/>
      <c r="AN36" s="285"/>
      <c r="AO36" s="285"/>
      <c r="AP36" s="285"/>
      <c r="AQ36" s="285"/>
      <c r="AR36" s="285"/>
      <c r="AS36" s="285"/>
      <c r="AT36" s="285"/>
      <c r="AU36" s="285"/>
      <c r="AV36" s="285"/>
      <c r="AW36" s="285"/>
      <c r="AX36" s="285"/>
      <c r="AY36" s="285"/>
      <c r="AZ36" s="285"/>
      <c r="BA36" s="285"/>
      <c r="BB36" s="285"/>
      <c r="BC36" s="285"/>
      <c r="BD36" s="285"/>
      <c r="BE36" s="285"/>
      <c r="BF36" s="285"/>
      <c r="BG36" s="285"/>
      <c r="BH36" s="285"/>
      <c r="BI36" s="285"/>
      <c r="BJ36" s="285"/>
      <c r="BK36" s="285"/>
      <c r="BL36" s="285"/>
      <c r="BM36" s="285"/>
      <c r="BN36" s="285"/>
      <c r="BO36" s="152"/>
      <c r="BP36" s="149"/>
      <c r="BQ36" s="148"/>
      <c r="BR36" s="148"/>
      <c r="BS36" s="152"/>
      <c r="BT36" s="149"/>
      <c r="BU36" s="148"/>
      <c r="BV36" s="148"/>
      <c r="BW36" s="152"/>
      <c r="BX36" s="149"/>
      <c r="BY36" s="148"/>
      <c r="BZ36" s="148"/>
      <c r="CA36" s="148"/>
      <c r="CB36" s="150"/>
      <c r="CC36" s="150"/>
    </row>
    <row r="37" spans="1:88" s="151" customFormat="1" x14ac:dyDescent="0.3">
      <c r="A37" s="142"/>
      <c r="B37" s="143" t="s">
        <v>91</v>
      </c>
      <c r="C37" s="525" t="str">
        <f>PEP!C38</f>
        <v>1.2.2.2</v>
      </c>
      <c r="D37" s="137" t="str">
        <f>PEP!D38</f>
        <v>Combustible (450.000 km a recorrer)</v>
      </c>
      <c r="E37" s="283">
        <f>PEP!E38</f>
        <v>107944.00404790015</v>
      </c>
      <c r="F37" s="293"/>
      <c r="G37" s="283"/>
      <c r="H37" s="283"/>
      <c r="I37" s="283"/>
      <c r="J37" s="286"/>
      <c r="K37" s="286"/>
      <c r="L37" s="287"/>
      <c r="M37" s="287"/>
      <c r="N37" s="287"/>
      <c r="O37" s="287"/>
      <c r="P37" s="287"/>
      <c r="Q37" s="287"/>
      <c r="R37" s="287"/>
      <c r="S37" s="287"/>
      <c r="T37" s="287"/>
      <c r="U37" s="287"/>
      <c r="V37" s="287"/>
      <c r="W37" s="287"/>
      <c r="X37" s="287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5"/>
      <c r="AO37" s="285"/>
      <c r="AP37" s="285"/>
      <c r="AQ37" s="285"/>
      <c r="AR37" s="285"/>
      <c r="AS37" s="285"/>
      <c r="AT37" s="285"/>
      <c r="AU37" s="285"/>
      <c r="AV37" s="285"/>
      <c r="AW37" s="285"/>
      <c r="AX37" s="285"/>
      <c r="AY37" s="285"/>
      <c r="AZ37" s="285"/>
      <c r="BA37" s="285"/>
      <c r="BB37" s="285"/>
      <c r="BC37" s="285"/>
      <c r="BD37" s="285"/>
      <c r="BE37" s="285"/>
      <c r="BF37" s="285"/>
      <c r="BG37" s="285"/>
      <c r="BH37" s="285"/>
      <c r="BI37" s="285"/>
      <c r="BJ37" s="285"/>
      <c r="BK37" s="285"/>
      <c r="BL37" s="285"/>
      <c r="BM37" s="285"/>
      <c r="BN37" s="285"/>
      <c r="BO37" s="149"/>
      <c r="BP37" s="149"/>
      <c r="BQ37" s="148"/>
      <c r="BR37" s="148"/>
      <c r="BS37" s="153"/>
      <c r="BT37" s="149"/>
      <c r="BU37" s="148"/>
      <c r="BV37" s="148"/>
      <c r="BW37" s="153"/>
      <c r="BX37" s="149"/>
      <c r="BY37" s="148"/>
      <c r="BZ37" s="148"/>
      <c r="CA37" s="148"/>
      <c r="CB37" s="150"/>
      <c r="CC37" s="150"/>
    </row>
    <row r="38" spans="1:88" s="151" customFormat="1" x14ac:dyDescent="0.3">
      <c r="A38" s="154"/>
      <c r="B38" s="155"/>
      <c r="C38" s="539" t="str">
        <f>PEP!C39</f>
        <v>1.2.2.3</v>
      </c>
      <c r="D38" s="137" t="str">
        <f>PEP!D39</f>
        <v>Mantenimiento de vehículos</v>
      </c>
      <c r="E38" s="283">
        <f>PEP!E39</f>
        <v>20239.500758981278</v>
      </c>
      <c r="F38" s="293"/>
      <c r="G38" s="284"/>
      <c r="H38" s="284"/>
      <c r="I38" s="284"/>
      <c r="J38" s="286"/>
      <c r="K38" s="286"/>
      <c r="L38" s="287"/>
      <c r="M38" s="287"/>
      <c r="N38" s="287"/>
      <c r="O38" s="287"/>
      <c r="P38" s="287"/>
      <c r="Q38" s="287"/>
      <c r="R38" s="287"/>
      <c r="S38" s="287"/>
      <c r="T38" s="287"/>
      <c r="U38" s="287"/>
      <c r="V38" s="287"/>
      <c r="W38" s="287"/>
      <c r="X38" s="287"/>
      <c r="Y38" s="287"/>
      <c r="Z38" s="287"/>
      <c r="AA38" s="287"/>
      <c r="AB38" s="287"/>
      <c r="AC38" s="287"/>
      <c r="AD38" s="287"/>
      <c r="AE38" s="287"/>
      <c r="AF38" s="287"/>
      <c r="AG38" s="287"/>
      <c r="AH38" s="287"/>
      <c r="AI38" s="287"/>
      <c r="AJ38" s="287"/>
      <c r="AK38" s="287"/>
      <c r="AL38" s="287"/>
      <c r="AM38" s="287"/>
      <c r="AN38" s="287"/>
      <c r="AO38" s="287"/>
      <c r="AP38" s="287"/>
      <c r="AQ38" s="287"/>
      <c r="AR38" s="287"/>
      <c r="AS38" s="287"/>
      <c r="AT38" s="287"/>
      <c r="AU38" s="287"/>
      <c r="AV38" s="287"/>
      <c r="AW38" s="287"/>
      <c r="AX38" s="287"/>
      <c r="AY38" s="287"/>
      <c r="AZ38" s="287"/>
      <c r="BA38" s="287"/>
      <c r="BB38" s="287"/>
      <c r="BC38" s="285"/>
      <c r="BD38" s="285"/>
      <c r="BE38" s="285"/>
      <c r="BF38" s="285"/>
      <c r="BG38" s="285"/>
      <c r="BH38" s="285"/>
      <c r="BI38" s="285"/>
      <c r="BJ38" s="285"/>
      <c r="BK38" s="285"/>
      <c r="BL38" s="285"/>
      <c r="BM38" s="285"/>
      <c r="BN38" s="285"/>
      <c r="BO38" s="153"/>
      <c r="BP38" s="149"/>
      <c r="BQ38" s="148"/>
      <c r="BR38" s="148"/>
      <c r="BS38" s="153"/>
      <c r="BT38" s="149"/>
      <c r="BU38" s="148"/>
      <c r="BV38" s="148"/>
      <c r="BW38" s="153"/>
      <c r="BX38" s="149"/>
      <c r="BY38" s="148"/>
      <c r="BZ38" s="148"/>
      <c r="CA38" s="148"/>
      <c r="CB38" s="150"/>
      <c r="CC38" s="150"/>
    </row>
    <row r="39" spans="1:88" s="151" customFormat="1" x14ac:dyDescent="0.3">
      <c r="A39" s="142"/>
      <c r="B39" s="143" t="s">
        <v>93</v>
      </c>
      <c r="C39" s="539" t="str">
        <f>PEP!C40</f>
        <v>1.2.2.4</v>
      </c>
      <c r="D39" s="137" t="str">
        <f>PEP!D40</f>
        <v>Remuneración Extraordinaria</v>
      </c>
      <c r="E39" s="283">
        <f>PEP!E40</f>
        <v>161200.87704503289</v>
      </c>
      <c r="F39" s="293"/>
      <c r="G39" s="284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287"/>
      <c r="Y39" s="287"/>
      <c r="Z39" s="287"/>
      <c r="AA39" s="287"/>
      <c r="AB39" s="287"/>
      <c r="AC39" s="287"/>
      <c r="AD39" s="287"/>
      <c r="AE39" s="287"/>
      <c r="AF39" s="287"/>
      <c r="AG39" s="287"/>
      <c r="AH39" s="287"/>
      <c r="AI39" s="287"/>
      <c r="AJ39" s="287"/>
      <c r="AK39" s="287"/>
      <c r="AL39" s="287"/>
      <c r="AM39" s="287"/>
      <c r="AN39" s="287"/>
      <c r="AO39" s="287"/>
      <c r="AP39" s="287"/>
      <c r="AQ39" s="287"/>
      <c r="AR39" s="287"/>
      <c r="AS39" s="287"/>
      <c r="AT39" s="287"/>
      <c r="AU39" s="287"/>
      <c r="AV39" s="287"/>
      <c r="AW39" s="287"/>
      <c r="AX39" s="287"/>
      <c r="AY39" s="287"/>
      <c r="AZ39" s="287"/>
      <c r="BA39" s="287"/>
      <c r="BB39" s="287"/>
      <c r="BC39" s="287"/>
      <c r="BD39" s="287"/>
      <c r="BE39" s="287"/>
      <c r="BF39" s="287"/>
      <c r="BG39" s="287"/>
      <c r="BH39" s="287"/>
      <c r="BI39" s="287"/>
      <c r="BJ39" s="287"/>
      <c r="BK39" s="287"/>
      <c r="BL39" s="287"/>
      <c r="BM39" s="287"/>
      <c r="BN39" s="287"/>
      <c r="BO39" s="300"/>
      <c r="BP39" s="300"/>
      <c r="BQ39" s="300"/>
      <c r="BR39" s="300"/>
      <c r="BS39" s="300"/>
      <c r="BT39" s="300"/>
      <c r="BU39" s="301"/>
      <c r="BV39" s="153"/>
      <c r="BW39" s="149"/>
      <c r="BX39" s="148"/>
      <c r="BY39" s="148"/>
      <c r="BZ39" s="153"/>
      <c r="CA39" s="149"/>
      <c r="CB39" s="148"/>
      <c r="CC39" s="148"/>
      <c r="CD39" s="153"/>
      <c r="CE39" s="149"/>
      <c r="CF39" s="148"/>
      <c r="CG39" s="148"/>
      <c r="CH39" s="148"/>
      <c r="CI39" s="150"/>
      <c r="CJ39" s="150"/>
    </row>
    <row r="40" spans="1:88" s="169" customFormat="1" x14ac:dyDescent="0.3">
      <c r="A40" s="163"/>
      <c r="B40" s="164"/>
      <c r="C40" s="525" t="str">
        <f>PEP!C41</f>
        <v>1.2.2.5</v>
      </c>
      <c r="D40" s="137" t="str">
        <f>PEP!D41</f>
        <v>Remuneración Adicional</v>
      </c>
      <c r="E40" s="283">
        <f>PEP!E41</f>
        <v>121733.85056501941</v>
      </c>
      <c r="F40" s="293"/>
      <c r="G40" s="284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287"/>
      <c r="AR40" s="287"/>
      <c r="AS40" s="287"/>
      <c r="AT40" s="287"/>
      <c r="AU40" s="287"/>
      <c r="AV40" s="287"/>
      <c r="AW40" s="287"/>
      <c r="AX40" s="287"/>
      <c r="AY40" s="287"/>
      <c r="AZ40" s="287"/>
      <c r="BA40" s="287"/>
      <c r="BB40" s="287"/>
      <c r="BC40" s="287"/>
      <c r="BD40" s="287"/>
      <c r="BE40" s="287"/>
      <c r="BF40" s="287"/>
      <c r="BG40" s="287"/>
      <c r="BH40" s="287"/>
      <c r="BI40" s="287"/>
      <c r="BJ40" s="287"/>
      <c r="BK40" s="287"/>
      <c r="BL40" s="287"/>
      <c r="BM40" s="287"/>
      <c r="BN40" s="287"/>
      <c r="BO40" s="303"/>
      <c r="BP40" s="303"/>
      <c r="BQ40" s="303"/>
      <c r="BR40" s="303"/>
      <c r="BS40" s="303"/>
      <c r="BT40" s="303"/>
      <c r="BU40" s="304"/>
      <c r="BV40" s="174"/>
      <c r="BW40" s="167"/>
      <c r="BX40" s="166"/>
      <c r="BY40" s="166"/>
      <c r="BZ40" s="174"/>
      <c r="CA40" s="167"/>
      <c r="CB40" s="166"/>
      <c r="CC40" s="166"/>
      <c r="CD40" s="174"/>
      <c r="CE40" s="167"/>
      <c r="CF40" s="166"/>
      <c r="CG40" s="166"/>
      <c r="CH40" s="166"/>
      <c r="CI40" s="168"/>
      <c r="CJ40" s="168"/>
    </row>
    <row r="41" spans="1:88" s="151" customFormat="1" x14ac:dyDescent="0.3">
      <c r="A41" s="142"/>
      <c r="B41" s="143" t="s">
        <v>92</v>
      </c>
      <c r="C41" s="525" t="str">
        <f>PEP!C42</f>
        <v>1.2.2.6</v>
      </c>
      <c r="D41" s="137" t="str">
        <f>PEP!D42</f>
        <v xml:space="preserve">Gratificaciones </v>
      </c>
      <c r="E41" s="283">
        <f>PEP!E42</f>
        <v>326260.75223477813</v>
      </c>
      <c r="F41" s="293"/>
      <c r="G41" s="284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287"/>
      <c r="U41" s="287"/>
      <c r="V41" s="287"/>
      <c r="W41" s="287"/>
      <c r="X41" s="287"/>
      <c r="Y41" s="287"/>
      <c r="Z41" s="287"/>
      <c r="AA41" s="287"/>
      <c r="AB41" s="287"/>
      <c r="AC41" s="287"/>
      <c r="AD41" s="287"/>
      <c r="AE41" s="287"/>
      <c r="AF41" s="287"/>
      <c r="AG41" s="287"/>
      <c r="AH41" s="287"/>
      <c r="AI41" s="287"/>
      <c r="AJ41" s="287"/>
      <c r="AK41" s="287"/>
      <c r="AL41" s="287"/>
      <c r="AM41" s="287"/>
      <c r="AN41" s="287"/>
      <c r="AO41" s="287"/>
      <c r="AP41" s="287"/>
      <c r="AQ41" s="287"/>
      <c r="AR41" s="287"/>
      <c r="AS41" s="287"/>
      <c r="AT41" s="287"/>
      <c r="AU41" s="287"/>
      <c r="AV41" s="287"/>
      <c r="AW41" s="287"/>
      <c r="AX41" s="287"/>
      <c r="AY41" s="287"/>
      <c r="AZ41" s="287"/>
      <c r="BA41" s="287"/>
      <c r="BB41" s="287"/>
      <c r="BC41" s="287"/>
      <c r="BD41" s="287"/>
      <c r="BE41" s="287"/>
      <c r="BF41" s="287"/>
      <c r="BG41" s="287"/>
      <c r="BH41" s="287"/>
      <c r="BI41" s="287"/>
      <c r="BJ41" s="287"/>
      <c r="BK41" s="287"/>
      <c r="BL41" s="287"/>
      <c r="BM41" s="287"/>
      <c r="BN41" s="287"/>
      <c r="BO41" s="148"/>
      <c r="BP41" s="149"/>
      <c r="BQ41" s="148"/>
      <c r="BR41" s="148"/>
      <c r="BS41" s="148"/>
      <c r="BT41" s="149"/>
      <c r="BU41" s="148"/>
      <c r="BV41" s="148"/>
      <c r="BW41" s="148"/>
      <c r="BX41" s="149"/>
      <c r="BY41" s="148"/>
      <c r="BZ41" s="148"/>
      <c r="CA41" s="148"/>
      <c r="CB41" s="150"/>
      <c r="CC41" s="150"/>
    </row>
    <row r="42" spans="1:88" s="151" customFormat="1" x14ac:dyDescent="0.3">
      <c r="A42" s="142"/>
      <c r="B42" s="143" t="s">
        <v>92</v>
      </c>
      <c r="C42" s="552" t="str">
        <f>PEP!C43</f>
        <v>1.2.3</v>
      </c>
      <c r="D42" s="136" t="str">
        <f>PEP!D43</f>
        <v>Prueba piloto realizada</v>
      </c>
      <c r="E42" s="160">
        <f>PEP!E43</f>
        <v>75898.127846179792</v>
      </c>
      <c r="F42" s="281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  <c r="BI42" s="160"/>
      <c r="BJ42" s="160"/>
      <c r="BK42" s="160"/>
      <c r="BL42" s="160"/>
      <c r="BM42" s="160"/>
      <c r="BN42" s="160"/>
      <c r="BO42" s="153"/>
      <c r="BP42" s="149"/>
      <c r="BQ42" s="148"/>
      <c r="BR42" s="148"/>
      <c r="BS42" s="153"/>
      <c r="BT42" s="149"/>
      <c r="BU42" s="148"/>
      <c r="BV42" s="148"/>
      <c r="BW42" s="153"/>
      <c r="BX42" s="149"/>
      <c r="BY42" s="148"/>
      <c r="BZ42" s="148"/>
      <c r="CA42" s="148"/>
      <c r="CB42" s="150"/>
      <c r="CC42" s="150"/>
    </row>
    <row r="43" spans="1:88" s="151" customFormat="1" ht="24" x14ac:dyDescent="0.3">
      <c r="A43" s="142"/>
      <c r="B43" s="143" t="s">
        <v>92</v>
      </c>
      <c r="C43" s="525" t="str">
        <f>PEP!C44</f>
        <v>1.2.3.1</v>
      </c>
      <c r="D43" s="137" t="str">
        <f>PEP!D44</f>
        <v>Servicio de Logística para la Prueba Piloto del Censo</v>
      </c>
      <c r="E43" s="283">
        <f>PEP!E44</f>
        <v>75898.127846179792</v>
      </c>
      <c r="F43" s="281"/>
      <c r="G43" s="283"/>
      <c r="H43" s="285"/>
      <c r="I43" s="285"/>
      <c r="J43" s="283"/>
      <c r="K43" s="285"/>
      <c r="L43" s="285"/>
      <c r="M43" s="285"/>
      <c r="N43" s="285"/>
      <c r="O43" s="285"/>
      <c r="P43" s="285"/>
      <c r="Q43" s="285"/>
      <c r="R43" s="285"/>
      <c r="S43" s="286"/>
      <c r="T43" s="286"/>
      <c r="U43" s="286"/>
      <c r="V43" s="302"/>
      <c r="W43" s="287"/>
      <c r="X43" s="302"/>
      <c r="Y43" s="285"/>
      <c r="Z43" s="285"/>
      <c r="AA43" s="285"/>
      <c r="AB43" s="285"/>
      <c r="AC43" s="285"/>
      <c r="AD43" s="285"/>
      <c r="AE43" s="285"/>
      <c r="AF43" s="285"/>
      <c r="AG43" s="285"/>
      <c r="AH43" s="285"/>
      <c r="AI43" s="285"/>
      <c r="AJ43" s="285"/>
      <c r="AK43" s="285"/>
      <c r="AL43" s="285"/>
      <c r="AM43" s="285"/>
      <c r="AN43" s="285"/>
      <c r="AO43" s="285"/>
      <c r="AP43" s="285"/>
      <c r="AQ43" s="285"/>
      <c r="AR43" s="285"/>
      <c r="AS43" s="285"/>
      <c r="AT43" s="285"/>
      <c r="AU43" s="285"/>
      <c r="AV43" s="285"/>
      <c r="AW43" s="285"/>
      <c r="AX43" s="285"/>
      <c r="AY43" s="285"/>
      <c r="AZ43" s="285"/>
      <c r="BA43" s="285"/>
      <c r="BB43" s="285"/>
      <c r="BC43" s="285"/>
      <c r="BD43" s="285"/>
      <c r="BE43" s="285"/>
      <c r="BF43" s="285"/>
      <c r="BG43" s="285"/>
      <c r="BH43" s="285"/>
      <c r="BI43" s="285"/>
      <c r="BJ43" s="285"/>
      <c r="BK43" s="285"/>
      <c r="BL43" s="285"/>
      <c r="BM43" s="285"/>
      <c r="BN43" s="285"/>
      <c r="BO43" s="148"/>
      <c r="BP43" s="149"/>
      <c r="BQ43" s="148"/>
      <c r="BR43" s="148"/>
      <c r="BS43" s="148"/>
      <c r="BT43" s="149"/>
      <c r="BU43" s="148"/>
      <c r="BV43" s="148"/>
      <c r="BW43" s="148"/>
      <c r="BX43" s="149"/>
      <c r="BY43" s="148"/>
      <c r="BZ43" s="148"/>
      <c r="CA43" s="148"/>
      <c r="CB43" s="150"/>
      <c r="CC43" s="150"/>
    </row>
    <row r="44" spans="1:88" s="151" customFormat="1" x14ac:dyDescent="0.3">
      <c r="A44" s="142"/>
      <c r="B44" s="143" t="s">
        <v>92</v>
      </c>
      <c r="C44" s="552" t="str">
        <f>PEP!C45</f>
        <v>1.2.4</v>
      </c>
      <c r="D44" s="136" t="str">
        <f>PEP!D45</f>
        <v>Censo</v>
      </c>
      <c r="E44" s="160">
        <f>PEP!E45</f>
        <v>7531602.2938100863</v>
      </c>
      <c r="F44" s="281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  <c r="BI44" s="160"/>
      <c r="BJ44" s="160"/>
      <c r="BK44" s="160"/>
      <c r="BL44" s="160"/>
      <c r="BM44" s="160"/>
      <c r="BN44" s="160"/>
      <c r="BO44" s="148"/>
      <c r="BP44" s="149"/>
      <c r="BQ44" s="148"/>
      <c r="BR44" s="148"/>
      <c r="BS44" s="148"/>
      <c r="BT44" s="149"/>
      <c r="BU44" s="148"/>
      <c r="BV44" s="148"/>
      <c r="BW44" s="148"/>
      <c r="BX44" s="149"/>
      <c r="BY44" s="148"/>
      <c r="BZ44" s="148"/>
      <c r="CA44" s="148"/>
      <c r="CB44" s="150"/>
      <c r="CC44" s="150"/>
    </row>
    <row r="45" spans="1:88" s="151" customFormat="1" ht="36" x14ac:dyDescent="0.3">
      <c r="A45" s="154"/>
      <c r="B45" s="155"/>
      <c r="C45" s="525" t="str">
        <f>PEP!C46</f>
        <v>1.2.4.1</v>
      </c>
      <c r="D45" s="139" t="str">
        <f>PEP!D46</f>
        <v>Consultoría para desarrollo de las especificaciones técnicas para la contratación de RRHH para el Censo</v>
      </c>
      <c r="E45" s="283">
        <f>PEP!E46</f>
        <v>25299.3759487266</v>
      </c>
      <c r="F45" s="281"/>
      <c r="G45" s="284"/>
      <c r="H45" s="284"/>
      <c r="I45" s="286"/>
      <c r="J45" s="287"/>
      <c r="K45" s="287"/>
      <c r="L45" s="287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4"/>
      <c r="AB45" s="284"/>
      <c r="AC45" s="284"/>
      <c r="AD45" s="284"/>
      <c r="AE45" s="284"/>
      <c r="AF45" s="284"/>
      <c r="AG45" s="284"/>
      <c r="AH45" s="284"/>
      <c r="AI45" s="284"/>
      <c r="AJ45" s="284"/>
      <c r="AK45" s="284"/>
      <c r="AL45" s="284"/>
      <c r="AM45" s="284"/>
      <c r="AN45" s="284"/>
      <c r="AO45" s="284"/>
      <c r="AP45" s="284"/>
      <c r="AQ45" s="284"/>
      <c r="AR45" s="284"/>
      <c r="AS45" s="284"/>
      <c r="AT45" s="284"/>
      <c r="AU45" s="284"/>
      <c r="AV45" s="284"/>
      <c r="AW45" s="284"/>
      <c r="AX45" s="284"/>
      <c r="AY45" s="284"/>
      <c r="AZ45" s="284"/>
      <c r="BA45" s="284"/>
      <c r="BB45" s="284"/>
      <c r="BC45" s="284"/>
      <c r="BD45" s="284"/>
      <c r="BE45" s="284"/>
      <c r="BF45" s="284"/>
      <c r="BG45" s="284"/>
      <c r="BH45" s="284"/>
      <c r="BI45" s="284"/>
      <c r="BJ45" s="284"/>
      <c r="BK45" s="284"/>
      <c r="BL45" s="284"/>
      <c r="BM45" s="284"/>
      <c r="BN45" s="284"/>
      <c r="BO45" s="148"/>
      <c r="BP45" s="149"/>
      <c r="BQ45" s="148"/>
      <c r="BR45" s="148"/>
      <c r="BS45" s="148"/>
      <c r="BT45" s="149"/>
      <c r="BU45" s="148"/>
      <c r="BV45" s="148"/>
      <c r="BW45" s="148"/>
      <c r="BX45" s="149"/>
      <c r="BY45" s="148"/>
      <c r="BZ45" s="148"/>
      <c r="CA45" s="148"/>
      <c r="CB45" s="150"/>
      <c r="CC45" s="150"/>
    </row>
    <row r="46" spans="1:88" s="151" customFormat="1" ht="24" x14ac:dyDescent="0.3">
      <c r="A46" s="154"/>
      <c r="B46" s="155"/>
      <c r="C46" s="525" t="str">
        <f>PEP!C47</f>
        <v>1.2.4.2</v>
      </c>
      <c r="D46" s="139" t="str">
        <f>PEP!D47</f>
        <v>Firma para contratación y gestión del personal para el trabajo de campo</v>
      </c>
      <c r="E46" s="283">
        <f>PEP!E47</f>
        <v>7180784.2806544108</v>
      </c>
      <c r="F46" s="281"/>
      <c r="G46" s="283"/>
      <c r="H46" s="283"/>
      <c r="I46" s="283"/>
      <c r="J46" s="284"/>
      <c r="K46" s="284"/>
      <c r="L46" s="284"/>
      <c r="M46" s="286"/>
      <c r="N46" s="286"/>
      <c r="O46" s="286"/>
      <c r="P46" s="286"/>
      <c r="Q46" s="286"/>
      <c r="R46" s="286"/>
      <c r="S46" s="286"/>
      <c r="T46" s="287"/>
      <c r="U46" s="287"/>
      <c r="V46" s="287"/>
      <c r="W46" s="287"/>
      <c r="X46" s="287"/>
      <c r="Y46" s="287"/>
      <c r="Z46" s="287"/>
      <c r="AA46" s="287"/>
      <c r="AB46" s="287"/>
      <c r="AC46" s="287"/>
      <c r="AD46" s="285"/>
      <c r="AE46" s="285"/>
      <c r="AF46" s="285"/>
      <c r="AG46" s="285"/>
      <c r="AH46" s="285"/>
      <c r="AI46" s="285"/>
      <c r="AJ46" s="285"/>
      <c r="AK46" s="285"/>
      <c r="AL46" s="285"/>
      <c r="AM46" s="285"/>
      <c r="AN46" s="285"/>
      <c r="AO46" s="285"/>
      <c r="AP46" s="285"/>
      <c r="AQ46" s="285"/>
      <c r="AR46" s="285"/>
      <c r="AS46" s="285"/>
      <c r="AT46" s="285"/>
      <c r="AU46" s="285"/>
      <c r="AV46" s="285"/>
      <c r="AW46" s="285"/>
      <c r="AX46" s="285"/>
      <c r="AY46" s="285"/>
      <c r="AZ46" s="285"/>
      <c r="BA46" s="285"/>
      <c r="BB46" s="285"/>
      <c r="BC46" s="285"/>
      <c r="BD46" s="285"/>
      <c r="BE46" s="285"/>
      <c r="BF46" s="285"/>
      <c r="BG46" s="285"/>
      <c r="BH46" s="285"/>
      <c r="BI46" s="285"/>
      <c r="BJ46" s="285"/>
      <c r="BK46" s="285"/>
      <c r="BL46" s="285"/>
      <c r="BM46" s="285"/>
      <c r="BN46" s="285"/>
      <c r="BO46" s="148"/>
      <c r="BP46" s="149"/>
      <c r="BQ46" s="148"/>
      <c r="BR46" s="148"/>
      <c r="BS46" s="148"/>
      <c r="BT46" s="149"/>
      <c r="BU46" s="148"/>
      <c r="BV46" s="148"/>
      <c r="BW46" s="148"/>
      <c r="BX46" s="149"/>
      <c r="BY46" s="148"/>
      <c r="BZ46" s="148"/>
      <c r="CA46" s="148"/>
      <c r="CB46" s="150"/>
      <c r="CC46" s="150"/>
    </row>
    <row r="47" spans="1:88" s="169" customFormat="1" x14ac:dyDescent="0.3">
      <c r="A47" s="163"/>
      <c r="B47" s="164"/>
      <c r="C47" s="539" t="str">
        <f>PEP!C48</f>
        <v>1.2.4.3</v>
      </c>
      <c r="D47" s="137" t="str">
        <f>PEP!D48</f>
        <v>Costo del Servicio</v>
      </c>
      <c r="E47" s="283">
        <f>PEP!E48</f>
        <v>0</v>
      </c>
      <c r="F47" s="293"/>
      <c r="G47" s="283"/>
      <c r="H47" s="283"/>
      <c r="I47" s="283"/>
      <c r="J47" s="283"/>
      <c r="K47" s="285"/>
      <c r="L47" s="285"/>
      <c r="M47" s="285"/>
      <c r="N47" s="285"/>
      <c r="O47" s="285"/>
      <c r="P47" s="285"/>
      <c r="Q47" s="285"/>
      <c r="R47" s="285"/>
      <c r="S47" s="285"/>
      <c r="T47" s="286"/>
      <c r="U47" s="286"/>
      <c r="V47" s="287"/>
      <c r="W47" s="287"/>
      <c r="X47" s="287"/>
      <c r="Y47" s="284"/>
      <c r="Z47" s="284"/>
      <c r="AA47" s="284"/>
      <c r="AB47" s="285"/>
      <c r="AC47" s="285"/>
      <c r="AD47" s="285"/>
      <c r="AE47" s="285"/>
      <c r="AF47" s="285"/>
      <c r="AG47" s="285"/>
      <c r="AH47" s="285"/>
      <c r="AI47" s="285"/>
      <c r="AJ47" s="285"/>
      <c r="AK47" s="285"/>
      <c r="AL47" s="285"/>
      <c r="AM47" s="285"/>
      <c r="AN47" s="285"/>
      <c r="AO47" s="285"/>
      <c r="AP47" s="285"/>
      <c r="AQ47" s="285"/>
      <c r="AR47" s="285"/>
      <c r="AS47" s="285"/>
      <c r="AT47" s="285"/>
      <c r="AU47" s="285"/>
      <c r="AV47" s="285"/>
      <c r="AW47" s="285"/>
      <c r="AX47" s="285"/>
      <c r="AY47" s="285"/>
      <c r="AZ47" s="285"/>
      <c r="BA47" s="285"/>
      <c r="BB47" s="285"/>
      <c r="BC47" s="285"/>
      <c r="BD47" s="285"/>
      <c r="BE47" s="285"/>
      <c r="BF47" s="285"/>
      <c r="BG47" s="285"/>
      <c r="BH47" s="285"/>
      <c r="BI47" s="285"/>
      <c r="BJ47" s="285"/>
      <c r="BK47" s="285"/>
      <c r="BL47" s="285"/>
      <c r="BM47" s="285"/>
      <c r="BN47" s="285"/>
      <c r="BO47" s="303"/>
      <c r="BP47" s="303"/>
      <c r="BQ47" s="303"/>
      <c r="BR47" s="303"/>
      <c r="BS47" s="303"/>
      <c r="BT47" s="303"/>
      <c r="BU47" s="304"/>
      <c r="BV47" s="174"/>
      <c r="BW47" s="167"/>
      <c r="BX47" s="166"/>
      <c r="BY47" s="166"/>
      <c r="BZ47" s="174"/>
      <c r="CA47" s="167"/>
      <c r="CB47" s="166"/>
      <c r="CC47" s="166"/>
      <c r="CD47" s="174"/>
      <c r="CE47" s="167"/>
      <c r="CF47" s="166"/>
      <c r="CG47" s="166"/>
      <c r="CH47" s="166"/>
      <c r="CI47" s="168"/>
      <c r="CJ47" s="168"/>
    </row>
    <row r="48" spans="1:88" s="151" customFormat="1" x14ac:dyDescent="0.3">
      <c r="A48" s="154"/>
      <c r="B48" s="155" t="s">
        <v>142</v>
      </c>
      <c r="C48" s="539" t="str">
        <f>PEP!C49</f>
        <v>1.2.4.4</v>
      </c>
      <c r="D48" s="137" t="str">
        <f>PEP!D49</f>
        <v>Técnico de Capacitación</v>
      </c>
      <c r="E48" s="283">
        <f>PEP!E49</f>
        <v>0</v>
      </c>
      <c r="F48" s="281"/>
      <c r="G48" s="283"/>
      <c r="H48" s="283"/>
      <c r="I48" s="283"/>
      <c r="J48" s="283"/>
      <c r="K48" s="285"/>
      <c r="L48" s="285"/>
      <c r="M48" s="285"/>
      <c r="N48" s="285"/>
      <c r="O48" s="285"/>
      <c r="P48" s="285"/>
      <c r="Q48" s="285"/>
      <c r="R48" s="285"/>
      <c r="S48" s="285"/>
      <c r="T48" s="285"/>
      <c r="U48" s="286"/>
      <c r="V48" s="286"/>
      <c r="W48" s="286"/>
      <c r="X48" s="286"/>
      <c r="Y48" s="287"/>
      <c r="Z48" s="287"/>
      <c r="AA48" s="287"/>
      <c r="AB48" s="287"/>
      <c r="AC48" s="287"/>
      <c r="AD48" s="285"/>
      <c r="AE48" s="285"/>
      <c r="AF48" s="285"/>
      <c r="AG48" s="285"/>
      <c r="AH48" s="285"/>
      <c r="AI48" s="285"/>
      <c r="AJ48" s="285"/>
      <c r="AK48" s="285"/>
      <c r="AL48" s="285"/>
      <c r="AM48" s="285"/>
      <c r="AN48" s="285"/>
      <c r="AO48" s="285"/>
      <c r="AP48" s="285"/>
      <c r="AQ48" s="285"/>
      <c r="AR48" s="285"/>
      <c r="AS48" s="285"/>
      <c r="AT48" s="285"/>
      <c r="AU48" s="285"/>
      <c r="AV48" s="285"/>
      <c r="AW48" s="285"/>
      <c r="AX48" s="285"/>
      <c r="AY48" s="285"/>
      <c r="AZ48" s="285"/>
      <c r="BA48" s="285"/>
      <c r="BB48" s="285"/>
      <c r="BC48" s="285"/>
      <c r="BD48" s="285"/>
      <c r="BE48" s="285"/>
      <c r="BF48" s="285"/>
      <c r="BG48" s="285"/>
      <c r="BH48" s="285"/>
      <c r="BI48" s="285"/>
      <c r="BJ48" s="285"/>
      <c r="BK48" s="285"/>
      <c r="BL48" s="285"/>
      <c r="BM48" s="285"/>
      <c r="BN48" s="285"/>
      <c r="BO48" s="152"/>
      <c r="BP48" s="149"/>
      <c r="BQ48" s="148"/>
      <c r="BR48" s="148"/>
      <c r="BS48" s="152"/>
      <c r="BT48" s="149"/>
      <c r="BU48" s="148"/>
      <c r="BV48" s="148"/>
      <c r="BW48" s="152"/>
      <c r="BX48" s="149"/>
      <c r="BY48" s="148"/>
      <c r="BZ48" s="148"/>
      <c r="CA48" s="148"/>
      <c r="CB48" s="150"/>
      <c r="CC48" s="150"/>
    </row>
    <row r="49" spans="1:88" s="169" customFormat="1" x14ac:dyDescent="0.3">
      <c r="A49" s="163"/>
      <c r="B49" s="164"/>
      <c r="C49" s="525" t="str">
        <f>PEP!C50</f>
        <v>1.2.4.5</v>
      </c>
      <c r="D49" s="137" t="str">
        <f>PEP!D50</f>
        <v>Jefe departamental</v>
      </c>
      <c r="E49" s="283">
        <f>PEP!E50</f>
        <v>0</v>
      </c>
      <c r="F49" s="293"/>
      <c r="G49" s="283"/>
      <c r="H49" s="283"/>
      <c r="I49" s="283"/>
      <c r="J49" s="283"/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6"/>
      <c r="V49" s="286"/>
      <c r="W49" s="305"/>
      <c r="X49" s="286"/>
      <c r="Y49" s="286"/>
      <c r="Z49" s="287"/>
      <c r="AA49" s="287"/>
      <c r="AB49" s="287"/>
      <c r="AC49" s="285"/>
      <c r="AD49" s="285"/>
      <c r="AE49" s="285"/>
      <c r="AF49" s="285"/>
      <c r="AG49" s="285"/>
      <c r="AH49" s="285"/>
      <c r="AI49" s="285"/>
      <c r="AJ49" s="285"/>
      <c r="AK49" s="285"/>
      <c r="AL49" s="285"/>
      <c r="AM49" s="285"/>
      <c r="AN49" s="285"/>
      <c r="AO49" s="285"/>
      <c r="AP49" s="285"/>
      <c r="AQ49" s="285"/>
      <c r="AR49" s="285"/>
      <c r="AS49" s="285"/>
      <c r="AT49" s="285"/>
      <c r="AU49" s="285"/>
      <c r="AV49" s="285"/>
      <c r="AW49" s="285"/>
      <c r="AX49" s="285"/>
      <c r="AY49" s="285"/>
      <c r="AZ49" s="285"/>
      <c r="BA49" s="285"/>
      <c r="BB49" s="285"/>
      <c r="BC49" s="285"/>
      <c r="BD49" s="285"/>
      <c r="BE49" s="285"/>
      <c r="BF49" s="285"/>
      <c r="BG49" s="285"/>
      <c r="BH49" s="285"/>
      <c r="BI49" s="285"/>
      <c r="BJ49" s="285"/>
      <c r="BK49" s="285"/>
      <c r="BL49" s="285"/>
      <c r="BM49" s="285"/>
      <c r="BN49" s="285"/>
      <c r="BO49" s="303"/>
      <c r="BP49" s="303"/>
      <c r="BQ49" s="303"/>
      <c r="BR49" s="303"/>
      <c r="BS49" s="303"/>
      <c r="BT49" s="303"/>
      <c r="BU49" s="304"/>
      <c r="BV49" s="174"/>
      <c r="BW49" s="167"/>
      <c r="BX49" s="166"/>
      <c r="BY49" s="166"/>
      <c r="BZ49" s="174"/>
      <c r="CA49" s="167"/>
      <c r="CB49" s="166"/>
      <c r="CC49" s="166"/>
      <c r="CD49" s="174"/>
      <c r="CE49" s="167"/>
      <c r="CF49" s="166"/>
      <c r="CG49" s="166"/>
      <c r="CH49" s="166"/>
      <c r="CI49" s="168"/>
      <c r="CJ49" s="168"/>
    </row>
    <row r="50" spans="1:88" s="151" customFormat="1" x14ac:dyDescent="0.3">
      <c r="A50" s="142"/>
      <c r="B50" s="143" t="s">
        <v>91</v>
      </c>
      <c r="C50" s="525" t="str">
        <f>PEP!C51</f>
        <v>1.2.4.6</v>
      </c>
      <c r="D50" s="137" t="str">
        <f>PEP!D51</f>
        <v>Jefe Distrital</v>
      </c>
      <c r="E50" s="283">
        <f>PEP!E51</f>
        <v>0</v>
      </c>
      <c r="F50" s="293"/>
      <c r="G50" s="283"/>
      <c r="H50" s="283"/>
      <c r="I50" s="283"/>
      <c r="J50" s="283"/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86"/>
      <c r="V50" s="286"/>
      <c r="W50" s="286"/>
      <c r="X50" s="286"/>
      <c r="Y50" s="286"/>
      <c r="Z50" s="287"/>
      <c r="AA50" s="287"/>
      <c r="AB50" s="287"/>
      <c r="AC50" s="285"/>
      <c r="AD50" s="285"/>
      <c r="AE50" s="285"/>
      <c r="AF50" s="285"/>
      <c r="AG50" s="285"/>
      <c r="AH50" s="285"/>
      <c r="AI50" s="285"/>
      <c r="AJ50" s="285"/>
      <c r="AK50" s="285"/>
      <c r="AL50" s="285"/>
      <c r="AM50" s="285"/>
      <c r="AN50" s="285"/>
      <c r="AO50" s="285"/>
      <c r="AP50" s="285"/>
      <c r="AQ50" s="285"/>
      <c r="AR50" s="285"/>
      <c r="AS50" s="285"/>
      <c r="AT50" s="285"/>
      <c r="AU50" s="285"/>
      <c r="AV50" s="285"/>
      <c r="AW50" s="285"/>
      <c r="AX50" s="285"/>
      <c r="AY50" s="285"/>
      <c r="AZ50" s="285"/>
      <c r="BA50" s="285"/>
      <c r="BB50" s="285"/>
      <c r="BC50" s="285"/>
      <c r="BD50" s="285"/>
      <c r="BE50" s="285"/>
      <c r="BF50" s="285"/>
      <c r="BG50" s="285"/>
      <c r="BH50" s="285"/>
      <c r="BI50" s="285"/>
      <c r="BJ50" s="285"/>
      <c r="BK50" s="285"/>
      <c r="BL50" s="285"/>
      <c r="BM50" s="285"/>
      <c r="BN50" s="285"/>
      <c r="BO50" s="300"/>
      <c r="BP50" s="300"/>
      <c r="BQ50" s="300"/>
      <c r="BR50" s="300"/>
      <c r="BS50" s="300"/>
      <c r="BT50" s="300"/>
      <c r="BU50" s="301"/>
      <c r="BV50" s="153"/>
      <c r="BW50" s="149"/>
      <c r="BX50" s="148"/>
      <c r="BY50" s="148"/>
      <c r="BZ50" s="153"/>
      <c r="CA50" s="149"/>
      <c r="CB50" s="148"/>
      <c r="CC50" s="148"/>
      <c r="CD50" s="153"/>
      <c r="CE50" s="149"/>
      <c r="CF50" s="148"/>
      <c r="CG50" s="148"/>
      <c r="CH50" s="148"/>
      <c r="CI50" s="150"/>
      <c r="CJ50" s="150"/>
    </row>
    <row r="51" spans="1:88" s="151" customFormat="1" x14ac:dyDescent="0.3">
      <c r="A51" s="142"/>
      <c r="B51" s="143" t="s">
        <v>91</v>
      </c>
      <c r="C51" s="525" t="str">
        <f>PEP!C52</f>
        <v>1.2.4.7</v>
      </c>
      <c r="D51" s="137" t="str">
        <f>PEP!D52</f>
        <v>Supervisor</v>
      </c>
      <c r="E51" s="283">
        <f>PEP!E52</f>
        <v>0</v>
      </c>
      <c r="F51" s="281"/>
      <c r="G51" s="283"/>
      <c r="H51" s="283"/>
      <c r="I51" s="283"/>
      <c r="J51" s="283"/>
      <c r="K51" s="285"/>
      <c r="L51" s="285"/>
      <c r="M51" s="285"/>
      <c r="N51" s="285"/>
      <c r="O51" s="285"/>
      <c r="P51" s="285"/>
      <c r="Q51" s="285"/>
      <c r="R51" s="285"/>
      <c r="S51" s="285"/>
      <c r="T51" s="285"/>
      <c r="U51" s="286"/>
      <c r="V51" s="286"/>
      <c r="W51" s="286"/>
      <c r="X51" s="286"/>
      <c r="Y51" s="286"/>
      <c r="Z51" s="298"/>
      <c r="AA51" s="298"/>
      <c r="AB51" s="298"/>
      <c r="AC51" s="285"/>
      <c r="AD51" s="285"/>
      <c r="AE51" s="285"/>
      <c r="AF51" s="285"/>
      <c r="AG51" s="285"/>
      <c r="AH51" s="285"/>
      <c r="AI51" s="285"/>
      <c r="AJ51" s="285"/>
      <c r="AK51" s="285"/>
      <c r="AL51" s="285"/>
      <c r="AM51" s="285"/>
      <c r="AN51" s="285"/>
      <c r="AO51" s="285"/>
      <c r="AP51" s="285"/>
      <c r="AQ51" s="285"/>
      <c r="AR51" s="285"/>
      <c r="AS51" s="285"/>
      <c r="AT51" s="285"/>
      <c r="AU51" s="285"/>
      <c r="AV51" s="285"/>
      <c r="AW51" s="285"/>
      <c r="AX51" s="285"/>
      <c r="AY51" s="285"/>
      <c r="AZ51" s="285"/>
      <c r="BA51" s="285"/>
      <c r="BB51" s="285"/>
      <c r="BC51" s="285"/>
      <c r="BD51" s="285"/>
      <c r="BE51" s="285"/>
      <c r="BF51" s="285"/>
      <c r="BG51" s="285"/>
      <c r="BH51" s="285"/>
      <c r="BI51" s="285"/>
      <c r="BJ51" s="285"/>
      <c r="BK51" s="285"/>
      <c r="BL51" s="285"/>
      <c r="BM51" s="285"/>
      <c r="BN51" s="285"/>
      <c r="BO51" s="300"/>
      <c r="BP51" s="300"/>
      <c r="BQ51" s="300"/>
      <c r="BR51" s="300"/>
      <c r="BS51" s="300"/>
      <c r="BT51" s="300"/>
      <c r="BU51" s="301"/>
      <c r="BV51" s="153"/>
      <c r="BW51" s="149"/>
      <c r="BX51" s="148"/>
      <c r="BY51" s="148"/>
      <c r="BZ51" s="153"/>
      <c r="CA51" s="149"/>
      <c r="CB51" s="148"/>
      <c r="CC51" s="148"/>
      <c r="CD51" s="153"/>
      <c r="CE51" s="149"/>
      <c r="CF51" s="148"/>
      <c r="CG51" s="148"/>
      <c r="CH51" s="148"/>
      <c r="CI51" s="150"/>
      <c r="CJ51" s="150"/>
    </row>
    <row r="52" spans="1:88" s="151" customFormat="1" x14ac:dyDescent="0.3">
      <c r="A52" s="142"/>
      <c r="B52" s="143" t="s">
        <v>91</v>
      </c>
      <c r="C52" s="525" t="str">
        <f>PEP!C53</f>
        <v>1.2.4.8</v>
      </c>
      <c r="D52" s="137" t="str">
        <f>PEP!D53</f>
        <v>Censista</v>
      </c>
      <c r="E52" s="283">
        <f>PEP!E53</f>
        <v>0</v>
      </c>
      <c r="F52" s="281"/>
      <c r="G52" s="283"/>
      <c r="H52" s="283"/>
      <c r="I52" s="283"/>
      <c r="J52" s="283"/>
      <c r="K52" s="285"/>
      <c r="L52" s="285"/>
      <c r="M52" s="285"/>
      <c r="N52" s="285"/>
      <c r="O52" s="285"/>
      <c r="P52" s="285"/>
      <c r="Q52" s="285"/>
      <c r="R52" s="285"/>
      <c r="S52" s="286"/>
      <c r="T52" s="286"/>
      <c r="U52" s="286"/>
      <c r="V52" s="286"/>
      <c r="W52" s="286"/>
      <c r="X52" s="286"/>
      <c r="Y52" s="287"/>
      <c r="Z52" s="287"/>
      <c r="AA52" s="287"/>
      <c r="AB52" s="287"/>
      <c r="AC52" s="287"/>
      <c r="AD52" s="285"/>
      <c r="AF52" s="285"/>
      <c r="AG52" s="285"/>
      <c r="AH52" s="285"/>
      <c r="AI52" s="285"/>
      <c r="AJ52" s="285"/>
      <c r="AK52" s="285"/>
      <c r="AL52" s="285"/>
      <c r="AM52" s="285"/>
      <c r="AN52" s="285"/>
      <c r="AO52" s="285"/>
      <c r="AP52" s="285"/>
      <c r="AQ52" s="285"/>
      <c r="AR52" s="285"/>
      <c r="AS52" s="285"/>
      <c r="AT52" s="285"/>
      <c r="AU52" s="285"/>
      <c r="AV52" s="285"/>
      <c r="AW52" s="285"/>
      <c r="AX52" s="285"/>
      <c r="AY52" s="285"/>
      <c r="AZ52" s="285"/>
      <c r="BA52" s="285"/>
      <c r="BB52" s="285"/>
      <c r="BC52" s="285"/>
      <c r="BD52" s="285"/>
      <c r="BE52" s="285"/>
      <c r="BF52" s="285"/>
      <c r="BG52" s="285"/>
      <c r="BH52" s="285"/>
      <c r="BI52" s="285"/>
      <c r="BJ52" s="285"/>
      <c r="BK52" s="285"/>
      <c r="BL52" s="285"/>
      <c r="BM52" s="285"/>
      <c r="BN52" s="285"/>
      <c r="BO52" s="300"/>
      <c r="BP52" s="300"/>
      <c r="BQ52" s="300"/>
      <c r="BR52" s="300"/>
      <c r="BS52" s="300"/>
      <c r="BT52" s="300"/>
      <c r="BU52" s="301"/>
      <c r="BV52" s="153"/>
      <c r="BW52" s="149"/>
      <c r="BX52" s="148"/>
      <c r="BY52" s="148"/>
      <c r="BZ52" s="153"/>
      <c r="CA52" s="149"/>
      <c r="CB52" s="148"/>
      <c r="CC52" s="148"/>
      <c r="CD52" s="153"/>
      <c r="CE52" s="149"/>
      <c r="CF52" s="148"/>
      <c r="CG52" s="148"/>
      <c r="CH52" s="148"/>
      <c r="CI52" s="150"/>
      <c r="CJ52" s="150"/>
    </row>
    <row r="53" spans="1:88" s="151" customFormat="1" ht="24" x14ac:dyDescent="0.3">
      <c r="A53" s="142"/>
      <c r="B53" s="143" t="s">
        <v>91</v>
      </c>
      <c r="C53" s="539" t="str">
        <f>PEP!C54</f>
        <v>1.2.4.9</v>
      </c>
      <c r="D53" s="137" t="str">
        <f>PEP!D54</f>
        <v>Apoyo Logístico para Censo (Alquiler y mantenimiento de subcentros operativos)</v>
      </c>
      <c r="E53" s="283">
        <f>PEP!E54</f>
        <v>80958.00303592511</v>
      </c>
      <c r="F53" s="281"/>
      <c r="G53" s="283"/>
      <c r="H53" s="283"/>
      <c r="I53" s="283"/>
      <c r="J53" s="283"/>
      <c r="K53" s="285"/>
      <c r="L53" s="285"/>
      <c r="M53" s="285"/>
      <c r="N53" s="285"/>
      <c r="O53" s="285"/>
      <c r="P53" s="285"/>
      <c r="Q53" s="285"/>
      <c r="R53" s="285"/>
      <c r="S53" s="284"/>
      <c r="T53" s="286"/>
      <c r="U53" s="286"/>
      <c r="V53" s="286"/>
      <c r="W53" s="286"/>
      <c r="X53" s="302"/>
      <c r="Y53" s="287"/>
      <c r="Z53" s="287"/>
      <c r="AA53" s="287"/>
      <c r="AB53" s="287"/>
      <c r="AC53" s="284"/>
      <c r="AD53" s="284"/>
      <c r="AE53" s="285"/>
      <c r="AF53" s="285"/>
      <c r="AG53" s="285"/>
      <c r="AH53" s="285"/>
      <c r="AI53" s="285"/>
      <c r="AJ53" s="285"/>
      <c r="AK53" s="285"/>
      <c r="AL53" s="285"/>
      <c r="AM53" s="285"/>
      <c r="AN53" s="285"/>
      <c r="AO53" s="285"/>
      <c r="AP53" s="285"/>
      <c r="AQ53" s="285"/>
      <c r="AR53" s="285"/>
      <c r="AS53" s="285"/>
      <c r="AT53" s="285"/>
      <c r="AU53" s="285"/>
      <c r="AV53" s="285"/>
      <c r="AW53" s="285"/>
      <c r="AX53" s="285"/>
      <c r="AY53" s="285"/>
      <c r="AZ53" s="285"/>
      <c r="BA53" s="285"/>
      <c r="BB53" s="285"/>
      <c r="BC53" s="285"/>
      <c r="BD53" s="285"/>
      <c r="BE53" s="285"/>
      <c r="BF53" s="285"/>
      <c r="BG53" s="285"/>
      <c r="BH53" s="285"/>
      <c r="BI53" s="285"/>
      <c r="BJ53" s="285"/>
      <c r="BK53" s="285"/>
      <c r="BL53" s="285"/>
      <c r="BM53" s="285"/>
      <c r="BN53" s="285"/>
      <c r="BO53" s="300"/>
      <c r="BP53" s="300"/>
      <c r="BQ53" s="300"/>
      <c r="BR53" s="300"/>
      <c r="BS53" s="300"/>
      <c r="BT53" s="300"/>
      <c r="BU53" s="301"/>
      <c r="BV53" s="153"/>
      <c r="BW53" s="149"/>
      <c r="BX53" s="148"/>
      <c r="BY53" s="148"/>
      <c r="BZ53" s="153"/>
      <c r="CA53" s="149"/>
      <c r="CB53" s="148"/>
      <c r="CC53" s="148"/>
      <c r="CD53" s="153"/>
      <c r="CE53" s="149"/>
      <c r="CF53" s="148"/>
      <c r="CG53" s="148"/>
      <c r="CH53" s="148"/>
      <c r="CI53" s="150"/>
      <c r="CJ53" s="150"/>
    </row>
    <row r="54" spans="1:88" s="151" customFormat="1" x14ac:dyDescent="0.3">
      <c r="A54" s="142"/>
      <c r="B54" s="143" t="s">
        <v>91</v>
      </c>
      <c r="C54" s="539" t="str">
        <f>PEP!C55</f>
        <v>1.2.4.10</v>
      </c>
      <c r="D54" s="137" t="str">
        <f>PEP!D55</f>
        <v>Materiales para las capacitaciones y catering</v>
      </c>
      <c r="E54" s="283">
        <f>PEP!E55</f>
        <v>168662.506324844</v>
      </c>
      <c r="F54" s="281"/>
      <c r="G54" s="283"/>
      <c r="H54" s="284"/>
      <c r="I54" s="284"/>
      <c r="J54" s="284"/>
      <c r="K54" s="286"/>
      <c r="L54" s="286"/>
      <c r="M54" s="286"/>
      <c r="N54" s="286"/>
      <c r="O54" s="287"/>
      <c r="P54" s="287"/>
      <c r="Q54" s="287"/>
      <c r="R54" s="287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  <c r="AF54" s="285"/>
      <c r="AG54" s="285"/>
      <c r="AH54" s="285"/>
      <c r="AI54" s="285"/>
      <c r="AJ54" s="285"/>
      <c r="AK54" s="285"/>
      <c r="AL54" s="285"/>
      <c r="AM54" s="285"/>
      <c r="AN54" s="285"/>
      <c r="AO54" s="285"/>
      <c r="AP54" s="285"/>
      <c r="AQ54" s="285"/>
      <c r="AR54" s="285"/>
      <c r="AS54" s="285"/>
      <c r="AT54" s="285"/>
      <c r="AU54" s="285"/>
      <c r="AV54" s="285"/>
      <c r="AW54" s="285"/>
      <c r="AX54" s="285"/>
      <c r="AY54" s="285"/>
      <c r="AZ54" s="285"/>
      <c r="BA54" s="285"/>
      <c r="BB54" s="285"/>
      <c r="BC54" s="285"/>
      <c r="BD54" s="285"/>
      <c r="BE54" s="285"/>
      <c r="BF54" s="285"/>
      <c r="BG54" s="285"/>
      <c r="BH54" s="285"/>
      <c r="BI54" s="285"/>
      <c r="BJ54" s="285"/>
      <c r="BK54" s="285"/>
      <c r="BL54" s="285"/>
      <c r="BM54" s="285"/>
      <c r="BN54" s="285"/>
      <c r="BO54" s="300"/>
      <c r="BP54" s="300"/>
      <c r="BQ54" s="300"/>
      <c r="BR54" s="300"/>
      <c r="BS54" s="300"/>
      <c r="BT54" s="300"/>
      <c r="BU54" s="301"/>
      <c r="BV54" s="153"/>
      <c r="BW54" s="149"/>
      <c r="BX54" s="148"/>
      <c r="BY54" s="148"/>
      <c r="BZ54" s="153"/>
      <c r="CA54" s="149"/>
      <c r="CB54" s="148"/>
      <c r="CC54" s="148"/>
      <c r="CD54" s="153"/>
      <c r="CE54" s="149"/>
      <c r="CF54" s="148"/>
      <c r="CG54" s="148"/>
      <c r="CH54" s="148"/>
      <c r="CI54" s="150"/>
      <c r="CJ54" s="150"/>
    </row>
    <row r="55" spans="1:88" s="151" customFormat="1" x14ac:dyDescent="0.3">
      <c r="A55" s="142"/>
      <c r="B55" s="143" t="s">
        <v>93</v>
      </c>
      <c r="C55" s="525" t="str">
        <f>PEP!C56</f>
        <v>1.2.4.11</v>
      </c>
      <c r="D55" s="137" t="str">
        <f>PEP!D56</f>
        <v>Diseño e Impresión de cuestionarios censales</v>
      </c>
      <c r="E55" s="283">
        <f>PEP!E56</f>
        <v>20239.500758981278</v>
      </c>
      <c r="F55" s="281"/>
      <c r="G55" s="283"/>
      <c r="H55" s="284"/>
      <c r="I55" s="284"/>
      <c r="J55" s="284"/>
      <c r="K55" s="286"/>
      <c r="L55" s="286"/>
      <c r="M55" s="286"/>
      <c r="N55" s="286"/>
      <c r="O55" s="287"/>
      <c r="P55" s="287"/>
      <c r="Q55" s="287"/>
      <c r="R55" s="287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5"/>
      <c r="AH55" s="285"/>
      <c r="AI55" s="285"/>
      <c r="AJ55" s="285"/>
      <c r="AK55" s="285"/>
      <c r="AL55" s="285"/>
      <c r="AM55" s="285"/>
      <c r="AN55" s="285"/>
      <c r="AO55" s="285"/>
      <c r="AP55" s="285"/>
      <c r="AQ55" s="285"/>
      <c r="AR55" s="285"/>
      <c r="AS55" s="285"/>
      <c r="AT55" s="285"/>
      <c r="AU55" s="285"/>
      <c r="AV55" s="285"/>
      <c r="AW55" s="285"/>
      <c r="AX55" s="285"/>
      <c r="AY55" s="285"/>
      <c r="AZ55" s="285"/>
      <c r="BA55" s="285"/>
      <c r="BB55" s="285"/>
      <c r="BC55" s="285"/>
      <c r="BD55" s="285"/>
      <c r="BE55" s="285"/>
      <c r="BF55" s="285"/>
      <c r="BG55" s="285"/>
      <c r="BH55" s="285"/>
      <c r="BI55" s="285"/>
      <c r="BJ55" s="285"/>
      <c r="BK55" s="285"/>
      <c r="BL55" s="285"/>
      <c r="BM55" s="285"/>
      <c r="BN55" s="285"/>
      <c r="BO55" s="300"/>
      <c r="BP55" s="300"/>
      <c r="BQ55" s="300"/>
      <c r="BR55" s="300"/>
      <c r="BS55" s="300"/>
      <c r="BT55" s="300"/>
      <c r="BU55" s="301"/>
      <c r="BV55" s="153"/>
      <c r="BW55" s="149"/>
      <c r="BX55" s="148"/>
      <c r="BY55" s="148"/>
      <c r="BZ55" s="153"/>
      <c r="CA55" s="149"/>
      <c r="CB55" s="148"/>
      <c r="CC55" s="148"/>
      <c r="CD55" s="153"/>
      <c r="CE55" s="149"/>
      <c r="CF55" s="148"/>
      <c r="CG55" s="148"/>
      <c r="CH55" s="148"/>
      <c r="CI55" s="150"/>
      <c r="CJ55" s="150"/>
    </row>
    <row r="56" spans="1:88" s="151" customFormat="1" ht="24" x14ac:dyDescent="0.3">
      <c r="A56" s="142"/>
      <c r="B56" s="143" t="s">
        <v>93</v>
      </c>
      <c r="C56" s="525" t="str">
        <f>PEP!C57</f>
        <v>1.2.4.12</v>
      </c>
      <c r="D56" s="137" t="str">
        <f>PEP!D57</f>
        <v>Identificador Personal(chalecos, quepis, porta nombre)</v>
      </c>
      <c r="E56" s="283">
        <f>PEP!E57</f>
        <v>55658.627087198518</v>
      </c>
      <c r="F56" s="281"/>
      <c r="G56" s="283"/>
      <c r="H56" s="284"/>
      <c r="I56" s="284"/>
      <c r="J56" s="284"/>
      <c r="K56" s="286"/>
      <c r="L56" s="286"/>
      <c r="M56" s="286"/>
      <c r="N56" s="286"/>
      <c r="O56" s="287"/>
      <c r="P56" s="287"/>
      <c r="Q56" s="287"/>
      <c r="R56" s="287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5"/>
      <c r="AH56" s="285"/>
      <c r="AI56" s="285"/>
      <c r="AJ56" s="285"/>
      <c r="AK56" s="285"/>
      <c r="AL56" s="285"/>
      <c r="AM56" s="285"/>
      <c r="AN56" s="285"/>
      <c r="AO56" s="285"/>
      <c r="AP56" s="285"/>
      <c r="AQ56" s="285"/>
      <c r="AR56" s="285"/>
      <c r="AS56" s="285"/>
      <c r="AT56" s="285"/>
      <c r="AU56" s="285"/>
      <c r="AV56" s="285"/>
      <c r="AW56" s="285"/>
      <c r="AX56" s="285"/>
      <c r="AY56" s="285"/>
      <c r="AZ56" s="285"/>
      <c r="BA56" s="285"/>
      <c r="BB56" s="285"/>
      <c r="BC56" s="285"/>
      <c r="BD56" s="285"/>
      <c r="BE56" s="285"/>
      <c r="BF56" s="285"/>
      <c r="BG56" s="285"/>
      <c r="BH56" s="285"/>
      <c r="BI56" s="285"/>
      <c r="BJ56" s="285"/>
      <c r="BK56" s="285"/>
      <c r="BL56" s="285"/>
      <c r="BM56" s="285"/>
      <c r="BN56" s="285"/>
      <c r="BO56" s="300"/>
      <c r="BP56" s="300"/>
      <c r="BQ56" s="300"/>
      <c r="BR56" s="300"/>
      <c r="BS56" s="300"/>
      <c r="BT56" s="300"/>
      <c r="BU56" s="301"/>
      <c r="BV56" s="153"/>
      <c r="BW56" s="149"/>
      <c r="BX56" s="148"/>
      <c r="BY56" s="148"/>
      <c r="BZ56" s="153"/>
      <c r="CA56" s="149"/>
      <c r="CB56" s="148"/>
      <c r="CC56" s="148"/>
      <c r="CD56" s="153"/>
      <c r="CE56" s="149"/>
      <c r="CF56" s="148"/>
      <c r="CG56" s="148"/>
      <c r="CH56" s="148"/>
      <c r="CI56" s="150"/>
      <c r="CJ56" s="150"/>
    </row>
    <row r="57" spans="1:88" s="151" customFormat="1" x14ac:dyDescent="0.3">
      <c r="A57" s="142"/>
      <c r="B57" s="143"/>
      <c r="C57" s="552" t="str">
        <f>PEP!C58</f>
        <v>1.2.5</v>
      </c>
      <c r="D57" s="136" t="str">
        <f>PEP!D58</f>
        <v xml:space="preserve">Diseño y difusión del Operativo Censal realizada  </v>
      </c>
      <c r="E57" s="160">
        <f>PEP!E58</f>
        <v>236127.5088547816</v>
      </c>
      <c r="F57" s="281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300"/>
      <c r="BP57" s="300"/>
      <c r="BQ57" s="300"/>
      <c r="BR57" s="300"/>
      <c r="BS57" s="300"/>
      <c r="BT57" s="300"/>
      <c r="BU57" s="301"/>
      <c r="BV57" s="153"/>
      <c r="BW57" s="149"/>
      <c r="BX57" s="148"/>
      <c r="BY57" s="148"/>
      <c r="BZ57" s="153"/>
      <c r="CA57" s="149"/>
      <c r="CB57" s="148"/>
      <c r="CC57" s="148"/>
      <c r="CD57" s="153"/>
      <c r="CE57" s="149"/>
      <c r="CF57" s="148"/>
      <c r="CG57" s="148"/>
      <c r="CH57" s="148"/>
      <c r="CI57" s="150"/>
      <c r="CJ57" s="150"/>
    </row>
    <row r="58" spans="1:88" s="151" customFormat="1" x14ac:dyDescent="0.3">
      <c r="A58" s="142"/>
      <c r="B58" s="143"/>
      <c r="C58" s="525" t="str">
        <f>PEP!C59</f>
        <v>1.2.5.1</v>
      </c>
      <c r="D58" s="137" t="str">
        <f>PEP!D59</f>
        <v>Spot Publicitario en Radio</v>
      </c>
      <c r="E58" s="283">
        <f>PEP!E59</f>
        <v>101197.5037949064</v>
      </c>
      <c r="F58" s="281"/>
      <c r="G58" s="283"/>
      <c r="H58" s="283"/>
      <c r="I58" s="283"/>
      <c r="J58" s="283"/>
      <c r="K58" s="285"/>
      <c r="L58" s="285"/>
      <c r="M58" s="285"/>
      <c r="N58" s="285"/>
      <c r="O58" s="285"/>
      <c r="P58" s="285"/>
      <c r="Q58" s="285"/>
      <c r="R58" s="284"/>
      <c r="S58" s="284"/>
      <c r="T58" s="286"/>
      <c r="U58" s="286"/>
      <c r="V58" s="286"/>
      <c r="W58" s="286"/>
      <c r="X58" s="302"/>
      <c r="Y58" s="287"/>
      <c r="Z58" s="287"/>
      <c r="AA58" s="287"/>
      <c r="AB58" s="284"/>
      <c r="AC58" s="285"/>
      <c r="AD58" s="285"/>
      <c r="AE58" s="285"/>
      <c r="AF58" s="285"/>
      <c r="AG58" s="285"/>
      <c r="AH58" s="285"/>
      <c r="AI58" s="285"/>
      <c r="AJ58" s="285"/>
      <c r="AK58" s="285"/>
      <c r="AL58" s="285"/>
      <c r="AM58" s="285"/>
      <c r="AN58" s="285"/>
      <c r="AO58" s="285"/>
      <c r="AP58" s="285"/>
      <c r="AQ58" s="285"/>
      <c r="AR58" s="285"/>
      <c r="AS58" s="285"/>
      <c r="AT58" s="285"/>
      <c r="AU58" s="285"/>
      <c r="AV58" s="285"/>
      <c r="AW58" s="285"/>
      <c r="AX58" s="285"/>
      <c r="AY58" s="285"/>
      <c r="AZ58" s="285"/>
      <c r="BA58" s="285"/>
      <c r="BB58" s="285"/>
      <c r="BC58" s="285"/>
      <c r="BD58" s="285"/>
      <c r="BE58" s="285"/>
      <c r="BF58" s="285"/>
      <c r="BG58" s="285"/>
      <c r="BH58" s="285"/>
      <c r="BI58" s="285"/>
      <c r="BJ58" s="285"/>
      <c r="BK58" s="285"/>
      <c r="BL58" s="285"/>
      <c r="BM58" s="285"/>
      <c r="BN58" s="285"/>
      <c r="BO58" s="300"/>
      <c r="BP58" s="300"/>
      <c r="BQ58" s="300"/>
      <c r="BR58" s="300"/>
      <c r="BS58" s="300"/>
      <c r="BT58" s="300"/>
      <c r="BU58" s="301"/>
      <c r="BV58" s="153"/>
      <c r="BW58" s="149"/>
      <c r="BX58" s="148"/>
      <c r="BY58" s="148"/>
      <c r="BZ58" s="153"/>
      <c r="CA58" s="149"/>
      <c r="CB58" s="148"/>
      <c r="CC58" s="148"/>
      <c r="CD58" s="153"/>
      <c r="CE58" s="149"/>
      <c r="CF58" s="148"/>
      <c r="CG58" s="148"/>
      <c r="CH58" s="148"/>
      <c r="CI58" s="150"/>
      <c r="CJ58" s="150"/>
    </row>
    <row r="59" spans="1:88" s="151" customFormat="1" x14ac:dyDescent="0.3">
      <c r="A59" s="154"/>
      <c r="B59" s="155"/>
      <c r="C59" s="525" t="str">
        <f>PEP!C60</f>
        <v>1.2.5.2</v>
      </c>
      <c r="D59" s="137" t="str">
        <f>PEP!D60</f>
        <v>Spot Publicitario en T.V</v>
      </c>
      <c r="E59" s="283">
        <f>PEP!E60</f>
        <v>134930.0050598752</v>
      </c>
      <c r="F59" s="281"/>
      <c r="G59" s="283"/>
      <c r="H59" s="283"/>
      <c r="I59" s="283"/>
      <c r="J59" s="283"/>
      <c r="K59" s="285"/>
      <c r="L59" s="285"/>
      <c r="M59" s="285"/>
      <c r="N59" s="285"/>
      <c r="O59" s="285"/>
      <c r="P59" s="285"/>
      <c r="Q59" s="285"/>
      <c r="R59" s="284"/>
      <c r="S59" s="284"/>
      <c r="T59" s="286"/>
      <c r="U59" s="286"/>
      <c r="V59" s="286"/>
      <c r="W59" s="286"/>
      <c r="X59" s="302"/>
      <c r="Y59" s="287"/>
      <c r="Z59" s="287"/>
      <c r="AA59" s="287"/>
      <c r="AB59" s="284"/>
      <c r="AC59" s="285"/>
      <c r="AD59" s="285"/>
      <c r="AE59" s="285"/>
      <c r="AF59" s="285"/>
      <c r="AG59" s="285"/>
      <c r="AH59" s="285"/>
      <c r="AI59" s="285"/>
      <c r="AJ59" s="285"/>
      <c r="AK59" s="285"/>
      <c r="AL59" s="285"/>
      <c r="AM59" s="285"/>
      <c r="AN59" s="285"/>
      <c r="AO59" s="285"/>
      <c r="AP59" s="285"/>
      <c r="AQ59" s="285"/>
      <c r="AR59" s="285"/>
      <c r="AS59" s="285"/>
      <c r="AT59" s="285"/>
      <c r="AU59" s="285"/>
      <c r="AV59" s="285"/>
      <c r="AW59" s="285"/>
      <c r="AX59" s="285"/>
      <c r="AY59" s="285"/>
      <c r="AZ59" s="285"/>
      <c r="BA59" s="285"/>
      <c r="BB59" s="285"/>
      <c r="BC59" s="285"/>
      <c r="BD59" s="285"/>
      <c r="BE59" s="285"/>
      <c r="BF59" s="285"/>
      <c r="BG59" s="285"/>
      <c r="BH59" s="285"/>
      <c r="BI59" s="285"/>
      <c r="BJ59" s="285"/>
      <c r="BK59" s="285"/>
      <c r="BL59" s="285"/>
      <c r="BM59" s="285"/>
      <c r="BN59" s="285"/>
      <c r="BO59" s="153"/>
      <c r="BP59" s="149"/>
      <c r="BQ59" s="148"/>
      <c r="BR59" s="148"/>
      <c r="BS59" s="153"/>
      <c r="BT59" s="149"/>
      <c r="BU59" s="148"/>
      <c r="BV59" s="148"/>
      <c r="BW59" s="153"/>
      <c r="BX59" s="149"/>
      <c r="BY59" s="148"/>
      <c r="BZ59" s="148"/>
      <c r="CA59" s="148"/>
      <c r="CB59" s="150"/>
      <c r="CC59" s="150"/>
    </row>
    <row r="60" spans="1:88" s="151" customFormat="1" ht="24" x14ac:dyDescent="0.3">
      <c r="A60" s="142"/>
      <c r="B60" s="143" t="s">
        <v>93</v>
      </c>
      <c r="C60" s="552" t="str">
        <f>PEP!C61</f>
        <v>1.2.6</v>
      </c>
      <c r="D60" s="136" t="str">
        <f>PEP!D61</f>
        <v>Sistema de procesamiento, análisis y difusión de datos del Censo desarrollado</v>
      </c>
      <c r="E60" s="160">
        <f>PEP!E61</f>
        <v>370551.52639568225</v>
      </c>
      <c r="F60" s="281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  <c r="BI60" s="160"/>
      <c r="BJ60" s="160"/>
      <c r="BK60" s="160"/>
      <c r="BL60" s="160"/>
      <c r="BM60" s="160"/>
      <c r="BN60" s="160"/>
      <c r="BO60" s="153"/>
      <c r="BP60" s="149"/>
      <c r="BQ60" s="148"/>
      <c r="BR60" s="148"/>
      <c r="BS60" s="153"/>
      <c r="BT60" s="149"/>
      <c r="BU60" s="148"/>
      <c r="BV60" s="148"/>
      <c r="BW60" s="153"/>
      <c r="BX60" s="149"/>
      <c r="BY60" s="148"/>
      <c r="BZ60" s="148"/>
      <c r="CA60" s="148"/>
      <c r="CB60" s="150"/>
      <c r="CC60" s="150"/>
    </row>
    <row r="61" spans="1:88" s="169" customFormat="1" x14ac:dyDescent="0.3">
      <c r="A61" s="163"/>
      <c r="B61" s="164" t="s">
        <v>93</v>
      </c>
      <c r="C61" s="525" t="str">
        <f>PEP!C62</f>
        <v>1.2.6.1</v>
      </c>
      <c r="D61" s="137" t="str">
        <f>PEP!D62</f>
        <v>Administrador de Sistema</v>
      </c>
      <c r="E61" s="283">
        <f>PEP!E62</f>
        <v>18215.550683083151</v>
      </c>
      <c r="F61" s="281"/>
      <c r="G61" s="284"/>
      <c r="H61" s="284"/>
      <c r="I61" s="284"/>
      <c r="J61" s="284"/>
      <c r="K61" s="285"/>
      <c r="L61" s="285"/>
      <c r="M61" s="285"/>
      <c r="N61" s="285"/>
      <c r="O61" s="285"/>
      <c r="P61" s="285"/>
      <c r="Q61" s="285"/>
      <c r="R61" s="285"/>
      <c r="S61" s="285"/>
      <c r="T61" s="286"/>
      <c r="U61" s="286"/>
      <c r="V61" s="287"/>
      <c r="W61" s="287"/>
      <c r="X61" s="287"/>
      <c r="Y61" s="287"/>
      <c r="Z61" s="287"/>
      <c r="AA61" s="287"/>
      <c r="AB61" s="287"/>
      <c r="AC61" s="287"/>
      <c r="AD61" s="287"/>
      <c r="AE61" s="287"/>
      <c r="AF61" s="287"/>
      <c r="AG61" s="287"/>
      <c r="AH61" s="285"/>
      <c r="AI61" s="285"/>
      <c r="AJ61" s="285"/>
      <c r="AK61" s="285"/>
      <c r="AL61" s="285"/>
      <c r="AM61" s="285"/>
      <c r="AN61" s="285"/>
      <c r="AO61" s="285"/>
      <c r="AP61" s="285"/>
      <c r="AQ61" s="285"/>
      <c r="AR61" s="285"/>
      <c r="AS61" s="285"/>
      <c r="AT61" s="285"/>
      <c r="AU61" s="285"/>
      <c r="AV61" s="285"/>
      <c r="AW61" s="285"/>
      <c r="AX61" s="285"/>
      <c r="AY61" s="285"/>
      <c r="AZ61" s="285"/>
      <c r="BA61" s="285"/>
      <c r="BB61" s="285"/>
      <c r="BC61" s="285"/>
      <c r="BD61" s="285"/>
      <c r="BE61" s="285"/>
      <c r="BF61" s="285"/>
      <c r="BG61" s="285"/>
      <c r="BH61" s="285"/>
      <c r="BI61" s="285"/>
      <c r="BJ61" s="285"/>
      <c r="BK61" s="285"/>
      <c r="BL61" s="285"/>
      <c r="BM61" s="285"/>
      <c r="BN61" s="285"/>
      <c r="BO61" s="295"/>
      <c r="BP61" s="167"/>
      <c r="BQ61" s="166"/>
      <c r="BR61" s="166"/>
      <c r="BS61" s="295"/>
      <c r="BT61" s="167"/>
      <c r="BU61" s="166"/>
      <c r="BV61" s="166"/>
      <c r="BW61" s="295"/>
      <c r="BX61" s="167"/>
      <c r="BY61" s="166"/>
      <c r="BZ61" s="166"/>
      <c r="CA61" s="166"/>
      <c r="CB61" s="168"/>
      <c r="CC61" s="168"/>
    </row>
    <row r="62" spans="1:88" s="151" customFormat="1" x14ac:dyDescent="0.3">
      <c r="A62" s="154"/>
      <c r="B62" s="155"/>
      <c r="C62" s="525" t="str">
        <f>PEP!C63</f>
        <v>1.2.6.2</v>
      </c>
      <c r="D62" s="137" t="str">
        <f>PEP!D63</f>
        <v>Administrador de red</v>
      </c>
      <c r="E62" s="283">
        <f>PEP!E63</f>
        <v>18215.550683083151</v>
      </c>
      <c r="F62" s="281"/>
      <c r="G62" s="284"/>
      <c r="H62" s="284"/>
      <c r="I62" s="284"/>
      <c r="J62" s="284"/>
      <c r="K62" s="285"/>
      <c r="L62" s="285"/>
      <c r="M62" s="285"/>
      <c r="N62" s="285"/>
      <c r="O62" s="285"/>
      <c r="P62" s="285"/>
      <c r="Q62" s="285"/>
      <c r="R62" s="285"/>
      <c r="S62" s="285"/>
      <c r="T62" s="286"/>
      <c r="U62" s="286"/>
      <c r="V62" s="287"/>
      <c r="W62" s="287"/>
      <c r="X62" s="287"/>
      <c r="Y62" s="287"/>
      <c r="Z62" s="287"/>
      <c r="AA62" s="287"/>
      <c r="AB62" s="287"/>
      <c r="AC62" s="287"/>
      <c r="AD62" s="287"/>
      <c r="AE62" s="287"/>
      <c r="AF62" s="287"/>
      <c r="AG62" s="287"/>
      <c r="AH62" s="285"/>
      <c r="AI62" s="285"/>
      <c r="AJ62" s="285"/>
      <c r="AK62" s="285"/>
      <c r="AL62" s="285"/>
      <c r="AM62" s="285"/>
      <c r="AN62" s="285"/>
      <c r="AO62" s="285"/>
      <c r="AP62" s="285"/>
      <c r="AQ62" s="285"/>
      <c r="AR62" s="285"/>
      <c r="AS62" s="285"/>
      <c r="AT62" s="285"/>
      <c r="AU62" s="285"/>
      <c r="AV62" s="285"/>
      <c r="AW62" s="285"/>
      <c r="AX62" s="285"/>
      <c r="AY62" s="285"/>
      <c r="AZ62" s="285"/>
      <c r="BA62" s="285"/>
      <c r="BB62" s="285"/>
      <c r="BC62" s="285"/>
      <c r="BD62" s="285"/>
      <c r="BE62" s="285"/>
      <c r="BF62" s="285"/>
      <c r="BG62" s="285"/>
      <c r="BH62" s="285"/>
      <c r="BI62" s="285"/>
      <c r="BJ62" s="285"/>
      <c r="BK62" s="285"/>
      <c r="BL62" s="285"/>
      <c r="BM62" s="285"/>
      <c r="BN62" s="285"/>
      <c r="BO62" s="153"/>
      <c r="BP62" s="149"/>
      <c r="BQ62" s="148"/>
      <c r="BR62" s="148"/>
      <c r="BS62" s="153"/>
      <c r="BT62" s="149"/>
      <c r="BU62" s="148"/>
      <c r="BV62" s="148"/>
      <c r="BW62" s="153"/>
      <c r="BX62" s="149"/>
      <c r="BY62" s="148"/>
      <c r="BZ62" s="148"/>
      <c r="CA62" s="148"/>
      <c r="CB62" s="150"/>
      <c r="CC62" s="150"/>
    </row>
    <row r="63" spans="1:88" s="151" customFormat="1" x14ac:dyDescent="0.3">
      <c r="A63" s="142"/>
      <c r="B63" s="143" t="s">
        <v>91</v>
      </c>
      <c r="C63" s="525" t="str">
        <f>PEP!C64</f>
        <v>1.2.6.3</v>
      </c>
      <c r="D63" s="137" t="str">
        <f>PEP!D64</f>
        <v>Experto en web</v>
      </c>
      <c r="E63" s="283">
        <f>PEP!E64</f>
        <v>18215.550683083151</v>
      </c>
      <c r="F63" s="293"/>
      <c r="G63" s="284"/>
      <c r="H63" s="284"/>
      <c r="I63" s="284"/>
      <c r="J63" s="284"/>
      <c r="K63" s="285"/>
      <c r="L63" s="285"/>
      <c r="M63" s="285"/>
      <c r="N63" s="285"/>
      <c r="O63" s="285"/>
      <c r="P63" s="285"/>
      <c r="Q63" s="285"/>
      <c r="R63" s="285"/>
      <c r="S63" s="285"/>
      <c r="T63" s="286"/>
      <c r="U63" s="286"/>
      <c r="V63" s="287"/>
      <c r="W63" s="287"/>
      <c r="X63" s="287"/>
      <c r="Y63" s="287"/>
      <c r="Z63" s="287"/>
      <c r="AA63" s="287"/>
      <c r="AB63" s="287"/>
      <c r="AC63" s="287"/>
      <c r="AD63" s="287"/>
      <c r="AE63" s="287"/>
      <c r="AF63" s="287"/>
      <c r="AG63" s="287"/>
      <c r="AH63" s="285"/>
      <c r="AI63" s="285"/>
      <c r="AJ63" s="285"/>
      <c r="AK63" s="285"/>
      <c r="AL63" s="285"/>
      <c r="AM63" s="285"/>
      <c r="AN63" s="285"/>
      <c r="AO63" s="285"/>
      <c r="AP63" s="285"/>
      <c r="AQ63" s="285"/>
      <c r="AR63" s="285"/>
      <c r="AS63" s="285"/>
      <c r="AT63" s="285"/>
      <c r="AU63" s="285"/>
      <c r="AV63" s="285"/>
      <c r="AW63" s="285"/>
      <c r="AX63" s="285"/>
      <c r="AY63" s="285"/>
      <c r="AZ63" s="285"/>
      <c r="BA63" s="285"/>
      <c r="BB63" s="285"/>
      <c r="BC63" s="285"/>
      <c r="BD63" s="285"/>
      <c r="BE63" s="285"/>
      <c r="BF63" s="285"/>
      <c r="BG63" s="285"/>
      <c r="BH63" s="285"/>
      <c r="BI63" s="285"/>
      <c r="BJ63" s="285"/>
      <c r="BK63" s="285"/>
      <c r="BL63" s="285"/>
      <c r="BM63" s="285"/>
      <c r="BN63" s="285"/>
      <c r="BO63" s="153"/>
      <c r="BP63" s="149"/>
      <c r="BQ63" s="148"/>
      <c r="BR63" s="148"/>
      <c r="BS63" s="153"/>
      <c r="BT63" s="149"/>
      <c r="BU63" s="148"/>
      <c r="BV63" s="148"/>
      <c r="BW63" s="153"/>
      <c r="BX63" s="149"/>
      <c r="BY63" s="148"/>
      <c r="BZ63" s="148"/>
      <c r="CA63" s="148"/>
      <c r="CB63" s="150"/>
      <c r="CC63" s="150"/>
    </row>
    <row r="64" spans="1:88" s="169" customFormat="1" x14ac:dyDescent="0.3">
      <c r="A64" s="163"/>
      <c r="B64" s="164" t="s">
        <v>91</v>
      </c>
      <c r="C64" s="525" t="str">
        <f>PEP!C65</f>
        <v>1.2.6.4</v>
      </c>
      <c r="D64" s="137" t="str">
        <f>PEP!D65</f>
        <v>Programadores</v>
      </c>
      <c r="E64" s="283">
        <f>PEP!E65</f>
        <v>10119.750379490639</v>
      </c>
      <c r="F64" s="281"/>
      <c r="G64" s="284"/>
      <c r="H64" s="284"/>
      <c r="I64" s="284"/>
      <c r="J64" s="284"/>
      <c r="K64" s="285"/>
      <c r="L64" s="285"/>
      <c r="M64" s="285"/>
      <c r="N64" s="285"/>
      <c r="O64" s="285"/>
      <c r="P64" s="285"/>
      <c r="Q64" s="285"/>
      <c r="R64" s="285"/>
      <c r="S64" s="285"/>
      <c r="T64" s="285"/>
      <c r="U64" s="285"/>
      <c r="V64" s="285"/>
      <c r="W64" s="286"/>
      <c r="X64" s="286"/>
      <c r="Y64" s="287"/>
      <c r="Z64" s="287"/>
      <c r="AA64" s="287"/>
      <c r="AB64" s="287"/>
      <c r="AC64" s="287"/>
      <c r="AD64" s="287"/>
      <c r="AE64" s="285"/>
      <c r="AF64" s="285"/>
      <c r="AG64" s="285"/>
      <c r="AH64" s="285"/>
      <c r="AI64" s="285"/>
      <c r="AJ64" s="285"/>
      <c r="AK64" s="285"/>
      <c r="AL64" s="285"/>
      <c r="AM64" s="285"/>
      <c r="AN64" s="285"/>
      <c r="AO64" s="285"/>
      <c r="AP64" s="285"/>
      <c r="AQ64" s="285"/>
      <c r="AR64" s="285"/>
      <c r="AS64" s="285"/>
      <c r="AT64" s="285"/>
      <c r="AU64" s="285"/>
      <c r="AV64" s="285"/>
      <c r="AW64" s="285"/>
      <c r="AX64" s="285"/>
      <c r="AY64" s="285"/>
      <c r="AZ64" s="285"/>
      <c r="BA64" s="285"/>
      <c r="BB64" s="285"/>
      <c r="BC64" s="285"/>
      <c r="BD64" s="285"/>
      <c r="BE64" s="285"/>
      <c r="BF64" s="285"/>
      <c r="BG64" s="285"/>
      <c r="BH64" s="285"/>
      <c r="BI64" s="285"/>
      <c r="BJ64" s="285"/>
      <c r="BK64" s="285"/>
      <c r="BL64" s="285"/>
      <c r="BM64" s="285"/>
      <c r="BN64" s="285"/>
      <c r="BO64" s="295"/>
      <c r="BP64" s="167"/>
      <c r="BQ64" s="166"/>
      <c r="BR64" s="166"/>
      <c r="BS64" s="295"/>
      <c r="BT64" s="167"/>
      <c r="BU64" s="166"/>
      <c r="BV64" s="166"/>
      <c r="BW64" s="295"/>
      <c r="BX64" s="167"/>
      <c r="BY64" s="166"/>
      <c r="BZ64" s="166"/>
      <c r="CA64" s="166"/>
      <c r="CB64" s="168"/>
      <c r="CC64" s="168"/>
    </row>
    <row r="65" spans="1:81" s="151" customFormat="1" ht="24" x14ac:dyDescent="0.35">
      <c r="A65" s="142"/>
      <c r="B65" s="143" t="s">
        <v>91</v>
      </c>
      <c r="C65" s="561" t="str">
        <f>PEP!C66</f>
        <v>1.2.6.5</v>
      </c>
      <c r="D65" s="138" t="str">
        <f>PEP!D66</f>
        <v>Firma para contratación y gestión del personal para el trabajo de campo</v>
      </c>
      <c r="E65" s="283">
        <f>PEP!E66</f>
        <v>183842.13189407997</v>
      </c>
      <c r="F65" s="281"/>
      <c r="G65" s="284"/>
      <c r="H65" s="284"/>
      <c r="I65" s="284"/>
      <c r="J65" s="284"/>
      <c r="K65" s="284"/>
      <c r="L65" s="286"/>
      <c r="M65" s="286"/>
      <c r="N65" s="286"/>
      <c r="O65" s="286"/>
      <c r="P65" s="286"/>
      <c r="Q65" s="286"/>
      <c r="R65" s="286"/>
      <c r="S65" s="286"/>
      <c r="T65" s="287"/>
      <c r="U65" s="287"/>
      <c r="V65" s="287"/>
      <c r="W65" s="287"/>
      <c r="X65" s="287"/>
      <c r="Y65" s="287"/>
      <c r="Z65" s="287"/>
      <c r="AA65" s="287"/>
      <c r="AB65" s="287"/>
      <c r="AC65" s="287"/>
      <c r="AD65" s="285"/>
      <c r="AE65" s="285"/>
      <c r="AF65" s="285"/>
      <c r="AG65" s="285"/>
      <c r="AH65" s="285"/>
      <c r="AI65" s="285"/>
      <c r="AJ65" s="285"/>
      <c r="AK65" s="285"/>
      <c r="AL65" s="285"/>
      <c r="AM65" s="285"/>
      <c r="AN65" s="285"/>
      <c r="AO65" s="285"/>
      <c r="AP65" s="285"/>
      <c r="AQ65" s="285"/>
      <c r="AR65" s="285"/>
      <c r="AS65" s="285"/>
      <c r="AT65" s="285"/>
      <c r="AU65" s="285"/>
      <c r="AV65" s="285"/>
      <c r="AW65" s="285"/>
      <c r="AX65" s="285"/>
      <c r="AY65" s="285"/>
      <c r="AZ65" s="285"/>
      <c r="BA65" s="285"/>
      <c r="BB65" s="285"/>
      <c r="BC65" s="285"/>
      <c r="BD65" s="285"/>
      <c r="BE65" s="285"/>
      <c r="BF65" s="285"/>
      <c r="BG65" s="285"/>
      <c r="BH65" s="285"/>
      <c r="BI65" s="285"/>
      <c r="BJ65" s="285"/>
      <c r="BK65" s="285"/>
      <c r="BL65" s="285"/>
      <c r="BM65" s="285"/>
      <c r="BN65" s="285"/>
      <c r="BO65" s="149"/>
      <c r="BP65" s="149"/>
      <c r="BQ65" s="148"/>
      <c r="BR65" s="148"/>
      <c r="BS65" s="153"/>
      <c r="BT65" s="149"/>
      <c r="BU65" s="148"/>
      <c r="BV65" s="148"/>
      <c r="BW65" s="153"/>
      <c r="BX65" s="149"/>
      <c r="BY65" s="148"/>
      <c r="BZ65" s="148"/>
      <c r="CA65" s="148"/>
      <c r="CB65" s="150"/>
      <c r="CC65" s="150"/>
    </row>
    <row r="66" spans="1:81" s="151" customFormat="1" x14ac:dyDescent="0.3">
      <c r="A66" s="142"/>
      <c r="B66" s="143" t="s">
        <v>91</v>
      </c>
      <c r="C66" s="525" t="str">
        <f>PEP!C67</f>
        <v>1.2.6.6</v>
      </c>
      <c r="D66" s="137" t="str">
        <f>PEP!D67</f>
        <v>Costo del Servicio</v>
      </c>
      <c r="E66" s="283">
        <f>PEP!E67</f>
        <v>0</v>
      </c>
      <c r="F66" s="293"/>
      <c r="G66" s="284"/>
      <c r="H66" s="284"/>
      <c r="I66" s="284"/>
      <c r="J66" s="284"/>
      <c r="K66" s="285"/>
      <c r="L66" s="285"/>
      <c r="M66" s="285"/>
      <c r="N66" s="285"/>
      <c r="O66" s="285"/>
      <c r="P66" s="285"/>
      <c r="Q66" s="285"/>
      <c r="R66" s="285"/>
      <c r="S66" s="285"/>
      <c r="T66" s="286"/>
      <c r="U66" s="286"/>
      <c r="V66" s="286"/>
      <c r="W66" s="286"/>
      <c r="X66" s="286"/>
      <c r="Y66" s="287"/>
      <c r="Z66" s="287"/>
      <c r="AA66" s="287"/>
      <c r="AB66" s="287"/>
      <c r="AC66" s="284"/>
      <c r="AD66" s="284"/>
      <c r="AE66" s="285"/>
      <c r="AF66" s="285"/>
      <c r="AG66" s="285"/>
      <c r="AH66" s="285"/>
      <c r="AI66" s="285"/>
      <c r="AJ66" s="285"/>
      <c r="AK66" s="285"/>
      <c r="AL66" s="285"/>
      <c r="AM66" s="285"/>
      <c r="AN66" s="285"/>
      <c r="AO66" s="285"/>
      <c r="AP66" s="285"/>
      <c r="AQ66" s="285"/>
      <c r="AR66" s="285"/>
      <c r="AS66" s="285"/>
      <c r="AT66" s="285"/>
      <c r="AU66" s="285"/>
      <c r="AV66" s="285"/>
      <c r="AW66" s="285"/>
      <c r="AX66" s="285"/>
      <c r="AY66" s="285"/>
      <c r="AZ66" s="285"/>
      <c r="BA66" s="285"/>
      <c r="BB66" s="285"/>
      <c r="BC66" s="285"/>
      <c r="BD66" s="285"/>
      <c r="BE66" s="285"/>
      <c r="BF66" s="285"/>
      <c r="BG66" s="285"/>
      <c r="BH66" s="285"/>
      <c r="BI66" s="285"/>
      <c r="BJ66" s="285"/>
      <c r="BK66" s="285"/>
      <c r="BL66" s="285"/>
      <c r="BM66" s="285"/>
      <c r="BN66" s="285"/>
      <c r="BO66" s="149"/>
      <c r="BP66" s="149"/>
      <c r="BQ66" s="148"/>
      <c r="BR66" s="148"/>
      <c r="BS66" s="153"/>
      <c r="BT66" s="149"/>
      <c r="BU66" s="148"/>
      <c r="BV66" s="148"/>
      <c r="BW66" s="153"/>
      <c r="BX66" s="149"/>
      <c r="BY66" s="148"/>
      <c r="BZ66" s="148"/>
      <c r="CA66" s="148"/>
      <c r="CB66" s="150"/>
      <c r="CC66" s="150"/>
    </row>
    <row r="67" spans="1:81" s="151" customFormat="1" x14ac:dyDescent="0.3">
      <c r="A67" s="142"/>
      <c r="B67" s="143" t="s">
        <v>91</v>
      </c>
      <c r="C67" s="539" t="str">
        <f>PEP!C68</f>
        <v>1.2.6.7</v>
      </c>
      <c r="D67" s="139" t="str">
        <f>PEP!D68</f>
        <v>Responsable de puesto de captura</v>
      </c>
      <c r="E67" s="283">
        <f>PEP!E68</f>
        <v>0</v>
      </c>
      <c r="F67" s="292"/>
      <c r="G67" s="284"/>
      <c r="H67" s="284"/>
      <c r="I67" s="284"/>
      <c r="J67" s="284"/>
      <c r="K67" s="285"/>
      <c r="L67" s="285"/>
      <c r="M67" s="285"/>
      <c r="N67" s="285"/>
      <c r="O67" s="285"/>
      <c r="P67" s="285"/>
      <c r="Q67" s="285"/>
      <c r="R67" s="285"/>
      <c r="S67" s="285"/>
      <c r="T67" s="286"/>
      <c r="U67" s="286"/>
      <c r="V67" s="286"/>
      <c r="W67" s="286"/>
      <c r="X67" s="286"/>
      <c r="Y67" s="287"/>
      <c r="Z67" s="287"/>
      <c r="AA67" s="287"/>
      <c r="AB67" s="287"/>
      <c r="AC67" s="284"/>
      <c r="AD67" s="284"/>
      <c r="AE67" s="285"/>
      <c r="AF67" s="285"/>
      <c r="AG67" s="285"/>
      <c r="AH67" s="285"/>
      <c r="AI67" s="285"/>
      <c r="AJ67" s="285"/>
      <c r="AK67" s="285"/>
      <c r="AL67" s="285"/>
      <c r="AM67" s="285"/>
      <c r="AN67" s="285"/>
      <c r="AO67" s="285"/>
      <c r="AP67" s="285"/>
      <c r="AQ67" s="285"/>
      <c r="AR67" s="285"/>
      <c r="AS67" s="285"/>
      <c r="AT67" s="285"/>
      <c r="AU67" s="285"/>
      <c r="AV67" s="285"/>
      <c r="AW67" s="285"/>
      <c r="AX67" s="285"/>
      <c r="AY67" s="285"/>
      <c r="AZ67" s="285"/>
      <c r="BA67" s="285"/>
      <c r="BB67" s="285"/>
      <c r="BC67" s="285"/>
      <c r="BD67" s="285"/>
      <c r="BE67" s="285"/>
      <c r="BF67" s="285"/>
      <c r="BG67" s="285"/>
      <c r="BH67" s="285"/>
      <c r="BI67" s="285"/>
      <c r="BJ67" s="285"/>
      <c r="BK67" s="285"/>
      <c r="BL67" s="285"/>
      <c r="BM67" s="285"/>
      <c r="BN67" s="285"/>
      <c r="BO67" s="153"/>
      <c r="BP67" s="149"/>
      <c r="BQ67" s="148"/>
      <c r="BR67" s="148"/>
      <c r="BS67" s="153"/>
      <c r="BT67" s="149"/>
      <c r="BU67" s="148"/>
      <c r="BV67" s="148"/>
      <c r="BW67" s="153"/>
      <c r="BX67" s="149"/>
      <c r="BY67" s="148"/>
      <c r="BZ67" s="148"/>
      <c r="CA67" s="148"/>
      <c r="CB67" s="150"/>
      <c r="CC67" s="150"/>
    </row>
    <row r="68" spans="1:81" s="151" customFormat="1" x14ac:dyDescent="0.3">
      <c r="A68" s="142"/>
      <c r="B68" s="143" t="s">
        <v>91</v>
      </c>
      <c r="C68" s="525" t="str">
        <f>PEP!C69</f>
        <v>1.2.6.8</v>
      </c>
      <c r="D68" s="137" t="str">
        <f>PEP!D69</f>
        <v>Soporte técnico (puesto de captura y gabinete)</v>
      </c>
      <c r="E68" s="283">
        <f>PEP!E69</f>
        <v>16191.600607185022</v>
      </c>
      <c r="F68" s="292"/>
      <c r="G68" s="284"/>
      <c r="H68" s="284"/>
      <c r="I68" s="284"/>
      <c r="J68" s="284"/>
      <c r="K68" s="285"/>
      <c r="L68" s="285"/>
      <c r="M68" s="285"/>
      <c r="N68" s="285"/>
      <c r="O68" s="285"/>
      <c r="P68" s="285"/>
      <c r="Q68" s="285"/>
      <c r="R68" s="285"/>
      <c r="S68" s="285"/>
      <c r="T68" s="285"/>
      <c r="U68" s="285"/>
      <c r="V68" s="285"/>
      <c r="W68" s="286"/>
      <c r="X68" s="286"/>
      <c r="Y68" s="287"/>
      <c r="Z68" s="287"/>
      <c r="AA68" s="284"/>
      <c r="AB68" s="284"/>
      <c r="AC68" s="284"/>
      <c r="AD68" s="284"/>
      <c r="AE68" s="285"/>
      <c r="AF68" s="285"/>
      <c r="AG68" s="285"/>
      <c r="AH68" s="285"/>
      <c r="AI68" s="285"/>
      <c r="AJ68" s="285"/>
      <c r="AK68" s="285"/>
      <c r="AL68" s="285"/>
      <c r="AM68" s="285"/>
      <c r="AN68" s="285"/>
      <c r="AO68" s="285"/>
      <c r="AP68" s="285"/>
      <c r="AQ68" s="285"/>
      <c r="AR68" s="285"/>
      <c r="AS68" s="285"/>
      <c r="AT68" s="285"/>
      <c r="AU68" s="285"/>
      <c r="AV68" s="285"/>
      <c r="AW68" s="285"/>
      <c r="AX68" s="285"/>
      <c r="AY68" s="285"/>
      <c r="AZ68" s="285"/>
      <c r="BA68" s="285"/>
      <c r="BB68" s="285"/>
      <c r="BC68" s="285"/>
      <c r="BD68" s="285"/>
      <c r="BE68" s="285"/>
      <c r="BF68" s="285"/>
      <c r="BG68" s="285"/>
      <c r="BH68" s="285"/>
      <c r="BI68" s="285"/>
      <c r="BJ68" s="285"/>
      <c r="BK68" s="285"/>
      <c r="BL68" s="285"/>
      <c r="BM68" s="285"/>
      <c r="BN68" s="285"/>
      <c r="BO68" s="153"/>
      <c r="BP68" s="149"/>
      <c r="BQ68" s="148"/>
      <c r="BR68" s="148"/>
      <c r="BS68" s="153"/>
      <c r="BT68" s="149"/>
      <c r="BU68" s="148"/>
      <c r="BV68" s="148"/>
      <c r="BW68" s="153"/>
      <c r="BX68" s="149"/>
      <c r="BY68" s="148"/>
      <c r="BZ68" s="148"/>
      <c r="CA68" s="148"/>
      <c r="CB68" s="150"/>
      <c r="CC68" s="150"/>
    </row>
    <row r="69" spans="1:81" s="151" customFormat="1" x14ac:dyDescent="0.3">
      <c r="A69" s="142"/>
      <c r="B69" s="143" t="s">
        <v>91</v>
      </c>
      <c r="C69" s="525" t="str">
        <f>PEP!C70</f>
        <v>1.2.6.9</v>
      </c>
      <c r="D69" s="137" t="str">
        <f>PEP!D70</f>
        <v>Digitadores y supervisores (de contingencia)</v>
      </c>
      <c r="E69" s="283">
        <f>PEP!E70</f>
        <v>26986.001011975037</v>
      </c>
      <c r="F69" s="292"/>
      <c r="G69" s="284"/>
      <c r="H69" s="284"/>
      <c r="I69" s="284"/>
      <c r="J69" s="284"/>
      <c r="K69" s="285"/>
      <c r="L69" s="285"/>
      <c r="M69" s="285"/>
      <c r="N69" s="285"/>
      <c r="O69" s="285"/>
      <c r="P69" s="285"/>
      <c r="Q69" s="285"/>
      <c r="R69" s="285"/>
      <c r="S69" s="285"/>
      <c r="T69" s="285"/>
      <c r="U69" s="285"/>
      <c r="V69" s="285"/>
      <c r="W69" s="286"/>
      <c r="X69" s="286"/>
      <c r="Y69" s="287"/>
      <c r="Z69" s="287"/>
      <c r="AA69" s="287"/>
      <c r="AB69" s="287"/>
      <c r="AC69" s="287"/>
      <c r="AD69" s="287"/>
      <c r="AE69" s="287"/>
      <c r="AF69" s="284"/>
      <c r="AG69" s="284"/>
      <c r="AH69" s="285"/>
      <c r="AI69" s="285"/>
      <c r="AJ69" s="285"/>
      <c r="AK69" s="285"/>
      <c r="AL69" s="285"/>
      <c r="AM69" s="285"/>
      <c r="AN69" s="285"/>
      <c r="AO69" s="285"/>
      <c r="AP69" s="285"/>
      <c r="AQ69" s="285"/>
      <c r="AR69" s="285"/>
      <c r="AS69" s="285"/>
      <c r="AT69" s="285"/>
      <c r="AU69" s="285"/>
      <c r="AV69" s="285"/>
      <c r="AW69" s="285"/>
      <c r="AX69" s="285"/>
      <c r="AY69" s="285"/>
      <c r="AZ69" s="285"/>
      <c r="BA69" s="285"/>
      <c r="BB69" s="285"/>
      <c r="BC69" s="285"/>
      <c r="BD69" s="285"/>
      <c r="BE69" s="285"/>
      <c r="BF69" s="285"/>
      <c r="BG69" s="285"/>
      <c r="BH69" s="285"/>
      <c r="BI69" s="285"/>
      <c r="BJ69" s="285"/>
      <c r="BK69" s="285"/>
      <c r="BL69" s="285"/>
      <c r="BM69" s="285"/>
      <c r="BN69" s="285"/>
      <c r="BO69" s="153"/>
      <c r="BP69" s="149"/>
      <c r="BQ69" s="148"/>
      <c r="BR69" s="148"/>
      <c r="BS69" s="153"/>
      <c r="BT69" s="149"/>
      <c r="BU69" s="148"/>
      <c r="BV69" s="148"/>
      <c r="BW69" s="153"/>
      <c r="BX69" s="149"/>
      <c r="BY69" s="148"/>
      <c r="BZ69" s="148"/>
      <c r="CA69" s="148"/>
      <c r="CB69" s="150"/>
      <c r="CC69" s="150"/>
    </row>
    <row r="70" spans="1:81" s="151" customFormat="1" x14ac:dyDescent="0.3">
      <c r="A70" s="142"/>
      <c r="B70" s="143" t="s">
        <v>91</v>
      </c>
      <c r="C70" s="525" t="str">
        <f>PEP!C71</f>
        <v>1.2.6.10</v>
      </c>
      <c r="D70" s="137" t="str">
        <f>PEP!D71</f>
        <v>Analistas de datos</v>
      </c>
      <c r="E70" s="283">
        <f>PEP!E71</f>
        <v>24793.388429752067</v>
      </c>
      <c r="F70" s="292"/>
      <c r="G70" s="284"/>
      <c r="H70" s="284"/>
      <c r="I70" s="284"/>
      <c r="J70" s="284"/>
      <c r="K70" s="284"/>
      <c r="L70" s="284"/>
      <c r="M70" s="284"/>
      <c r="N70" s="284"/>
      <c r="O70" s="284"/>
      <c r="P70" s="284"/>
      <c r="Q70" s="284"/>
      <c r="R70" s="284"/>
      <c r="S70" s="284"/>
      <c r="T70" s="284"/>
      <c r="U70" s="284"/>
      <c r="V70" s="284"/>
      <c r="W70" s="286"/>
      <c r="X70" s="286"/>
      <c r="Y70" s="287"/>
      <c r="Z70" s="287"/>
      <c r="AA70" s="287"/>
      <c r="AB70" s="287"/>
      <c r="AC70" s="287"/>
      <c r="AD70" s="284"/>
      <c r="AE70" s="284"/>
      <c r="AF70" s="284"/>
      <c r="AG70" s="284"/>
      <c r="AH70" s="284"/>
      <c r="AI70" s="284"/>
      <c r="AJ70" s="284"/>
      <c r="AK70" s="284"/>
      <c r="AL70" s="284"/>
      <c r="AM70" s="284"/>
      <c r="AN70" s="284"/>
      <c r="AO70" s="284"/>
      <c r="AP70" s="284"/>
      <c r="AQ70" s="284"/>
      <c r="AR70" s="284"/>
      <c r="AS70" s="284"/>
      <c r="AT70" s="284"/>
      <c r="AU70" s="284"/>
      <c r="AV70" s="284"/>
      <c r="AW70" s="284"/>
      <c r="AX70" s="284"/>
      <c r="AY70" s="284"/>
      <c r="AZ70" s="284"/>
      <c r="BA70" s="284"/>
      <c r="BB70" s="284"/>
      <c r="BC70" s="284"/>
      <c r="BD70" s="284"/>
      <c r="BE70" s="284"/>
      <c r="BF70" s="284"/>
      <c r="BG70" s="284"/>
      <c r="BH70" s="284"/>
      <c r="BI70" s="284"/>
      <c r="BJ70" s="284"/>
      <c r="BK70" s="284"/>
      <c r="BL70" s="284"/>
      <c r="BM70" s="284"/>
      <c r="BN70" s="284"/>
      <c r="BO70" s="153"/>
      <c r="BP70" s="149"/>
      <c r="BQ70" s="148"/>
      <c r="BR70" s="148"/>
      <c r="BS70" s="153"/>
      <c r="BT70" s="149"/>
      <c r="BU70" s="148"/>
      <c r="BV70" s="148"/>
      <c r="BW70" s="153"/>
      <c r="BX70" s="149"/>
      <c r="BY70" s="148"/>
      <c r="BZ70" s="148"/>
      <c r="CA70" s="148"/>
      <c r="CB70" s="150"/>
      <c r="CC70" s="150"/>
    </row>
    <row r="71" spans="1:81" s="151" customFormat="1" x14ac:dyDescent="0.3">
      <c r="A71" s="170"/>
      <c r="B71" s="171" t="s">
        <v>91</v>
      </c>
      <c r="C71" s="525" t="str">
        <f>PEP!C72</f>
        <v>1.2.6.11</v>
      </c>
      <c r="D71" s="137" t="str">
        <f>PEP!D72</f>
        <v>Críticos y supervisores</v>
      </c>
      <c r="E71" s="283">
        <f>PEP!E72</f>
        <v>53972.002023950074</v>
      </c>
      <c r="F71" s="292"/>
      <c r="G71" s="284"/>
      <c r="H71" s="284"/>
      <c r="I71" s="284"/>
      <c r="J71" s="284"/>
      <c r="K71" s="284"/>
      <c r="L71" s="284"/>
      <c r="M71" s="284"/>
      <c r="N71" s="284"/>
      <c r="O71" s="284"/>
      <c r="P71" s="284"/>
      <c r="Q71" s="284"/>
      <c r="R71" s="284"/>
      <c r="S71" s="284"/>
      <c r="T71" s="284"/>
      <c r="U71" s="284"/>
      <c r="V71" s="284"/>
      <c r="W71" s="286"/>
      <c r="X71" s="286"/>
      <c r="Y71" s="287"/>
      <c r="Z71" s="287"/>
      <c r="AA71" s="287"/>
      <c r="AB71" s="287"/>
      <c r="AC71" s="287"/>
      <c r="AD71" s="284"/>
      <c r="AE71" s="284"/>
      <c r="AF71" s="284"/>
      <c r="AG71" s="284"/>
      <c r="AH71" s="284"/>
      <c r="AI71" s="284"/>
      <c r="AJ71" s="284"/>
      <c r="AK71" s="284"/>
      <c r="AL71" s="284"/>
      <c r="AM71" s="284"/>
      <c r="AN71" s="284"/>
      <c r="AO71" s="284"/>
      <c r="AP71" s="284"/>
      <c r="AQ71" s="284"/>
      <c r="AR71" s="284"/>
      <c r="AS71" s="284"/>
      <c r="AT71" s="284"/>
      <c r="AU71" s="284"/>
      <c r="AV71" s="284"/>
      <c r="AW71" s="284"/>
      <c r="AX71" s="284"/>
      <c r="AY71" s="284"/>
      <c r="AZ71" s="284"/>
      <c r="BA71" s="284"/>
      <c r="BB71" s="284"/>
      <c r="BC71" s="284"/>
      <c r="BD71" s="284"/>
      <c r="BE71" s="284"/>
      <c r="BF71" s="284"/>
      <c r="BG71" s="284"/>
      <c r="BH71" s="284"/>
      <c r="BI71" s="284"/>
      <c r="BJ71" s="284"/>
      <c r="BK71" s="284"/>
      <c r="BL71" s="284"/>
      <c r="BM71" s="284"/>
      <c r="BN71" s="284"/>
      <c r="BO71" s="153"/>
      <c r="BP71" s="149"/>
      <c r="BQ71" s="148"/>
      <c r="BR71" s="148"/>
      <c r="BS71" s="153"/>
      <c r="BT71" s="149"/>
      <c r="BU71" s="148"/>
      <c r="BV71" s="148"/>
      <c r="BW71" s="153"/>
      <c r="BX71" s="149"/>
      <c r="BY71" s="148"/>
      <c r="BZ71" s="148"/>
      <c r="CA71" s="148"/>
      <c r="CB71" s="150"/>
      <c r="CC71" s="150"/>
    </row>
    <row r="72" spans="1:81" s="151" customFormat="1" ht="24" x14ac:dyDescent="0.3">
      <c r="A72" s="176"/>
      <c r="B72" s="177"/>
      <c r="C72" s="512" t="str">
        <f>PEP!C73</f>
        <v>1.3</v>
      </c>
      <c r="D72" s="51" t="str">
        <f>PEP!D73</f>
        <v>Producto 3: Encuesta post-censal de evaluación realizada</v>
      </c>
      <c r="E72" s="156">
        <f>PEP!E73</f>
        <v>355857</v>
      </c>
      <c r="F72" s="292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  <c r="BI72" s="156"/>
      <c r="BJ72" s="156"/>
      <c r="BK72" s="156"/>
      <c r="BL72" s="156"/>
      <c r="BM72" s="156"/>
      <c r="BN72" s="156"/>
      <c r="BO72" s="149"/>
      <c r="BP72" s="149"/>
      <c r="BQ72" s="148"/>
      <c r="BR72" s="148"/>
      <c r="BS72" s="153"/>
      <c r="BT72" s="149"/>
      <c r="BU72" s="148"/>
      <c r="BV72" s="148"/>
      <c r="BW72" s="153"/>
      <c r="BX72" s="149"/>
      <c r="BY72" s="148"/>
      <c r="BZ72" s="148"/>
      <c r="CA72" s="148"/>
      <c r="CB72" s="150"/>
      <c r="CC72" s="150"/>
    </row>
    <row r="73" spans="1:81" s="151" customFormat="1" x14ac:dyDescent="0.3">
      <c r="A73" s="142"/>
      <c r="B73" s="143"/>
      <c r="C73" s="539" t="str">
        <f>PEP!C74</f>
        <v>1.3.1</v>
      </c>
      <c r="D73" s="137" t="str">
        <f>PEP!D74</f>
        <v>Análisis y evaluación de la cobertura censal</v>
      </c>
      <c r="E73" s="283">
        <f>PEP!E74</f>
        <v>20000</v>
      </c>
      <c r="F73" s="292"/>
      <c r="G73" s="284"/>
      <c r="H73" s="284"/>
      <c r="I73" s="284"/>
      <c r="J73" s="284"/>
      <c r="K73" s="285"/>
      <c r="L73" s="285"/>
      <c r="M73" s="285"/>
      <c r="N73" s="285"/>
      <c r="O73" s="285"/>
      <c r="P73" s="285"/>
      <c r="Q73" s="285"/>
      <c r="R73" s="285"/>
      <c r="S73" s="285"/>
      <c r="T73" s="285"/>
      <c r="U73" s="285"/>
      <c r="V73" s="285"/>
      <c r="W73" s="285"/>
      <c r="X73" s="285"/>
      <c r="Y73" s="286"/>
      <c r="Z73" s="286"/>
      <c r="AA73" s="286"/>
      <c r="AB73" s="286"/>
      <c r="AC73" s="286"/>
      <c r="AD73" s="286"/>
      <c r="AE73" s="287"/>
      <c r="AF73" s="287"/>
      <c r="AG73" s="287"/>
      <c r="AH73" s="284"/>
      <c r="AI73" s="284"/>
      <c r="AJ73" s="284"/>
      <c r="AK73" s="285"/>
      <c r="AL73" s="285"/>
      <c r="AM73" s="285"/>
      <c r="AN73" s="285"/>
      <c r="AO73" s="285"/>
      <c r="AP73" s="285"/>
      <c r="AQ73" s="285"/>
      <c r="AR73" s="285"/>
      <c r="AS73" s="285"/>
      <c r="AT73" s="285"/>
      <c r="AU73" s="285"/>
      <c r="AV73" s="285"/>
      <c r="AW73" s="285"/>
      <c r="AX73" s="285"/>
      <c r="AY73" s="285"/>
      <c r="AZ73" s="285"/>
      <c r="BA73" s="285"/>
      <c r="BB73" s="285"/>
      <c r="BC73" s="285"/>
      <c r="BD73" s="285"/>
      <c r="BE73" s="285"/>
      <c r="BF73" s="285"/>
      <c r="BG73" s="285"/>
      <c r="BH73" s="285"/>
      <c r="BI73" s="285"/>
      <c r="BJ73" s="285"/>
      <c r="BK73" s="285"/>
      <c r="BL73" s="285"/>
      <c r="BM73" s="285"/>
      <c r="BN73" s="285"/>
      <c r="BO73" s="152"/>
      <c r="BP73" s="149"/>
      <c r="BQ73" s="148"/>
      <c r="BR73" s="148"/>
      <c r="BS73" s="152"/>
      <c r="BT73" s="149"/>
      <c r="BU73" s="148"/>
      <c r="BV73" s="148"/>
      <c r="BW73" s="152"/>
      <c r="BX73" s="149"/>
      <c r="BY73" s="148"/>
      <c r="BZ73" s="148"/>
      <c r="CA73" s="148"/>
      <c r="CB73" s="150"/>
      <c r="CC73" s="150"/>
    </row>
    <row r="74" spans="1:81" s="169" customFormat="1" x14ac:dyDescent="0.3">
      <c r="A74" s="172"/>
      <c r="B74" s="173"/>
      <c r="C74" s="539" t="str">
        <f>PEP!C75</f>
        <v>1.3.2</v>
      </c>
      <c r="D74" s="137" t="str">
        <f>PEP!D75</f>
        <v>Evaluación por muestreo de la calidad de los datos</v>
      </c>
      <c r="E74" s="283">
        <f>PEP!E75</f>
        <v>315857</v>
      </c>
      <c r="F74" s="292"/>
      <c r="G74" s="284"/>
      <c r="H74" s="284"/>
      <c r="I74" s="284"/>
      <c r="J74" s="284"/>
      <c r="K74" s="285"/>
      <c r="L74" s="285"/>
      <c r="M74" s="285"/>
      <c r="N74" s="285"/>
      <c r="O74" s="285"/>
      <c r="P74" s="285"/>
      <c r="Q74" s="285"/>
      <c r="R74" s="285"/>
      <c r="S74" s="285"/>
      <c r="T74" s="285"/>
      <c r="U74" s="285"/>
      <c r="V74" s="285"/>
      <c r="W74" s="285"/>
      <c r="X74" s="285"/>
      <c r="Y74" s="286"/>
      <c r="Z74" s="286"/>
      <c r="AA74" s="286"/>
      <c r="AB74" s="286"/>
      <c r="AC74" s="286"/>
      <c r="AD74" s="286"/>
      <c r="AE74" s="287"/>
      <c r="AF74" s="287"/>
      <c r="AG74" s="287"/>
      <c r="AH74" s="284"/>
      <c r="AI74" s="284"/>
      <c r="AJ74" s="284"/>
      <c r="AK74" s="285"/>
      <c r="AL74" s="285"/>
      <c r="AM74" s="285"/>
      <c r="AN74" s="285"/>
      <c r="AO74" s="285"/>
      <c r="AP74" s="285"/>
      <c r="AQ74" s="285"/>
      <c r="AR74" s="285"/>
      <c r="AS74" s="285"/>
      <c r="AT74" s="285"/>
      <c r="AU74" s="285"/>
      <c r="AV74" s="285"/>
      <c r="AW74" s="285"/>
      <c r="AX74" s="285"/>
      <c r="AY74" s="285"/>
      <c r="AZ74" s="285"/>
      <c r="BA74" s="285"/>
      <c r="BB74" s="285"/>
      <c r="BC74" s="285"/>
      <c r="BD74" s="285"/>
      <c r="BE74" s="285"/>
      <c r="BF74" s="285"/>
      <c r="BG74" s="285"/>
      <c r="BH74" s="285"/>
      <c r="BI74" s="285"/>
      <c r="BJ74" s="285"/>
      <c r="BK74" s="285"/>
      <c r="BL74" s="285"/>
      <c r="BM74" s="285"/>
      <c r="BN74" s="285"/>
      <c r="BO74" s="167"/>
      <c r="BP74" s="167"/>
      <c r="BQ74" s="166"/>
      <c r="BR74" s="166"/>
      <c r="BS74" s="174"/>
      <c r="BT74" s="167"/>
      <c r="BU74" s="166"/>
      <c r="BV74" s="166"/>
      <c r="BW74" s="174"/>
      <c r="BX74" s="167"/>
      <c r="BY74" s="166"/>
      <c r="BZ74" s="166"/>
      <c r="CA74" s="166"/>
      <c r="CB74" s="168"/>
      <c r="CC74" s="168"/>
    </row>
    <row r="75" spans="1:81" s="151" customFormat="1" x14ac:dyDescent="0.3">
      <c r="A75" s="142"/>
      <c r="B75" s="143" t="s">
        <v>91</v>
      </c>
      <c r="C75" s="539" t="str">
        <f>PEP!C76</f>
        <v>1.3.3</v>
      </c>
      <c r="D75" s="137" t="str">
        <f>PEP!D76</f>
        <v>Evaluación y documentación del Operativo Censal</v>
      </c>
      <c r="E75" s="283">
        <f>PEP!E76</f>
        <v>20000</v>
      </c>
      <c r="F75" s="292"/>
      <c r="G75" s="284"/>
      <c r="H75" s="284"/>
      <c r="I75" s="284"/>
      <c r="J75" s="284"/>
      <c r="K75" s="285"/>
      <c r="L75" s="285"/>
      <c r="M75" s="285"/>
      <c r="N75" s="285"/>
      <c r="O75" s="285"/>
      <c r="P75" s="285"/>
      <c r="Q75" s="285"/>
      <c r="R75" s="285"/>
      <c r="S75" s="285"/>
      <c r="T75" s="285"/>
      <c r="U75" s="285"/>
      <c r="V75" s="285"/>
      <c r="W75" s="285"/>
      <c r="X75" s="286"/>
      <c r="Y75" s="286"/>
      <c r="Z75" s="286"/>
      <c r="AA75" s="286"/>
      <c r="AB75" s="286"/>
      <c r="AC75" s="286"/>
      <c r="AD75" s="287"/>
      <c r="AE75" s="287"/>
      <c r="AF75" s="287"/>
      <c r="AG75" s="284"/>
      <c r="AH75" s="284"/>
      <c r="AI75" s="284"/>
      <c r="AK75" s="285"/>
      <c r="AL75" s="285"/>
      <c r="AM75" s="285"/>
      <c r="AN75" s="285"/>
      <c r="AO75" s="285"/>
      <c r="AP75" s="285"/>
      <c r="AQ75" s="285"/>
      <c r="AR75" s="285"/>
      <c r="AS75" s="285"/>
      <c r="AT75" s="285"/>
      <c r="AU75" s="285"/>
      <c r="AV75" s="285"/>
      <c r="AW75" s="285"/>
      <c r="AX75" s="285"/>
      <c r="AY75" s="285"/>
      <c r="AZ75" s="285"/>
      <c r="BA75" s="285"/>
      <c r="BB75" s="285"/>
      <c r="BC75" s="285"/>
      <c r="BD75" s="285"/>
      <c r="BE75" s="285"/>
      <c r="BF75" s="285"/>
      <c r="BG75" s="285"/>
      <c r="BH75" s="285"/>
      <c r="BI75" s="285"/>
      <c r="BJ75" s="285"/>
      <c r="BK75" s="285"/>
      <c r="BL75" s="285"/>
      <c r="BM75" s="285"/>
      <c r="BN75" s="285"/>
      <c r="BO75" s="149"/>
      <c r="BP75" s="149"/>
      <c r="BQ75" s="148"/>
      <c r="BR75" s="148"/>
      <c r="BS75" s="153"/>
      <c r="BT75" s="149"/>
      <c r="BU75" s="148"/>
      <c r="BV75" s="148"/>
      <c r="BW75" s="153"/>
      <c r="BX75" s="149"/>
      <c r="BY75" s="148"/>
      <c r="BZ75" s="148"/>
      <c r="CA75" s="148"/>
      <c r="CB75" s="150"/>
      <c r="CC75" s="150"/>
    </row>
    <row r="76" spans="1:81" s="151" customFormat="1" x14ac:dyDescent="0.3">
      <c r="A76" s="142"/>
      <c r="B76" s="143" t="s">
        <v>94</v>
      </c>
      <c r="C76" s="512" t="str">
        <f>PEP!C77</f>
        <v xml:space="preserve">1.4 </v>
      </c>
      <c r="D76" s="50" t="str">
        <f>PEP!D77</f>
        <v>Producto 4: Difusión de resultados realizada</v>
      </c>
      <c r="E76" s="156">
        <f>PEP!E77</f>
        <v>119750.37949063924</v>
      </c>
      <c r="F76" s="293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/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  <c r="BI76" s="156"/>
      <c r="BJ76" s="156"/>
      <c r="BK76" s="156"/>
      <c r="BL76" s="156"/>
      <c r="BM76" s="156"/>
      <c r="BN76" s="156"/>
      <c r="BO76" s="152"/>
      <c r="BP76" s="149"/>
      <c r="BQ76" s="148"/>
      <c r="BR76" s="148"/>
      <c r="BS76" s="152"/>
      <c r="BT76" s="149"/>
      <c r="BU76" s="148"/>
      <c r="BV76" s="148"/>
      <c r="BW76" s="152"/>
      <c r="BX76" s="149"/>
      <c r="BY76" s="148"/>
      <c r="BZ76" s="148"/>
      <c r="CA76" s="148"/>
      <c r="CB76" s="150"/>
      <c r="CC76" s="150"/>
    </row>
    <row r="77" spans="1:81" s="151" customFormat="1" x14ac:dyDescent="0.3">
      <c r="A77" s="142"/>
      <c r="B77" s="143"/>
      <c r="C77" s="525" t="str">
        <f>PEP!C78</f>
        <v>1.4.1</v>
      </c>
      <c r="D77" s="137" t="str">
        <f>PEP!D78</f>
        <v>Sistematización y Análisis</v>
      </c>
      <c r="E77" s="283">
        <f>PEP!E78</f>
        <v>14167.650531286896</v>
      </c>
      <c r="F77" s="292"/>
      <c r="G77" s="284"/>
      <c r="H77" s="284"/>
      <c r="I77" s="284"/>
      <c r="J77" s="284"/>
      <c r="K77" s="285"/>
      <c r="L77" s="285"/>
      <c r="M77" s="285"/>
      <c r="N77" s="285"/>
      <c r="O77" s="285"/>
      <c r="P77" s="285"/>
      <c r="Q77" s="285"/>
      <c r="R77" s="285"/>
      <c r="S77" s="285"/>
      <c r="T77" s="285"/>
      <c r="U77" s="285"/>
      <c r="V77" s="285"/>
      <c r="W77" s="285"/>
      <c r="X77" s="285"/>
      <c r="Y77" s="285"/>
      <c r="Z77" s="285"/>
      <c r="AA77" s="285"/>
      <c r="AB77" s="285"/>
      <c r="AC77" s="286"/>
      <c r="AD77" s="286"/>
      <c r="AE77" s="287"/>
      <c r="AF77" s="287"/>
      <c r="AG77" s="287"/>
      <c r="AH77" s="287"/>
      <c r="AI77" s="287"/>
      <c r="AJ77" s="287"/>
      <c r="AK77" s="285"/>
      <c r="AL77" s="285"/>
      <c r="AM77" s="285"/>
      <c r="AN77" s="285"/>
      <c r="AO77" s="285"/>
      <c r="AP77" s="285"/>
      <c r="AQ77" s="285"/>
      <c r="AR77" s="285"/>
      <c r="AS77" s="285"/>
      <c r="AT77" s="285"/>
      <c r="AU77" s="285"/>
      <c r="AV77" s="285"/>
      <c r="AW77" s="285"/>
      <c r="AX77" s="285"/>
      <c r="AY77" s="285"/>
      <c r="AZ77" s="285"/>
      <c r="BA77" s="285"/>
      <c r="BB77" s="285"/>
      <c r="BC77" s="285"/>
      <c r="BD77" s="285"/>
      <c r="BE77" s="285"/>
      <c r="BF77" s="285"/>
      <c r="BG77" s="285"/>
      <c r="BH77" s="285"/>
      <c r="BI77" s="285"/>
      <c r="BJ77" s="285"/>
      <c r="BK77" s="285"/>
      <c r="BL77" s="285"/>
      <c r="BM77" s="285"/>
      <c r="BN77" s="285"/>
      <c r="BO77" s="149"/>
      <c r="BP77" s="149"/>
      <c r="BQ77" s="148"/>
      <c r="BR77" s="148"/>
      <c r="BS77" s="153"/>
      <c r="BT77" s="149"/>
      <c r="BU77" s="148"/>
      <c r="BV77" s="148"/>
      <c r="BW77" s="153"/>
      <c r="BX77" s="149"/>
      <c r="BY77" s="148"/>
      <c r="BZ77" s="148"/>
      <c r="CA77" s="148"/>
      <c r="CB77" s="150"/>
      <c r="CC77" s="150"/>
    </row>
    <row r="78" spans="1:81" s="169" customFormat="1" x14ac:dyDescent="0.3">
      <c r="A78" s="163"/>
      <c r="B78" s="164"/>
      <c r="C78" s="525" t="str">
        <f>PEP!C79</f>
        <v>1.4.2</v>
      </c>
      <c r="D78" s="137" t="str">
        <f>PEP!D79</f>
        <v>Experto en comunicación de resultados censales</v>
      </c>
      <c r="E78" s="283">
        <f>PEP!E79</f>
        <v>10119.750379490639</v>
      </c>
      <c r="F78" s="292"/>
      <c r="G78" s="284"/>
      <c r="H78" s="284"/>
      <c r="I78" s="284"/>
      <c r="J78" s="284"/>
      <c r="K78" s="285"/>
      <c r="L78" s="285"/>
      <c r="M78" s="285"/>
      <c r="N78" s="285"/>
      <c r="O78" s="285"/>
      <c r="P78" s="285"/>
      <c r="Q78" s="285"/>
      <c r="R78" s="285"/>
      <c r="S78" s="285"/>
      <c r="T78" s="285"/>
      <c r="U78" s="285"/>
      <c r="V78" s="285"/>
      <c r="W78" s="285"/>
      <c r="X78" s="285"/>
      <c r="Y78" s="285"/>
      <c r="Z78" s="285"/>
      <c r="AA78" s="285"/>
      <c r="AB78" s="285"/>
      <c r="AC78" s="151"/>
      <c r="AD78" s="151"/>
      <c r="AE78" s="286"/>
      <c r="AF78" s="286"/>
      <c r="AG78" s="287"/>
      <c r="AH78" s="287"/>
      <c r="AI78" s="287"/>
      <c r="AJ78" s="287"/>
      <c r="AK78" s="287"/>
      <c r="AL78" s="287"/>
      <c r="AM78" s="285"/>
      <c r="AN78" s="285"/>
      <c r="AO78" s="285"/>
      <c r="AP78" s="285"/>
      <c r="AQ78" s="285"/>
      <c r="AR78" s="285"/>
      <c r="AS78" s="285"/>
      <c r="AT78" s="285"/>
      <c r="AU78" s="285"/>
      <c r="AV78" s="285"/>
      <c r="AW78" s="285"/>
      <c r="AX78" s="285"/>
      <c r="AY78" s="285"/>
      <c r="AZ78" s="285"/>
      <c r="BA78" s="285"/>
      <c r="BB78" s="285"/>
      <c r="BC78" s="285"/>
      <c r="BD78" s="285"/>
      <c r="BE78" s="285"/>
      <c r="BF78" s="285"/>
      <c r="BG78" s="285"/>
      <c r="BH78" s="285"/>
      <c r="BI78" s="285"/>
      <c r="BJ78" s="285"/>
      <c r="BK78" s="285"/>
      <c r="BL78" s="285"/>
      <c r="BM78" s="285"/>
      <c r="BN78" s="285"/>
      <c r="BO78" s="167"/>
      <c r="BP78" s="167"/>
      <c r="BQ78" s="166"/>
      <c r="BR78" s="166"/>
      <c r="BS78" s="174"/>
      <c r="BT78" s="167"/>
      <c r="BU78" s="166"/>
      <c r="BV78" s="166"/>
      <c r="BW78" s="174"/>
      <c r="BX78" s="167"/>
      <c r="BY78" s="166"/>
      <c r="BZ78" s="166"/>
      <c r="CA78" s="166"/>
      <c r="CB78" s="168"/>
      <c r="CC78" s="168"/>
    </row>
    <row r="79" spans="1:81" s="151" customFormat="1" x14ac:dyDescent="0.3">
      <c r="A79" s="154"/>
      <c r="B79" s="155"/>
      <c r="C79" s="525" t="str">
        <f>PEP!C80</f>
        <v>1.4.3</v>
      </c>
      <c r="D79" s="137" t="str">
        <f>PEP!D80</f>
        <v>Publicaciones de resultados censales</v>
      </c>
      <c r="E79" s="283">
        <f>PEP!E80</f>
        <v>84331.253162421999</v>
      </c>
      <c r="F79" s="292"/>
      <c r="G79" s="284"/>
      <c r="H79" s="284"/>
      <c r="I79" s="284"/>
      <c r="J79" s="284"/>
      <c r="K79" s="285"/>
      <c r="L79" s="285"/>
      <c r="M79" s="285"/>
      <c r="N79" s="285"/>
      <c r="O79" s="285"/>
      <c r="P79" s="285"/>
      <c r="Q79" s="285"/>
      <c r="R79" s="285"/>
      <c r="S79" s="285"/>
      <c r="T79" s="285"/>
      <c r="U79" s="285"/>
      <c r="V79" s="285"/>
      <c r="W79" s="285"/>
      <c r="X79" s="285"/>
      <c r="Y79" s="285"/>
      <c r="Z79" s="285"/>
      <c r="AA79" s="285"/>
      <c r="AB79" s="285"/>
      <c r="AC79" s="285"/>
      <c r="AD79" s="285"/>
      <c r="AE79" s="285"/>
      <c r="AF79" s="285"/>
      <c r="AG79" s="286"/>
      <c r="AH79" s="286"/>
      <c r="AI79" s="286"/>
      <c r="AJ79" s="286"/>
      <c r="AK79" s="287"/>
      <c r="AL79" s="287"/>
      <c r="AM79" s="287"/>
      <c r="AN79" s="285"/>
      <c r="AO79" s="285"/>
      <c r="AP79" s="285"/>
      <c r="AQ79" s="285"/>
      <c r="AR79" s="285"/>
      <c r="AS79" s="285"/>
      <c r="AT79" s="285"/>
      <c r="AU79" s="285"/>
      <c r="AV79" s="285"/>
      <c r="AW79" s="285"/>
      <c r="AX79" s="285"/>
      <c r="AY79" s="285"/>
      <c r="AZ79" s="285"/>
      <c r="BA79" s="285"/>
      <c r="BB79" s="285"/>
      <c r="BC79" s="285"/>
      <c r="BD79" s="285"/>
      <c r="BE79" s="285"/>
      <c r="BF79" s="285"/>
      <c r="BG79" s="285"/>
      <c r="BH79" s="285"/>
      <c r="BI79" s="285"/>
      <c r="BJ79" s="285"/>
      <c r="BK79" s="285"/>
      <c r="BL79" s="285"/>
      <c r="BM79" s="285"/>
      <c r="BN79" s="285"/>
      <c r="BO79" s="149"/>
      <c r="BP79" s="149"/>
      <c r="BQ79" s="149"/>
      <c r="BR79" s="149"/>
      <c r="BS79" s="153"/>
      <c r="BT79" s="149"/>
      <c r="BU79" s="148"/>
      <c r="BV79" s="148"/>
      <c r="BW79" s="153"/>
      <c r="BX79" s="149"/>
      <c r="BY79" s="148"/>
      <c r="BZ79" s="148"/>
      <c r="CA79" s="148"/>
      <c r="CB79" s="150"/>
      <c r="CC79" s="150"/>
    </row>
    <row r="80" spans="1:81" s="151" customFormat="1" ht="24" x14ac:dyDescent="0.3">
      <c r="A80" s="142"/>
      <c r="B80" s="143" t="s">
        <v>91</v>
      </c>
      <c r="C80" s="525" t="str">
        <f>PEP!C81</f>
        <v>1.4.4</v>
      </c>
      <c r="D80" s="137" t="str">
        <f>PEP!D81</f>
        <v>Experto en diseño e implementación de la base de datos</v>
      </c>
      <c r="E80" s="283">
        <f>PEP!E81</f>
        <v>7083.8252656434479</v>
      </c>
      <c r="F80" s="292"/>
      <c r="G80" s="284"/>
      <c r="H80" s="284"/>
      <c r="I80" s="284"/>
      <c r="J80" s="284"/>
      <c r="K80" s="285"/>
      <c r="L80" s="285"/>
      <c r="M80" s="285"/>
      <c r="N80" s="285"/>
      <c r="O80" s="285"/>
      <c r="P80" s="285"/>
      <c r="Q80" s="285"/>
      <c r="R80" s="285"/>
      <c r="S80" s="285"/>
      <c r="T80" s="285"/>
      <c r="U80" s="285"/>
      <c r="V80" s="285"/>
      <c r="W80" s="285"/>
      <c r="X80" s="285"/>
      <c r="Y80" s="285"/>
      <c r="Z80" s="285"/>
      <c r="AA80" s="285"/>
      <c r="AB80" s="285"/>
      <c r="AC80" s="285"/>
      <c r="AD80" s="285"/>
      <c r="AE80" s="286"/>
      <c r="AF80" s="286"/>
      <c r="AG80" s="302"/>
      <c r="AH80" s="287"/>
      <c r="AI80" s="287"/>
      <c r="AJ80" s="285"/>
      <c r="AK80" s="285"/>
      <c r="AL80" s="285"/>
      <c r="AM80" s="285"/>
      <c r="AN80" s="285"/>
      <c r="AO80" s="285"/>
      <c r="AP80" s="285"/>
      <c r="AQ80" s="285"/>
      <c r="AR80" s="285"/>
      <c r="AS80" s="285"/>
      <c r="AT80" s="285"/>
      <c r="AU80" s="285"/>
      <c r="AV80" s="285"/>
      <c r="AW80" s="285"/>
      <c r="AX80" s="285"/>
      <c r="AY80" s="285"/>
      <c r="AZ80" s="285"/>
      <c r="BA80" s="285"/>
      <c r="BB80" s="285"/>
      <c r="BC80" s="285"/>
      <c r="BD80" s="285"/>
      <c r="BE80" s="285"/>
      <c r="BF80" s="285"/>
      <c r="BG80" s="285"/>
      <c r="BH80" s="285"/>
      <c r="BI80" s="285"/>
      <c r="BJ80" s="285"/>
      <c r="BK80" s="285"/>
      <c r="BL80" s="285"/>
      <c r="BM80" s="285"/>
      <c r="BN80" s="285"/>
      <c r="BO80" s="149"/>
      <c r="BP80" s="149"/>
      <c r="BQ80" s="148"/>
      <c r="BR80" s="148"/>
      <c r="BS80" s="153"/>
      <c r="BT80" s="149"/>
      <c r="BU80" s="148"/>
      <c r="BV80" s="148"/>
      <c r="BW80" s="153"/>
      <c r="BX80" s="149"/>
      <c r="BY80" s="148"/>
      <c r="BZ80" s="148"/>
      <c r="CA80" s="148"/>
      <c r="CB80" s="150"/>
      <c r="CC80" s="150"/>
    </row>
    <row r="81" spans="1:81" s="151" customFormat="1" ht="24" x14ac:dyDescent="0.3">
      <c r="A81" s="290"/>
      <c r="B81" s="291"/>
      <c r="C81" s="525" t="str">
        <f>PEP!C82</f>
        <v>1.4.5</v>
      </c>
      <c r="D81" s="137" t="str">
        <f>PEP!D82</f>
        <v>Asistente para Diseño e implementación de la base de datos</v>
      </c>
      <c r="E81" s="283">
        <f>PEP!E82</f>
        <v>4047.9001517962556</v>
      </c>
      <c r="F81" s="293"/>
      <c r="G81" s="284"/>
      <c r="H81" s="284"/>
      <c r="I81" s="284"/>
      <c r="J81" s="284"/>
      <c r="K81" s="285"/>
      <c r="L81" s="285"/>
      <c r="M81" s="285"/>
      <c r="N81" s="285"/>
      <c r="O81" s="285"/>
      <c r="P81" s="285"/>
      <c r="Q81" s="285"/>
      <c r="R81" s="285"/>
      <c r="S81" s="285"/>
      <c r="T81" s="285"/>
      <c r="U81" s="285"/>
      <c r="V81" s="285"/>
      <c r="W81" s="285"/>
      <c r="X81" s="285"/>
      <c r="Y81" s="285"/>
      <c r="Z81" s="285"/>
      <c r="AA81" s="285"/>
      <c r="AB81" s="285"/>
      <c r="AC81" s="285"/>
      <c r="AD81" s="285"/>
      <c r="AE81" s="286"/>
      <c r="AF81" s="286"/>
      <c r="AG81" s="302"/>
      <c r="AH81" s="287"/>
      <c r="AI81" s="287"/>
      <c r="AJ81" s="285"/>
      <c r="AK81" s="285"/>
      <c r="AL81" s="285"/>
      <c r="AM81" s="285"/>
      <c r="AN81" s="285"/>
      <c r="AO81" s="285"/>
      <c r="AP81" s="285"/>
      <c r="AQ81" s="285"/>
      <c r="AR81" s="285"/>
      <c r="AS81" s="285"/>
      <c r="AT81" s="285"/>
      <c r="AU81" s="285"/>
      <c r="AV81" s="285"/>
      <c r="AW81" s="285"/>
      <c r="AX81" s="285"/>
      <c r="AY81" s="285"/>
      <c r="AZ81" s="285"/>
      <c r="BA81" s="285"/>
      <c r="BB81" s="285"/>
      <c r="BC81" s="285"/>
      <c r="BD81" s="285"/>
      <c r="BE81" s="285"/>
      <c r="BF81" s="285"/>
      <c r="BG81" s="285"/>
      <c r="BH81" s="285"/>
      <c r="BI81" s="285"/>
      <c r="BJ81" s="285"/>
      <c r="BK81" s="285"/>
      <c r="BL81" s="285"/>
      <c r="BM81" s="285"/>
      <c r="BN81" s="285"/>
      <c r="BO81" s="149"/>
      <c r="BP81" s="149"/>
      <c r="BQ81" s="148"/>
      <c r="BR81" s="148"/>
      <c r="BS81" s="153"/>
      <c r="BT81" s="149"/>
      <c r="BU81" s="148"/>
      <c r="BV81" s="148"/>
      <c r="BW81" s="153"/>
      <c r="BX81" s="149"/>
      <c r="BY81" s="148"/>
      <c r="BZ81" s="148"/>
      <c r="CA81" s="148"/>
      <c r="CB81" s="150"/>
      <c r="CC81" s="150"/>
    </row>
    <row r="82" spans="1:81" s="11" customFormat="1" ht="24" x14ac:dyDescent="0.3">
      <c r="A82" s="29"/>
      <c r="B82" s="30"/>
      <c r="C82" s="505">
        <f>PEP!C83</f>
        <v>2</v>
      </c>
      <c r="D82" s="48" t="str">
        <f>PEP!D83</f>
        <v>Componente 2 - Fortalecimiento Institucional de las entidades del sistema de estadísticas agropecuarias</v>
      </c>
      <c r="E82" s="47">
        <f>PEP!E83</f>
        <v>3669420.1354359938</v>
      </c>
      <c r="F82" s="46">
        <f>E82/$E$130</f>
        <v>0.24462801415625593</v>
      </c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17"/>
      <c r="BP82" s="17"/>
      <c r="BQ82" s="16"/>
      <c r="BR82" s="16"/>
      <c r="BS82" s="18"/>
      <c r="BT82" s="17"/>
      <c r="BU82" s="16"/>
      <c r="BV82" s="16"/>
      <c r="BW82" s="18"/>
      <c r="BX82" s="17"/>
      <c r="BY82" s="16"/>
      <c r="BZ82" s="16"/>
      <c r="CA82" s="16"/>
      <c r="CB82" s="12"/>
      <c r="CC82" s="12"/>
    </row>
    <row r="83" spans="1:81" s="151" customFormat="1" ht="24" x14ac:dyDescent="0.3">
      <c r="A83" s="142"/>
      <c r="B83" s="143"/>
      <c r="C83" s="512" t="str">
        <f>PEP!C84</f>
        <v>2.1</v>
      </c>
      <c r="D83" s="50" t="str">
        <f>PEP!D84</f>
        <v xml:space="preserve">Producto 5: Técnicos capacitados en generación información estadística </v>
      </c>
      <c r="E83" s="156">
        <f>PEP!E84</f>
        <v>2581682.5742958346</v>
      </c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  <c r="AC83" s="156"/>
      <c r="AD83" s="156"/>
      <c r="AE83" s="156"/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  <c r="BI83" s="156"/>
      <c r="BJ83" s="156"/>
      <c r="BK83" s="156"/>
      <c r="BL83" s="156"/>
      <c r="BM83" s="156"/>
      <c r="BN83" s="156"/>
      <c r="BO83" s="148"/>
      <c r="BP83" s="149"/>
      <c r="BQ83" s="148"/>
      <c r="BR83" s="148"/>
      <c r="BS83" s="148"/>
      <c r="BT83" s="149"/>
      <c r="BU83" s="148"/>
      <c r="BV83" s="148"/>
      <c r="BW83" s="148"/>
      <c r="BX83" s="149"/>
      <c r="BY83" s="148"/>
      <c r="BZ83" s="148"/>
      <c r="CA83" s="148"/>
      <c r="CB83" s="150"/>
      <c r="CC83" s="150"/>
    </row>
    <row r="84" spans="1:81" s="169" customFormat="1" ht="24" x14ac:dyDescent="0.3">
      <c r="A84" s="172"/>
      <c r="B84" s="173"/>
      <c r="C84" s="552" t="str">
        <f>PEP!C85</f>
        <v>2.1.1</v>
      </c>
      <c r="D84" s="136" t="str">
        <f>PEP!D85</f>
        <v>Buenas practicas para el Censo Agrario formuladas</v>
      </c>
      <c r="E84" s="160">
        <f>PEP!E85</f>
        <v>70000</v>
      </c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60"/>
      <c r="Z84" s="160"/>
      <c r="AA84" s="160"/>
      <c r="AB84" s="160"/>
      <c r="AC84" s="160"/>
      <c r="AD84" s="160"/>
      <c r="AE84" s="160"/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  <c r="BI84" s="160"/>
      <c r="BJ84" s="160"/>
      <c r="BK84" s="160"/>
      <c r="BL84" s="160"/>
      <c r="BM84" s="160"/>
      <c r="BN84" s="160"/>
      <c r="BO84" s="295"/>
      <c r="BP84" s="167"/>
      <c r="BQ84" s="166"/>
      <c r="BR84" s="166"/>
      <c r="BS84" s="295"/>
      <c r="BT84" s="167"/>
      <c r="BU84" s="166"/>
      <c r="BV84" s="166"/>
      <c r="BW84" s="174"/>
      <c r="BX84" s="167"/>
      <c r="BY84" s="166"/>
      <c r="BZ84" s="166"/>
      <c r="CA84" s="166"/>
      <c r="CB84" s="168"/>
      <c r="CC84" s="168"/>
    </row>
    <row r="85" spans="1:81" s="151" customFormat="1" ht="24" x14ac:dyDescent="0.3">
      <c r="A85" s="142"/>
      <c r="B85" s="143" t="s">
        <v>93</v>
      </c>
      <c r="C85" s="525" t="str">
        <f>PEP!C86</f>
        <v>2.1.1.1</v>
      </c>
      <c r="D85" s="132" t="str">
        <f>PEP!D86</f>
        <v>Experto en programación en plataforma CSpro con aplicación a Tablet</v>
      </c>
      <c r="E85" s="284">
        <f>PEP!E86</f>
        <v>25000</v>
      </c>
      <c r="F85" s="292"/>
      <c r="G85" s="283"/>
      <c r="H85" s="284"/>
      <c r="I85" s="283"/>
      <c r="J85" s="286"/>
      <c r="K85" s="287"/>
      <c r="L85" s="287"/>
      <c r="M85" s="287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285"/>
      <c r="AQ85" s="285"/>
      <c r="AR85" s="285"/>
      <c r="AS85" s="285"/>
      <c r="AT85" s="285"/>
      <c r="AU85" s="285"/>
      <c r="AV85" s="285"/>
      <c r="AW85" s="285"/>
      <c r="AX85" s="285"/>
      <c r="AY85" s="285"/>
      <c r="AZ85" s="285"/>
      <c r="BA85" s="285"/>
      <c r="BB85" s="285"/>
      <c r="BC85" s="285"/>
      <c r="BD85" s="285"/>
      <c r="BE85" s="285"/>
      <c r="BF85" s="285"/>
      <c r="BG85" s="285"/>
      <c r="BH85" s="285"/>
      <c r="BI85" s="285"/>
      <c r="BJ85" s="285"/>
      <c r="BK85" s="285"/>
      <c r="BL85" s="285"/>
      <c r="BM85" s="285"/>
      <c r="BN85" s="285"/>
      <c r="BO85" s="153"/>
      <c r="BP85" s="149"/>
      <c r="BQ85" s="148"/>
      <c r="BR85" s="148"/>
      <c r="BS85" s="153"/>
      <c r="BT85" s="149"/>
      <c r="BU85" s="148"/>
      <c r="BV85" s="148"/>
      <c r="BW85" s="153"/>
      <c r="BX85" s="149"/>
      <c r="BY85" s="148"/>
      <c r="BZ85" s="148"/>
      <c r="CA85" s="148"/>
      <c r="CB85" s="150"/>
      <c r="CC85" s="150"/>
    </row>
    <row r="86" spans="1:81" s="151" customFormat="1" ht="24" x14ac:dyDescent="0.3">
      <c r="A86" s="161"/>
      <c r="B86" s="143"/>
      <c r="C86" s="525" t="str">
        <f>PEP!C87</f>
        <v>2.1.1.2</v>
      </c>
      <c r="D86" s="132" t="str">
        <f>PEP!D87</f>
        <v>DCEA capacitada y equipada para producción de estadísticas</v>
      </c>
      <c r="E86" s="284">
        <f>PEP!E87</f>
        <v>15000</v>
      </c>
      <c r="F86" s="281"/>
      <c r="G86" s="283"/>
      <c r="H86" s="284"/>
      <c r="I86" s="283"/>
      <c r="J86" s="286"/>
      <c r="K86" s="287"/>
      <c r="L86" s="287"/>
      <c r="M86" s="287"/>
      <c r="N86" s="285"/>
      <c r="O86" s="285"/>
      <c r="P86" s="285"/>
      <c r="Q86" s="285"/>
      <c r="R86" s="285"/>
      <c r="S86" s="285"/>
      <c r="T86" s="285"/>
      <c r="U86" s="285"/>
      <c r="V86" s="285"/>
      <c r="W86" s="285"/>
      <c r="X86" s="285"/>
      <c r="Y86" s="285"/>
      <c r="Z86" s="285"/>
      <c r="AA86" s="285"/>
      <c r="AB86" s="285"/>
      <c r="AC86" s="285"/>
      <c r="AD86" s="285"/>
      <c r="AE86" s="285"/>
      <c r="AF86" s="285"/>
      <c r="AG86" s="285"/>
      <c r="AH86" s="285"/>
      <c r="AI86" s="285"/>
      <c r="AJ86" s="285"/>
      <c r="AK86" s="285"/>
      <c r="AL86" s="285"/>
      <c r="AM86" s="285"/>
      <c r="AN86" s="285"/>
      <c r="AO86" s="285"/>
      <c r="AP86" s="285"/>
      <c r="AQ86" s="285"/>
      <c r="AR86" s="285"/>
      <c r="AS86" s="285"/>
      <c r="AT86" s="285"/>
      <c r="AU86" s="285"/>
      <c r="AV86" s="285"/>
      <c r="AW86" s="285"/>
      <c r="AX86" s="285"/>
      <c r="AY86" s="285"/>
      <c r="AZ86" s="285"/>
      <c r="BA86" s="285"/>
      <c r="BB86" s="285"/>
      <c r="BC86" s="285"/>
      <c r="BD86" s="285"/>
      <c r="BE86" s="285"/>
      <c r="BF86" s="285"/>
      <c r="BG86" s="285"/>
      <c r="BH86" s="285"/>
      <c r="BI86" s="285"/>
      <c r="BJ86" s="285"/>
      <c r="BK86" s="285"/>
      <c r="BL86" s="285"/>
      <c r="BM86" s="285"/>
      <c r="BN86" s="285"/>
      <c r="BO86" s="153"/>
      <c r="BP86" s="149"/>
      <c r="BQ86" s="148"/>
      <c r="BR86" s="148"/>
      <c r="BS86" s="153"/>
      <c r="BT86" s="149"/>
      <c r="BU86" s="148"/>
      <c r="BV86" s="148"/>
      <c r="BW86" s="153"/>
      <c r="BX86" s="149"/>
      <c r="BY86" s="148"/>
      <c r="BZ86" s="148"/>
      <c r="CA86" s="148"/>
      <c r="CB86" s="150"/>
      <c r="CC86" s="150"/>
    </row>
    <row r="87" spans="1:81" s="151" customFormat="1" ht="24" x14ac:dyDescent="0.3">
      <c r="A87" s="162"/>
      <c r="B87" s="143"/>
      <c r="C87" s="525" t="str">
        <f>PEP!C88</f>
        <v>2.1.1.3</v>
      </c>
      <c r="D87" s="132" t="str">
        <f>PEP!D88</f>
        <v>Experto en transmisión de datos vía web y monitoreo informático de cobertura censal</v>
      </c>
      <c r="E87" s="284">
        <f>PEP!E88</f>
        <v>15000</v>
      </c>
      <c r="F87" s="281"/>
      <c r="G87" s="283"/>
      <c r="H87" s="283"/>
      <c r="I87" s="283"/>
      <c r="J87" s="283"/>
      <c r="K87" s="283"/>
      <c r="L87" s="283"/>
      <c r="M87" s="284"/>
      <c r="N87" s="284"/>
      <c r="O87" s="284"/>
      <c r="P87" s="284"/>
      <c r="Q87" s="284"/>
      <c r="R87" s="286"/>
      <c r="S87" s="287"/>
      <c r="T87" s="287"/>
      <c r="U87" s="287"/>
      <c r="V87" s="285"/>
      <c r="W87" s="285"/>
      <c r="X87" s="285"/>
      <c r="Y87" s="285"/>
      <c r="Z87" s="285"/>
      <c r="AA87" s="285"/>
      <c r="AB87" s="285"/>
      <c r="AC87" s="285"/>
      <c r="AD87" s="285"/>
      <c r="AE87" s="285"/>
      <c r="AF87" s="285"/>
      <c r="AG87" s="285"/>
      <c r="AH87" s="285"/>
      <c r="AI87" s="285"/>
      <c r="AJ87" s="285"/>
      <c r="AK87" s="285"/>
      <c r="AL87" s="285"/>
      <c r="AM87" s="285"/>
      <c r="AN87" s="285"/>
      <c r="AO87" s="285"/>
      <c r="AP87" s="285"/>
      <c r="AQ87" s="285"/>
      <c r="AR87" s="285"/>
      <c r="AS87" s="285"/>
      <c r="AT87" s="285"/>
      <c r="AU87" s="285"/>
      <c r="AV87" s="285"/>
      <c r="AW87" s="285"/>
      <c r="AX87" s="285"/>
      <c r="AY87" s="285"/>
      <c r="AZ87" s="285"/>
      <c r="BA87" s="285"/>
      <c r="BB87" s="285"/>
      <c r="BC87" s="285"/>
      <c r="BD87" s="285"/>
      <c r="BE87" s="285"/>
      <c r="BF87" s="285"/>
      <c r="BG87" s="285"/>
      <c r="BH87" s="285"/>
      <c r="BI87" s="285"/>
      <c r="BJ87" s="285"/>
      <c r="BK87" s="285"/>
      <c r="BL87" s="285"/>
      <c r="BM87" s="285"/>
      <c r="BN87" s="285"/>
      <c r="BO87" s="153"/>
      <c r="BP87" s="149"/>
      <c r="BQ87" s="148"/>
      <c r="BR87" s="148"/>
      <c r="BS87" s="153"/>
      <c r="BT87" s="149"/>
      <c r="BU87" s="148"/>
      <c r="BV87" s="148"/>
      <c r="BW87" s="153"/>
      <c r="BX87" s="149"/>
      <c r="BY87" s="148"/>
      <c r="BZ87" s="148"/>
      <c r="CA87" s="148"/>
      <c r="CB87" s="150"/>
      <c r="CC87" s="150"/>
    </row>
    <row r="88" spans="1:81" s="169" customFormat="1" x14ac:dyDescent="0.3">
      <c r="A88" s="163"/>
      <c r="B88" s="164" t="s">
        <v>94</v>
      </c>
      <c r="C88" s="525" t="str">
        <f>PEP!C89</f>
        <v>2.1.1.4</v>
      </c>
      <c r="D88" s="132" t="str">
        <f>PEP!D89</f>
        <v>Experto en gestión de base de datos</v>
      </c>
      <c r="E88" s="284">
        <f>PEP!E89</f>
        <v>15000</v>
      </c>
      <c r="F88" s="281"/>
      <c r="G88" s="283"/>
      <c r="H88" s="283"/>
      <c r="I88" s="283"/>
      <c r="J88" s="283"/>
      <c r="K88" s="285"/>
      <c r="L88" s="285"/>
      <c r="M88" s="284"/>
      <c r="N88" s="284"/>
      <c r="O88" s="284"/>
      <c r="P88" s="284"/>
      <c r="Q88" s="284"/>
      <c r="R88" s="286"/>
      <c r="S88" s="287"/>
      <c r="T88" s="287"/>
      <c r="U88" s="287"/>
      <c r="V88" s="285"/>
      <c r="W88" s="285"/>
      <c r="X88" s="285"/>
      <c r="Y88" s="285"/>
      <c r="Z88" s="285"/>
      <c r="AA88" s="285"/>
      <c r="AB88" s="285"/>
      <c r="AC88" s="285"/>
      <c r="AD88" s="285"/>
      <c r="AE88" s="285"/>
      <c r="AF88" s="285"/>
      <c r="AG88" s="285"/>
      <c r="AH88" s="285"/>
      <c r="AI88" s="285"/>
      <c r="AJ88" s="285"/>
      <c r="AK88" s="285"/>
      <c r="AL88" s="285"/>
      <c r="AM88" s="285"/>
      <c r="AN88" s="285"/>
      <c r="AO88" s="285"/>
      <c r="AP88" s="285"/>
      <c r="AQ88" s="285"/>
      <c r="AR88" s="285"/>
      <c r="AS88" s="285"/>
      <c r="AT88" s="285"/>
      <c r="AU88" s="285"/>
      <c r="AV88" s="285"/>
      <c r="AW88" s="285"/>
      <c r="AX88" s="285"/>
      <c r="AY88" s="285"/>
      <c r="AZ88" s="285"/>
      <c r="BA88" s="285"/>
      <c r="BB88" s="285"/>
      <c r="BC88" s="285"/>
      <c r="BD88" s="285"/>
      <c r="BE88" s="285"/>
      <c r="BF88" s="285"/>
      <c r="BG88" s="285"/>
      <c r="BH88" s="285"/>
      <c r="BI88" s="285"/>
      <c r="BJ88" s="285"/>
      <c r="BK88" s="285"/>
      <c r="BL88" s="285"/>
      <c r="BM88" s="285"/>
      <c r="BN88" s="285"/>
      <c r="BO88" s="174"/>
      <c r="BP88" s="167"/>
      <c r="BQ88" s="166"/>
      <c r="BR88" s="166"/>
      <c r="BS88" s="174"/>
      <c r="BT88" s="167"/>
      <c r="BU88" s="166"/>
      <c r="BV88" s="166"/>
      <c r="BW88" s="174"/>
      <c r="BX88" s="167"/>
      <c r="BY88" s="166"/>
      <c r="BZ88" s="166"/>
      <c r="CA88" s="166"/>
      <c r="CB88" s="168"/>
      <c r="CC88" s="168"/>
    </row>
    <row r="89" spans="1:81" s="151" customFormat="1" ht="24" x14ac:dyDescent="0.3">
      <c r="A89" s="154"/>
      <c r="B89" s="155"/>
      <c r="C89" s="552" t="str">
        <f>PEP!C90</f>
        <v>2.1.2</v>
      </c>
      <c r="D89" s="136" t="str">
        <f>PEP!D90</f>
        <v>Conocimiento de experiencias censales en otros países de la región adquiridas</v>
      </c>
      <c r="E89" s="160">
        <f>PEP!E90</f>
        <v>65419.126328217237</v>
      </c>
      <c r="F89" s="281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60"/>
      <c r="Z89" s="160"/>
      <c r="AA89" s="160"/>
      <c r="AB89" s="160"/>
      <c r="AC89" s="160"/>
      <c r="AD89" s="160"/>
      <c r="AE89" s="160"/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  <c r="BI89" s="160"/>
      <c r="BJ89" s="160"/>
      <c r="BK89" s="160"/>
      <c r="BL89" s="160"/>
      <c r="BM89" s="160"/>
      <c r="BN89" s="160"/>
      <c r="BO89" s="153"/>
      <c r="BP89" s="149"/>
      <c r="BQ89" s="148"/>
      <c r="BR89" s="148"/>
      <c r="BS89" s="153"/>
      <c r="BT89" s="149"/>
      <c r="BU89" s="148"/>
      <c r="BV89" s="148"/>
      <c r="BW89" s="153"/>
      <c r="BX89" s="149"/>
      <c r="BY89" s="148"/>
      <c r="BZ89" s="148"/>
      <c r="CA89" s="148"/>
      <c r="CB89" s="150"/>
      <c r="CC89" s="150"/>
    </row>
    <row r="90" spans="1:81" s="151" customFormat="1" ht="36" x14ac:dyDescent="0.3">
      <c r="A90" s="154"/>
      <c r="B90" s="155"/>
      <c r="C90" s="525" t="str">
        <f>PEP!C91</f>
        <v>2.1.2.1</v>
      </c>
      <c r="D90" s="132" t="str">
        <f>PEP!D91</f>
        <v>Experto en áreas temáticas de censos agropecuarios con aplicación de dispositivos móviles de captura (Tablet)</v>
      </c>
      <c r="E90" s="284">
        <f>PEP!E91</f>
        <v>30000</v>
      </c>
      <c r="F90" s="281"/>
      <c r="G90" s="283"/>
      <c r="H90" s="284"/>
      <c r="I90" s="284"/>
      <c r="J90" s="284"/>
      <c r="K90" s="284"/>
      <c r="L90" s="284"/>
      <c r="M90" s="284"/>
      <c r="N90" s="284"/>
      <c r="O90" s="286"/>
      <c r="P90" s="287"/>
      <c r="Q90" s="287"/>
      <c r="R90" s="287"/>
      <c r="S90" s="285"/>
      <c r="T90" s="285"/>
      <c r="U90" s="285"/>
      <c r="V90" s="285"/>
      <c r="W90" s="285"/>
      <c r="X90" s="285"/>
      <c r="Y90" s="285"/>
      <c r="Z90" s="285"/>
      <c r="AA90" s="285"/>
      <c r="AB90" s="285"/>
      <c r="AC90" s="285"/>
      <c r="AD90" s="285"/>
      <c r="AE90" s="285"/>
      <c r="AF90" s="285"/>
      <c r="AG90" s="285"/>
      <c r="AH90" s="285"/>
      <c r="AI90" s="285"/>
      <c r="AJ90" s="285"/>
      <c r="AK90" s="285"/>
      <c r="AL90" s="285"/>
      <c r="AM90" s="285"/>
      <c r="AN90" s="285"/>
      <c r="AO90" s="285"/>
      <c r="AP90" s="285"/>
      <c r="AQ90" s="285"/>
      <c r="AR90" s="285"/>
      <c r="AS90" s="285"/>
      <c r="AT90" s="285"/>
      <c r="AU90" s="285"/>
      <c r="AV90" s="285"/>
      <c r="AW90" s="285"/>
      <c r="AX90" s="285"/>
      <c r="AY90" s="285"/>
      <c r="AZ90" s="285"/>
      <c r="BA90" s="285"/>
      <c r="BB90" s="285"/>
      <c r="BC90" s="285"/>
      <c r="BD90" s="285"/>
      <c r="BE90" s="285"/>
      <c r="BF90" s="285"/>
      <c r="BG90" s="285"/>
      <c r="BH90" s="285"/>
      <c r="BI90" s="285"/>
      <c r="BJ90" s="285"/>
      <c r="BK90" s="285"/>
      <c r="BL90" s="285"/>
      <c r="BM90" s="285"/>
      <c r="BN90" s="285"/>
      <c r="BO90" s="153"/>
      <c r="BP90" s="149"/>
      <c r="BQ90" s="148"/>
      <c r="BR90" s="148"/>
      <c r="BS90" s="153"/>
      <c r="BT90" s="149"/>
      <c r="BU90" s="148"/>
      <c r="BV90" s="148"/>
      <c r="BW90" s="153"/>
      <c r="BX90" s="149"/>
      <c r="BY90" s="148"/>
      <c r="BZ90" s="148"/>
      <c r="CA90" s="148"/>
      <c r="CB90" s="150"/>
      <c r="CC90" s="150"/>
    </row>
    <row r="91" spans="1:81" s="151" customFormat="1" ht="24" x14ac:dyDescent="0.3">
      <c r="A91" s="142"/>
      <c r="B91" s="143" t="s">
        <v>91</v>
      </c>
      <c r="C91" s="525" t="str">
        <f>PEP!C92</f>
        <v>2.1.2.2</v>
      </c>
      <c r="D91" s="132" t="str">
        <f>PEP!D92</f>
        <v>Intercambio de experiencias con otros países de la región</v>
      </c>
      <c r="E91" s="284">
        <f>PEP!E92</f>
        <v>35419.126328217237</v>
      </c>
      <c r="F91" s="281"/>
      <c r="G91" s="283"/>
      <c r="H91" s="284"/>
      <c r="I91" s="284"/>
      <c r="J91" s="286"/>
      <c r="K91" s="286"/>
      <c r="L91" s="286"/>
      <c r="M91" s="287"/>
      <c r="N91" s="287"/>
      <c r="O91" s="287"/>
      <c r="P91" s="287"/>
      <c r="Q91" s="287"/>
      <c r="R91" s="287"/>
      <c r="S91" s="285"/>
      <c r="T91" s="285"/>
      <c r="U91" s="285"/>
      <c r="V91" s="285"/>
      <c r="W91" s="285"/>
      <c r="X91" s="285"/>
      <c r="Y91" s="285"/>
      <c r="Z91" s="285"/>
      <c r="AA91" s="285"/>
      <c r="AB91" s="285"/>
      <c r="AC91" s="285"/>
      <c r="AD91" s="285"/>
      <c r="AE91" s="285"/>
      <c r="AF91" s="285"/>
      <c r="AG91" s="285"/>
      <c r="AH91" s="285"/>
      <c r="AI91" s="285"/>
      <c r="AJ91" s="285"/>
      <c r="AK91" s="285"/>
      <c r="AL91" s="285"/>
      <c r="AM91" s="285"/>
      <c r="AN91" s="285"/>
      <c r="AO91" s="285"/>
      <c r="AP91" s="285"/>
      <c r="AQ91" s="285"/>
      <c r="AR91" s="285"/>
      <c r="AS91" s="285"/>
      <c r="AT91" s="285"/>
      <c r="AU91" s="285"/>
      <c r="AV91" s="285"/>
      <c r="AW91" s="285"/>
      <c r="AX91" s="285"/>
      <c r="AY91" s="285"/>
      <c r="AZ91" s="285"/>
      <c r="BA91" s="285"/>
      <c r="BB91" s="285"/>
      <c r="BC91" s="285"/>
      <c r="BD91" s="285"/>
      <c r="BE91" s="285"/>
      <c r="BF91" s="285"/>
      <c r="BG91" s="285"/>
      <c r="BH91" s="285"/>
      <c r="BI91" s="285"/>
      <c r="BJ91" s="285"/>
      <c r="BK91" s="285"/>
      <c r="BL91" s="285"/>
      <c r="BM91" s="285"/>
      <c r="BN91" s="285"/>
      <c r="BO91" s="153"/>
      <c r="BP91" s="149"/>
      <c r="BQ91" s="148"/>
      <c r="BR91" s="148"/>
      <c r="BS91" s="153"/>
      <c r="BT91" s="149"/>
      <c r="BU91" s="148"/>
      <c r="BV91" s="148"/>
      <c r="BW91" s="153"/>
      <c r="BX91" s="149"/>
      <c r="BY91" s="148"/>
      <c r="BZ91" s="148"/>
      <c r="CA91" s="148"/>
      <c r="CB91" s="150"/>
      <c r="CC91" s="150"/>
    </row>
    <row r="92" spans="1:81" s="169" customFormat="1" x14ac:dyDescent="0.3">
      <c r="A92" s="163"/>
      <c r="B92" s="164" t="s">
        <v>91</v>
      </c>
      <c r="C92" s="552" t="str">
        <f>PEP!C93</f>
        <v>2.1.3</v>
      </c>
      <c r="D92" s="136" t="str">
        <f>PEP!D93</f>
        <v>Adecuaciones Edilicias</v>
      </c>
      <c r="E92" s="160">
        <f>PEP!E93</f>
        <v>35587.78883454208</v>
      </c>
      <c r="F92" s="281"/>
      <c r="G92" s="283"/>
      <c r="H92" s="284"/>
      <c r="I92" s="284"/>
      <c r="J92" s="284"/>
      <c r="K92" s="286"/>
      <c r="L92" s="286"/>
      <c r="M92" s="286"/>
      <c r="N92" s="286"/>
      <c r="O92" s="287"/>
      <c r="P92" s="287"/>
      <c r="Q92" s="287"/>
      <c r="R92" s="287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5"/>
      <c r="AH92" s="285"/>
      <c r="AI92" s="285"/>
      <c r="AJ92" s="285"/>
      <c r="AK92" s="285"/>
      <c r="AL92" s="285"/>
      <c r="AM92" s="285"/>
      <c r="AN92" s="285"/>
      <c r="AO92" s="285"/>
      <c r="AP92" s="285"/>
      <c r="AQ92" s="285"/>
      <c r="AR92" s="285"/>
      <c r="AS92" s="285"/>
      <c r="AT92" s="285"/>
      <c r="AU92" s="285"/>
      <c r="AV92" s="285"/>
      <c r="AW92" s="285"/>
      <c r="AX92" s="285"/>
      <c r="AY92" s="285"/>
      <c r="AZ92" s="285"/>
      <c r="BA92" s="285"/>
      <c r="BB92" s="285"/>
      <c r="BC92" s="285"/>
      <c r="BD92" s="285"/>
      <c r="BE92" s="285"/>
      <c r="BF92" s="285"/>
      <c r="BG92" s="285"/>
      <c r="BH92" s="285"/>
      <c r="BI92" s="285"/>
      <c r="BJ92" s="285"/>
      <c r="BK92" s="285"/>
      <c r="BL92" s="285"/>
      <c r="BM92" s="285"/>
      <c r="BN92" s="285"/>
      <c r="BO92" s="167"/>
      <c r="BP92" s="167"/>
      <c r="BQ92" s="166"/>
      <c r="BR92" s="166"/>
      <c r="BS92" s="174"/>
      <c r="BT92" s="167"/>
      <c r="BU92" s="166"/>
      <c r="BV92" s="166"/>
      <c r="BW92" s="174"/>
      <c r="BX92" s="167"/>
      <c r="BY92" s="166"/>
      <c r="BZ92" s="166"/>
      <c r="CA92" s="166"/>
      <c r="CB92" s="168"/>
      <c r="CC92" s="168"/>
    </row>
    <row r="93" spans="1:81" s="151" customFormat="1" x14ac:dyDescent="0.3">
      <c r="A93" s="142"/>
      <c r="B93" s="143" t="s">
        <v>91</v>
      </c>
      <c r="C93" s="552" t="str">
        <f>PEP!C94</f>
        <v>2.1.4</v>
      </c>
      <c r="D93" s="136" t="str">
        <f>PEP!D94</f>
        <v>Mobiliarios</v>
      </c>
      <c r="E93" s="160">
        <f>PEP!E94</f>
        <v>32383.201214370049</v>
      </c>
      <c r="F93" s="281"/>
      <c r="G93" s="283"/>
      <c r="H93" s="284"/>
      <c r="I93" s="284"/>
      <c r="J93" s="284"/>
      <c r="K93" s="286"/>
      <c r="L93" s="286"/>
      <c r="M93" s="286"/>
      <c r="N93" s="286"/>
      <c r="O93" s="287"/>
      <c r="P93" s="287"/>
      <c r="Q93" s="287"/>
      <c r="R93" s="287"/>
      <c r="S93" s="285"/>
      <c r="T93" s="285"/>
      <c r="U93" s="285"/>
      <c r="V93" s="285"/>
      <c r="W93" s="285"/>
      <c r="X93" s="285"/>
      <c r="Y93" s="285"/>
      <c r="Z93" s="285"/>
      <c r="AA93" s="285"/>
      <c r="AB93" s="285"/>
      <c r="AC93" s="285"/>
      <c r="AD93" s="285"/>
      <c r="AE93" s="285"/>
      <c r="AF93" s="285"/>
      <c r="AG93" s="285"/>
      <c r="AH93" s="285"/>
      <c r="AI93" s="285"/>
      <c r="AJ93" s="285"/>
      <c r="AK93" s="285"/>
      <c r="AL93" s="285"/>
      <c r="AM93" s="285"/>
      <c r="AN93" s="285"/>
      <c r="AO93" s="285"/>
      <c r="AP93" s="285"/>
      <c r="AQ93" s="285"/>
      <c r="AR93" s="285"/>
      <c r="AS93" s="285"/>
      <c r="AT93" s="285"/>
      <c r="AU93" s="285"/>
      <c r="AV93" s="285"/>
      <c r="AW93" s="285"/>
      <c r="AX93" s="285"/>
      <c r="AY93" s="285"/>
      <c r="AZ93" s="285"/>
      <c r="BA93" s="285"/>
      <c r="BB93" s="285"/>
      <c r="BC93" s="285"/>
      <c r="BD93" s="285"/>
      <c r="BE93" s="285"/>
      <c r="BF93" s="285"/>
      <c r="BG93" s="285"/>
      <c r="BH93" s="285"/>
      <c r="BI93" s="285"/>
      <c r="BJ93" s="285"/>
      <c r="BK93" s="285"/>
      <c r="BL93" s="285"/>
      <c r="BM93" s="285"/>
      <c r="BN93" s="285"/>
      <c r="BO93" s="148"/>
      <c r="BP93" s="149"/>
      <c r="BQ93" s="149"/>
      <c r="BR93" s="148"/>
      <c r="BS93" s="153"/>
      <c r="BT93" s="149"/>
      <c r="BU93" s="148"/>
      <c r="BV93" s="148"/>
      <c r="BW93" s="153"/>
      <c r="BX93" s="149"/>
      <c r="BY93" s="148"/>
      <c r="BZ93" s="148"/>
      <c r="CA93" s="148"/>
      <c r="CB93" s="150"/>
      <c r="CC93" s="150"/>
    </row>
    <row r="94" spans="1:81" s="151" customFormat="1" x14ac:dyDescent="0.3">
      <c r="A94" s="142"/>
      <c r="B94" s="143" t="s">
        <v>91</v>
      </c>
      <c r="C94" s="552" t="str">
        <f>PEP!C95</f>
        <v>2.1.5</v>
      </c>
      <c r="D94" s="136" t="str">
        <f>PEP!D95</f>
        <v>Equipos Informáticos</v>
      </c>
      <c r="E94" s="160">
        <f>PEP!E95</f>
        <v>302573.7898465172</v>
      </c>
      <c r="F94" s="281"/>
      <c r="G94" s="283"/>
      <c r="H94" s="284"/>
      <c r="I94" s="284"/>
      <c r="J94" s="284"/>
      <c r="K94" s="286"/>
      <c r="L94" s="286"/>
      <c r="M94" s="286"/>
      <c r="N94" s="286"/>
      <c r="O94" s="287"/>
      <c r="P94" s="287"/>
      <c r="Q94" s="287"/>
      <c r="R94" s="287"/>
      <c r="S94" s="285"/>
      <c r="T94" s="285"/>
      <c r="U94" s="285"/>
      <c r="V94" s="285"/>
      <c r="W94" s="285"/>
      <c r="X94" s="285"/>
      <c r="Y94" s="285"/>
      <c r="Z94" s="285"/>
      <c r="AA94" s="285"/>
      <c r="AB94" s="285"/>
      <c r="AC94" s="285"/>
      <c r="AD94" s="285"/>
      <c r="AE94" s="285"/>
      <c r="AF94" s="285"/>
      <c r="AG94" s="285"/>
      <c r="AH94" s="285"/>
      <c r="AI94" s="285"/>
      <c r="AJ94" s="285"/>
      <c r="AK94" s="285"/>
      <c r="AL94" s="285"/>
      <c r="AM94" s="285"/>
      <c r="AN94" s="285"/>
      <c r="AO94" s="285"/>
      <c r="AP94" s="285"/>
      <c r="AQ94" s="285"/>
      <c r="AR94" s="285"/>
      <c r="AS94" s="285"/>
      <c r="AT94" s="285"/>
      <c r="AU94" s="285"/>
      <c r="AV94" s="285"/>
      <c r="AW94" s="285"/>
      <c r="AX94" s="285"/>
      <c r="AY94" s="285"/>
      <c r="AZ94" s="285"/>
      <c r="BA94" s="285"/>
      <c r="BB94" s="285"/>
      <c r="BC94" s="285"/>
      <c r="BD94" s="285"/>
      <c r="BE94" s="285"/>
      <c r="BF94" s="285"/>
      <c r="BG94" s="285"/>
      <c r="BH94" s="285"/>
      <c r="BI94" s="285"/>
      <c r="BJ94" s="285"/>
      <c r="BK94" s="285"/>
      <c r="BL94" s="285"/>
      <c r="BM94" s="285"/>
      <c r="BN94" s="285"/>
      <c r="BO94" s="148"/>
      <c r="BP94" s="149"/>
      <c r="BQ94" s="149"/>
      <c r="BR94" s="148"/>
      <c r="BS94" s="153"/>
      <c r="BT94" s="149"/>
      <c r="BU94" s="148"/>
      <c r="BV94" s="148"/>
      <c r="BW94" s="153"/>
      <c r="BX94" s="149"/>
      <c r="BY94" s="148"/>
      <c r="BZ94" s="148"/>
      <c r="CA94" s="148"/>
      <c r="CB94" s="150"/>
      <c r="CC94" s="150"/>
    </row>
    <row r="95" spans="1:81" s="151" customFormat="1" x14ac:dyDescent="0.3">
      <c r="A95" s="142"/>
      <c r="B95" s="143" t="s">
        <v>91</v>
      </c>
      <c r="C95" s="552" t="str">
        <f>PEP!C96</f>
        <v>2.1.6</v>
      </c>
      <c r="D95" s="136" t="str">
        <f>PEP!D96</f>
        <v>Transporte y Movilidad</v>
      </c>
      <c r="E95" s="160">
        <f>PEP!E96</f>
        <v>650000</v>
      </c>
      <c r="F95" s="281"/>
      <c r="G95" s="284"/>
      <c r="H95" s="284"/>
      <c r="I95" s="284"/>
      <c r="J95" s="286"/>
      <c r="K95" s="286"/>
      <c r="L95" s="287"/>
      <c r="M95" s="287"/>
      <c r="N95" s="287"/>
      <c r="O95" s="287"/>
      <c r="P95" s="284"/>
      <c r="Q95" s="284"/>
      <c r="R95" s="284"/>
      <c r="S95" s="284"/>
      <c r="T95" s="284"/>
      <c r="U95" s="284"/>
      <c r="V95" s="284"/>
      <c r="W95" s="284"/>
      <c r="X95" s="284"/>
      <c r="Y95" s="285"/>
      <c r="Z95" s="285"/>
      <c r="AA95" s="285"/>
      <c r="AB95" s="285"/>
      <c r="AC95" s="285"/>
      <c r="AD95" s="285"/>
      <c r="AE95" s="285"/>
      <c r="AF95" s="285"/>
      <c r="AG95" s="285"/>
      <c r="AH95" s="285"/>
      <c r="AI95" s="285"/>
      <c r="AJ95" s="285"/>
      <c r="AK95" s="285"/>
      <c r="AL95" s="285"/>
      <c r="AM95" s="285"/>
      <c r="AN95" s="285"/>
      <c r="AO95" s="285"/>
      <c r="AP95" s="285"/>
      <c r="AQ95" s="285"/>
      <c r="AR95" s="285"/>
      <c r="AS95" s="285"/>
      <c r="AT95" s="285"/>
      <c r="AU95" s="285"/>
      <c r="AV95" s="285"/>
      <c r="AW95" s="285"/>
      <c r="AX95" s="285"/>
      <c r="AY95" s="285"/>
      <c r="AZ95" s="285"/>
      <c r="BA95" s="285"/>
      <c r="BB95" s="285"/>
      <c r="BC95" s="285"/>
      <c r="BD95" s="285"/>
      <c r="BE95" s="285"/>
      <c r="BF95" s="285"/>
      <c r="BG95" s="285"/>
      <c r="BH95" s="285"/>
      <c r="BI95" s="285"/>
      <c r="BJ95" s="285"/>
      <c r="BK95" s="285"/>
      <c r="BL95" s="285"/>
      <c r="BM95" s="285"/>
      <c r="BN95" s="285"/>
      <c r="BO95" s="148"/>
      <c r="BP95" s="148"/>
      <c r="BQ95" s="148"/>
      <c r="BR95" s="148"/>
      <c r="BS95" s="149"/>
      <c r="BT95" s="149"/>
      <c r="BU95" s="148"/>
      <c r="BV95" s="148"/>
      <c r="BW95" s="149"/>
      <c r="BX95" s="149"/>
      <c r="BY95" s="148"/>
      <c r="BZ95" s="148"/>
      <c r="CA95" s="148"/>
      <c r="CB95" s="150"/>
      <c r="CC95" s="150"/>
    </row>
    <row r="96" spans="1:81" s="151" customFormat="1" x14ac:dyDescent="0.3">
      <c r="A96" s="142"/>
      <c r="B96" s="143" t="s">
        <v>91</v>
      </c>
      <c r="C96" s="552" t="str">
        <f>PEP!C97</f>
        <v>2.1.7</v>
      </c>
      <c r="D96" s="136" t="str">
        <f>PEP!D97</f>
        <v>Dispositivo de Captura adquirido</v>
      </c>
      <c r="E96" s="160">
        <f>PEP!E97</f>
        <v>1328992.9161747345</v>
      </c>
      <c r="F96" s="292"/>
      <c r="G96" s="284"/>
      <c r="H96" s="284"/>
      <c r="I96" s="286"/>
      <c r="J96" s="286"/>
      <c r="K96" s="286"/>
      <c r="L96" s="287"/>
      <c r="M96" s="287"/>
      <c r="N96" s="287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4"/>
      <c r="AH96" s="284"/>
      <c r="AI96" s="284"/>
      <c r="AJ96" s="284"/>
      <c r="AK96" s="284"/>
      <c r="AL96" s="284"/>
      <c r="AM96" s="284"/>
      <c r="AN96" s="284"/>
      <c r="AO96" s="284"/>
      <c r="AP96" s="284"/>
      <c r="AQ96" s="284"/>
      <c r="AR96" s="284"/>
      <c r="AS96" s="284"/>
      <c r="AT96" s="284"/>
      <c r="AU96" s="284"/>
      <c r="AV96" s="284"/>
      <c r="AW96" s="284"/>
      <c r="AX96" s="284"/>
      <c r="AY96" s="284"/>
      <c r="AZ96" s="284"/>
      <c r="BA96" s="284"/>
      <c r="BB96" s="284"/>
      <c r="BC96" s="284"/>
      <c r="BD96" s="284"/>
      <c r="BE96" s="284"/>
      <c r="BF96" s="284"/>
      <c r="BG96" s="284"/>
      <c r="BH96" s="284"/>
      <c r="BI96" s="284"/>
      <c r="BJ96" s="284"/>
      <c r="BK96" s="284"/>
      <c r="BL96" s="284"/>
      <c r="BM96" s="284"/>
      <c r="BN96" s="284"/>
      <c r="BO96" s="148"/>
      <c r="BP96" s="148"/>
      <c r="BQ96" s="148"/>
      <c r="BR96" s="148"/>
      <c r="BS96" s="149"/>
      <c r="BT96" s="149"/>
      <c r="BU96" s="148"/>
      <c r="BV96" s="148"/>
      <c r="BW96" s="149"/>
      <c r="BX96" s="149"/>
      <c r="BY96" s="148"/>
      <c r="BZ96" s="148"/>
      <c r="CA96" s="148"/>
      <c r="CB96" s="150"/>
      <c r="CC96" s="150"/>
    </row>
    <row r="97" spans="1:81" s="151" customFormat="1" x14ac:dyDescent="0.3">
      <c r="A97" s="142"/>
      <c r="B97" s="143"/>
      <c r="C97" s="552" t="str">
        <f>PEP!C98</f>
        <v>2.1.8</v>
      </c>
      <c r="D97" s="136" t="str">
        <f>PEP!D98</f>
        <v>Mantenimiento de equipos informáticos</v>
      </c>
      <c r="E97" s="160">
        <f>PEP!E98</f>
        <v>50598.751897453199</v>
      </c>
      <c r="F97" s="292"/>
      <c r="G97" s="284"/>
      <c r="H97" s="284"/>
      <c r="I97" s="286"/>
      <c r="J97" s="286"/>
      <c r="K97" s="286"/>
      <c r="L97" s="287"/>
      <c r="M97" s="287"/>
      <c r="N97" s="287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84"/>
      <c r="AH97" s="284"/>
      <c r="AI97" s="284"/>
      <c r="AJ97" s="284"/>
      <c r="AK97" s="284"/>
      <c r="AL97" s="284"/>
      <c r="AM97" s="284"/>
      <c r="AN97" s="284"/>
      <c r="AO97" s="284"/>
      <c r="AP97" s="284"/>
      <c r="AQ97" s="284"/>
      <c r="AR97" s="284"/>
      <c r="AS97" s="284"/>
      <c r="AT97" s="284"/>
      <c r="AU97" s="284"/>
      <c r="AV97" s="284"/>
      <c r="AW97" s="284"/>
      <c r="AX97" s="284"/>
      <c r="AY97" s="284"/>
      <c r="AZ97" s="284"/>
      <c r="BA97" s="284"/>
      <c r="BB97" s="284"/>
      <c r="BC97" s="284"/>
      <c r="BD97" s="284"/>
      <c r="BE97" s="284"/>
      <c r="BF97" s="284"/>
      <c r="BG97" s="284"/>
      <c r="BH97" s="284"/>
      <c r="BI97" s="284"/>
      <c r="BJ97" s="284"/>
      <c r="BK97" s="284"/>
      <c r="BL97" s="284"/>
      <c r="BM97" s="284"/>
      <c r="BN97" s="284"/>
      <c r="BO97" s="148"/>
      <c r="BP97" s="148"/>
      <c r="BQ97" s="148"/>
      <c r="BR97" s="148"/>
      <c r="BS97" s="149"/>
      <c r="BT97" s="149"/>
      <c r="BU97" s="148"/>
      <c r="BV97" s="148"/>
      <c r="BW97" s="149"/>
      <c r="BX97" s="149"/>
      <c r="BY97" s="148"/>
      <c r="BZ97" s="148"/>
      <c r="CA97" s="148"/>
      <c r="CB97" s="150"/>
      <c r="CC97" s="150"/>
    </row>
    <row r="98" spans="1:81" s="151" customFormat="1" x14ac:dyDescent="0.3">
      <c r="A98" s="142"/>
      <c r="B98" s="143"/>
      <c r="C98" s="552" t="str">
        <f>PEP!C99</f>
        <v>2.1.9</v>
      </c>
      <c r="D98" s="136" t="str">
        <f>PEP!D99</f>
        <v>Apoyo Informático</v>
      </c>
      <c r="E98" s="160">
        <f>PEP!E99</f>
        <v>46127</v>
      </c>
      <c r="F98" s="292"/>
      <c r="G98" s="284"/>
      <c r="H98" s="284"/>
      <c r="I98" s="286"/>
      <c r="J98" s="286"/>
      <c r="K98" s="286"/>
      <c r="L98" s="287"/>
      <c r="M98" s="287"/>
      <c r="N98" s="287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284"/>
      <c r="AD98" s="284"/>
      <c r="AE98" s="284"/>
      <c r="AF98" s="284"/>
      <c r="AG98" s="284"/>
      <c r="AH98" s="284"/>
      <c r="AI98" s="284"/>
      <c r="AJ98" s="284"/>
      <c r="AK98" s="284"/>
      <c r="AL98" s="284"/>
      <c r="AM98" s="284"/>
      <c r="AN98" s="284"/>
      <c r="AO98" s="284"/>
      <c r="AP98" s="284"/>
      <c r="AQ98" s="284"/>
      <c r="AR98" s="284"/>
      <c r="AS98" s="284"/>
      <c r="AT98" s="284"/>
      <c r="AU98" s="284"/>
      <c r="AV98" s="284"/>
      <c r="AW98" s="284"/>
      <c r="AX98" s="284"/>
      <c r="AY98" s="284"/>
      <c r="AZ98" s="284"/>
      <c r="BA98" s="284"/>
      <c r="BB98" s="284"/>
      <c r="BC98" s="284"/>
      <c r="BD98" s="284"/>
      <c r="BE98" s="284"/>
      <c r="BF98" s="284"/>
      <c r="BG98" s="284"/>
      <c r="BH98" s="284"/>
      <c r="BI98" s="284"/>
      <c r="BJ98" s="284"/>
      <c r="BK98" s="284"/>
      <c r="BL98" s="284"/>
      <c r="BM98" s="284"/>
      <c r="BN98" s="284"/>
      <c r="BO98" s="148"/>
      <c r="BP98" s="148"/>
      <c r="BQ98" s="148"/>
      <c r="BR98" s="148"/>
      <c r="BS98" s="149"/>
      <c r="BT98" s="149"/>
      <c r="BU98" s="148"/>
      <c r="BV98" s="148"/>
      <c r="BW98" s="149"/>
      <c r="BX98" s="149"/>
      <c r="BY98" s="148"/>
      <c r="BZ98" s="148"/>
      <c r="CA98" s="148"/>
      <c r="CB98" s="150"/>
      <c r="CC98" s="150"/>
    </row>
    <row r="99" spans="1:81" s="151" customFormat="1" ht="24" x14ac:dyDescent="0.3">
      <c r="A99" s="142"/>
      <c r="B99" s="143" t="s">
        <v>91</v>
      </c>
      <c r="C99" s="512" t="str">
        <f>PEP!C100</f>
        <v>2.2</v>
      </c>
      <c r="D99" s="50" t="str">
        <f>PEP!D100</f>
        <v>Producto 6: Modelo de uso de imágenes satelitales desarrollado</v>
      </c>
      <c r="E99" s="156">
        <f>PEP!E100</f>
        <v>84718.502276943836</v>
      </c>
      <c r="F99" s="292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  <c r="BI99" s="156"/>
      <c r="BJ99" s="156"/>
      <c r="BK99" s="156"/>
      <c r="BL99" s="156"/>
      <c r="BM99" s="156"/>
      <c r="BN99" s="156"/>
      <c r="BO99" s="148"/>
      <c r="BP99" s="148"/>
      <c r="BQ99" s="148"/>
      <c r="BR99" s="148"/>
      <c r="BS99" s="149"/>
      <c r="BT99" s="148"/>
      <c r="BU99" s="148"/>
      <c r="BV99" s="148"/>
      <c r="BW99" s="149"/>
      <c r="BX99" s="148"/>
      <c r="BY99" s="148"/>
      <c r="BZ99" s="148"/>
      <c r="CA99" s="148"/>
      <c r="CB99" s="150"/>
      <c r="CC99" s="150"/>
    </row>
    <row r="100" spans="1:81" s="169" customFormat="1" x14ac:dyDescent="0.3">
      <c r="A100" s="163"/>
      <c r="B100" s="164" t="s">
        <v>91</v>
      </c>
      <c r="C100" s="525" t="str">
        <f>PEP!C101</f>
        <v>2.2.1</v>
      </c>
      <c r="D100" s="137" t="str">
        <f>PEP!D101</f>
        <v>Expertos en procesamiento de imágenes satelitales</v>
      </c>
      <c r="E100" s="283">
        <f>PEP!E101</f>
        <v>26986.001011975037</v>
      </c>
      <c r="F100" s="292"/>
      <c r="G100" s="284"/>
      <c r="H100" s="284"/>
      <c r="I100" s="284"/>
      <c r="J100" s="284"/>
      <c r="K100" s="284"/>
      <c r="L100" s="284"/>
      <c r="M100" s="286"/>
      <c r="N100" s="286"/>
      <c r="O100" s="287"/>
      <c r="P100" s="287"/>
      <c r="Q100" s="287"/>
      <c r="R100" s="287"/>
      <c r="S100" s="287"/>
      <c r="T100" s="287"/>
      <c r="U100" s="287"/>
      <c r="V100" s="287"/>
      <c r="W100" s="284"/>
      <c r="X100" s="284"/>
      <c r="Y100" s="284"/>
      <c r="Z100" s="284"/>
      <c r="AA100" s="284"/>
      <c r="AB100" s="284"/>
      <c r="AC100" s="284"/>
      <c r="AD100" s="284"/>
      <c r="AE100" s="284"/>
      <c r="AF100" s="284"/>
      <c r="AG100" s="284"/>
      <c r="AH100" s="284"/>
      <c r="AI100" s="284"/>
      <c r="AJ100" s="284"/>
      <c r="AK100" s="284"/>
      <c r="AL100" s="284"/>
      <c r="AM100" s="284"/>
      <c r="AN100" s="284"/>
      <c r="AO100" s="284"/>
      <c r="AP100" s="284"/>
      <c r="AQ100" s="284"/>
      <c r="AR100" s="284"/>
      <c r="AS100" s="284"/>
      <c r="AT100" s="284"/>
      <c r="AU100" s="284"/>
      <c r="AV100" s="284"/>
      <c r="AW100" s="284"/>
      <c r="AX100" s="284"/>
      <c r="AY100" s="284"/>
      <c r="AZ100" s="284"/>
      <c r="BA100" s="284"/>
      <c r="BB100" s="284"/>
      <c r="BC100" s="284"/>
      <c r="BD100" s="284"/>
      <c r="BE100" s="284"/>
      <c r="BF100" s="284"/>
      <c r="BG100" s="284"/>
      <c r="BH100" s="284"/>
      <c r="BI100" s="284"/>
      <c r="BJ100" s="284"/>
      <c r="BK100" s="284"/>
      <c r="BL100" s="284"/>
      <c r="BM100" s="284"/>
      <c r="BN100" s="284"/>
      <c r="BO100" s="166"/>
      <c r="BP100" s="166"/>
      <c r="BQ100" s="166"/>
      <c r="BR100" s="166"/>
      <c r="BS100" s="166"/>
      <c r="BT100" s="167"/>
      <c r="BU100" s="166"/>
      <c r="BV100" s="166"/>
      <c r="BW100" s="174"/>
      <c r="BX100" s="167"/>
      <c r="BY100" s="166"/>
      <c r="BZ100" s="166"/>
      <c r="CA100" s="166"/>
      <c r="CB100" s="168"/>
      <c r="CC100" s="168"/>
    </row>
    <row r="101" spans="1:81" s="151" customFormat="1" ht="24" x14ac:dyDescent="0.3">
      <c r="A101" s="142"/>
      <c r="B101" s="143" t="s">
        <v>91</v>
      </c>
      <c r="C101" s="525" t="str">
        <f>PEP!C102</f>
        <v>2.2.2</v>
      </c>
      <c r="D101" s="137" t="str">
        <f>PEP!D102</f>
        <v>Convenio con institución experta en interpretación de imágenes</v>
      </c>
      <c r="E101" s="283">
        <f>PEP!E102</f>
        <v>33732.5012649688</v>
      </c>
      <c r="F101" s="292"/>
      <c r="G101" s="284"/>
      <c r="H101" s="284"/>
      <c r="I101" s="284"/>
      <c r="J101" s="284"/>
      <c r="K101" s="284"/>
      <c r="L101" s="284"/>
      <c r="M101" s="284"/>
      <c r="N101" s="287"/>
      <c r="O101" s="287"/>
      <c r="P101" s="287"/>
      <c r="Q101" s="287"/>
      <c r="R101" s="287"/>
      <c r="S101" s="287"/>
      <c r="T101" s="287"/>
      <c r="U101" s="287"/>
      <c r="V101" s="287"/>
      <c r="W101" s="287"/>
      <c r="X101" s="287"/>
      <c r="Y101" s="287"/>
      <c r="Z101" s="287"/>
      <c r="AA101" s="287"/>
      <c r="AB101" s="287"/>
      <c r="AC101" s="287"/>
      <c r="AD101" s="287"/>
      <c r="AE101" s="287"/>
      <c r="AF101" s="287"/>
      <c r="AG101" s="287"/>
      <c r="AH101" s="287"/>
      <c r="AI101" s="287"/>
      <c r="AJ101" s="287"/>
      <c r="AK101" s="287"/>
      <c r="AL101" s="287"/>
      <c r="AM101" s="287"/>
      <c r="AN101" s="287"/>
      <c r="AO101" s="287"/>
      <c r="AP101" s="287"/>
      <c r="AQ101" s="284"/>
      <c r="AR101" s="284"/>
      <c r="AS101" s="284"/>
      <c r="AT101" s="284"/>
      <c r="AU101" s="284"/>
      <c r="AV101" s="284"/>
      <c r="AW101" s="284"/>
      <c r="AX101" s="284"/>
      <c r="AY101" s="284"/>
      <c r="AZ101" s="284"/>
      <c r="BA101" s="284"/>
      <c r="BB101" s="284"/>
      <c r="BC101" s="284"/>
      <c r="BD101" s="284"/>
      <c r="BE101" s="284"/>
      <c r="BF101" s="284"/>
      <c r="BG101" s="284"/>
      <c r="BH101" s="284"/>
      <c r="BI101" s="284"/>
      <c r="BJ101" s="284"/>
      <c r="BK101" s="284"/>
      <c r="BL101" s="284"/>
      <c r="BM101" s="284"/>
      <c r="BN101" s="284"/>
      <c r="BO101" s="148"/>
      <c r="BP101" s="148"/>
      <c r="BQ101" s="148"/>
      <c r="BR101" s="148"/>
      <c r="BS101" s="148"/>
      <c r="BT101" s="149"/>
      <c r="BU101" s="148"/>
      <c r="BV101" s="148"/>
      <c r="BW101" s="148"/>
      <c r="BX101" s="149"/>
      <c r="BY101" s="148"/>
      <c r="BZ101" s="148"/>
      <c r="CA101" s="148"/>
      <c r="CB101" s="150"/>
      <c r="CC101" s="150"/>
    </row>
    <row r="102" spans="1:81" s="151" customFormat="1" x14ac:dyDescent="0.3">
      <c r="A102" s="142"/>
      <c r="B102" s="143" t="s">
        <v>91</v>
      </c>
      <c r="C102" s="525" t="str">
        <f>PEP!C103</f>
        <v>2.2.3</v>
      </c>
      <c r="D102" s="137" t="str">
        <f>PEP!D103</f>
        <v>Imágenes Satelitales de alta resolución</v>
      </c>
      <c r="E102" s="283">
        <f>PEP!E103</f>
        <v>24000</v>
      </c>
      <c r="F102" s="292"/>
      <c r="G102" s="284"/>
      <c r="H102" s="284"/>
      <c r="I102" s="284"/>
      <c r="J102" s="286"/>
      <c r="K102" s="286"/>
      <c r="L102" s="287"/>
      <c r="M102" s="287"/>
      <c r="N102" s="284"/>
      <c r="O102" s="284"/>
      <c r="P102" s="284"/>
      <c r="Q102" s="284"/>
      <c r="R102" s="284"/>
      <c r="S102" s="284"/>
      <c r="T102" s="284"/>
      <c r="U102" s="284"/>
      <c r="V102" s="284"/>
      <c r="W102" s="284"/>
      <c r="X102" s="284"/>
      <c r="Y102" s="284"/>
      <c r="Z102" s="284"/>
      <c r="AA102" s="284"/>
      <c r="AB102" s="284"/>
      <c r="AC102" s="284"/>
      <c r="AD102" s="284"/>
      <c r="AE102" s="284"/>
      <c r="AF102" s="284"/>
      <c r="AG102" s="284"/>
      <c r="AH102" s="284"/>
      <c r="AI102" s="284"/>
      <c r="AJ102" s="284"/>
      <c r="AK102" s="284"/>
      <c r="AL102" s="284"/>
      <c r="AM102" s="284"/>
      <c r="AN102" s="284"/>
      <c r="AO102" s="284"/>
      <c r="AP102" s="284"/>
      <c r="AQ102" s="284"/>
      <c r="AR102" s="284"/>
      <c r="AS102" s="284"/>
      <c r="AT102" s="284"/>
      <c r="AU102" s="284"/>
      <c r="AV102" s="284"/>
      <c r="AW102" s="284"/>
      <c r="AX102" s="284"/>
      <c r="AY102" s="284"/>
      <c r="AZ102" s="284"/>
      <c r="BA102" s="284"/>
      <c r="BB102" s="284"/>
      <c r="BC102" s="284"/>
      <c r="BD102" s="284"/>
      <c r="BE102" s="284"/>
      <c r="BF102" s="284"/>
      <c r="BG102" s="284"/>
      <c r="BH102" s="284"/>
      <c r="BI102" s="284"/>
      <c r="BJ102" s="284"/>
      <c r="BK102" s="284"/>
      <c r="BL102" s="284"/>
      <c r="BM102" s="284"/>
      <c r="BN102" s="284"/>
      <c r="BO102" s="148"/>
      <c r="BP102" s="148"/>
      <c r="BQ102" s="148"/>
      <c r="BR102" s="148"/>
      <c r="BS102" s="153"/>
      <c r="BT102" s="149"/>
      <c r="BU102" s="148"/>
      <c r="BV102" s="148"/>
      <c r="BW102" s="153"/>
      <c r="BX102" s="149"/>
      <c r="BY102" s="148"/>
      <c r="BZ102" s="148"/>
      <c r="CA102" s="148"/>
      <c r="CB102" s="150"/>
      <c r="CC102" s="150"/>
    </row>
    <row r="103" spans="1:81" s="151" customFormat="1" x14ac:dyDescent="0.3">
      <c r="A103" s="142"/>
      <c r="B103" s="143"/>
      <c r="C103" s="512" t="str">
        <f>PEP!C104</f>
        <v>2.3</v>
      </c>
      <c r="D103" s="50" t="str">
        <f>PEP!D104</f>
        <v>Producto 7: Encuestas realizadas</v>
      </c>
      <c r="E103" s="156">
        <f>PEP!E104</f>
        <v>922061.05582728959</v>
      </c>
      <c r="F103" s="292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/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  <c r="BI103" s="156"/>
      <c r="BJ103" s="156"/>
      <c r="BK103" s="156"/>
      <c r="BL103" s="156"/>
      <c r="BM103" s="156"/>
      <c r="BN103" s="156"/>
      <c r="BO103" s="148"/>
      <c r="BP103" s="148"/>
      <c r="BQ103" s="148"/>
      <c r="BR103" s="148"/>
      <c r="BS103" s="153"/>
      <c r="BT103" s="149"/>
      <c r="BU103" s="148"/>
      <c r="BV103" s="148"/>
      <c r="BW103" s="153"/>
      <c r="BX103" s="149"/>
      <c r="BY103" s="148"/>
      <c r="BZ103" s="148"/>
      <c r="CA103" s="148"/>
      <c r="CB103" s="150"/>
      <c r="CC103" s="150"/>
    </row>
    <row r="104" spans="1:81" s="151" customFormat="1" x14ac:dyDescent="0.3">
      <c r="A104" s="290"/>
      <c r="B104" s="291"/>
      <c r="C104" s="525" t="str">
        <f>PEP!C105</f>
        <v>2.3.1</v>
      </c>
      <c r="D104" s="137" t="str">
        <f>PEP!D105</f>
        <v>Diseño del Marco Muestral Maestro</v>
      </c>
      <c r="E104" s="283">
        <f>PEP!E105</f>
        <v>24287.400910777535</v>
      </c>
      <c r="F104" s="292"/>
      <c r="G104" s="284"/>
      <c r="H104" s="284"/>
      <c r="I104" s="284"/>
      <c r="J104" s="284"/>
      <c r="K104" s="285"/>
      <c r="L104" s="285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G104" s="286"/>
      <c r="AH104" s="286"/>
      <c r="AI104" s="287"/>
      <c r="AJ104" s="287"/>
      <c r="AK104" s="287"/>
      <c r="AL104" s="287"/>
      <c r="AM104" s="284"/>
      <c r="AN104" s="284"/>
      <c r="AO104" s="285"/>
      <c r="AP104" s="285"/>
      <c r="AQ104" s="285"/>
      <c r="AR104" s="285"/>
      <c r="AS104" s="285"/>
      <c r="AT104" s="285"/>
      <c r="AU104" s="285"/>
      <c r="AV104" s="285"/>
      <c r="AW104" s="285"/>
      <c r="AX104" s="285"/>
      <c r="AY104" s="285"/>
      <c r="AZ104" s="285"/>
      <c r="BA104" s="285"/>
      <c r="BB104" s="285"/>
      <c r="BC104" s="285"/>
      <c r="BD104" s="285"/>
      <c r="BE104" s="285"/>
      <c r="BF104" s="285"/>
      <c r="BG104" s="285"/>
      <c r="BH104" s="285"/>
      <c r="BI104" s="285"/>
      <c r="BJ104" s="285"/>
      <c r="BK104" s="285"/>
      <c r="BL104" s="285"/>
      <c r="BM104" s="285"/>
      <c r="BN104" s="285"/>
      <c r="BO104" s="148"/>
      <c r="BP104" s="148"/>
      <c r="BQ104" s="148"/>
      <c r="BR104" s="148"/>
      <c r="BS104" s="153"/>
      <c r="BT104" s="149"/>
      <c r="BU104" s="149"/>
      <c r="BV104" s="149"/>
      <c r="BW104" s="153"/>
      <c r="BX104" s="149"/>
      <c r="BY104" s="149"/>
      <c r="BZ104" s="149"/>
      <c r="CA104" s="148"/>
      <c r="CB104" s="150"/>
      <c r="CC104" s="150"/>
    </row>
    <row r="105" spans="1:81" s="151" customFormat="1" x14ac:dyDescent="0.3">
      <c r="A105" s="154"/>
      <c r="B105" s="155"/>
      <c r="C105" s="525" t="str">
        <f>PEP!C106</f>
        <v>2.3.2</v>
      </c>
      <c r="D105" s="137" t="str">
        <f>PEP!D106</f>
        <v>Validación del Marco Muestral Maestro</v>
      </c>
      <c r="E105" s="283">
        <f>PEP!E106</f>
        <v>10119.750379490639</v>
      </c>
      <c r="F105" s="292"/>
      <c r="G105" s="284"/>
      <c r="H105" s="284"/>
      <c r="I105" s="284"/>
      <c r="J105" s="284"/>
      <c r="K105" s="285"/>
      <c r="L105" s="285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285"/>
      <c r="AH105" s="285"/>
      <c r="AI105" s="285"/>
      <c r="AJ105" s="285"/>
      <c r="AK105" s="285"/>
      <c r="AL105" s="285"/>
      <c r="AM105" s="286"/>
      <c r="AN105" s="286"/>
      <c r="AO105" s="287"/>
      <c r="AP105" s="287"/>
      <c r="AQ105" s="285"/>
      <c r="AR105" s="285"/>
      <c r="AS105" s="285"/>
      <c r="AT105" s="285"/>
      <c r="AU105" s="285"/>
      <c r="AV105" s="285"/>
      <c r="AW105" s="285"/>
      <c r="AX105" s="285"/>
      <c r="AY105" s="285"/>
      <c r="AZ105" s="285"/>
      <c r="BA105" s="285"/>
      <c r="BB105" s="285"/>
      <c r="BC105" s="285"/>
      <c r="BD105" s="285"/>
      <c r="BE105" s="285"/>
      <c r="BF105" s="285"/>
      <c r="BG105" s="285"/>
      <c r="BH105" s="285"/>
      <c r="BI105" s="285"/>
      <c r="BJ105" s="285"/>
      <c r="BK105" s="285"/>
      <c r="BL105" s="285"/>
      <c r="BM105" s="285"/>
      <c r="BN105" s="285"/>
      <c r="BO105" s="148"/>
      <c r="BP105" s="148"/>
      <c r="BQ105" s="148"/>
      <c r="BR105" s="148"/>
      <c r="BS105" s="153"/>
      <c r="BT105" s="149"/>
      <c r="BU105" s="149"/>
      <c r="BV105" s="149"/>
      <c r="BW105" s="153"/>
      <c r="BX105" s="149"/>
      <c r="BY105" s="148"/>
      <c r="BZ105" s="149"/>
      <c r="CA105" s="148"/>
      <c r="CB105" s="150"/>
      <c r="CC105" s="150"/>
    </row>
    <row r="106" spans="1:81" s="151" customFormat="1" x14ac:dyDescent="0.3">
      <c r="A106" s="142"/>
      <c r="B106" s="143" t="s">
        <v>91</v>
      </c>
      <c r="C106" s="525" t="str">
        <f>PEP!C107</f>
        <v>2.3.3</v>
      </c>
      <c r="D106" s="137" t="str">
        <f>PEP!D107</f>
        <v>Proceso de Selección de las Muestras</v>
      </c>
      <c r="E106" s="283">
        <f>PEP!E107</f>
        <v>3373.2501264968796</v>
      </c>
      <c r="F106" s="292"/>
      <c r="G106" s="284"/>
      <c r="H106" s="284"/>
      <c r="I106" s="284"/>
      <c r="J106" s="284"/>
      <c r="K106" s="285"/>
      <c r="L106" s="285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285"/>
      <c r="AH106" s="285"/>
      <c r="AI106" s="285"/>
      <c r="AJ106" s="285"/>
      <c r="AK106" s="285"/>
      <c r="AL106" s="285"/>
      <c r="AM106" s="286"/>
      <c r="AN106" s="286"/>
      <c r="AO106" s="287"/>
      <c r="AP106" s="287"/>
      <c r="AS106" s="284"/>
      <c r="AT106" s="285"/>
      <c r="AU106" s="285"/>
      <c r="AV106" s="285"/>
      <c r="AW106" s="285"/>
      <c r="AX106" s="285"/>
      <c r="AY106" s="285"/>
      <c r="AZ106" s="285"/>
      <c r="BA106" s="285"/>
      <c r="BB106" s="285"/>
      <c r="BC106" s="284"/>
      <c r="BD106" s="284"/>
      <c r="BE106" s="284"/>
      <c r="BF106" s="285"/>
      <c r="BG106" s="285"/>
      <c r="BH106" s="285"/>
      <c r="BI106" s="285"/>
      <c r="BJ106" s="285"/>
      <c r="BK106" s="285"/>
      <c r="BL106" s="285"/>
      <c r="BM106" s="285"/>
      <c r="BN106" s="285"/>
      <c r="BO106" s="148"/>
      <c r="BP106" s="149"/>
      <c r="BQ106" s="148"/>
      <c r="BR106" s="148"/>
      <c r="BS106" s="148"/>
      <c r="BT106" s="149"/>
      <c r="BU106" s="148"/>
      <c r="BV106" s="148"/>
      <c r="BW106" s="148"/>
      <c r="BX106" s="149"/>
      <c r="BY106" s="148"/>
      <c r="BZ106" s="148"/>
      <c r="CA106" s="148"/>
      <c r="CB106" s="150"/>
      <c r="CC106" s="150"/>
    </row>
    <row r="107" spans="1:81" s="151" customFormat="1" x14ac:dyDescent="0.3">
      <c r="A107" s="142"/>
      <c r="B107" s="143" t="s">
        <v>91</v>
      </c>
      <c r="C107" s="525" t="str">
        <f>PEP!C108</f>
        <v>2.3.4</v>
      </c>
      <c r="D107" s="137" t="str">
        <f>PEP!D108</f>
        <v>Diseño de contenido conceptual de las encuestas</v>
      </c>
      <c r="E107" s="283">
        <f>PEP!E108</f>
        <v>3373.2501264968796</v>
      </c>
      <c r="F107" s="296"/>
      <c r="G107" s="284"/>
      <c r="H107" s="284"/>
      <c r="I107" s="284"/>
      <c r="J107" s="284"/>
      <c r="K107" s="285"/>
      <c r="L107" s="285"/>
      <c r="M107" s="285"/>
      <c r="N107" s="285"/>
      <c r="O107" s="285"/>
      <c r="P107" s="285"/>
      <c r="Q107" s="285"/>
      <c r="R107" s="285"/>
      <c r="S107" s="285"/>
      <c r="T107" s="285"/>
      <c r="U107" s="285"/>
      <c r="V107" s="285"/>
      <c r="W107" s="285"/>
      <c r="X107" s="285"/>
      <c r="Y107" s="285"/>
      <c r="Z107" s="285"/>
      <c r="AA107" s="285"/>
      <c r="AB107" s="285"/>
      <c r="AC107" s="285"/>
      <c r="AD107" s="285"/>
      <c r="AE107" s="285"/>
      <c r="AF107" s="285"/>
      <c r="AG107" s="285"/>
      <c r="AH107" s="285"/>
      <c r="AI107" s="285"/>
      <c r="AJ107" s="285"/>
      <c r="AK107" s="285"/>
      <c r="AL107" s="285"/>
      <c r="AM107" s="286"/>
      <c r="AN107" s="286"/>
      <c r="AO107" s="287"/>
      <c r="AP107" s="287"/>
      <c r="AS107" s="284"/>
      <c r="AT107" s="285"/>
      <c r="AU107" s="285"/>
      <c r="AV107" s="285"/>
      <c r="AW107" s="285"/>
      <c r="AX107" s="285"/>
      <c r="AY107" s="285"/>
      <c r="AZ107" s="285"/>
      <c r="BA107" s="285"/>
      <c r="BB107" s="285"/>
      <c r="BC107" s="284"/>
      <c r="BD107" s="284"/>
      <c r="BE107" s="284"/>
      <c r="BF107" s="285"/>
      <c r="BG107" s="285"/>
      <c r="BH107" s="285"/>
      <c r="BI107" s="285"/>
      <c r="BJ107" s="285"/>
      <c r="BK107" s="285"/>
      <c r="BL107" s="285"/>
      <c r="BM107" s="285"/>
      <c r="BN107" s="285"/>
      <c r="BO107" s="152"/>
      <c r="BP107" s="149"/>
      <c r="BQ107" s="148"/>
      <c r="BR107" s="148"/>
      <c r="BS107" s="152"/>
      <c r="BT107" s="149"/>
      <c r="BU107" s="148"/>
      <c r="BV107" s="148"/>
      <c r="BW107" s="152"/>
      <c r="BX107" s="149"/>
      <c r="BY107" s="148"/>
      <c r="BZ107" s="148"/>
      <c r="CA107" s="148"/>
      <c r="CB107" s="150"/>
      <c r="CC107" s="150"/>
    </row>
    <row r="108" spans="1:81" s="151" customFormat="1" x14ac:dyDescent="0.3">
      <c r="A108" s="142"/>
      <c r="B108" s="143" t="s">
        <v>91</v>
      </c>
      <c r="C108" s="525" t="str">
        <f>PEP!C109</f>
        <v>2.3.5</v>
      </c>
      <c r="D108" s="137" t="str">
        <f>PEP!D109</f>
        <v>Talleres con usuarios</v>
      </c>
      <c r="E108" s="283">
        <f>PEP!E109</f>
        <v>5059.8751897453194</v>
      </c>
      <c r="G108" s="284"/>
      <c r="H108" s="284"/>
      <c r="I108" s="284"/>
      <c r="J108" s="284"/>
      <c r="K108" s="285"/>
      <c r="L108" s="285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  <c r="AA108" s="285"/>
      <c r="AB108" s="285"/>
      <c r="AC108" s="285"/>
      <c r="AD108" s="285"/>
      <c r="AE108" s="285"/>
      <c r="AF108" s="285"/>
      <c r="AG108" s="285"/>
      <c r="AH108" s="285"/>
      <c r="AI108" s="285"/>
      <c r="AJ108" s="285"/>
      <c r="AK108" s="285"/>
      <c r="AL108" s="285"/>
      <c r="AM108" s="285"/>
      <c r="AN108" s="285"/>
      <c r="AO108" s="285"/>
      <c r="AP108" s="285"/>
      <c r="AQ108" s="285"/>
      <c r="AR108" s="286"/>
      <c r="AS108" s="286"/>
      <c r="AT108" s="287"/>
      <c r="AU108" s="287"/>
      <c r="AV108" s="285"/>
      <c r="AW108" s="285"/>
      <c r="AX108" s="285"/>
      <c r="AY108" s="285"/>
      <c r="AZ108" s="285"/>
      <c r="BA108" s="285"/>
      <c r="BB108" s="285"/>
      <c r="BC108" s="285"/>
      <c r="BD108" s="285"/>
      <c r="BE108" s="285"/>
      <c r="BF108" s="284"/>
      <c r="BG108" s="284"/>
      <c r="BH108" s="284"/>
      <c r="BI108" s="285"/>
      <c r="BJ108" s="285"/>
      <c r="BK108" s="285"/>
      <c r="BL108" s="285"/>
      <c r="BM108" s="285"/>
      <c r="BN108" s="285"/>
      <c r="BO108" s="149"/>
      <c r="BP108" s="149"/>
      <c r="BQ108" s="148"/>
      <c r="BR108" s="148"/>
      <c r="BS108" s="153"/>
      <c r="BT108" s="149"/>
      <c r="BU108" s="148"/>
      <c r="BV108" s="148"/>
      <c r="BW108" s="153"/>
      <c r="BX108" s="149"/>
      <c r="BY108" s="148"/>
      <c r="BZ108" s="148"/>
      <c r="CA108" s="148"/>
      <c r="CB108" s="150"/>
      <c r="CC108" s="150"/>
    </row>
    <row r="109" spans="1:81" s="151" customFormat="1" x14ac:dyDescent="0.3">
      <c r="A109" s="142"/>
      <c r="B109" s="143" t="s">
        <v>91</v>
      </c>
      <c r="C109" s="525" t="str">
        <f>PEP!C110</f>
        <v>2.3.6</v>
      </c>
      <c r="D109" s="137" t="str">
        <f>PEP!D110</f>
        <v>Preparación de la cartográfica</v>
      </c>
      <c r="E109" s="283">
        <f>PEP!E110</f>
        <v>3373.2501264968796</v>
      </c>
      <c r="F109" s="292"/>
      <c r="G109" s="284"/>
      <c r="H109" s="284"/>
      <c r="I109" s="284"/>
      <c r="J109" s="284"/>
      <c r="K109" s="285"/>
      <c r="L109" s="285"/>
      <c r="M109" s="285"/>
      <c r="N109" s="285"/>
      <c r="O109" s="285"/>
      <c r="P109" s="285"/>
      <c r="Q109" s="285"/>
      <c r="R109" s="285"/>
      <c r="S109" s="285"/>
      <c r="T109" s="285"/>
      <c r="U109" s="285"/>
      <c r="V109" s="285"/>
      <c r="W109" s="285"/>
      <c r="X109" s="285"/>
      <c r="Y109" s="285"/>
      <c r="Z109" s="285"/>
      <c r="AA109" s="285"/>
      <c r="AB109" s="285"/>
      <c r="AC109" s="285"/>
      <c r="AD109" s="285"/>
      <c r="AE109" s="285"/>
      <c r="AF109" s="285"/>
      <c r="AG109" s="285"/>
      <c r="AH109" s="285"/>
      <c r="AI109" s="285"/>
      <c r="AJ109" s="285"/>
      <c r="AK109" s="285"/>
      <c r="AL109" s="285"/>
      <c r="AM109" s="285"/>
      <c r="AN109" s="285"/>
      <c r="AO109" s="285"/>
      <c r="AP109" s="285"/>
      <c r="AQ109" s="285"/>
      <c r="AR109" s="286"/>
      <c r="AS109" s="286"/>
      <c r="AT109" s="287"/>
      <c r="AU109" s="287"/>
      <c r="AV109" s="284"/>
      <c r="AW109" s="285"/>
      <c r="AX109" s="285"/>
      <c r="AY109" s="285"/>
      <c r="AZ109" s="285"/>
      <c r="BA109" s="285"/>
      <c r="BB109" s="285"/>
      <c r="BC109" s="285"/>
      <c r="BD109" s="285"/>
      <c r="BE109" s="285"/>
      <c r="BF109" s="284"/>
      <c r="BG109" s="284"/>
      <c r="BH109" s="284"/>
      <c r="BI109" s="285"/>
      <c r="BJ109" s="285"/>
      <c r="BK109" s="285"/>
      <c r="BL109" s="285"/>
      <c r="BM109" s="285"/>
      <c r="BN109" s="285"/>
      <c r="BO109" s="149"/>
      <c r="BP109" s="149"/>
      <c r="BQ109" s="148"/>
      <c r="BR109" s="148"/>
      <c r="BS109" s="153"/>
      <c r="BT109" s="149"/>
      <c r="BU109" s="148"/>
      <c r="BV109" s="148"/>
      <c r="BW109" s="153"/>
      <c r="BX109" s="149"/>
      <c r="BY109" s="148"/>
      <c r="BZ109" s="148"/>
      <c r="CA109" s="148"/>
      <c r="CB109" s="150"/>
      <c r="CC109" s="150"/>
    </row>
    <row r="110" spans="1:81" s="151" customFormat="1" ht="24" x14ac:dyDescent="0.3">
      <c r="A110" s="142"/>
      <c r="B110" s="143"/>
      <c r="C110" s="525" t="str">
        <f>PEP!C111</f>
        <v>2.3.7</v>
      </c>
      <c r="D110" s="137" t="str">
        <f>PEP!D111</f>
        <v>Selección y Capacitación del Personal de la Encuesta</v>
      </c>
      <c r="E110" s="283">
        <f>PEP!E111</f>
        <v>5059.8751897453194</v>
      </c>
      <c r="F110" s="281"/>
      <c r="G110" s="284"/>
      <c r="H110" s="284"/>
      <c r="I110" s="284"/>
      <c r="J110" s="284"/>
      <c r="K110" s="285"/>
      <c r="L110" s="285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  <c r="AA110" s="285"/>
      <c r="AB110" s="285"/>
      <c r="AC110" s="285"/>
      <c r="AD110" s="285"/>
      <c r="AE110" s="285"/>
      <c r="AF110" s="285"/>
      <c r="AG110" s="285"/>
      <c r="AH110" s="285"/>
      <c r="AI110" s="285"/>
      <c r="AJ110" s="285"/>
      <c r="AK110" s="285"/>
      <c r="AL110" s="285"/>
      <c r="AM110" s="285"/>
      <c r="AN110" s="285"/>
      <c r="AO110" s="285"/>
      <c r="AP110" s="285"/>
      <c r="AQ110" s="285"/>
      <c r="AS110" s="286"/>
      <c r="AT110" s="286"/>
      <c r="AU110" s="287"/>
      <c r="AV110" s="287"/>
      <c r="AW110" s="285"/>
      <c r="AX110" s="285"/>
      <c r="AY110" s="285"/>
      <c r="AZ110" s="285"/>
      <c r="BA110" s="285"/>
      <c r="BB110" s="285"/>
      <c r="BC110" s="285"/>
      <c r="BD110" s="285"/>
      <c r="BE110" s="285"/>
      <c r="BF110" s="284"/>
      <c r="BG110" s="284"/>
      <c r="BH110" s="284"/>
      <c r="BI110" s="285"/>
      <c r="BJ110" s="285"/>
      <c r="BK110" s="285"/>
      <c r="BL110" s="285"/>
      <c r="BM110" s="285"/>
      <c r="BN110" s="285"/>
      <c r="BO110" s="149"/>
      <c r="BP110" s="149"/>
      <c r="BQ110" s="148"/>
      <c r="BR110" s="148"/>
      <c r="BS110" s="153"/>
      <c r="BT110" s="149"/>
      <c r="BU110" s="148"/>
      <c r="BV110" s="148"/>
      <c r="BW110" s="153"/>
      <c r="BX110" s="149"/>
      <c r="BY110" s="148"/>
      <c r="BZ110" s="148"/>
      <c r="CA110" s="148"/>
      <c r="CB110" s="150"/>
      <c r="CC110" s="150"/>
    </row>
    <row r="111" spans="1:81" s="151" customFormat="1" x14ac:dyDescent="0.3">
      <c r="A111" s="290"/>
      <c r="B111" s="291"/>
      <c r="C111" s="525" t="str">
        <f>PEP!C112</f>
        <v>2.3.8</v>
      </c>
      <c r="D111" s="139" t="str">
        <f>PEP!D112</f>
        <v>Prueba Piloto</v>
      </c>
      <c r="E111" s="283">
        <f>PEP!E112</f>
        <v>5059.8751897453194</v>
      </c>
      <c r="F111" s="281"/>
      <c r="G111" s="284"/>
      <c r="H111" s="284"/>
      <c r="I111" s="284"/>
      <c r="J111" s="284"/>
      <c r="K111" s="285"/>
      <c r="L111" s="285"/>
      <c r="M111" s="285"/>
      <c r="N111" s="285"/>
      <c r="O111" s="285"/>
      <c r="P111" s="285"/>
      <c r="Q111" s="285"/>
      <c r="R111" s="285"/>
      <c r="S111" s="285"/>
      <c r="T111" s="285"/>
      <c r="U111" s="285"/>
      <c r="V111" s="285"/>
      <c r="W111" s="285"/>
      <c r="X111" s="285"/>
      <c r="Y111" s="285"/>
      <c r="Z111" s="285"/>
      <c r="AA111" s="285"/>
      <c r="AB111" s="285"/>
      <c r="AC111" s="285"/>
      <c r="AD111" s="285"/>
      <c r="AE111" s="285"/>
      <c r="AF111" s="285"/>
      <c r="AG111" s="285"/>
      <c r="AH111" s="285"/>
      <c r="AI111" s="285"/>
      <c r="AJ111" s="285"/>
      <c r="AK111" s="285"/>
      <c r="AL111" s="285"/>
      <c r="AM111" s="285"/>
      <c r="AN111" s="285"/>
      <c r="AO111" s="285"/>
      <c r="AP111" s="285"/>
      <c r="AQ111" s="285"/>
      <c r="AR111" s="284"/>
      <c r="AS111" s="284"/>
      <c r="AU111" s="286"/>
      <c r="AV111" s="286"/>
      <c r="AW111" s="287"/>
      <c r="AX111" s="285"/>
      <c r="AY111" s="285"/>
      <c r="AZ111" s="285"/>
      <c r="BA111" s="285"/>
      <c r="BB111" s="285"/>
      <c r="BC111" s="285"/>
      <c r="BD111" s="285"/>
      <c r="BE111" s="285"/>
      <c r="BF111" s="284"/>
      <c r="BG111" s="284"/>
      <c r="BH111" s="284"/>
      <c r="BI111" s="285"/>
      <c r="BJ111" s="285"/>
      <c r="BK111" s="285"/>
      <c r="BL111" s="285"/>
      <c r="BM111" s="285"/>
      <c r="BN111" s="285"/>
      <c r="BO111" s="149"/>
      <c r="BP111" s="149"/>
      <c r="BQ111" s="148"/>
      <c r="BR111" s="148"/>
      <c r="BS111" s="153"/>
      <c r="BT111" s="149"/>
      <c r="BU111" s="148"/>
      <c r="BV111" s="148"/>
      <c r="BW111" s="153"/>
      <c r="BX111" s="149"/>
      <c r="BY111" s="148"/>
      <c r="BZ111" s="148"/>
      <c r="CA111" s="148"/>
      <c r="CB111" s="150"/>
      <c r="CC111" s="150"/>
    </row>
    <row r="112" spans="1:81" s="169" customFormat="1" ht="24" x14ac:dyDescent="0.3">
      <c r="A112" s="172"/>
      <c r="B112" s="173"/>
      <c r="C112" s="525" t="str">
        <f>PEP!C113</f>
        <v>2.3.9</v>
      </c>
      <c r="D112" s="137" t="str">
        <f>PEP!D113</f>
        <v>Manual de metodología de preparación de la encuesta.</v>
      </c>
      <c r="E112" s="283">
        <f>PEP!E113</f>
        <v>3373.2501264968796</v>
      </c>
      <c r="G112" s="284"/>
      <c r="H112" s="284"/>
      <c r="I112" s="284"/>
      <c r="J112" s="284"/>
      <c r="K112" s="285"/>
      <c r="L112" s="285"/>
      <c r="M112" s="285"/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  <c r="X112" s="285"/>
      <c r="Y112" s="285"/>
      <c r="Z112" s="285"/>
      <c r="AA112" s="285"/>
      <c r="AB112" s="285"/>
      <c r="AC112" s="285"/>
      <c r="AD112" s="285"/>
      <c r="AE112" s="285"/>
      <c r="AF112" s="285"/>
      <c r="AG112" s="285"/>
      <c r="AH112" s="285"/>
      <c r="AI112" s="285"/>
      <c r="AJ112" s="285"/>
      <c r="AK112" s="285"/>
      <c r="AL112" s="285"/>
      <c r="AM112" s="285"/>
      <c r="AN112" s="285"/>
      <c r="AO112" s="285"/>
      <c r="AP112" s="285"/>
      <c r="AQ112" s="285"/>
      <c r="AR112" s="286"/>
      <c r="AS112" s="286"/>
      <c r="AT112" s="287"/>
      <c r="AU112" s="287"/>
      <c r="AV112" s="285"/>
      <c r="AW112" s="285"/>
      <c r="AX112" s="285"/>
      <c r="AY112" s="285"/>
      <c r="AZ112" s="285"/>
      <c r="BA112" s="285"/>
      <c r="BB112" s="285"/>
      <c r="BC112" s="285"/>
      <c r="BD112" s="285"/>
      <c r="BE112" s="285"/>
      <c r="BF112" s="285"/>
      <c r="BG112" s="285"/>
      <c r="BH112" s="285"/>
      <c r="BI112" s="285"/>
      <c r="BJ112" s="285"/>
      <c r="BK112" s="285"/>
      <c r="BL112" s="285"/>
      <c r="BM112" s="285"/>
      <c r="BN112" s="285"/>
      <c r="BO112" s="167"/>
      <c r="BP112" s="167"/>
      <c r="BQ112" s="166"/>
      <c r="BR112" s="166"/>
      <c r="BS112" s="174"/>
      <c r="BT112" s="167"/>
      <c r="BU112" s="166"/>
      <c r="BV112" s="166"/>
      <c r="BW112" s="174"/>
      <c r="BX112" s="167"/>
      <c r="BY112" s="166"/>
      <c r="BZ112" s="166"/>
      <c r="CA112" s="166"/>
      <c r="CB112" s="168"/>
      <c r="CC112" s="168"/>
    </row>
    <row r="113" spans="1:81" s="169" customFormat="1" x14ac:dyDescent="0.3">
      <c r="A113" s="163"/>
      <c r="B113" s="164" t="s">
        <v>95</v>
      </c>
      <c r="C113" s="525" t="str">
        <f>PEP!C114</f>
        <v>2.3.10</v>
      </c>
      <c r="D113" s="137" t="str">
        <f>PEP!D114</f>
        <v>Operativo de Campo (7500 encuestas en 2 ondas)</v>
      </c>
      <c r="E113" s="283">
        <f>PEP!E114</f>
        <v>758981.27846179798</v>
      </c>
      <c r="F113" s="292"/>
      <c r="G113" s="284"/>
      <c r="H113" s="284"/>
      <c r="I113" s="284"/>
      <c r="J113" s="284"/>
      <c r="K113" s="285"/>
      <c r="L113" s="285"/>
      <c r="M113" s="285"/>
      <c r="N113" s="285"/>
      <c r="O113" s="285"/>
      <c r="P113" s="285"/>
      <c r="Q113" s="285"/>
      <c r="R113" s="285"/>
      <c r="S113" s="285"/>
      <c r="T113" s="285"/>
      <c r="U113" s="285"/>
      <c r="V113" s="285"/>
      <c r="W113" s="285"/>
      <c r="X113" s="285"/>
      <c r="Y113" s="285"/>
      <c r="Z113" s="285"/>
      <c r="AA113" s="285"/>
      <c r="AB113" s="285"/>
      <c r="AC113" s="285"/>
      <c r="AD113" s="285"/>
      <c r="AE113" s="285"/>
      <c r="AF113" s="285"/>
      <c r="AG113" s="285"/>
      <c r="AH113" s="285"/>
      <c r="AI113" s="285"/>
      <c r="AJ113" s="285"/>
      <c r="AK113" s="285"/>
      <c r="AL113" s="285"/>
      <c r="AM113" s="285"/>
      <c r="AN113" s="285"/>
      <c r="AO113" s="285"/>
      <c r="AP113" s="285"/>
      <c r="AQ113" s="285"/>
      <c r="AR113" s="285"/>
      <c r="AS113" s="151"/>
      <c r="AT113" s="151"/>
      <c r="AU113" s="286"/>
      <c r="AV113" s="286"/>
      <c r="AW113" s="286"/>
      <c r="AX113" s="286"/>
      <c r="AY113" s="297"/>
      <c r="AZ113" s="298"/>
      <c r="BA113" s="284"/>
      <c r="BB113" s="284"/>
      <c r="BC113" s="285"/>
      <c r="BD113" s="285"/>
      <c r="BE113" s="285"/>
      <c r="BF113" s="284"/>
      <c r="BG113" s="284"/>
      <c r="BH113" s="284"/>
      <c r="BI113" s="298"/>
      <c r="BJ113" s="298"/>
      <c r="BK113" s="284"/>
      <c r="BL113" s="284"/>
      <c r="BM113" s="284"/>
      <c r="BN113" s="284"/>
      <c r="BO113" s="166"/>
      <c r="BP113" s="167"/>
      <c r="BQ113" s="166"/>
      <c r="BR113" s="166"/>
      <c r="BS113" s="166"/>
      <c r="BT113" s="167"/>
      <c r="BU113" s="166"/>
      <c r="BV113" s="166"/>
      <c r="BW113" s="166"/>
      <c r="BX113" s="167"/>
      <c r="BY113" s="166"/>
      <c r="BZ113" s="166"/>
      <c r="CA113" s="166"/>
      <c r="CB113" s="168"/>
      <c r="CC113" s="168"/>
    </row>
    <row r="114" spans="1:81" s="151" customFormat="1" x14ac:dyDescent="0.3">
      <c r="A114" s="142"/>
      <c r="B114" s="143" t="s">
        <v>95</v>
      </c>
      <c r="C114" s="525" t="str">
        <f>PEP!C115</f>
        <v>2.3.11</v>
      </c>
      <c r="D114" s="137" t="str">
        <f>PEP!D115</f>
        <v>Publicación y difusión de resultados</v>
      </c>
      <c r="E114" s="283">
        <f>PEP!E115</f>
        <v>100000</v>
      </c>
      <c r="G114" s="284"/>
      <c r="H114" s="284"/>
      <c r="I114" s="284"/>
      <c r="J114" s="284"/>
      <c r="K114" s="285"/>
      <c r="L114" s="285"/>
      <c r="M114" s="285"/>
      <c r="N114" s="285"/>
      <c r="O114" s="285"/>
      <c r="P114" s="285"/>
      <c r="Q114" s="285"/>
      <c r="R114" s="285"/>
      <c r="S114" s="285"/>
      <c r="T114" s="285"/>
      <c r="U114" s="285"/>
      <c r="V114" s="285"/>
      <c r="W114" s="285"/>
      <c r="X114" s="285"/>
      <c r="Y114" s="285"/>
      <c r="Z114" s="285"/>
      <c r="AA114" s="285"/>
      <c r="AB114" s="285"/>
      <c r="AC114" s="285"/>
      <c r="AD114" s="285"/>
      <c r="AE114" s="285"/>
      <c r="AF114" s="285"/>
      <c r="AG114" s="285"/>
      <c r="AH114" s="285"/>
      <c r="AI114" s="285"/>
      <c r="AJ114" s="285"/>
      <c r="AK114" s="285"/>
      <c r="AL114" s="285"/>
      <c r="AM114" s="285"/>
      <c r="AN114" s="285"/>
      <c r="AO114" s="285"/>
      <c r="AP114" s="285"/>
      <c r="AQ114" s="285"/>
      <c r="AR114" s="285"/>
      <c r="AS114" s="285"/>
      <c r="AT114" s="285"/>
      <c r="AU114" s="285"/>
      <c r="AX114" s="286"/>
      <c r="AY114" s="286"/>
      <c r="AZ114" s="286"/>
      <c r="BA114" s="287"/>
      <c r="BB114" s="287"/>
      <c r="BC114" s="287"/>
      <c r="BD114" s="287"/>
      <c r="BE114" s="287"/>
      <c r="BF114" s="287"/>
      <c r="BG114" s="287"/>
      <c r="BH114" s="287"/>
      <c r="BI114" s="287"/>
      <c r="BJ114" s="287"/>
      <c r="BK114" s="287"/>
      <c r="BL114" s="287"/>
      <c r="BM114" s="284"/>
      <c r="BN114" s="284"/>
      <c r="BO114" s="152"/>
      <c r="BP114" s="149"/>
      <c r="BQ114" s="148"/>
      <c r="BR114" s="148"/>
      <c r="BS114" s="152"/>
      <c r="BT114" s="149"/>
      <c r="BU114" s="148"/>
      <c r="BV114" s="148"/>
      <c r="BW114" s="152"/>
      <c r="BX114" s="149"/>
      <c r="BY114" s="148"/>
      <c r="BZ114" s="148"/>
      <c r="CA114" s="148"/>
      <c r="CB114" s="150"/>
      <c r="CC114" s="150"/>
    </row>
    <row r="115" spans="1:81" s="151" customFormat="1" ht="24" x14ac:dyDescent="0.3">
      <c r="A115" s="142"/>
      <c r="B115" s="143"/>
      <c r="C115" s="512" t="str">
        <f>PEP!C116</f>
        <v>2.4</v>
      </c>
      <c r="D115" s="50" t="str">
        <f>PEP!D116</f>
        <v>Producto 8: Estudios temáticos con información censal realizados</v>
      </c>
      <c r="E115" s="156">
        <f>PEP!E116</f>
        <v>80958.00303592511</v>
      </c>
      <c r="F115" s="292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/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  <c r="BI115" s="156"/>
      <c r="BJ115" s="156"/>
      <c r="BK115" s="156"/>
      <c r="BL115" s="156"/>
      <c r="BM115" s="156"/>
      <c r="BN115" s="156"/>
      <c r="BO115" s="148"/>
      <c r="BP115" s="148"/>
      <c r="BQ115" s="148"/>
      <c r="BR115" s="148"/>
      <c r="BS115" s="153"/>
      <c r="BT115" s="149"/>
      <c r="BU115" s="148"/>
      <c r="BV115" s="148"/>
      <c r="BW115" s="153"/>
      <c r="BX115" s="149"/>
      <c r="BY115" s="148"/>
      <c r="BZ115" s="148"/>
      <c r="CA115" s="148"/>
      <c r="CB115" s="150"/>
      <c r="CC115" s="150"/>
    </row>
    <row r="116" spans="1:81" s="151" customFormat="1" ht="24" x14ac:dyDescent="0.3">
      <c r="A116" s="142"/>
      <c r="B116" s="143"/>
      <c r="C116" s="525" t="str">
        <f>PEP!C117</f>
        <v>2.4.1</v>
      </c>
      <c r="D116" s="137" t="str">
        <f>PEP!D117</f>
        <v>Análisis Temáticos (a definir) y Evaluación de los resultados del Censo</v>
      </c>
      <c r="E116" s="283">
        <f>PEP!E117</f>
        <v>80958.00303592511</v>
      </c>
      <c r="F116" s="292"/>
      <c r="G116" s="284"/>
      <c r="H116" s="284"/>
      <c r="I116" s="284"/>
      <c r="J116" s="284"/>
      <c r="K116" s="285"/>
      <c r="L116" s="285"/>
      <c r="M116" s="285"/>
      <c r="N116" s="285"/>
      <c r="O116" s="285"/>
      <c r="P116" s="285"/>
      <c r="Q116" s="285"/>
      <c r="R116" s="285"/>
      <c r="S116" s="285"/>
      <c r="T116" s="285"/>
      <c r="U116" s="285"/>
      <c r="V116" s="285"/>
      <c r="W116" s="285"/>
      <c r="X116" s="285"/>
      <c r="Y116" s="285"/>
      <c r="Z116" s="285"/>
      <c r="AA116" s="285"/>
      <c r="AB116" s="285"/>
      <c r="AC116" s="285"/>
      <c r="AD116" s="285"/>
      <c r="AE116" s="286"/>
      <c r="AF116" s="286"/>
      <c r="AG116" s="287"/>
      <c r="AH116" s="287"/>
      <c r="AI116" s="287"/>
      <c r="AJ116" s="287"/>
      <c r="AK116" s="285"/>
      <c r="AL116" s="285"/>
      <c r="AM116" s="285"/>
      <c r="AN116" s="285"/>
      <c r="AO116" s="285"/>
      <c r="AP116" s="285"/>
      <c r="AQ116" s="285"/>
      <c r="AR116" s="285"/>
      <c r="AS116" s="285"/>
      <c r="AT116" s="285"/>
      <c r="AU116" s="285"/>
      <c r="AV116" s="285"/>
      <c r="AW116" s="285"/>
      <c r="AX116" s="285"/>
      <c r="AY116" s="285"/>
      <c r="AZ116" s="285"/>
      <c r="BA116" s="285"/>
      <c r="BB116" s="285"/>
      <c r="BC116" s="285"/>
      <c r="BD116" s="285"/>
      <c r="BE116" s="285"/>
      <c r="BF116" s="285"/>
      <c r="BG116" s="285"/>
      <c r="BH116" s="285"/>
      <c r="BI116" s="285"/>
      <c r="BJ116" s="285"/>
      <c r="BK116" s="285"/>
      <c r="BL116" s="285"/>
      <c r="BM116" s="285"/>
      <c r="BN116" s="285"/>
      <c r="BO116" s="148"/>
      <c r="BP116" s="149"/>
      <c r="BQ116" s="149"/>
      <c r="BR116" s="148"/>
      <c r="BS116" s="153"/>
      <c r="BT116" s="149"/>
      <c r="BU116" s="148"/>
      <c r="BV116" s="148"/>
      <c r="BW116" s="153"/>
      <c r="BX116" s="149"/>
      <c r="BY116" s="148"/>
      <c r="BZ116" s="148"/>
      <c r="CA116" s="148"/>
      <c r="CB116" s="150"/>
      <c r="CC116" s="150"/>
    </row>
    <row r="117" spans="1:81" s="11" customFormat="1" x14ac:dyDescent="0.3">
      <c r="A117" s="9"/>
      <c r="B117" s="10" t="s">
        <v>96</v>
      </c>
      <c r="C117" s="505">
        <f>PEP!C118</f>
        <v>3</v>
      </c>
      <c r="D117" s="48" t="str">
        <f>PEP!D118</f>
        <v>Administración, Auditoría y Evaluación</v>
      </c>
      <c r="E117" s="37">
        <f>PEP!E118</f>
        <v>711020.40816326533</v>
      </c>
      <c r="F117" s="46">
        <f>E112/$E$130</f>
        <v>2.248833464798173E-4</v>
      </c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  <c r="BM117" s="37"/>
      <c r="BN117" s="37"/>
      <c r="BO117" s="17"/>
      <c r="BP117" s="17"/>
      <c r="BQ117" s="16"/>
      <c r="BR117" s="16"/>
      <c r="BS117" s="18"/>
      <c r="BT117" s="17"/>
      <c r="BU117" s="16"/>
      <c r="BV117" s="16"/>
      <c r="BW117" s="18"/>
      <c r="BX117" s="17"/>
      <c r="BY117" s="16"/>
      <c r="BZ117" s="16"/>
      <c r="CA117" s="16"/>
      <c r="CB117" s="12"/>
      <c r="CC117" s="12"/>
    </row>
    <row r="118" spans="1:81" s="11" customFormat="1" x14ac:dyDescent="0.3">
      <c r="A118" s="27"/>
      <c r="B118" s="28"/>
      <c r="C118" s="582" t="str">
        <f>PEP!C119</f>
        <v>3.1</v>
      </c>
      <c r="D118" s="49" t="str">
        <f>PEP!D119</f>
        <v>Administración del Programa</v>
      </c>
      <c r="E118" s="38">
        <f>PEP!E119</f>
        <v>551020.40816326533</v>
      </c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  <c r="BK118" s="38"/>
      <c r="BL118" s="38"/>
      <c r="BM118" s="38"/>
      <c r="BN118" s="38"/>
      <c r="BO118" s="17"/>
      <c r="BP118" s="17"/>
      <c r="BQ118" s="16"/>
      <c r="BR118" s="16"/>
      <c r="BS118" s="18"/>
      <c r="BT118" s="17"/>
      <c r="BU118" s="16"/>
      <c r="BV118" s="16"/>
      <c r="BW118" s="18"/>
      <c r="BX118" s="17"/>
      <c r="BY118" s="16"/>
      <c r="BZ118" s="16"/>
      <c r="CA118" s="16"/>
      <c r="CB118" s="12"/>
      <c r="CC118" s="12"/>
    </row>
    <row r="119" spans="1:81" s="151" customFormat="1" x14ac:dyDescent="0.3">
      <c r="A119" s="290"/>
      <c r="B119" s="291"/>
      <c r="C119" s="525" t="str">
        <f>PEP!C120</f>
        <v>3.1.1</v>
      </c>
      <c r="D119" s="282" t="str">
        <f>PEP!D120</f>
        <v>Coordinador General</v>
      </c>
      <c r="E119" s="283">
        <f>PEP!E120</f>
        <v>144206.44290774161</v>
      </c>
      <c r="F119" s="292"/>
      <c r="G119" s="284"/>
      <c r="H119" s="286"/>
      <c r="I119" s="286"/>
      <c r="J119" s="287"/>
      <c r="K119" s="287"/>
      <c r="L119" s="287"/>
      <c r="M119" s="287"/>
      <c r="N119" s="287"/>
      <c r="O119" s="287"/>
      <c r="P119" s="287"/>
      <c r="Q119" s="287"/>
      <c r="R119" s="287"/>
      <c r="S119" s="287"/>
      <c r="T119" s="287"/>
      <c r="U119" s="287"/>
      <c r="V119" s="287"/>
      <c r="W119" s="287"/>
      <c r="X119" s="287"/>
      <c r="Y119" s="287"/>
      <c r="Z119" s="287"/>
      <c r="AA119" s="287"/>
      <c r="AB119" s="287"/>
      <c r="AC119" s="287"/>
      <c r="AD119" s="287"/>
      <c r="AE119" s="287"/>
      <c r="AF119" s="287"/>
      <c r="AG119" s="287"/>
      <c r="AH119" s="287"/>
      <c r="AI119" s="287"/>
      <c r="AJ119" s="287"/>
      <c r="AK119" s="287"/>
      <c r="AL119" s="287"/>
      <c r="AM119" s="287"/>
      <c r="AN119" s="287"/>
      <c r="AO119" s="287"/>
      <c r="AP119" s="287"/>
      <c r="AQ119" s="287"/>
      <c r="AR119" s="287"/>
      <c r="AS119" s="287"/>
      <c r="AT119" s="287"/>
      <c r="AU119" s="287"/>
      <c r="AV119" s="287"/>
      <c r="AW119" s="287"/>
      <c r="AX119" s="287"/>
      <c r="AY119" s="287"/>
      <c r="AZ119" s="287"/>
      <c r="BA119" s="287"/>
      <c r="BB119" s="287"/>
      <c r="BC119" s="287"/>
      <c r="BD119" s="287"/>
      <c r="BE119" s="287"/>
      <c r="BF119" s="287"/>
      <c r="BG119" s="287"/>
      <c r="BH119" s="287"/>
      <c r="BI119" s="287"/>
      <c r="BJ119" s="287"/>
      <c r="BK119" s="287"/>
      <c r="BL119" s="287"/>
      <c r="BM119" s="287"/>
      <c r="BN119" s="287"/>
      <c r="BO119" s="149"/>
      <c r="BP119" s="148"/>
      <c r="BQ119" s="148"/>
      <c r="BR119" s="149"/>
      <c r="BS119" s="153"/>
      <c r="BT119" s="149"/>
      <c r="BU119" s="148"/>
      <c r="BV119" s="148"/>
      <c r="BW119" s="153"/>
      <c r="BX119" s="149"/>
      <c r="BY119" s="148"/>
      <c r="BZ119" s="148"/>
      <c r="CA119" s="148"/>
      <c r="CB119" s="150"/>
      <c r="CC119" s="150"/>
    </row>
    <row r="120" spans="1:81" s="151" customFormat="1" x14ac:dyDescent="0.3">
      <c r="A120" s="279"/>
      <c r="B120" s="280"/>
      <c r="C120" s="525" t="str">
        <f>PEP!C121</f>
        <v>3.1.2</v>
      </c>
      <c r="D120" s="282" t="str">
        <f>PEP!D121</f>
        <v>Especialista Planificación y Monitoreo del Programa</v>
      </c>
      <c r="E120" s="283">
        <f>PEP!E121</f>
        <v>97149.603643110138</v>
      </c>
      <c r="F120" s="281"/>
      <c r="G120" s="284"/>
      <c r="H120" s="286"/>
      <c r="I120" s="286"/>
      <c r="J120" s="287"/>
      <c r="K120" s="287"/>
      <c r="L120" s="287"/>
      <c r="M120" s="287"/>
      <c r="N120" s="287"/>
      <c r="O120" s="287"/>
      <c r="P120" s="287"/>
      <c r="Q120" s="287"/>
      <c r="R120" s="287"/>
      <c r="S120" s="287"/>
      <c r="T120" s="287"/>
      <c r="U120" s="287"/>
      <c r="V120" s="287"/>
      <c r="W120" s="287"/>
      <c r="X120" s="287"/>
      <c r="Y120" s="287"/>
      <c r="Z120" s="287"/>
      <c r="AA120" s="287"/>
      <c r="AB120" s="287"/>
      <c r="AC120" s="287"/>
      <c r="AD120" s="287"/>
      <c r="AE120" s="287"/>
      <c r="AF120" s="287"/>
      <c r="AG120" s="287"/>
      <c r="AH120" s="287"/>
      <c r="AI120" s="287"/>
      <c r="AJ120" s="287"/>
      <c r="AK120" s="287"/>
      <c r="AL120" s="287"/>
      <c r="AM120" s="287"/>
      <c r="AN120" s="287"/>
      <c r="AO120" s="287"/>
      <c r="AP120" s="287"/>
      <c r="AQ120" s="287"/>
      <c r="AR120" s="287"/>
      <c r="AS120" s="287"/>
      <c r="AT120" s="287"/>
      <c r="AU120" s="287"/>
      <c r="AV120" s="287"/>
      <c r="AW120" s="287"/>
      <c r="AX120" s="287"/>
      <c r="AY120" s="287"/>
      <c r="AZ120" s="287"/>
      <c r="BA120" s="287"/>
      <c r="BB120" s="287"/>
      <c r="BC120" s="287"/>
      <c r="BD120" s="287"/>
      <c r="BE120" s="287"/>
      <c r="BF120" s="284"/>
      <c r="BG120" s="284"/>
      <c r="BH120" s="284"/>
      <c r="BI120" s="284"/>
      <c r="BJ120" s="284"/>
      <c r="BK120" s="284"/>
      <c r="BL120" s="284"/>
      <c r="BM120" s="284"/>
      <c r="BN120" s="284"/>
      <c r="BO120" s="148"/>
      <c r="BP120" s="149"/>
      <c r="BQ120" s="148"/>
      <c r="BR120" s="148"/>
      <c r="BS120" s="148"/>
      <c r="BT120" s="149"/>
      <c r="BU120" s="148"/>
      <c r="BV120" s="148"/>
      <c r="BW120" s="148"/>
      <c r="BX120" s="149"/>
      <c r="BY120" s="148"/>
      <c r="BZ120" s="148"/>
      <c r="CA120" s="148"/>
      <c r="CB120" s="150"/>
      <c r="CC120" s="150"/>
    </row>
    <row r="121" spans="1:81" s="151" customFormat="1" collapsed="1" x14ac:dyDescent="0.3">
      <c r="A121" s="279"/>
      <c r="B121" s="280"/>
      <c r="C121" s="525" t="str">
        <f>PEP!C122</f>
        <v>3.1.3</v>
      </c>
      <c r="D121" s="282" t="str">
        <f>PEP!D122</f>
        <v>Especialista Financiero</v>
      </c>
      <c r="E121" s="283">
        <f>PEP!E122</f>
        <v>115365.15432619328</v>
      </c>
      <c r="F121" s="293"/>
      <c r="G121" s="284"/>
      <c r="H121" s="286"/>
      <c r="I121" s="286"/>
      <c r="J121" s="287"/>
      <c r="K121" s="287"/>
      <c r="L121" s="287"/>
      <c r="M121" s="287"/>
      <c r="N121" s="287"/>
      <c r="O121" s="287"/>
      <c r="P121" s="287"/>
      <c r="Q121" s="287"/>
      <c r="R121" s="287"/>
      <c r="S121" s="287"/>
      <c r="T121" s="287"/>
      <c r="U121" s="287"/>
      <c r="V121" s="287"/>
      <c r="W121" s="287"/>
      <c r="X121" s="287"/>
      <c r="Y121" s="287"/>
      <c r="Z121" s="287"/>
      <c r="AA121" s="287"/>
      <c r="AB121" s="287"/>
      <c r="AC121" s="287"/>
      <c r="AD121" s="287"/>
      <c r="AE121" s="287"/>
      <c r="AF121" s="287"/>
      <c r="AG121" s="287"/>
      <c r="AH121" s="287"/>
      <c r="AI121" s="287"/>
      <c r="AJ121" s="287"/>
      <c r="AK121" s="287"/>
      <c r="AL121" s="287"/>
      <c r="AM121" s="287"/>
      <c r="AN121" s="287"/>
      <c r="AO121" s="287"/>
      <c r="AP121" s="287"/>
      <c r="AQ121" s="287"/>
      <c r="AR121" s="287"/>
      <c r="AS121" s="287"/>
      <c r="AT121" s="287"/>
      <c r="AU121" s="287"/>
      <c r="AV121" s="287"/>
      <c r="AW121" s="287"/>
      <c r="AX121" s="287"/>
      <c r="AY121" s="287"/>
      <c r="AZ121" s="287"/>
      <c r="BA121" s="287"/>
      <c r="BB121" s="287"/>
      <c r="BC121" s="287"/>
      <c r="BD121" s="287"/>
      <c r="BE121" s="287"/>
      <c r="BF121" s="287"/>
      <c r="BG121" s="287"/>
      <c r="BH121" s="287"/>
      <c r="BI121" s="287"/>
      <c r="BJ121" s="287"/>
      <c r="BK121" s="287"/>
      <c r="BL121" s="287"/>
      <c r="BM121" s="287"/>
      <c r="BN121" s="287"/>
      <c r="BO121" s="148"/>
      <c r="BP121" s="149"/>
      <c r="BQ121" s="148"/>
      <c r="BR121" s="148"/>
      <c r="BS121" s="148"/>
      <c r="BT121" s="149"/>
      <c r="BU121" s="148"/>
      <c r="BV121" s="148"/>
      <c r="BW121" s="148"/>
      <c r="BX121" s="149"/>
      <c r="BY121" s="148"/>
      <c r="BZ121" s="148"/>
      <c r="CA121" s="148"/>
      <c r="CB121" s="150"/>
      <c r="CC121" s="150"/>
    </row>
    <row r="122" spans="1:81" s="169" customFormat="1" x14ac:dyDescent="0.3">
      <c r="A122" s="288"/>
      <c r="B122" s="289"/>
      <c r="C122" s="525" t="str">
        <f>PEP!C123</f>
        <v>3.1.4</v>
      </c>
      <c r="D122" s="282" t="str">
        <f>PEP!D123</f>
        <v>Especialista Adquisiciones</v>
      </c>
      <c r="E122" s="283">
        <f>PEP!E123</f>
        <v>194299.20728622028</v>
      </c>
      <c r="G122" s="284"/>
      <c r="H122" s="286"/>
      <c r="I122" s="286"/>
      <c r="J122" s="287"/>
      <c r="K122" s="287"/>
      <c r="L122" s="287"/>
      <c r="M122" s="287"/>
      <c r="N122" s="287"/>
      <c r="O122" s="287"/>
      <c r="P122" s="287"/>
      <c r="Q122" s="287"/>
      <c r="R122" s="287"/>
      <c r="S122" s="287"/>
      <c r="T122" s="287"/>
      <c r="U122" s="287"/>
      <c r="V122" s="287"/>
      <c r="W122" s="287"/>
      <c r="X122" s="287"/>
      <c r="Y122" s="287"/>
      <c r="Z122" s="287"/>
      <c r="AA122" s="287"/>
      <c r="AB122" s="287"/>
      <c r="AC122" s="287"/>
      <c r="AD122" s="287"/>
      <c r="AE122" s="287"/>
      <c r="AF122" s="287"/>
      <c r="AG122" s="287"/>
      <c r="AH122" s="287"/>
      <c r="AI122" s="287"/>
      <c r="AJ122" s="287"/>
      <c r="AK122" s="287"/>
      <c r="AL122" s="287"/>
      <c r="AM122" s="287"/>
      <c r="AN122" s="287"/>
      <c r="AO122" s="287"/>
      <c r="AP122" s="287"/>
      <c r="AQ122" s="287"/>
      <c r="AR122" s="287"/>
      <c r="AS122" s="287"/>
      <c r="AT122" s="287"/>
      <c r="AU122" s="287"/>
      <c r="AV122" s="287"/>
      <c r="AW122" s="287"/>
      <c r="AX122" s="287"/>
      <c r="AY122" s="287"/>
      <c r="AZ122" s="287"/>
      <c r="BA122" s="287"/>
      <c r="BB122" s="287"/>
      <c r="BC122" s="287"/>
      <c r="BD122" s="287"/>
      <c r="BE122" s="287"/>
      <c r="BF122" s="285"/>
      <c r="BG122" s="285"/>
      <c r="BH122" s="285"/>
      <c r="BI122" s="285"/>
      <c r="BJ122" s="285"/>
      <c r="BK122" s="285"/>
      <c r="BL122" s="285"/>
      <c r="BM122" s="285"/>
      <c r="BN122" s="285"/>
      <c r="BO122" s="166"/>
      <c r="BP122" s="167"/>
      <c r="BQ122" s="166"/>
      <c r="BR122" s="166"/>
      <c r="BS122" s="166"/>
      <c r="BT122" s="167"/>
      <c r="BU122" s="166"/>
      <c r="BV122" s="166"/>
      <c r="BW122" s="166"/>
      <c r="BX122" s="167"/>
      <c r="BY122" s="166"/>
      <c r="BZ122" s="166"/>
      <c r="CA122" s="166"/>
      <c r="CB122" s="168"/>
      <c r="CC122" s="168"/>
    </row>
    <row r="123" spans="1:81" s="169" customFormat="1" x14ac:dyDescent="0.3">
      <c r="A123" s="288" t="s">
        <v>213</v>
      </c>
      <c r="B123" s="294">
        <v>5929</v>
      </c>
      <c r="C123" s="525" t="str">
        <f>PEP!C124</f>
        <v>3.1.5</v>
      </c>
      <c r="D123" s="282" t="str">
        <f>PEP!D124</f>
        <v>Imprevistos</v>
      </c>
      <c r="E123" s="283">
        <f>PEP!E124</f>
        <v>0</v>
      </c>
      <c r="G123" s="284"/>
      <c r="H123" s="284"/>
      <c r="I123" s="284"/>
      <c r="J123" s="284"/>
      <c r="K123" s="285"/>
      <c r="L123" s="285"/>
      <c r="M123" s="285"/>
      <c r="N123" s="285"/>
      <c r="O123" s="285"/>
      <c r="P123" s="285"/>
      <c r="Q123" s="285"/>
      <c r="R123" s="285"/>
      <c r="S123" s="285"/>
      <c r="T123" s="285"/>
      <c r="U123" s="285"/>
      <c r="V123" s="285"/>
      <c r="W123" s="285"/>
      <c r="X123" s="285"/>
      <c r="Y123" s="285"/>
      <c r="Z123" s="285"/>
      <c r="AA123" s="285"/>
      <c r="AB123" s="285"/>
      <c r="AC123" s="285"/>
      <c r="AD123" s="285"/>
      <c r="AE123" s="285"/>
      <c r="AF123" s="285"/>
      <c r="AG123" s="285"/>
      <c r="AH123" s="285"/>
      <c r="AI123" s="285"/>
      <c r="AJ123" s="285"/>
      <c r="AK123" s="285"/>
      <c r="AL123" s="285"/>
      <c r="AM123" s="285"/>
      <c r="AN123" s="285"/>
      <c r="AO123" s="285"/>
      <c r="AP123" s="285"/>
      <c r="AQ123" s="285"/>
      <c r="AR123" s="285"/>
      <c r="AS123" s="285"/>
      <c r="AT123" s="285"/>
      <c r="AU123" s="285"/>
      <c r="AV123" s="285"/>
      <c r="AW123" s="285"/>
      <c r="AX123" s="285"/>
      <c r="AY123" s="285"/>
      <c r="AZ123" s="285"/>
      <c r="BA123" s="285"/>
      <c r="BB123" s="285"/>
      <c r="BC123" s="285"/>
      <c r="BD123" s="285"/>
      <c r="BE123" s="285"/>
      <c r="BF123" s="287"/>
      <c r="BG123" s="285"/>
      <c r="BH123" s="285"/>
      <c r="BI123" s="285"/>
      <c r="BJ123" s="285"/>
      <c r="BK123" s="285"/>
      <c r="BL123" s="285"/>
      <c r="BM123" s="285"/>
      <c r="BN123" s="285"/>
      <c r="BO123" s="166"/>
      <c r="BP123" s="167"/>
      <c r="BQ123" s="166"/>
      <c r="BR123" s="166"/>
      <c r="BS123" s="166"/>
      <c r="BT123" s="167"/>
      <c r="BU123" s="166"/>
      <c r="BV123" s="166"/>
      <c r="BW123" s="166"/>
      <c r="BX123" s="167"/>
      <c r="BY123" s="166"/>
      <c r="BZ123" s="166"/>
      <c r="CA123" s="166"/>
      <c r="CB123" s="168"/>
      <c r="CC123" s="168"/>
    </row>
    <row r="124" spans="1:81" s="151" customFormat="1" x14ac:dyDescent="0.3">
      <c r="A124" s="279"/>
      <c r="B124" s="280"/>
      <c r="C124" s="582" t="str">
        <f>PEP!C125</f>
        <v>3.2</v>
      </c>
      <c r="D124" s="50" t="str">
        <f>PEP!D125</f>
        <v>Evaluaciones Intermedia y Final realizadas</v>
      </c>
      <c r="E124" s="156">
        <f>PEP!E125</f>
        <v>60000</v>
      </c>
      <c r="F124" s="281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  <c r="AF124" s="156"/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56"/>
      <c r="AX124" s="156"/>
      <c r="AY124" s="156"/>
      <c r="AZ124" s="156"/>
      <c r="BA124" s="156"/>
      <c r="BB124" s="156"/>
      <c r="BC124" s="156"/>
      <c r="BD124" s="156"/>
      <c r="BE124" s="156"/>
      <c r="BF124" s="156"/>
      <c r="BG124" s="156"/>
      <c r="BH124" s="156"/>
      <c r="BI124" s="156"/>
      <c r="BJ124" s="156"/>
      <c r="BK124" s="156"/>
      <c r="BL124" s="156"/>
      <c r="BM124" s="156"/>
      <c r="BN124" s="156"/>
      <c r="BO124" s="148"/>
      <c r="BP124" s="149"/>
      <c r="BQ124" s="148"/>
      <c r="BR124" s="148"/>
      <c r="BS124" s="148"/>
      <c r="BT124" s="149"/>
      <c r="BU124" s="148"/>
      <c r="BV124" s="148"/>
      <c r="BW124" s="148"/>
      <c r="BX124" s="149"/>
      <c r="BY124" s="148"/>
      <c r="BZ124" s="148"/>
      <c r="CA124" s="148"/>
      <c r="CB124" s="150"/>
      <c r="CC124" s="150"/>
    </row>
    <row r="125" spans="1:81" s="151" customFormat="1" x14ac:dyDescent="0.3">
      <c r="A125" s="279"/>
      <c r="B125" s="280"/>
      <c r="C125" s="525" t="str">
        <f>PEP!C126</f>
        <v>3.2.1</v>
      </c>
      <c r="D125" s="282" t="str">
        <f>PEP!D126</f>
        <v xml:space="preserve">Evaluación Intermedia </v>
      </c>
      <c r="E125" s="283">
        <f>PEP!E126</f>
        <v>30000</v>
      </c>
      <c r="F125" s="281"/>
      <c r="G125" s="284"/>
      <c r="H125" s="284"/>
      <c r="I125" s="284"/>
      <c r="J125" s="284"/>
      <c r="K125" s="285"/>
      <c r="L125" s="285"/>
      <c r="M125" s="285"/>
      <c r="N125" s="285"/>
      <c r="O125" s="285"/>
      <c r="P125" s="285"/>
      <c r="Q125" s="285"/>
      <c r="R125" s="285"/>
      <c r="S125" s="285"/>
      <c r="T125" s="285"/>
      <c r="U125" s="285"/>
      <c r="V125" s="285"/>
      <c r="W125" s="285"/>
      <c r="X125" s="285"/>
      <c r="Y125" s="285"/>
      <c r="Z125" s="285"/>
      <c r="AA125" s="285"/>
      <c r="AB125" s="285"/>
      <c r="AC125" s="285"/>
      <c r="AD125" s="286"/>
      <c r="AE125" s="286"/>
      <c r="AF125" s="286"/>
      <c r="AG125" s="286"/>
      <c r="AH125" s="286"/>
      <c r="AI125" s="286"/>
      <c r="AJ125" s="287"/>
      <c r="AK125" s="287"/>
      <c r="AL125" s="287"/>
      <c r="AM125" s="287"/>
      <c r="AN125" s="285"/>
      <c r="AO125" s="285"/>
      <c r="AP125" s="285"/>
      <c r="AQ125" s="285"/>
      <c r="AR125" s="285"/>
      <c r="AS125" s="285"/>
      <c r="AT125" s="285"/>
      <c r="AU125" s="285"/>
      <c r="AV125" s="285"/>
      <c r="AW125" s="285"/>
      <c r="AX125" s="285"/>
      <c r="AY125" s="285"/>
      <c r="AZ125" s="285"/>
      <c r="BA125" s="285"/>
      <c r="BB125" s="285"/>
      <c r="BC125" s="285"/>
      <c r="BD125" s="285"/>
      <c r="BE125" s="285"/>
      <c r="BF125" s="285"/>
      <c r="BG125" s="285"/>
      <c r="BH125" s="285"/>
      <c r="BI125" s="285"/>
      <c r="BJ125" s="285"/>
      <c r="BK125" s="285"/>
      <c r="BL125" s="285"/>
      <c r="BM125" s="285"/>
      <c r="BN125" s="285"/>
      <c r="BO125" s="148"/>
      <c r="BP125" s="149"/>
      <c r="BQ125" s="148"/>
      <c r="BR125" s="148"/>
      <c r="BS125" s="148"/>
      <c r="BT125" s="149"/>
      <c r="BU125" s="148"/>
      <c r="BV125" s="148"/>
      <c r="BW125" s="148"/>
      <c r="BX125" s="149"/>
      <c r="BY125" s="148"/>
      <c r="BZ125" s="148"/>
      <c r="CA125" s="148"/>
      <c r="CB125" s="150"/>
      <c r="CC125" s="150"/>
    </row>
    <row r="126" spans="1:81" s="169" customFormat="1" x14ac:dyDescent="0.3">
      <c r="A126" s="288"/>
      <c r="B126" s="289"/>
      <c r="C126" s="525" t="str">
        <f>PEP!C127</f>
        <v>3.2.2</v>
      </c>
      <c r="D126" s="282" t="str">
        <f>PEP!D127</f>
        <v>Evaluación Final</v>
      </c>
      <c r="E126" s="283">
        <f>PEP!E127</f>
        <v>30000</v>
      </c>
      <c r="G126" s="284"/>
      <c r="H126" s="284"/>
      <c r="I126" s="284"/>
      <c r="J126" s="284"/>
      <c r="K126" s="285"/>
      <c r="L126" s="285"/>
      <c r="M126" s="285"/>
      <c r="N126" s="285"/>
      <c r="O126" s="285"/>
      <c r="P126" s="285"/>
      <c r="Q126" s="285"/>
      <c r="R126" s="285"/>
      <c r="S126" s="285"/>
      <c r="T126" s="285"/>
      <c r="U126" s="285"/>
      <c r="V126" s="285"/>
      <c r="W126" s="285"/>
      <c r="X126" s="285"/>
      <c r="Y126" s="285"/>
      <c r="Z126" s="285"/>
      <c r="AA126" s="285"/>
      <c r="AB126" s="285"/>
      <c r="AC126" s="285"/>
      <c r="AD126" s="285"/>
      <c r="AE126" s="285"/>
      <c r="AF126" s="285"/>
      <c r="AG126" s="285"/>
      <c r="AH126" s="285"/>
      <c r="AI126" s="285"/>
      <c r="AJ126" s="285"/>
      <c r="AK126" s="285"/>
      <c r="AL126" s="285"/>
      <c r="AM126" s="285"/>
      <c r="AN126" s="285"/>
      <c r="AO126" s="285"/>
      <c r="AP126" s="285"/>
      <c r="AQ126" s="285"/>
      <c r="AR126" s="285"/>
      <c r="AS126" s="285"/>
      <c r="AT126" s="285"/>
      <c r="AU126" s="285"/>
      <c r="AV126" s="285"/>
      <c r="AW126" s="285"/>
      <c r="AX126" s="285"/>
      <c r="AY126" s="285"/>
      <c r="AZ126" s="285"/>
      <c r="BA126" s="285"/>
      <c r="BB126" s="285"/>
      <c r="BC126" s="286"/>
      <c r="BD126" s="286"/>
      <c r="BE126" s="286"/>
      <c r="BF126" s="286"/>
      <c r="BG126" s="286"/>
      <c r="BH126" s="286"/>
      <c r="BI126" s="287"/>
      <c r="BJ126" s="287"/>
      <c r="BK126" s="287"/>
      <c r="BL126" s="287"/>
      <c r="BM126" s="285"/>
      <c r="BN126" s="285"/>
      <c r="BO126" s="166"/>
      <c r="BP126" s="167"/>
      <c r="BQ126" s="166"/>
      <c r="BR126" s="166"/>
      <c r="BS126" s="166"/>
      <c r="BT126" s="167"/>
      <c r="BU126" s="166"/>
      <c r="BV126" s="166"/>
      <c r="BW126" s="166"/>
      <c r="BX126" s="167"/>
      <c r="BY126" s="166"/>
      <c r="BZ126" s="166"/>
      <c r="CA126" s="166"/>
      <c r="CB126" s="168"/>
      <c r="CC126" s="168"/>
    </row>
    <row r="127" spans="1:81" s="151" customFormat="1" x14ac:dyDescent="0.3">
      <c r="A127" s="279"/>
      <c r="B127" s="280"/>
      <c r="C127" s="582" t="str">
        <f>PEP!C128</f>
        <v xml:space="preserve">3.3 </v>
      </c>
      <c r="D127" s="50" t="str">
        <f>PEP!D128</f>
        <v>Auditoria Externa del Programa realizadas</v>
      </c>
      <c r="E127" s="156">
        <f>PEP!E128</f>
        <v>100000</v>
      </c>
      <c r="F127" s="281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  <c r="AF127" s="156"/>
      <c r="AG127" s="156"/>
      <c r="AH127" s="156"/>
      <c r="AI127" s="156"/>
      <c r="AJ127" s="156"/>
      <c r="AK127" s="156"/>
      <c r="AL127" s="156"/>
      <c r="AM127" s="156"/>
      <c r="AN127" s="156"/>
      <c r="AO127" s="156"/>
      <c r="AP127" s="156"/>
      <c r="AQ127" s="156"/>
      <c r="AR127" s="156"/>
      <c r="AS127" s="156"/>
      <c r="AT127" s="156"/>
      <c r="AU127" s="156"/>
      <c r="AV127" s="156"/>
      <c r="AW127" s="156"/>
      <c r="AX127" s="156"/>
      <c r="AY127" s="156"/>
      <c r="AZ127" s="156"/>
      <c r="BA127" s="156"/>
      <c r="BB127" s="156"/>
      <c r="BC127" s="156"/>
      <c r="BD127" s="156"/>
      <c r="BE127" s="156"/>
      <c r="BF127" s="156"/>
      <c r="BG127" s="156"/>
      <c r="BH127" s="156"/>
      <c r="BI127" s="156"/>
      <c r="BJ127" s="156"/>
      <c r="BK127" s="156"/>
      <c r="BL127" s="156"/>
      <c r="BM127" s="156"/>
      <c r="BN127" s="156"/>
      <c r="BO127" s="148"/>
      <c r="BP127" s="149"/>
      <c r="BQ127" s="148"/>
      <c r="BR127" s="148"/>
      <c r="BS127" s="148"/>
      <c r="BT127" s="149"/>
      <c r="BU127" s="148"/>
      <c r="BV127" s="148"/>
      <c r="BW127" s="148"/>
      <c r="BX127" s="149"/>
      <c r="BY127" s="148"/>
      <c r="BZ127" s="148"/>
      <c r="CA127" s="148"/>
      <c r="CB127" s="150"/>
      <c r="CC127" s="150"/>
    </row>
    <row r="128" spans="1:81" s="169" customFormat="1" x14ac:dyDescent="0.3">
      <c r="A128" s="288"/>
      <c r="B128" s="289"/>
      <c r="C128" s="525" t="str">
        <f>PEP!C129</f>
        <v>3.3.1</v>
      </c>
      <c r="D128" s="282" t="str">
        <f>PEP!D129</f>
        <v>Auditoria Externa</v>
      </c>
      <c r="E128" s="283">
        <f>PEP!E129</f>
        <v>100000</v>
      </c>
      <c r="G128" s="284"/>
      <c r="H128" s="285"/>
      <c r="I128" s="285"/>
      <c r="J128" s="285"/>
      <c r="K128" s="285"/>
      <c r="L128" s="286"/>
      <c r="M128" s="286"/>
      <c r="N128" s="286"/>
      <c r="O128" s="286"/>
      <c r="P128" s="286"/>
      <c r="Q128" s="286"/>
      <c r="R128" s="286"/>
      <c r="S128" s="287"/>
      <c r="T128" s="287"/>
      <c r="U128" s="287"/>
      <c r="V128" s="287"/>
      <c r="W128" s="287"/>
      <c r="X128" s="287"/>
      <c r="Y128" s="287"/>
      <c r="Z128" s="287"/>
      <c r="AA128" s="287"/>
      <c r="AB128" s="287"/>
      <c r="AC128" s="287"/>
      <c r="AD128" s="287"/>
      <c r="AE128" s="287"/>
      <c r="AF128" s="287"/>
      <c r="AG128" s="287"/>
      <c r="AH128" s="287"/>
      <c r="AI128" s="287"/>
      <c r="AJ128" s="287"/>
      <c r="AK128" s="287"/>
      <c r="AL128" s="287"/>
      <c r="AM128" s="287"/>
      <c r="AN128" s="287"/>
      <c r="AO128" s="287"/>
      <c r="AP128" s="287"/>
      <c r="AQ128" s="287"/>
      <c r="AR128" s="287"/>
      <c r="AS128" s="287"/>
      <c r="AT128" s="287"/>
      <c r="AU128" s="287"/>
      <c r="AV128" s="287"/>
      <c r="AW128" s="287"/>
      <c r="AX128" s="287"/>
      <c r="AY128" s="287"/>
      <c r="AZ128" s="287"/>
      <c r="BA128" s="287"/>
      <c r="BB128" s="287"/>
      <c r="BC128" s="287"/>
      <c r="BD128" s="287"/>
      <c r="BE128" s="287"/>
      <c r="BF128" s="287"/>
      <c r="BG128" s="287"/>
      <c r="BH128" s="287"/>
      <c r="BI128" s="287"/>
      <c r="BJ128" s="287"/>
      <c r="BK128" s="287"/>
      <c r="BL128" s="287"/>
      <c r="BM128" s="287"/>
      <c r="BN128" s="287"/>
      <c r="BO128" s="166"/>
      <c r="BP128" s="167"/>
      <c r="BQ128" s="166"/>
      <c r="BR128" s="166"/>
      <c r="BS128" s="166"/>
      <c r="BT128" s="167"/>
      <c r="BU128" s="166"/>
      <c r="BV128" s="166"/>
      <c r="BW128" s="166"/>
      <c r="BX128" s="167"/>
      <c r="BY128" s="166"/>
      <c r="BZ128" s="166"/>
      <c r="CA128" s="166"/>
      <c r="CB128" s="168"/>
      <c r="CC128" s="168"/>
    </row>
    <row r="129" spans="3:66" x14ac:dyDescent="0.3">
      <c r="C129" s="495">
        <f>PEP!C130</f>
        <v>0</v>
      </c>
      <c r="D129" s="48" t="str">
        <f>PEP!D130</f>
        <v>Imprevisto</v>
      </c>
      <c r="E129" s="37">
        <f>PEP!E130</f>
        <v>300000</v>
      </c>
      <c r="F129" s="46">
        <f>E129/$E$130</f>
        <v>2.0000000419182554E-2</v>
      </c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</row>
    <row r="130" spans="3:66" x14ac:dyDescent="0.3">
      <c r="C130" s="495">
        <f>PEP!C131</f>
        <v>0</v>
      </c>
      <c r="D130" s="48" t="str">
        <f>PEP!D131</f>
        <v>Total</v>
      </c>
      <c r="E130" s="37">
        <f>PEP!E131</f>
        <v>14999999.685613092</v>
      </c>
      <c r="F130" s="46">
        <f>E130/$E$130</f>
        <v>1</v>
      </c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7"/>
      <c r="BN130" s="37"/>
    </row>
  </sheetData>
  <mergeCells count="33">
    <mergeCell ref="BV20:BY20"/>
    <mergeCell ref="S4:U4"/>
    <mergeCell ref="AE4:AG4"/>
    <mergeCell ref="AH4:AJ4"/>
    <mergeCell ref="CD20:CG20"/>
    <mergeCell ref="AQ4:AS4"/>
    <mergeCell ref="AT4:AV4"/>
    <mergeCell ref="AW4:AY4"/>
    <mergeCell ref="AZ4:BB4"/>
    <mergeCell ref="BC4:BE4"/>
    <mergeCell ref="BF4:BH4"/>
    <mergeCell ref="BI4:BK4"/>
    <mergeCell ref="BL4:BN4"/>
    <mergeCell ref="BO9:BR9"/>
    <mergeCell ref="BS9:BV9"/>
    <mergeCell ref="BW9:BZ9"/>
    <mergeCell ref="BZ20:CC20"/>
    <mergeCell ref="D1:BN1"/>
    <mergeCell ref="P4:R4"/>
    <mergeCell ref="D3:E3"/>
    <mergeCell ref="AK4:AM4"/>
    <mergeCell ref="BC3:BN3"/>
    <mergeCell ref="G3:R3"/>
    <mergeCell ref="S3:AD3"/>
    <mergeCell ref="AE3:AP3"/>
    <mergeCell ref="AQ3:BB3"/>
    <mergeCell ref="V4:X4"/>
    <mergeCell ref="Y4:AA4"/>
    <mergeCell ref="AB4:AD4"/>
    <mergeCell ref="G4:I4"/>
    <mergeCell ref="J4:L4"/>
    <mergeCell ref="M4:O4"/>
    <mergeCell ref="AN4:AP4"/>
  </mergeCells>
  <pageMargins left="0.70866141732283472" right="0.70866141732283472" top="0.74803149606299213" bottom="0.74803149606299213" header="0.31496062992125984" footer="0.31496062992125984"/>
  <pageSetup paperSize="5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A097466C11F3B45B9C3652C3FD25C74" ma:contentTypeVersion="10" ma:contentTypeDescription="The base project type from which other project content types inherit their information." ma:contentTypeScope="" ma:versionID="1a0b082be2f0e47e23abb8648034579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b03db798cf05ff65938c0f6d3330ac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FC886236EBA124491147CC4F19E08B6" ma:contentTypeVersion="31" ma:contentTypeDescription="A content type to manage public (operations) IDB documents" ma:contentTypeScope="" ma:versionID="8c3aa78fb5f6ca587084a91cf01b722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R0001277301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CSD/RND</Division_x0020_or_x0020_Unit>
    <IDBDocs_x0020_Number xmlns="cdc7663a-08f0-4737-9e8c-148ce897a09c" xsi:nil="true"/>
    <Document_x0020_Author xmlns="cdc7663a-08f0-4737-9e8c-148ce897a09c">Chavez, Elizabeth</Document_x0020_Author>
    <_dlc_DocId xmlns="cdc7663a-08f0-4737-9e8c-148ce897a09c">EZSHARE-345112541-43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TaxCatchAll xmlns="cdc7663a-08f0-4737-9e8c-148ce897a09c">
      <Value>97</Value>
      <Value>96</Value>
      <Value>61</Value>
      <Value>3</Value>
      <Value>24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PR-L1147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f9e8fd28-7c4b-43d1-81a9-d542b5998e9a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https://idbg.sharepoint.com/teams/EZ-PR-LON/PR-L1147/_layouts/15/DocIdRedir.aspx?ID=EZSHARE-345112541-43</Url>
      <Description>EZSHARE-345112541-43</Description>
    </_dlc_DocIdUrl>
    <Phase xmlns="cdc7663a-08f0-4737-9e8c-148ce897a09c">ACTIVE</Phase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Agriculture and Rural Development;</Webtopic>
    <Abstract xmlns="cdc7663a-08f0-4737-9e8c-148ce897a09c" xsi:nil="true"/>
    <Publishing_x0020_House xmlns="cdc7663a-08f0-4737-9e8c-148ce897a09c" xsi:nil="true"/>
    <Related_x0020_SisCor_x0020_Number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C94EE90-1E83-4B85-A4B2-F098578375B7}"/>
</file>

<file path=customXml/itemProps2.xml><?xml version="1.0" encoding="utf-8"?>
<ds:datastoreItem xmlns:ds="http://schemas.openxmlformats.org/officeDocument/2006/customXml" ds:itemID="{F024FEA9-97AD-4205-A458-FA992C6A1036}"/>
</file>

<file path=customXml/itemProps3.xml><?xml version="1.0" encoding="utf-8"?>
<ds:datastoreItem xmlns:ds="http://schemas.openxmlformats.org/officeDocument/2006/customXml" ds:itemID="{224C0763-5FA0-4951-9889-0486492AD64B}"/>
</file>

<file path=customXml/itemProps4.xml><?xml version="1.0" encoding="utf-8"?>
<ds:datastoreItem xmlns:ds="http://schemas.openxmlformats.org/officeDocument/2006/customXml" ds:itemID="{24E537EF-77FE-4E34-A44D-D32D343CB304}"/>
</file>

<file path=customXml/itemProps5.xml><?xml version="1.0" encoding="utf-8"?>
<ds:datastoreItem xmlns:ds="http://schemas.openxmlformats.org/officeDocument/2006/customXml" ds:itemID="{0AA71B4C-9A89-4286-BAFF-E2B367AD4D5A}"/>
</file>

<file path=customXml/itemProps6.xml><?xml version="1.0" encoding="utf-8"?>
<ds:datastoreItem xmlns:ds="http://schemas.openxmlformats.org/officeDocument/2006/customXml" ds:itemID="{8647F939-A1F6-4640-88B1-3939DC130CD8}"/>
</file>

<file path=customXml/itemProps7.xml><?xml version="1.0" encoding="utf-8"?>
<ds:datastoreItem xmlns:ds="http://schemas.openxmlformats.org/officeDocument/2006/customXml" ds:itemID="{91011243-49E9-4705-ABB7-FF6AA802E6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INDICE</vt:lpstr>
      <vt:lpstr>EDT</vt:lpstr>
      <vt:lpstr>MDR</vt:lpstr>
      <vt:lpstr>CC Gral</vt:lpstr>
      <vt:lpstr>CC detallado</vt:lpstr>
      <vt:lpstr>PEP</vt:lpstr>
      <vt:lpstr>Hoja1</vt:lpstr>
      <vt:lpstr>POA año 1</vt:lpstr>
      <vt:lpstr>Cronograma</vt:lpstr>
      <vt:lpstr>PA</vt:lpstr>
      <vt:lpstr>PAI</vt:lpstr>
      <vt:lpstr>Rem Adic</vt:lpstr>
      <vt:lpstr>MDR!_ftn1</vt:lpstr>
      <vt:lpstr>MDR!_ftnref1</vt:lpstr>
      <vt:lpstr>PA!Print_Area</vt:lpstr>
      <vt:lpstr>PAI!Print_Area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Amaciel</dc:creator>
  <cp:keywords/>
  <cp:lastModifiedBy>Munoz, Gonzalo P.</cp:lastModifiedBy>
  <cp:lastPrinted>2017-01-25T12:25:34Z</cp:lastPrinted>
  <dcterms:created xsi:type="dcterms:W3CDTF">2017-01-18T12:14:49Z</dcterms:created>
  <dcterms:modified xsi:type="dcterms:W3CDTF">2017-10-11T16:44:48Z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RecordStorageActiveId">
    <vt:lpwstr>872e6851-7c44-46e4-9bac-c5e68debdd54</vt:lpwstr>
  </property>
  <property fmtid="{D5CDD505-2E9C-101B-9397-08002B2CF9AE}" pid="6" name="Series Operations IDB">
    <vt:lpwstr/>
  </property>
  <property fmtid="{D5CDD505-2E9C-101B-9397-08002B2CF9AE}" pid="7" name="Sub-Sector">
    <vt:lpwstr>97;#AGRICULTURE AND RURAL DEVELOPMENT|f9e8fd28-7c4b-43d1-81a9-d542b5998e9a</vt:lpwstr>
  </property>
  <property fmtid="{D5CDD505-2E9C-101B-9397-08002B2CF9AE}" pid="8" name="Country">
    <vt:lpwstr>24;#Paraguay|50282442-27e7-4526-9d04-55bf5da33a10</vt:lpwstr>
  </property>
  <property fmtid="{D5CDD505-2E9C-101B-9397-08002B2CF9AE}" pid="9" name="Fund IDB">
    <vt:lpwstr>96;#TBD|d62f6e05-3e80-4abd-9bb4-5f10b4906ff6</vt:lpwstr>
  </property>
  <property fmtid="{D5CDD505-2E9C-101B-9397-08002B2CF9AE}" pid="10" name="_dlc_DocIdItemGuid">
    <vt:lpwstr>b8ee157c-a803-4806-b250-8c36ba3e0f1c</vt:lpwstr>
  </property>
  <property fmtid="{D5CDD505-2E9C-101B-9397-08002B2CF9AE}" pid="11" name="Sector IDB">
    <vt:lpwstr>61;#AGRICULTURE AND RURAL DEVELOPMENT|d219a801-c2c3-4618-9f55-1bc987044feb</vt:lpwstr>
  </property>
  <property fmtid="{D5CDD505-2E9C-101B-9397-08002B2CF9AE}" pid="12" name="RecordPoint_ActiveItemMoved">
    <vt:lpwstr>/teams/EZ-PR-LON/PR-L1147/15 LifeCycle Milestones/Draft Area/PEP - POA -y PA - PR-L1147.xlsx</vt:lpwstr>
  </property>
  <property fmtid="{D5CDD505-2E9C-101B-9397-08002B2CF9AE}" pid="13" name="Function Operations IDB">
    <vt:lpwstr>3;#Monitoring and Reporting|df3c2aa1-d63e-41aa-b1f5-bb15dee691ca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0x0101001A458A224826124E8B45B1D613300CFC001FC886236EBA124491147CC4F19E08B6</vt:lpwstr>
  </property>
</Properties>
</file>