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2.xml" ContentType="application/vnd.openxmlformats-officedocument.spreadsheetml.worksheet+xml"/>
  <Override PartName="/xl/styles.xml" ContentType="application/vnd.openxmlformats-officedocument.spreadsheetml.styles+xml"/>
  <Override PartName="/xl/externalLinks/externalLink1.xml" ContentType="application/vnd.openxmlformats-officedocument.spreadsheetml.externalLink+xml"/>
  <Override PartName="/xl/comments1.xml" ContentType="application/vnd.openxmlformats-officedocument.spreadsheetml.comments+xml"/>
  <Override PartName="/docProps/custom.xml" ContentType="application/vnd.openxmlformats-officedocument.custom-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customXml/itemProps5.xml" ContentType="application/vnd.openxmlformats-officedocument.customXmlProperties+xml"/>
  <Override PartName="/xl/calcChain.xml" ContentType="application/vnd.openxmlformats-officedocument.spreadsheetml.calcChain+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autoCompressPictures="0"/>
  <bookViews>
    <workbookView xWindow="0" yWindow="0" windowWidth="20490" windowHeight="7530" tabRatio="745"/>
  </bookViews>
  <sheets>
    <sheet name="Presupuesto_Detallado" sheetId="4" r:id="rId1"/>
    <sheet name="Plan_Ejecutivo_Plurianual (PEP)" sheetId="18" r:id="rId2"/>
    <sheet name="Financiamiento_Desembolsos" sheetId="20" r:id="rId3"/>
    <sheet name="Presupuesto_Componente" sheetId="6" r:id="rId4"/>
    <sheet name="Presupuesto_Productos (POD)" sheetId="19" r:id="rId5"/>
    <sheet name="A1. Firmas Consultoras" sheetId="22" r:id="rId6"/>
    <sheet name="A2. Consultorias Individuales" sheetId="23" r:id="rId7"/>
    <sheet name="A3_Bs-Equip-Infr Sub 1.2" sheetId="15" r:id="rId8"/>
    <sheet name="A4_Detalle Soft&amp;Hard Sub 2 " sheetId="17" r:id="rId9"/>
    <sheet name="A5_Detalle Administración" sheetId="16" r:id="rId10"/>
    <sheet name="Resumen" sheetId="24" r:id="rId11"/>
    <sheet name="Perfil" sheetId="21" r:id="rId12"/>
  </sheets>
  <externalReferences>
    <externalReference r:id="rId13"/>
  </externalReferences>
  <definedNames>
    <definedName name="_xlnm.Print_Area" localSheetId="7">'A3_Bs-Equip-Infr Sub 1.2'!$B$3:$C$5</definedName>
    <definedName name="_xlnm.Print_Area" localSheetId="3">Presupuesto_Componente!$G$9:$N$9</definedName>
    <definedName name="_xlnm.Print_Area" localSheetId="0">Presupuesto_Detallado!$B$4:$O$95</definedName>
  </definedNames>
  <calcPr calcId="145621"/>
</workbook>
</file>

<file path=xl/calcChain.xml><?xml version="1.0" encoding="utf-8"?>
<calcChain xmlns="http://schemas.openxmlformats.org/spreadsheetml/2006/main">
  <c r="B2" i="17" l="1"/>
  <c r="D14" i="17"/>
  <c r="D22" i="17"/>
  <c r="G28" i="18"/>
  <c r="B10" i="24" l="1"/>
  <c r="I31" i="4"/>
  <c r="I30" i="4"/>
  <c r="J31" i="4"/>
  <c r="J30" i="4"/>
  <c r="I27" i="4"/>
  <c r="I26" i="4"/>
  <c r="I29" i="4"/>
  <c r="I28" i="4"/>
  <c r="J29" i="4"/>
  <c r="J28" i="4"/>
  <c r="J27" i="4"/>
  <c r="J26" i="4"/>
  <c r="M33" i="4"/>
  <c r="M32" i="4"/>
  <c r="L32" i="4"/>
  <c r="C90" i="22"/>
  <c r="E88" i="22"/>
  <c r="E87" i="22"/>
  <c r="G87" i="22" s="1"/>
  <c r="J78" i="22"/>
  <c r="L76" i="22"/>
  <c r="L75" i="22"/>
  <c r="N75" i="22" s="1"/>
  <c r="C78" i="22"/>
  <c r="E76" i="22"/>
  <c r="G76" i="22" s="1"/>
  <c r="E75" i="22"/>
  <c r="B69" i="22"/>
  <c r="L42" i="21"/>
  <c r="L41" i="21"/>
  <c r="L40" i="21"/>
  <c r="I42" i="21"/>
  <c r="M42" i="21" s="1"/>
  <c r="I39" i="21"/>
  <c r="M39" i="21" s="1"/>
  <c r="I41" i="21"/>
  <c r="M41" i="21" s="1"/>
  <c r="I40" i="21"/>
  <c r="M40" i="21" s="1"/>
  <c r="D7" i="15"/>
  <c r="B9" i="24" s="1"/>
  <c r="C6" i="15"/>
  <c r="C7" i="15" s="1"/>
  <c r="D13" i="15"/>
  <c r="C16" i="15" s="1"/>
  <c r="C12" i="15"/>
  <c r="C13" i="15" s="1"/>
  <c r="K31" i="4" l="1"/>
  <c r="D9" i="24"/>
  <c r="E9" i="24"/>
  <c r="N40" i="21"/>
  <c r="N42" i="21"/>
  <c r="L39" i="21"/>
  <c r="N41" i="21"/>
  <c r="C17" i="15"/>
  <c r="K30" i="4"/>
  <c r="K26" i="4"/>
  <c r="K28" i="4"/>
  <c r="K27" i="4"/>
  <c r="K29" i="4"/>
  <c r="F87" i="22"/>
  <c r="G88" i="22"/>
  <c r="G90" i="22" s="1"/>
  <c r="E90" i="22"/>
  <c r="M75" i="22"/>
  <c r="N76" i="22"/>
  <c r="N78" i="22" s="1"/>
  <c r="L78" i="22"/>
  <c r="E78" i="22"/>
  <c r="F76" i="22"/>
  <c r="G75" i="22"/>
  <c r="G78" i="22" s="1"/>
  <c r="N39" i="21" l="1"/>
  <c r="F88" i="22"/>
  <c r="F90" i="22" s="1"/>
  <c r="M76" i="22"/>
  <c r="M78" i="22" s="1"/>
  <c r="F75" i="22"/>
  <c r="F78" i="22" s="1"/>
  <c r="E81" i="4" l="1"/>
  <c r="E80" i="4"/>
  <c r="E79" i="4"/>
  <c r="I78" i="4"/>
  <c r="I77" i="4"/>
  <c r="J78" i="4"/>
  <c r="J77" i="4"/>
  <c r="I75" i="4"/>
  <c r="F74" i="4"/>
  <c r="K78" i="4" l="1"/>
  <c r="K77" i="4"/>
  <c r="S51" i="4" l="1"/>
  <c r="S69" i="4" s="1"/>
  <c r="O51" i="4"/>
  <c r="K51" i="4"/>
  <c r="K69" i="4" s="1"/>
  <c r="G51" i="4"/>
  <c r="G69" i="4" s="1"/>
  <c r="O55" i="4"/>
  <c r="M53" i="4"/>
  <c r="M52" i="4"/>
  <c r="O58" i="4"/>
  <c r="O57" i="4"/>
  <c r="O56" i="4"/>
  <c r="M54" i="4"/>
  <c r="J105" i="22"/>
  <c r="C105" i="22"/>
  <c r="F24" i="18"/>
  <c r="F25" i="18"/>
  <c r="F26" i="18"/>
  <c r="F28" i="18"/>
  <c r="F29" i="18"/>
  <c r="F30" i="18"/>
  <c r="F32" i="18"/>
  <c r="F33" i="18"/>
  <c r="F34" i="18"/>
  <c r="J36" i="4"/>
  <c r="J35" i="4"/>
  <c r="M24" i="4"/>
  <c r="O24" i="4" s="1"/>
  <c r="F17" i="4"/>
  <c r="I19" i="4"/>
  <c r="K19" i="4" s="1"/>
  <c r="I18" i="4"/>
  <c r="K18" i="4" s="1"/>
  <c r="I17" i="4"/>
  <c r="I16" i="4"/>
  <c r="J17" i="4"/>
  <c r="J16" i="4"/>
  <c r="F16" i="4"/>
  <c r="M13" i="4"/>
  <c r="O13" i="4" s="1"/>
  <c r="M11" i="4"/>
  <c r="O11" i="4" s="1"/>
  <c r="M9" i="4"/>
  <c r="O9" i="4" s="1"/>
  <c r="K16" i="4" l="1"/>
  <c r="K17" i="4"/>
  <c r="O32" i="4"/>
  <c r="I53" i="21" l="1"/>
  <c r="M53" i="21" s="1"/>
  <c r="I52" i="21"/>
  <c r="M52" i="21" s="1"/>
  <c r="I51" i="21"/>
  <c r="L51" i="21" s="1"/>
  <c r="L26" i="21"/>
  <c r="M26" i="21"/>
  <c r="L37" i="21"/>
  <c r="M37" i="21"/>
  <c r="L74" i="21"/>
  <c r="M74" i="21"/>
  <c r="H17" i="17"/>
  <c r="G16" i="17"/>
  <c r="G17" i="17" s="1"/>
  <c r="L53" i="21" l="1"/>
  <c r="N74" i="21"/>
  <c r="N26" i="21"/>
  <c r="L52" i="21"/>
  <c r="N37" i="21"/>
  <c r="N53" i="21"/>
  <c r="M51" i="21"/>
  <c r="N52" i="21" l="1"/>
  <c r="N51" i="21"/>
  <c r="J155" i="22" l="1"/>
  <c r="L154" i="22"/>
  <c r="L153" i="22"/>
  <c r="N153" i="22" s="1"/>
  <c r="L152" i="22"/>
  <c r="C155" i="22"/>
  <c r="J75" i="4" s="1"/>
  <c r="K75" i="4" s="1"/>
  <c r="E154" i="22"/>
  <c r="E153" i="22"/>
  <c r="G153" i="22" s="1"/>
  <c r="E152" i="22"/>
  <c r="G152" i="22" s="1"/>
  <c r="L155" i="22" l="1"/>
  <c r="N152" i="22"/>
  <c r="M153" i="22"/>
  <c r="N154" i="22"/>
  <c r="M154" i="22" s="1"/>
  <c r="F152" i="22"/>
  <c r="F153" i="22"/>
  <c r="G154" i="22"/>
  <c r="G155" i="22" s="1"/>
  <c r="E155" i="22"/>
  <c r="I66" i="21" s="1"/>
  <c r="L66" i="21" s="1"/>
  <c r="J63" i="22"/>
  <c r="L62" i="22"/>
  <c r="N62" i="22" s="1"/>
  <c r="M62" i="22" s="1"/>
  <c r="L61" i="22"/>
  <c r="N61" i="22" s="1"/>
  <c r="M61" i="22" s="1"/>
  <c r="L60" i="22"/>
  <c r="N60" i="22" s="1"/>
  <c r="D23" i="23"/>
  <c r="B134" i="22"/>
  <c r="E140" i="22"/>
  <c r="G140" i="22" s="1"/>
  <c r="F140" i="22" s="1"/>
  <c r="L140" i="22"/>
  <c r="E141" i="22"/>
  <c r="L141" i="22"/>
  <c r="N141" i="22" s="1"/>
  <c r="E142" i="22"/>
  <c r="G142" i="22" s="1"/>
  <c r="F142" i="22" s="1"/>
  <c r="L142" i="22"/>
  <c r="B17" i="23"/>
  <c r="I10" i="23"/>
  <c r="E17" i="4" s="1"/>
  <c r="G17" i="4" s="1"/>
  <c r="D10" i="23"/>
  <c r="J143" i="22"/>
  <c r="F80" i="4" s="1"/>
  <c r="G80" i="4" s="1"/>
  <c r="C143" i="22"/>
  <c r="F81" i="4" s="1"/>
  <c r="G81" i="4" s="1"/>
  <c r="E42" i="23"/>
  <c r="D41" i="23"/>
  <c r="E74" i="4" s="1"/>
  <c r="G74" i="4" s="1"/>
  <c r="C74" i="4" s="1"/>
  <c r="E40" i="23"/>
  <c r="D25" i="23"/>
  <c r="E25" i="23" s="1"/>
  <c r="D24" i="23"/>
  <c r="E24" i="23" s="1"/>
  <c r="C43" i="23"/>
  <c r="E41" i="23"/>
  <c r="H26" i="23"/>
  <c r="F79" i="4" s="1"/>
  <c r="G79" i="4" s="1"/>
  <c r="J25" i="23"/>
  <c r="J24" i="23"/>
  <c r="K47" i="22"/>
  <c r="K46" i="22"/>
  <c r="K45" i="22"/>
  <c r="I21" i="4" s="1"/>
  <c r="D46" i="22"/>
  <c r="D45" i="22"/>
  <c r="K114" i="22"/>
  <c r="I38" i="4" s="1"/>
  <c r="K115" i="22"/>
  <c r="K127" i="22"/>
  <c r="K126" i="22"/>
  <c r="I40" i="4" s="1"/>
  <c r="D127" i="22"/>
  <c r="D126" i="22"/>
  <c r="I39" i="4" s="1"/>
  <c r="D115" i="22"/>
  <c r="D114" i="22"/>
  <c r="I37" i="4" s="1"/>
  <c r="D31" i="22"/>
  <c r="D30" i="22"/>
  <c r="I23" i="4" s="1"/>
  <c r="K23" i="4" s="1"/>
  <c r="D29" i="22"/>
  <c r="I22" i="4" s="1"/>
  <c r="K22" i="4" s="1"/>
  <c r="D104" i="22"/>
  <c r="D103" i="22"/>
  <c r="I35" i="4" s="1"/>
  <c r="K35" i="4" s="1"/>
  <c r="K104" i="22"/>
  <c r="K103" i="22"/>
  <c r="K102" i="22"/>
  <c r="I36" i="4" s="1"/>
  <c r="K36" i="4" s="1"/>
  <c r="K12" i="22"/>
  <c r="K11" i="22"/>
  <c r="K10" i="22"/>
  <c r="I15" i="4" s="1"/>
  <c r="D12" i="22"/>
  <c r="I14" i="4" s="1"/>
  <c r="D11" i="22"/>
  <c r="C26" i="23"/>
  <c r="F72" i="4" s="1"/>
  <c r="H12" i="17"/>
  <c r="G13" i="17"/>
  <c r="G12" i="17" s="1"/>
  <c r="F2" i="17"/>
  <c r="C24" i="17"/>
  <c r="C25" i="17"/>
  <c r="C26" i="17"/>
  <c r="C27" i="17"/>
  <c r="M65" i="4"/>
  <c r="O65" i="4" s="1"/>
  <c r="M50" i="4"/>
  <c r="O50" i="4" s="1"/>
  <c r="M44" i="4"/>
  <c r="B2" i="15"/>
  <c r="B95" i="22"/>
  <c r="B3" i="22"/>
  <c r="B2" i="22"/>
  <c r="B2" i="23" s="1"/>
  <c r="E8" i="21"/>
  <c r="C77" i="4" l="1"/>
  <c r="C31" i="17"/>
  <c r="M68" i="4"/>
  <c r="O68" i="4" s="1"/>
  <c r="E45" i="22"/>
  <c r="I20" i="4"/>
  <c r="E23" i="23"/>
  <c r="E72" i="4"/>
  <c r="G72" i="4" s="1"/>
  <c r="C72" i="4" s="1"/>
  <c r="C29" i="17"/>
  <c r="M66" i="4"/>
  <c r="O66" i="4" s="1"/>
  <c r="C30" i="17"/>
  <c r="M67" i="4"/>
  <c r="O67" i="4" s="1"/>
  <c r="N155" i="22"/>
  <c r="M66" i="21"/>
  <c r="N66" i="21" s="1"/>
  <c r="I69" i="21"/>
  <c r="C28" i="17"/>
  <c r="M152" i="22"/>
  <c r="M155" i="22" s="1"/>
  <c r="F154" i="22"/>
  <c r="F155" i="22" s="1"/>
  <c r="N63" i="22"/>
  <c r="M60" i="22"/>
  <c r="M63" i="22" s="1"/>
  <c r="L63" i="22"/>
  <c r="I27" i="21" s="1"/>
  <c r="G141" i="22"/>
  <c r="F141" i="22" s="1"/>
  <c r="M141" i="22"/>
  <c r="N142" i="22"/>
  <c r="M142" i="22" s="1"/>
  <c r="N140" i="22"/>
  <c r="M140" i="22" s="1"/>
  <c r="L143" i="22"/>
  <c r="I73" i="21" s="1"/>
  <c r="E143" i="22"/>
  <c r="I72" i="21" s="1"/>
  <c r="E43" i="23"/>
  <c r="J26" i="23"/>
  <c r="I71" i="21" s="1"/>
  <c r="E26" i="23"/>
  <c r="I55" i="21" s="1"/>
  <c r="D6" i="17"/>
  <c r="C13" i="17"/>
  <c r="M27" i="21" l="1"/>
  <c r="L27" i="21"/>
  <c r="L73" i="21"/>
  <c r="M73" i="21"/>
  <c r="L72" i="21"/>
  <c r="M72" i="21"/>
  <c r="L55" i="21"/>
  <c r="M55" i="21"/>
  <c r="L71" i="21"/>
  <c r="M71" i="21"/>
  <c r="G7" i="24"/>
  <c r="J7" i="24" s="1"/>
  <c r="I64" i="21"/>
  <c r="L69" i="21"/>
  <c r="M69" i="21"/>
  <c r="N143" i="22"/>
  <c r="M143" i="22"/>
  <c r="G143" i="22"/>
  <c r="F143" i="22"/>
  <c r="N73" i="21" l="1"/>
  <c r="I7" i="24"/>
  <c r="N72" i="21"/>
  <c r="N27" i="21"/>
  <c r="M64" i="21"/>
  <c r="L64" i="21"/>
  <c r="N71" i="21"/>
  <c r="N55" i="21"/>
  <c r="N69" i="21"/>
  <c r="H12" i="23"/>
  <c r="J11" i="23"/>
  <c r="J10" i="23"/>
  <c r="J9" i="23"/>
  <c r="C12" i="23"/>
  <c r="E11" i="23"/>
  <c r="E10" i="23"/>
  <c r="E9" i="23"/>
  <c r="C63" i="22"/>
  <c r="E62" i="22"/>
  <c r="G62" i="22" s="1"/>
  <c r="E61" i="22"/>
  <c r="E60" i="22"/>
  <c r="J48" i="22"/>
  <c r="J21" i="4" s="1"/>
  <c r="K21" i="4" s="1"/>
  <c r="L47" i="22"/>
  <c r="N47" i="22" s="1"/>
  <c r="L46" i="22"/>
  <c r="L45" i="22"/>
  <c r="N45" i="22" s="1"/>
  <c r="C48" i="22"/>
  <c r="J20" i="4" s="1"/>
  <c r="K20" i="4" s="1"/>
  <c r="E46" i="22"/>
  <c r="G46" i="22" s="1"/>
  <c r="G45" i="22"/>
  <c r="E29" i="22"/>
  <c r="G29" i="22" s="1"/>
  <c r="F29" i="22" s="1"/>
  <c r="C32" i="22"/>
  <c r="E31" i="22"/>
  <c r="G31" i="22" s="1"/>
  <c r="F31" i="22" s="1"/>
  <c r="E30" i="22"/>
  <c r="J129" i="22"/>
  <c r="J40" i="4" s="1"/>
  <c r="K40" i="4" s="1"/>
  <c r="L127" i="22"/>
  <c r="N127" i="22" s="1"/>
  <c r="M127" i="22" s="1"/>
  <c r="L126" i="22"/>
  <c r="C129" i="22"/>
  <c r="J39" i="4" s="1"/>
  <c r="K39" i="4" s="1"/>
  <c r="E127" i="22"/>
  <c r="E126" i="22"/>
  <c r="G126" i="22" s="1"/>
  <c r="C13" i="22"/>
  <c r="J13" i="22"/>
  <c r="J15" i="4" s="1"/>
  <c r="K15" i="4" s="1"/>
  <c r="J117" i="22"/>
  <c r="J38" i="4" s="1"/>
  <c r="K38" i="4" s="1"/>
  <c r="L115" i="22"/>
  <c r="L114" i="22"/>
  <c r="E114" i="22"/>
  <c r="G114" i="22" s="1"/>
  <c r="F114" i="22" s="1"/>
  <c r="C117" i="22"/>
  <c r="J37" i="4" s="1"/>
  <c r="K37" i="4" s="1"/>
  <c r="E115" i="22"/>
  <c r="G115" i="22" s="1"/>
  <c r="L104" i="22"/>
  <c r="N104" i="22" s="1"/>
  <c r="L102" i="22"/>
  <c r="N102" i="22" s="1"/>
  <c r="M102" i="22" s="1"/>
  <c r="L103" i="22"/>
  <c r="N103" i="22" s="1"/>
  <c r="E104" i="22"/>
  <c r="G104" i="22" s="1"/>
  <c r="E103" i="22"/>
  <c r="G103" i="22" s="1"/>
  <c r="L12" i="22"/>
  <c r="N12" i="22" s="1"/>
  <c r="M12" i="22" s="1"/>
  <c r="L11" i="22"/>
  <c r="N11" i="22" s="1"/>
  <c r="M11" i="22" s="1"/>
  <c r="L10" i="22"/>
  <c r="E12" i="22"/>
  <c r="G12" i="22" s="1"/>
  <c r="E11" i="22"/>
  <c r="G11" i="22" s="1"/>
  <c r="F11" i="22" s="1"/>
  <c r="C35" i="4" l="1"/>
  <c r="N64" i="21"/>
  <c r="E105" i="22"/>
  <c r="I44" i="21" s="1"/>
  <c r="E12" i="23"/>
  <c r="E16" i="4" s="1"/>
  <c r="G16" i="4" s="1"/>
  <c r="J12" i="23"/>
  <c r="G60" i="22"/>
  <c r="F60" i="22" s="1"/>
  <c r="E63" i="22"/>
  <c r="I28" i="21" s="1"/>
  <c r="G61" i="22"/>
  <c r="F62" i="22"/>
  <c r="L48" i="22"/>
  <c r="I31" i="21" s="1"/>
  <c r="M45" i="22"/>
  <c r="N46" i="22"/>
  <c r="M46" i="22" s="1"/>
  <c r="M47" i="22"/>
  <c r="F45" i="22"/>
  <c r="E48" i="22"/>
  <c r="I30" i="21" s="1"/>
  <c r="F46" i="22"/>
  <c r="L117" i="22"/>
  <c r="I47" i="21" s="1"/>
  <c r="N114" i="22"/>
  <c r="M114" i="22" s="1"/>
  <c r="G30" i="22"/>
  <c r="G32" i="22" s="1"/>
  <c r="E32" i="22"/>
  <c r="I33" i="21" s="1"/>
  <c r="L129" i="22"/>
  <c r="N126" i="22"/>
  <c r="F126" i="22"/>
  <c r="G127" i="22"/>
  <c r="G129" i="22" s="1"/>
  <c r="E129" i="22"/>
  <c r="I48" i="21" s="1"/>
  <c r="N115" i="22"/>
  <c r="F115" i="22"/>
  <c r="E117" i="22"/>
  <c r="I46" i="21" s="1"/>
  <c r="G117" i="22"/>
  <c r="L105" i="22"/>
  <c r="I45" i="21" s="1"/>
  <c r="M103" i="22"/>
  <c r="N105" i="22"/>
  <c r="M104" i="22"/>
  <c r="F103" i="22"/>
  <c r="G105" i="22"/>
  <c r="F104" i="22"/>
  <c r="M13" i="22"/>
  <c r="N13" i="22"/>
  <c r="L13" i="22"/>
  <c r="I14" i="21" s="1"/>
  <c r="F12" i="22"/>
  <c r="F13" i="22" s="1"/>
  <c r="G13" i="22"/>
  <c r="E13" i="22"/>
  <c r="B5" i="24" l="1"/>
  <c r="L45" i="21"/>
  <c r="M45" i="21"/>
  <c r="I49" i="21"/>
  <c r="C163" i="22"/>
  <c r="L47" i="21"/>
  <c r="M47" i="21"/>
  <c r="L31" i="21"/>
  <c r="M31" i="21"/>
  <c r="L33" i="21"/>
  <c r="M33" i="21"/>
  <c r="L14" i="21"/>
  <c r="M14" i="21"/>
  <c r="M46" i="21"/>
  <c r="L46" i="21"/>
  <c r="L48" i="21"/>
  <c r="M48" i="21"/>
  <c r="L30" i="21"/>
  <c r="M30" i="21"/>
  <c r="L28" i="21"/>
  <c r="M28" i="21"/>
  <c r="M44" i="21"/>
  <c r="L44" i="21"/>
  <c r="I25" i="21"/>
  <c r="B6" i="24"/>
  <c r="I32" i="21"/>
  <c r="D49" i="23"/>
  <c r="G63" i="22"/>
  <c r="N117" i="22"/>
  <c r="G48" i="22"/>
  <c r="F61" i="22"/>
  <c r="F63" i="22" s="1"/>
  <c r="N48" i="22"/>
  <c r="M48" i="22"/>
  <c r="F48" i="22"/>
  <c r="M115" i="22"/>
  <c r="M117" i="22" s="1"/>
  <c r="F30" i="22"/>
  <c r="F32" i="22" s="1"/>
  <c r="N129" i="22"/>
  <c r="M126" i="22"/>
  <c r="M129" i="22" s="1"/>
  <c r="F127" i="22"/>
  <c r="F129" i="22" s="1"/>
  <c r="F117" i="22"/>
  <c r="M105" i="22"/>
  <c r="F105" i="22"/>
  <c r="C164" i="22" l="1"/>
  <c r="N28" i="21"/>
  <c r="N48" i="21"/>
  <c r="N14" i="21"/>
  <c r="N33" i="21"/>
  <c r="N31" i="21"/>
  <c r="N30" i="21"/>
  <c r="D5" i="24"/>
  <c r="E5" i="24"/>
  <c r="N44" i="21"/>
  <c r="N46" i="21"/>
  <c r="L49" i="21"/>
  <c r="M49" i="21"/>
  <c r="N47" i="21"/>
  <c r="N45" i="21"/>
  <c r="M25" i="21"/>
  <c r="L25" i="21"/>
  <c r="M32" i="21"/>
  <c r="L32" i="21"/>
  <c r="E6" i="24"/>
  <c r="D6" i="24"/>
  <c r="H10" i="18"/>
  <c r="K11" i="18"/>
  <c r="Q11" i="18"/>
  <c r="Q12" i="18"/>
  <c r="G15" i="18"/>
  <c r="L13" i="18"/>
  <c r="J16" i="18"/>
  <c r="P11" i="18"/>
  <c r="M10" i="18"/>
  <c r="K10" i="18"/>
  <c r="G11" i="18"/>
  <c r="J11" i="18"/>
  <c r="M11" i="18"/>
  <c r="P12" i="18"/>
  <c r="N12" i="18"/>
  <c r="J12" i="18"/>
  <c r="L5" i="18"/>
  <c r="H7" i="18"/>
  <c r="E25" i="18" s="1"/>
  <c r="K7" i="18"/>
  <c r="M7" i="18"/>
  <c r="P7" i="18"/>
  <c r="J7" i="18"/>
  <c r="H8" i="18"/>
  <c r="M6" i="18"/>
  <c r="T6" i="18"/>
  <c r="G8" i="18"/>
  <c r="H6" i="18"/>
  <c r="F16" i="18"/>
  <c r="I34" i="18" s="1"/>
  <c r="F15" i="18"/>
  <c r="I33" i="18" s="1"/>
  <c r="F14" i="18"/>
  <c r="I32" i="18" s="1"/>
  <c r="F10" i="18"/>
  <c r="I28" i="18" s="1"/>
  <c r="F12" i="18"/>
  <c r="I30" i="18" s="1"/>
  <c r="F11" i="18"/>
  <c r="I29" i="18" s="1"/>
  <c r="F74" i="21"/>
  <c r="E73" i="21"/>
  <c r="D73" i="21"/>
  <c r="E72" i="21"/>
  <c r="D72" i="21"/>
  <c r="E71" i="21"/>
  <c r="D71" i="21"/>
  <c r="E70" i="21"/>
  <c r="D70" i="21"/>
  <c r="E69" i="21"/>
  <c r="D69" i="21"/>
  <c r="E67" i="21"/>
  <c r="D67" i="21"/>
  <c r="E66" i="21"/>
  <c r="D66" i="21"/>
  <c r="E65" i="21"/>
  <c r="D65" i="21"/>
  <c r="E64" i="21"/>
  <c r="D64" i="21"/>
  <c r="F63" i="21"/>
  <c r="E62" i="21"/>
  <c r="D62" i="21"/>
  <c r="E61" i="21"/>
  <c r="D61" i="21"/>
  <c r="E60" i="21"/>
  <c r="D60" i="21"/>
  <c r="E59" i="21"/>
  <c r="D59" i="21"/>
  <c r="E58" i="21"/>
  <c r="D58" i="21"/>
  <c r="E57" i="21"/>
  <c r="D57" i="21"/>
  <c r="E56" i="21"/>
  <c r="D56" i="21"/>
  <c r="F55" i="21"/>
  <c r="E53" i="21"/>
  <c r="D53" i="21"/>
  <c r="E52" i="21"/>
  <c r="D52" i="21"/>
  <c r="E51" i="21"/>
  <c r="D51" i="21"/>
  <c r="F50" i="21"/>
  <c r="E49" i="21"/>
  <c r="D49" i="21"/>
  <c r="E48" i="21"/>
  <c r="D48" i="21"/>
  <c r="E47" i="21"/>
  <c r="D47" i="21"/>
  <c r="E46" i="21"/>
  <c r="D46" i="21"/>
  <c r="E45" i="21"/>
  <c r="D45" i="21"/>
  <c r="E44" i="21"/>
  <c r="E43" i="21" s="1"/>
  <c r="D44" i="21"/>
  <c r="F43" i="21"/>
  <c r="E42" i="21"/>
  <c r="D42" i="21"/>
  <c r="E41" i="21"/>
  <c r="D41" i="21"/>
  <c r="E40" i="21"/>
  <c r="D40" i="21"/>
  <c r="E39" i="21"/>
  <c r="D39" i="21"/>
  <c r="F38" i="21"/>
  <c r="E37" i="21"/>
  <c r="D37" i="21"/>
  <c r="E36" i="21"/>
  <c r="D36" i="21"/>
  <c r="E35" i="21"/>
  <c r="D35" i="21"/>
  <c r="E34" i="21"/>
  <c r="D34" i="21"/>
  <c r="F33" i="21"/>
  <c r="E32" i="21"/>
  <c r="D32" i="21"/>
  <c r="E31" i="21"/>
  <c r="D31" i="21"/>
  <c r="E30" i="21"/>
  <c r="D30" i="21"/>
  <c r="E29" i="21"/>
  <c r="D29" i="21"/>
  <c r="E28" i="21"/>
  <c r="D28" i="21"/>
  <c r="E27" i="21"/>
  <c r="D27" i="21"/>
  <c r="E26" i="21"/>
  <c r="D26" i="21"/>
  <c r="E25" i="21"/>
  <c r="D25" i="21"/>
  <c r="F24" i="21"/>
  <c r="E23" i="21"/>
  <c r="D23" i="21"/>
  <c r="E22" i="21"/>
  <c r="D22" i="21"/>
  <c r="E21" i="21"/>
  <c r="D21" i="21"/>
  <c r="E20" i="21"/>
  <c r="D20" i="21"/>
  <c r="E19" i="21"/>
  <c r="D19" i="21"/>
  <c r="E18" i="21"/>
  <c r="D18" i="21"/>
  <c r="E17" i="21"/>
  <c r="D17" i="21"/>
  <c r="E16" i="21"/>
  <c r="D16" i="21"/>
  <c r="E15" i="21"/>
  <c r="D15" i="21"/>
  <c r="F14" i="21"/>
  <c r="E9" i="21"/>
  <c r="E10" i="21" s="1"/>
  <c r="E11" i="21" s="1"/>
  <c r="E12" i="21" s="1"/>
  <c r="E13" i="21" s="1"/>
  <c r="D8" i="21"/>
  <c r="D9" i="21" s="1"/>
  <c r="F7" i="21"/>
  <c r="N7" i="18"/>
  <c r="S7" i="18"/>
  <c r="T7" i="18"/>
  <c r="M8" i="18"/>
  <c r="N8" i="18"/>
  <c r="P8" i="18"/>
  <c r="Q8" i="18"/>
  <c r="S8" i="18"/>
  <c r="T8" i="18"/>
  <c r="U9" i="18"/>
  <c r="S10" i="18"/>
  <c r="T10" i="18"/>
  <c r="S11" i="18"/>
  <c r="T11" i="18"/>
  <c r="S12" i="18"/>
  <c r="T12" i="18"/>
  <c r="G14" i="18"/>
  <c r="H14" i="18"/>
  <c r="J14" i="18"/>
  <c r="M14" i="18"/>
  <c r="N14" i="18"/>
  <c r="P14" i="18"/>
  <c r="Q14" i="18"/>
  <c r="S14" i="18"/>
  <c r="T14" i="18"/>
  <c r="J15" i="18"/>
  <c r="K15" i="18"/>
  <c r="M15" i="18"/>
  <c r="N15" i="18"/>
  <c r="P15" i="18"/>
  <c r="Q15" i="18"/>
  <c r="S15" i="18"/>
  <c r="T15" i="18"/>
  <c r="G16" i="18"/>
  <c r="D34" i="18" s="1"/>
  <c r="H16" i="18"/>
  <c r="K16" i="18"/>
  <c r="M16" i="18"/>
  <c r="N16" i="18"/>
  <c r="P16" i="18"/>
  <c r="Q16" i="18"/>
  <c r="S16" i="18"/>
  <c r="T16" i="18"/>
  <c r="D13" i="6"/>
  <c r="B13" i="6" s="1"/>
  <c r="A13" i="6"/>
  <c r="D12" i="6"/>
  <c r="B12" i="6" s="1"/>
  <c r="D11" i="6"/>
  <c r="B11" i="6" s="1"/>
  <c r="D10" i="6"/>
  <c r="B10" i="6" s="1"/>
  <c r="D9" i="6"/>
  <c r="D14" i="6"/>
  <c r="A14" i="6"/>
  <c r="A10" i="6"/>
  <c r="A11" i="6"/>
  <c r="A12" i="6"/>
  <c r="A9" i="6"/>
  <c r="A7" i="6"/>
  <c r="A6" i="6"/>
  <c r="A5" i="6"/>
  <c r="C8" i="19"/>
  <c r="C7" i="19" s="1"/>
  <c r="F6" i="18" s="1"/>
  <c r="I24" i="18" s="1"/>
  <c r="C27" i="19"/>
  <c r="D6" i="6" s="1"/>
  <c r="C50" i="19"/>
  <c r="C20" i="19"/>
  <c r="F8" i="18" s="1"/>
  <c r="I26" i="18" s="1"/>
  <c r="C13" i="19"/>
  <c r="C54" i="19"/>
  <c r="F17" i="18" s="1"/>
  <c r="C5" i="18"/>
  <c r="D7" i="4" s="1"/>
  <c r="C6" i="18"/>
  <c r="D8" i="4" s="1"/>
  <c r="C7" i="18"/>
  <c r="D25" i="4" s="1"/>
  <c r="C8" i="18"/>
  <c r="C9" i="18"/>
  <c r="D42" i="4" s="1"/>
  <c r="C10" i="18"/>
  <c r="D43" i="4" s="1"/>
  <c r="C11" i="18"/>
  <c r="D51" i="4" s="1"/>
  <c r="C12" i="18"/>
  <c r="D59" i="4" s="1"/>
  <c r="C13" i="18"/>
  <c r="C14" i="18"/>
  <c r="D71" i="4" s="1"/>
  <c r="C15" i="18"/>
  <c r="D73" i="4" s="1"/>
  <c r="C16" i="18"/>
  <c r="D76" i="4" s="1"/>
  <c r="C17" i="18"/>
  <c r="E14" i="21" l="1"/>
  <c r="E33" i="21"/>
  <c r="D38" i="21"/>
  <c r="D63" i="21"/>
  <c r="D68" i="21"/>
  <c r="D17" i="18"/>
  <c r="L17" i="18"/>
  <c r="F35" i="18" s="1"/>
  <c r="I35" i="18" s="1"/>
  <c r="E17" i="18"/>
  <c r="E38" i="21"/>
  <c r="D55" i="21"/>
  <c r="E63" i="21"/>
  <c r="D29" i="18"/>
  <c r="D33" i="21"/>
  <c r="D6" i="21" s="1"/>
  <c r="D5" i="21" s="1"/>
  <c r="N49" i="21"/>
  <c r="D34" i="4"/>
  <c r="D70" i="4"/>
  <c r="D32" i="18"/>
  <c r="S13" i="18"/>
  <c r="D33" i="18"/>
  <c r="E28" i="18"/>
  <c r="E34" i="18"/>
  <c r="T13" i="18"/>
  <c r="N25" i="21"/>
  <c r="N32" i="21"/>
  <c r="E11" i="18"/>
  <c r="E15" i="18"/>
  <c r="E12" i="18"/>
  <c r="E16" i="18"/>
  <c r="D10" i="18"/>
  <c r="D14" i="18"/>
  <c r="D14" i="21"/>
  <c r="E24" i="21"/>
  <c r="E6" i="21" s="1"/>
  <c r="E5" i="21" s="1"/>
  <c r="D43" i="21"/>
  <c r="E55" i="21"/>
  <c r="D24" i="21"/>
  <c r="D50" i="21"/>
  <c r="E50" i="21"/>
  <c r="E14" i="18"/>
  <c r="D16" i="18"/>
  <c r="G34" i="18" s="1"/>
  <c r="E68" i="21"/>
  <c r="F68" i="21" s="1"/>
  <c r="D54" i="21"/>
  <c r="E6" i="18"/>
  <c r="D6" i="18"/>
  <c r="D8" i="18"/>
  <c r="E8" i="18"/>
  <c r="D7" i="6"/>
  <c r="B7" i="6" s="1"/>
  <c r="D11" i="18"/>
  <c r="G29" i="18" s="1"/>
  <c r="D15" i="18"/>
  <c r="D8" i="6"/>
  <c r="E10" i="18"/>
  <c r="C6" i="6"/>
  <c r="B6" i="6"/>
  <c r="D12" i="18"/>
  <c r="F7" i="18"/>
  <c r="I25" i="18" s="1"/>
  <c r="T9" i="18"/>
  <c r="F6" i="21"/>
  <c r="F5" i="21" s="1"/>
  <c r="S9" i="18"/>
  <c r="J13" i="18"/>
  <c r="M13" i="18"/>
  <c r="P13" i="18"/>
  <c r="Q13" i="18"/>
  <c r="R9" i="18"/>
  <c r="K8" i="18"/>
  <c r="E26" i="18" s="1"/>
  <c r="G7" i="18"/>
  <c r="D25" i="18" s="1"/>
  <c r="R5" i="18"/>
  <c r="Q7" i="18"/>
  <c r="T5" i="18"/>
  <c r="N6" i="18"/>
  <c r="N5" i="18" s="1"/>
  <c r="U5" i="18"/>
  <c r="I5" i="18"/>
  <c r="I9" i="18"/>
  <c r="H12" i="18"/>
  <c r="G12" i="18"/>
  <c r="D30" i="18" s="1"/>
  <c r="G30" i="18" s="1"/>
  <c r="H15" i="18"/>
  <c r="E33" i="18" s="1"/>
  <c r="H33" i="18" s="1"/>
  <c r="G13" i="18"/>
  <c r="J8" i="18"/>
  <c r="D26" i="18" s="1"/>
  <c r="G26" i="18" s="1"/>
  <c r="O44" i="21" s="1"/>
  <c r="N10" i="18"/>
  <c r="O9" i="18"/>
  <c r="M12" i="18"/>
  <c r="M9" i="18" s="1"/>
  <c r="N13" i="18"/>
  <c r="O5" i="18"/>
  <c r="D10" i="21"/>
  <c r="F9" i="21"/>
  <c r="F8" i="21"/>
  <c r="M5" i="18"/>
  <c r="H5" i="18"/>
  <c r="J10" i="18"/>
  <c r="L9" i="18"/>
  <c r="K12" i="18"/>
  <c r="K9" i="18" s="1"/>
  <c r="H11" i="18"/>
  <c r="E29" i="18" s="1"/>
  <c r="Q10" i="18"/>
  <c r="Q6" i="18"/>
  <c r="Q5" i="18" s="1"/>
  <c r="I13" i="18"/>
  <c r="P10" i="18"/>
  <c r="P6" i="18"/>
  <c r="P5" i="18" s="1"/>
  <c r="K14" i="18"/>
  <c r="E32" i="18" s="1"/>
  <c r="N11" i="18"/>
  <c r="G10" i="18"/>
  <c r="S6" i="18"/>
  <c r="S5" i="18" s="1"/>
  <c r="K6" i="18"/>
  <c r="E24" i="18" s="1"/>
  <c r="G6" i="18"/>
  <c r="J6" i="18"/>
  <c r="J5" i="18" s="1"/>
  <c r="C11" i="6"/>
  <c r="C10" i="6"/>
  <c r="C13" i="6"/>
  <c r="C12" i="6"/>
  <c r="B9" i="6"/>
  <c r="C9" i="6"/>
  <c r="C6" i="19"/>
  <c r="D5" i="6" s="1"/>
  <c r="B5" i="6" s="1"/>
  <c r="G7" i="17"/>
  <c r="G6" i="17" s="1"/>
  <c r="G10" i="17"/>
  <c r="G9" i="17" s="1"/>
  <c r="H9" i="17"/>
  <c r="H6" i="17"/>
  <c r="C23" i="17"/>
  <c r="C21" i="17"/>
  <c r="C20" i="17"/>
  <c r="C19" i="17"/>
  <c r="C18" i="17"/>
  <c r="C17" i="17"/>
  <c r="C16" i="17"/>
  <c r="C15" i="17"/>
  <c r="C8" i="17"/>
  <c r="C9" i="17"/>
  <c r="C10" i="17"/>
  <c r="C11" i="17"/>
  <c r="C12" i="17"/>
  <c r="C7" i="17"/>
  <c r="H29" i="18" l="1"/>
  <c r="H26" i="18"/>
  <c r="D28" i="18"/>
  <c r="E23" i="18"/>
  <c r="H24" i="18"/>
  <c r="E31" i="18"/>
  <c r="H32" i="18"/>
  <c r="P55" i="21" s="1"/>
  <c r="D24" i="18"/>
  <c r="H34" i="18"/>
  <c r="E27" i="18"/>
  <c r="H28" i="18"/>
  <c r="P51" i="21" s="1"/>
  <c r="G33" i="18"/>
  <c r="G32" i="18"/>
  <c r="D31" i="18"/>
  <c r="D27" i="18"/>
  <c r="E30" i="18"/>
  <c r="H30" i="18" s="1"/>
  <c r="O55" i="21"/>
  <c r="O53" i="21"/>
  <c r="P52" i="21"/>
  <c r="O52" i="21"/>
  <c r="P53" i="21"/>
  <c r="E9" i="18"/>
  <c r="P37" i="21"/>
  <c r="P31" i="21"/>
  <c r="P30" i="21"/>
  <c r="P27" i="21"/>
  <c r="P14" i="21"/>
  <c r="P28" i="21"/>
  <c r="P32" i="21"/>
  <c r="P33" i="21"/>
  <c r="P25" i="21"/>
  <c r="O69" i="21"/>
  <c r="O72" i="21"/>
  <c r="O73" i="21"/>
  <c r="O71" i="21"/>
  <c r="P49" i="21"/>
  <c r="P44" i="21"/>
  <c r="P45" i="21"/>
  <c r="P48" i="21"/>
  <c r="P46" i="21"/>
  <c r="P47" i="21"/>
  <c r="D13" i="18"/>
  <c r="O45" i="21"/>
  <c r="O48" i="21"/>
  <c r="O46" i="21"/>
  <c r="O47" i="21"/>
  <c r="O49" i="21"/>
  <c r="P69" i="21"/>
  <c r="P71" i="21"/>
  <c r="P73" i="21"/>
  <c r="P72" i="21"/>
  <c r="P66" i="21"/>
  <c r="P64" i="21"/>
  <c r="C7" i="6"/>
  <c r="E13" i="18"/>
  <c r="D9" i="18"/>
  <c r="D75" i="21"/>
  <c r="E54" i="21"/>
  <c r="F54" i="21" s="1"/>
  <c r="F75" i="21" s="1"/>
  <c r="G6" i="21" s="1"/>
  <c r="B4" i="6"/>
  <c r="D4" i="6"/>
  <c r="D15" i="6" s="1"/>
  <c r="D16" i="6" s="1"/>
  <c r="H14" i="17"/>
  <c r="E7" i="18"/>
  <c r="H25" i="18" s="1"/>
  <c r="D7" i="18"/>
  <c r="G25" i="18" s="1"/>
  <c r="C5" i="6"/>
  <c r="C4" i="6" s="1"/>
  <c r="Q9" i="18"/>
  <c r="K13" i="18"/>
  <c r="H13" i="18"/>
  <c r="P9" i="18"/>
  <c r="J9" i="18"/>
  <c r="K5" i="18"/>
  <c r="N9" i="18"/>
  <c r="H9" i="18"/>
  <c r="G9" i="18"/>
  <c r="G5" i="18"/>
  <c r="R18" i="18"/>
  <c r="N17" i="18"/>
  <c r="D11" i="21"/>
  <c r="F10" i="21"/>
  <c r="J17" i="18"/>
  <c r="L18" i="18"/>
  <c r="K17" i="18"/>
  <c r="I18" i="18"/>
  <c r="H17" i="18"/>
  <c r="E35" i="18" s="1"/>
  <c r="G17" i="18"/>
  <c r="D35" i="18" s="1"/>
  <c r="T17" i="18"/>
  <c r="S17" i="18"/>
  <c r="U18" i="18"/>
  <c r="C8" i="6"/>
  <c r="B8" i="6"/>
  <c r="C5" i="19"/>
  <c r="G14" i="17"/>
  <c r="C14" i="17"/>
  <c r="C6" i="17"/>
  <c r="C22" i="17"/>
  <c r="M61" i="4"/>
  <c r="O61" i="4" s="1"/>
  <c r="M62" i="4"/>
  <c r="O62" i="4" s="1"/>
  <c r="M63" i="4"/>
  <c r="O63" i="4" s="1"/>
  <c r="M64" i="4"/>
  <c r="O64" i="4" s="1"/>
  <c r="M60" i="4"/>
  <c r="O60" i="4" s="1"/>
  <c r="M57" i="4"/>
  <c r="M58" i="4"/>
  <c r="M56" i="4"/>
  <c r="O53" i="4"/>
  <c r="O54" i="4"/>
  <c r="O52" i="4"/>
  <c r="M47" i="4"/>
  <c r="O47" i="4" s="1"/>
  <c r="M48" i="4"/>
  <c r="O48" i="4" s="1"/>
  <c r="O49" i="4"/>
  <c r="M46" i="4"/>
  <c r="O46" i="4" s="1"/>
  <c r="O45" i="4"/>
  <c r="O44" i="4"/>
  <c r="D32" i="17"/>
  <c r="O33" i="4"/>
  <c r="C26" i="4" s="1"/>
  <c r="Q53" i="21" l="1"/>
  <c r="O41" i="21"/>
  <c r="P42" i="21"/>
  <c r="P40" i="21"/>
  <c r="O42" i="21"/>
  <c r="O40" i="21"/>
  <c r="P39" i="21"/>
  <c r="P41" i="21"/>
  <c r="O39" i="21"/>
  <c r="Q49" i="21"/>
  <c r="B15" i="6"/>
  <c r="B16" i="6" s="1"/>
  <c r="B7" i="24"/>
  <c r="I7" i="21"/>
  <c r="G5" i="24"/>
  <c r="O69" i="4"/>
  <c r="Q55" i="21"/>
  <c r="C44" i="4"/>
  <c r="C60" i="4"/>
  <c r="C52" i="4"/>
  <c r="E36" i="18"/>
  <c r="H35" i="18"/>
  <c r="F31" i="18"/>
  <c r="G31" i="18"/>
  <c r="F27" i="18"/>
  <c r="H27" i="18"/>
  <c r="H31" i="18"/>
  <c r="G35" i="18"/>
  <c r="O74" i="21" s="1"/>
  <c r="G27" i="18"/>
  <c r="G24" i="18"/>
  <c r="D23" i="18"/>
  <c r="Q52" i="21"/>
  <c r="O51" i="21"/>
  <c r="Q46" i="21"/>
  <c r="Q73" i="21"/>
  <c r="Q69" i="21"/>
  <c r="Q45" i="21"/>
  <c r="D5" i="18"/>
  <c r="E5" i="18"/>
  <c r="H23" i="18" s="1"/>
  <c r="Q47" i="21"/>
  <c r="Q44" i="21"/>
  <c r="Q71" i="21"/>
  <c r="G6" i="24"/>
  <c r="C35" i="17"/>
  <c r="B8" i="24"/>
  <c r="O66" i="21"/>
  <c r="Q66" i="21" s="1"/>
  <c r="O64" i="21"/>
  <c r="F9" i="18"/>
  <c r="Q48" i="21"/>
  <c r="F13" i="18"/>
  <c r="Q72" i="21"/>
  <c r="P74" i="21"/>
  <c r="E75" i="21"/>
  <c r="C15" i="6"/>
  <c r="C16" i="6" s="1"/>
  <c r="C32" i="17"/>
  <c r="G50" i="21"/>
  <c r="G54" i="21"/>
  <c r="G38" i="21"/>
  <c r="E18" i="18"/>
  <c r="G74" i="21"/>
  <c r="G43" i="21"/>
  <c r="G63" i="21"/>
  <c r="G68" i="21"/>
  <c r="G55" i="21"/>
  <c r="G5" i="21"/>
  <c r="K18" i="18"/>
  <c r="D5" i="20" s="1"/>
  <c r="S18" i="18"/>
  <c r="G4" i="20" s="1"/>
  <c r="T18" i="18"/>
  <c r="G5" i="20" s="1"/>
  <c r="J18" i="18"/>
  <c r="D4" i="20" s="1"/>
  <c r="N18" i="18"/>
  <c r="E5" i="20" s="1"/>
  <c r="H18" i="18"/>
  <c r="C5" i="20" s="1"/>
  <c r="G18" i="18"/>
  <c r="C4" i="20" s="1"/>
  <c r="Q17" i="18"/>
  <c r="Q18" i="18" s="1"/>
  <c r="F5" i="20" s="1"/>
  <c r="O18" i="18"/>
  <c r="P17" i="18"/>
  <c r="P18" i="18" s="1"/>
  <c r="F4" i="20" s="1"/>
  <c r="M17" i="18"/>
  <c r="M18" i="18" s="1"/>
  <c r="E4" i="20" s="1"/>
  <c r="F11" i="21"/>
  <c r="D12" i="21"/>
  <c r="C4" i="19"/>
  <c r="E7" i="24" l="1"/>
  <c r="D7" i="24"/>
  <c r="Q40" i="21"/>
  <c r="Q41" i="21"/>
  <c r="M7" i="21"/>
  <c r="P7" i="21" s="1"/>
  <c r="L7" i="21"/>
  <c r="N7" i="21" s="1"/>
  <c r="Q39" i="21"/>
  <c r="Q42" i="21"/>
  <c r="C42" i="4"/>
  <c r="F23" i="18"/>
  <c r="G23" i="18"/>
  <c r="D36" i="18"/>
  <c r="O31" i="21"/>
  <c r="Q31" i="21" s="1"/>
  <c r="O14" i="21"/>
  <c r="O37" i="21"/>
  <c r="Q37" i="21" s="1"/>
  <c r="O7" i="21"/>
  <c r="O27" i="21"/>
  <c r="Q27" i="21" s="1"/>
  <c r="O30" i="21"/>
  <c r="Q30" i="21" s="1"/>
  <c r="O28" i="21"/>
  <c r="Q28" i="21" s="1"/>
  <c r="O32" i="21"/>
  <c r="Q32" i="21" s="1"/>
  <c r="O33" i="21"/>
  <c r="Q33" i="21" s="1"/>
  <c r="O25" i="21"/>
  <c r="Q25" i="21" s="1"/>
  <c r="I31" i="18"/>
  <c r="F36" i="18"/>
  <c r="I27" i="18"/>
  <c r="H36" i="18"/>
  <c r="Q51" i="21"/>
  <c r="Q64" i="21"/>
  <c r="J6" i="24"/>
  <c r="I6" i="24"/>
  <c r="D18" i="18"/>
  <c r="E8" i="24"/>
  <c r="D8" i="24"/>
  <c r="F5" i="18"/>
  <c r="Q74" i="21"/>
  <c r="C36" i="17"/>
  <c r="C14" i="24" s="1"/>
  <c r="C64" i="19" s="1"/>
  <c r="G75" i="21"/>
  <c r="D6" i="20"/>
  <c r="E6" i="20"/>
  <c r="D13" i="21"/>
  <c r="F13" i="21" s="1"/>
  <c r="F12" i="21"/>
  <c r="H4" i="20"/>
  <c r="C6" i="20"/>
  <c r="G6" i="20"/>
  <c r="F6" i="20"/>
  <c r="H5" i="20"/>
  <c r="D27" i="19"/>
  <c r="D60" i="19"/>
  <c r="D20" i="19"/>
  <c r="D54" i="19"/>
  <c r="D13" i="19"/>
  <c r="D4" i="19"/>
  <c r="D50" i="19"/>
  <c r="D7" i="19"/>
  <c r="D6" i="19"/>
  <c r="D5" i="19"/>
  <c r="E95" i="4"/>
  <c r="E94" i="4"/>
  <c r="E93" i="4"/>
  <c r="E92" i="4"/>
  <c r="E91" i="4"/>
  <c r="E90" i="4"/>
  <c r="E89" i="4"/>
  <c r="E88" i="4"/>
  <c r="E87" i="4"/>
  <c r="E86" i="4"/>
  <c r="E85" i="4"/>
  <c r="E96" i="4"/>
  <c r="G96" i="4" s="1"/>
  <c r="F89" i="4"/>
  <c r="F90" i="4"/>
  <c r="F91" i="4"/>
  <c r="F92" i="4"/>
  <c r="F93" i="4"/>
  <c r="F94" i="4"/>
  <c r="F95" i="4"/>
  <c r="F10" i="16"/>
  <c r="F88" i="4"/>
  <c r="F87" i="4"/>
  <c r="F86" i="4"/>
  <c r="F85" i="4"/>
  <c r="F15" i="16"/>
  <c r="F14" i="16"/>
  <c r="F13" i="16"/>
  <c r="F12" i="16"/>
  <c r="F11" i="16"/>
  <c r="F9" i="16"/>
  <c r="F8" i="16"/>
  <c r="F6" i="16"/>
  <c r="F5" i="16"/>
  <c r="F4" i="16"/>
  <c r="E7" i="16"/>
  <c r="D7" i="16"/>
  <c r="C7" i="16"/>
  <c r="Q7" i="21" l="1"/>
  <c r="Q14" i="21"/>
  <c r="G36" i="18"/>
  <c r="I23" i="18"/>
  <c r="F18" i="18"/>
  <c r="I36" i="18" s="1"/>
  <c r="I75" i="21"/>
  <c r="H6" i="20"/>
  <c r="C7" i="20" s="1"/>
  <c r="G89" i="4"/>
  <c r="C96" i="4"/>
  <c r="F7" i="16"/>
  <c r="F17" i="16" s="1"/>
  <c r="S76" i="4"/>
  <c r="O76" i="4"/>
  <c r="K76" i="4"/>
  <c r="G76" i="4"/>
  <c r="B11" i="24" l="1"/>
  <c r="G8" i="24"/>
  <c r="C100" i="4"/>
  <c r="L75" i="21"/>
  <c r="B12" i="24"/>
  <c r="D10" i="24"/>
  <c r="E10" i="24"/>
  <c r="G10" i="24"/>
  <c r="I5" i="24"/>
  <c r="J5" i="24"/>
  <c r="F7" i="20"/>
  <c r="E7" i="20"/>
  <c r="D7" i="20"/>
  <c r="H7" i="20"/>
  <c r="G7" i="20"/>
  <c r="J8" i="24" l="1"/>
  <c r="I8" i="24"/>
  <c r="I10" i="24" s="1"/>
  <c r="E12" i="24"/>
  <c r="J10" i="24"/>
  <c r="E11" i="24"/>
  <c r="D11" i="24"/>
  <c r="D12" i="24" s="1"/>
  <c r="C15" i="24"/>
  <c r="P75" i="21"/>
  <c r="M75" i="21"/>
  <c r="N75" i="21" s="1"/>
  <c r="C99" i="4" l="1"/>
  <c r="C62" i="19"/>
  <c r="C63" i="19" s="1"/>
  <c r="O75" i="21"/>
  <c r="Q75" i="21" s="1"/>
  <c r="K14" i="4"/>
  <c r="C9" i="4" l="1"/>
  <c r="C7" i="4" s="1"/>
  <c r="S34" i="4" l="1"/>
  <c r="S41" i="4" s="1"/>
  <c r="O34" i="4"/>
  <c r="O41" i="4" s="1"/>
  <c r="K34" i="4"/>
  <c r="K41" i="4" s="1"/>
  <c r="G34" i="4"/>
  <c r="G88" i="4" l="1"/>
  <c r="S73" i="4"/>
  <c r="O73" i="4"/>
  <c r="K73" i="4"/>
  <c r="K82" i="4" s="1"/>
  <c r="G73" i="4"/>
  <c r="G82" i="4" s="1"/>
  <c r="G95" i="4"/>
  <c r="C95" i="4" s="1"/>
  <c r="G94" i="4"/>
  <c r="C94" i="4" s="1"/>
  <c r="G86" i="4"/>
  <c r="C86" i="4" s="1"/>
  <c r="G93" i="4"/>
  <c r="C93" i="4" s="1"/>
  <c r="G92" i="4"/>
  <c r="G91" i="4"/>
  <c r="G90" i="4"/>
  <c r="G87" i="4"/>
  <c r="C87" i="4" s="1"/>
  <c r="G85" i="4"/>
  <c r="S82" i="4" l="1"/>
  <c r="G97" i="4"/>
  <c r="C88" i="4"/>
  <c r="K83" i="4"/>
  <c r="K97" i="4"/>
  <c r="S97" i="4"/>
  <c r="O97" i="4"/>
  <c r="C85" i="4"/>
  <c r="G41" i="4"/>
  <c r="G83" i="4" s="1"/>
  <c r="O83" i="4" l="1"/>
  <c r="S83" i="4"/>
  <c r="C70" i="4"/>
  <c r="C84" i="4"/>
  <c r="C4" i="4" l="1"/>
  <c r="E4" i="6"/>
  <c r="E14" i="6"/>
  <c r="E6" i="6"/>
  <c r="E9" i="6"/>
  <c r="E11" i="6"/>
  <c r="E7" i="6"/>
  <c r="E10" i="6"/>
  <c r="E8" i="6"/>
  <c r="E12" i="6"/>
  <c r="E5" i="6"/>
  <c r="E15" i="6"/>
</calcChain>
</file>

<file path=xl/comments1.xml><?xml version="1.0" encoding="utf-8"?>
<comments xmlns="http://schemas.openxmlformats.org/spreadsheetml/2006/main">
  <authors>
    <author>Usuario123</author>
  </authors>
  <commentList>
    <comment ref="C4" authorId="0">
      <text>
        <r>
          <rPr>
            <b/>
            <sz val="9"/>
            <color indexed="81"/>
            <rFont val="Tahoma"/>
            <family val="2"/>
          </rPr>
          <t>El costo Total incluye el IVA para aquellos item que el rpgrama reconoce el impuesto</t>
        </r>
        <r>
          <rPr>
            <sz val="9"/>
            <color indexed="81"/>
            <rFont val="Tahoma"/>
            <family val="2"/>
          </rPr>
          <t xml:space="preserve">
</t>
        </r>
      </text>
    </comment>
  </commentList>
</comments>
</file>

<file path=xl/sharedStrings.xml><?xml version="1.0" encoding="utf-8"?>
<sst xmlns="http://schemas.openxmlformats.org/spreadsheetml/2006/main" count="984" uniqueCount="442">
  <si>
    <t>Total</t>
  </si>
  <si>
    <t>BID</t>
  </si>
  <si>
    <t>Local</t>
  </si>
  <si>
    <t>%</t>
  </si>
  <si>
    <t>Actividades</t>
  </si>
  <si>
    <t>Valor Unitario</t>
  </si>
  <si>
    <t>Cantidad</t>
  </si>
  <si>
    <t>Administración del Programa</t>
  </si>
  <si>
    <t>Proyecto Total</t>
  </si>
  <si>
    <t>Administración del Programa Total</t>
  </si>
  <si>
    <t>Monitoreo</t>
  </si>
  <si>
    <t>Auditoria</t>
  </si>
  <si>
    <t>PCR</t>
  </si>
  <si>
    <t>Impacto</t>
  </si>
  <si>
    <t>Especialista financiero</t>
  </si>
  <si>
    <t>Bienes</t>
  </si>
  <si>
    <t>Año 1</t>
  </si>
  <si>
    <t>Año 2</t>
  </si>
  <si>
    <t>Año 3</t>
  </si>
  <si>
    <t>Año 4</t>
  </si>
  <si>
    <t>2.   Administración del proyecto</t>
  </si>
  <si>
    <t>1.    Costos Directos</t>
  </si>
  <si>
    <t>Consultorías Firmas</t>
  </si>
  <si>
    <t>Meses</t>
  </si>
  <si>
    <t>Servicios diferentes de Consultorías</t>
  </si>
  <si>
    <t>Descripción</t>
  </si>
  <si>
    <t>Evaluación</t>
  </si>
  <si>
    <t>Económica</t>
  </si>
  <si>
    <t>Sala Cofre completa (llave en mano y soporte por 3 años)</t>
  </si>
  <si>
    <t>Costos Totales</t>
  </si>
  <si>
    <t>3. Imprevistos</t>
  </si>
  <si>
    <t>Total por Categoría - Programa</t>
  </si>
  <si>
    <t>Total por Categoría Administración</t>
  </si>
  <si>
    <t>Consultorías Individuales</t>
  </si>
  <si>
    <t>Categorías</t>
  </si>
  <si>
    <t xml:space="preserve">Consultoría técnica y gerencial de apoyo a la  ejecución
</t>
  </si>
  <si>
    <t>Consultoría técnica y gerencial de apoyo a la  ejecución</t>
  </si>
  <si>
    <t>Especialista Senior en Adquisiciones</t>
  </si>
  <si>
    <t xml:space="preserve">Especialistas temáticas para la gerencia y especificaciones técnicas de adquisiciones del proyecto </t>
  </si>
  <si>
    <t>COMPONENTE</t>
  </si>
  <si>
    <t>FUENTE</t>
  </si>
  <si>
    <t>TOTAL</t>
  </si>
  <si>
    <t>EXTERNA</t>
  </si>
  <si>
    <t>LOCAL</t>
  </si>
  <si>
    <t>Fortalecimiento de la gestión de riesgo de la AFIP</t>
  </si>
  <si>
    <t>1.1</t>
  </si>
  <si>
    <t xml:space="preserve">Fortalecimiento del control y fiscalización en la administración de tributos internos </t>
  </si>
  <si>
    <t>1.1.1</t>
  </si>
  <si>
    <t>1.1.2</t>
  </si>
  <si>
    <t>1.1.3</t>
  </si>
  <si>
    <t>1.2</t>
  </si>
  <si>
    <t>Fortalecimiento de los controles aduaneros y nueva estrategia de control mediante el uso de medios no intrusivos y una gestión de riesgo integral</t>
  </si>
  <si>
    <t>1.2.1</t>
  </si>
  <si>
    <t>1.2.2</t>
  </si>
  <si>
    <t>1.2.3</t>
  </si>
  <si>
    <t>1.2.4</t>
  </si>
  <si>
    <t>1.3</t>
  </si>
  <si>
    <t>Fortalecimiento del control y fiscalización de los recursos de la seguridad social y mejora de la formalización del sector laboral</t>
  </si>
  <si>
    <t>Fortalecimiento de los sistemas de información de la AFIP</t>
  </si>
  <si>
    <t>2.1</t>
  </si>
  <si>
    <t>2.2</t>
  </si>
  <si>
    <t>2.3</t>
  </si>
  <si>
    <t>Mejora de los servicios de atención al contribuyente y del modelo de gestión, de planificación y desarrollo de servicios de las áreas centrales de la AFIP</t>
  </si>
  <si>
    <t>3.1</t>
  </si>
  <si>
    <t>3.2</t>
  </si>
  <si>
    <t>Incorporación de nuevos medios y tecnologías y reorientación del rol de las sucursales/agencias que constituyen el despliegue territorial de la AFIP</t>
  </si>
  <si>
    <t>3.3</t>
  </si>
  <si>
    <t>Nuevo modelo de gestión, planificación y organización</t>
  </si>
  <si>
    <t>Análisis y definición del nuevo modelo</t>
  </si>
  <si>
    <t>Administración y gestión del programa</t>
  </si>
  <si>
    <t xml:space="preserve"> TOTAL</t>
  </si>
  <si>
    <t>Equipamiento</t>
  </si>
  <si>
    <t>Monitoreo y Evaluación</t>
  </si>
  <si>
    <t>Especialistas</t>
  </si>
  <si>
    <t>PRESUPUESTO DETALLADO</t>
  </si>
  <si>
    <t>Subcomponente I.3.</t>
  </si>
  <si>
    <t>En Miles de Dólares</t>
  </si>
  <si>
    <t>RRHH</t>
  </si>
  <si>
    <t>Conceptos</t>
  </si>
  <si>
    <t>Totales</t>
  </si>
  <si>
    <t>Presupuesto Total del Proyecto</t>
  </si>
  <si>
    <t>Presupuesto Perfil</t>
  </si>
  <si>
    <t>Evaluaciónes:</t>
  </si>
  <si>
    <t>Evaluación Intermedia</t>
  </si>
  <si>
    <t>Evaluación Final</t>
  </si>
  <si>
    <t>Monto Mensual</t>
  </si>
  <si>
    <t>Ev. De Impacto</t>
  </si>
  <si>
    <t>Evaluacion Intermedia</t>
  </si>
  <si>
    <t>Especialsitas en temas Financieros</t>
  </si>
  <si>
    <t>Especilsita en Mnitoreo  Seguimiento</t>
  </si>
  <si>
    <t>Ev. Económica</t>
  </si>
  <si>
    <t>Otras</t>
  </si>
  <si>
    <t>Subtotal Totales</t>
  </si>
  <si>
    <t>IVA</t>
  </si>
  <si>
    <t>Adecuaciones de infraestructura local para garantizar la operación de los equipos a incorporar, y el desarrollo de interfaces de equipamiento específico con el SIM</t>
  </si>
  <si>
    <r>
      <rPr>
        <sz val="11"/>
        <color theme="1"/>
        <rFont val="Calibri"/>
        <family val="2"/>
        <scheme val="minor"/>
      </rPr>
      <t xml:space="preserve">Adquisición de software Token. Software de autenticación con contraseñas de un sólo uso (OTP – </t>
    </r>
    <r>
      <rPr>
        <i/>
        <sz val="11"/>
        <color theme="1"/>
        <rFont val="Calibri"/>
        <family val="2"/>
        <scheme val="minor"/>
      </rPr>
      <t>One Time Password</t>
    </r>
    <r>
      <rPr>
        <sz val="11"/>
        <color theme="1"/>
        <rFont val="Calibri"/>
        <family val="2"/>
        <scheme val="minor"/>
      </rPr>
      <t xml:space="preserve"> utilizando la tecnología OATH) que combina la seguridad de un esquema de doble factor con la practicidad de que las mismas se generen en los dispositivos de tecnología móvil.</t>
    </r>
  </si>
  <si>
    <r>
      <rPr>
        <sz val="11"/>
        <color theme="1"/>
        <rFont val="Calibri"/>
        <family val="2"/>
        <scheme val="minor"/>
      </rPr>
      <t xml:space="preserve">Adquisición de plataforma de Firewall de Aplicaciones WEB. Incorporación de dispositivos WAF para mitigación de ataques sobre aplicaciones WEB y </t>
    </r>
    <r>
      <rPr>
        <i/>
        <sz val="11"/>
        <color theme="1"/>
        <rFont val="Calibri"/>
        <family val="2"/>
        <scheme val="minor"/>
      </rPr>
      <t>webservices</t>
    </r>
    <r>
      <rPr>
        <sz val="11"/>
        <color theme="1"/>
        <rFont val="Calibri"/>
        <family val="2"/>
        <scheme val="minor"/>
      </rPr>
      <t xml:space="preserve"> en el centro de cómputos de AFIP. </t>
    </r>
  </si>
  <si>
    <t xml:space="preserve">Actualización de Firewalls para dependencias. Actualización tecnológica de los Firewalls distribuidos en los nodos de la red de AFIP junto con su plataforma de administración centralizada. </t>
  </si>
  <si>
    <r>
      <rPr>
        <sz val="11"/>
        <color theme="1"/>
        <rFont val="Calibri"/>
        <family val="2"/>
        <scheme val="minor"/>
      </rPr>
      <t xml:space="preserve">Adquisición de Sistema Para Detección y Análisis de amenazas avanzadas. Solución para la recopilación y correlación de eventos de múltiples dispositivos de seguridad, permitiendo mediante la administración y análisis de </t>
    </r>
    <r>
      <rPr>
        <i/>
        <sz val="11"/>
        <color theme="1"/>
        <rFont val="Calibri"/>
        <family val="2"/>
        <scheme val="minor"/>
      </rPr>
      <t>Big Data</t>
    </r>
    <r>
      <rPr>
        <sz val="11"/>
        <color theme="1"/>
        <rFont val="Calibri"/>
        <family val="2"/>
        <scheme val="minor"/>
      </rPr>
      <t xml:space="preserve">, sumado a la visibilidad completa del tráfico de red, la posibilidad de detección y mitigación de amenazas que no pueden ser identificadas en forma desagregada. </t>
    </r>
  </si>
  <si>
    <t>Adquisición de equipos de telefonía móvil. A efectos de mantener la continuidad operativa para brindar un servicio ubicuo y móvil en el acceso a las comunicaciones y los sistemas informáticos operativos por parte de los funcionarios de la AFIP</t>
  </si>
  <si>
    <t xml:space="preserve">Aprovechamiento de energías renovables. Provisión de energía generada en forma sustentable para dependencias remotas de frontera y otras específicas como sustento integral de vida, eficiencia y calidad de servicio por dificultades de aprovisionamiento de combustibles y otras energía, en consonancia con el Decreto Presidencial 9/2017. Esta actividad se desarrollará con la colaboración de diversos organismos del Estado (v.g. INVAP, Ministerio de Ciencia, Tecnología e Innovación Productiva). </t>
  </si>
  <si>
    <t>Actualización de Activos de Red Inalámbricos e Implementación de nuevas zonas WIFI. Actualización tecnológica de las soluciones redes de acceso inalámbrico, permitiendo mayor movilidad y facilitando el acceso a la red del Organismo, manteniendo los niveles de seguridad, asociado a una reducción significativa de costos en obras de cableado (Controlador + 500 AP)</t>
  </si>
  <si>
    <r>
      <rPr>
        <i/>
        <sz val="11"/>
        <color theme="1"/>
        <rFont val="Calibri"/>
        <family val="2"/>
        <scheme val="minor"/>
      </rPr>
      <t xml:space="preserve">Virtual Desktop Infrastructure. </t>
    </r>
    <r>
      <rPr>
        <sz val="11"/>
        <color theme="1"/>
        <rFont val="Calibri"/>
        <family val="2"/>
        <scheme val="minor"/>
      </rPr>
      <t xml:space="preserve">Adquisición de una solución VDI para casos específicos (Capacitación, </t>
    </r>
    <r>
      <rPr>
        <i/>
        <sz val="11"/>
        <color theme="1"/>
        <rFont val="Calibri"/>
        <family val="2"/>
        <scheme val="minor"/>
      </rPr>
      <t>call-center</t>
    </r>
    <r>
      <rPr>
        <sz val="11"/>
        <color theme="1"/>
        <rFont val="Calibri"/>
        <family val="2"/>
        <scheme val="minor"/>
      </rPr>
      <t>).</t>
    </r>
  </si>
  <si>
    <r>
      <rPr>
        <i/>
        <sz val="11"/>
        <color theme="1"/>
        <rFont val="Calibri"/>
        <family val="2"/>
        <scheme val="minor"/>
      </rPr>
      <t>Backup</t>
    </r>
    <r>
      <rPr>
        <sz val="11"/>
        <color theme="1"/>
        <rFont val="Calibri"/>
        <family val="2"/>
        <scheme val="minor"/>
      </rPr>
      <t xml:space="preserve">. Nueva Solución de </t>
    </r>
    <r>
      <rPr>
        <i/>
        <sz val="11"/>
        <color theme="1"/>
        <rFont val="Calibri"/>
        <family val="2"/>
        <scheme val="minor"/>
      </rPr>
      <t>backup</t>
    </r>
    <r>
      <rPr>
        <sz val="11"/>
        <color theme="1"/>
        <rFont val="Calibri"/>
        <family val="2"/>
        <scheme val="minor"/>
      </rPr>
      <t xml:space="preserve"> para las bases de datos centrales y archivos de producción para reducir los tiempos RTO y RPO utilizando tecnología de última generación con soporte por 5 años. </t>
    </r>
  </si>
  <si>
    <t>Estaciones de trabajo. Adquisición de 10.000 estaciones de trabajo para reemplazar equipamiento obsoleto estimado para los años 2018/2022 con soporte por 5 años.</t>
  </si>
  <si>
    <t xml:space="preserve">Actualización y centralización de acceso a la red pública de telefonía. El objetivo es obtener mayor control y eficiencia en las comunicaciones, consolidando una infraestructura inteligente de servicios con altas capacidades de escalamiento y versatilidad. </t>
  </si>
  <si>
    <t>Implementación de nuevos esquemas de conectividad. Con el objeto de mejorar las velocidades de acceso y disminuir los costos de los enlaces actualmente operativos, se propone integrar los Nodos del Organismo a los puntos de acceso distribuidos en el país (IXP Puntos de Intercambio de Internet (CABASE) - Nodo REFEFO (ARSAT)) implementando nuevos esquemas de conectividad. Estas tareas se coordinaran con el Ministerio de Modernización. Costo total estimado US$ 40.000 por sitio - Estimación 10 sitios</t>
  </si>
  <si>
    <t xml:space="preserve">Unidad de almacenamiento. Adquisición de una unidad de almacenamiento High-End conectado a la Storage Área Network para reemplazar el equipo Hitachi VSP. Capacidad estimada 1 PT con soporte por 5 años. </t>
  </si>
  <si>
    <t xml:space="preserve">Backup. Nueva Solución de backup para las bases de datos centrales y archivos de producción para reducir los tiempos RTO y RPO utilizando tecnología de última generación con soporte por 5 años. </t>
  </si>
  <si>
    <t>Virtual Desktop Infrastructure. Adquisición de una solución VDI para casos específicos (Capacitación, call-center).</t>
  </si>
  <si>
    <r>
      <t>Actualización de Activos de Red (</t>
    </r>
    <r>
      <rPr>
        <i/>
        <sz val="11"/>
        <color theme="1"/>
        <rFont val="Calibri"/>
        <family val="2"/>
        <scheme val="minor"/>
      </rPr>
      <t>Router/Switches</t>
    </r>
    <r>
      <rPr>
        <sz val="11"/>
        <color theme="1"/>
        <rFont val="Calibri"/>
        <family val="2"/>
        <scheme val="minor"/>
      </rPr>
      <t xml:space="preserve"> en Dependencias). Provisión, instalación, configuración y puesta en marcha de </t>
    </r>
    <r>
      <rPr>
        <i/>
        <sz val="11"/>
        <color theme="1"/>
        <rFont val="Calibri"/>
        <family val="2"/>
        <scheme val="minor"/>
      </rPr>
      <t>Switches</t>
    </r>
    <r>
      <rPr>
        <sz val="11"/>
        <color theme="1"/>
        <rFont val="Calibri"/>
        <family val="2"/>
        <scheme val="minor"/>
      </rPr>
      <t xml:space="preserve"> y </t>
    </r>
    <r>
      <rPr>
        <i/>
        <sz val="11"/>
        <color theme="1"/>
        <rFont val="Calibri"/>
        <family val="2"/>
        <scheme val="minor"/>
      </rPr>
      <t xml:space="preserve">Routers </t>
    </r>
    <r>
      <rPr>
        <sz val="11"/>
        <color theme="1"/>
        <rFont val="Calibri"/>
        <family val="2"/>
        <scheme val="minor"/>
      </rPr>
      <t>en las redes LAN que poseen las Dependencias de la AFIP de todo el País.</t>
    </r>
  </si>
  <si>
    <t xml:space="preserve">Total </t>
  </si>
  <si>
    <t>Costo c/ IVA</t>
  </si>
  <si>
    <t>Costo s/IVA</t>
  </si>
  <si>
    <t>Proyectos Informática Tributaria</t>
  </si>
  <si>
    <r>
      <rPr>
        <sz val="11"/>
        <color theme="1"/>
        <rFont val="Calibri"/>
        <family val="2"/>
        <scheme val="minor"/>
      </rPr>
      <t xml:space="preserve">Reingeniería Sistema de Cuentas Tributarias (CUT) – </t>
    </r>
    <r>
      <rPr>
        <i/>
        <sz val="11"/>
        <color theme="1"/>
        <rFont val="Calibri"/>
        <family val="2"/>
        <scheme val="minor"/>
      </rPr>
      <t>FrontEnd</t>
    </r>
  </si>
  <si>
    <t xml:space="preserve">Reingeniería Aplicativos Web </t>
  </si>
  <si>
    <t>Proyectos Informática Aduanera</t>
  </si>
  <si>
    <r>
      <rPr>
        <i/>
        <sz val="11"/>
        <color theme="1"/>
        <rFont val="Calibri"/>
        <family val="2"/>
        <scheme val="minor"/>
      </rPr>
      <t>Porting</t>
    </r>
    <r>
      <rPr>
        <sz val="11"/>
        <color theme="1"/>
        <rFont val="Calibri"/>
        <family val="2"/>
        <scheme val="minor"/>
      </rPr>
      <t xml:space="preserve"> aplicaciones interactivas SIM. </t>
    </r>
    <r>
      <rPr>
        <i/>
        <sz val="11"/>
        <color theme="1"/>
        <rFont val="Calibri"/>
        <family val="2"/>
        <scheme val="minor"/>
      </rPr>
      <t>Porting</t>
    </r>
    <r>
      <rPr>
        <sz val="11"/>
        <color theme="1"/>
        <rFont val="Calibri"/>
        <family val="2"/>
        <scheme val="minor"/>
      </rPr>
      <t xml:space="preserve"> de un entorno informático que hoy usa </t>
    </r>
    <r>
      <rPr>
        <i/>
        <sz val="11"/>
        <color theme="1"/>
        <rFont val="Calibri"/>
        <family val="2"/>
        <scheme val="minor"/>
      </rPr>
      <t>applets</t>
    </r>
    <r>
      <rPr>
        <sz val="11"/>
        <color theme="1"/>
        <rFont val="Calibri"/>
        <family val="2"/>
        <scheme val="minor"/>
      </rPr>
      <t xml:space="preserve"> Java (que ya no son soportados por los browsers modernos) a un entorno web puro (.Net con C#)</t>
    </r>
  </si>
  <si>
    <t>Proyectos Informática Seguridad Social</t>
  </si>
  <si>
    <r>
      <rPr>
        <sz val="11"/>
        <color theme="1"/>
        <rFont val="Calibri"/>
        <family val="2"/>
        <scheme val="minor"/>
      </rPr>
      <t xml:space="preserve">Adecuaciones del </t>
    </r>
    <r>
      <rPr>
        <i/>
        <sz val="11"/>
        <color theme="1"/>
        <rFont val="Calibri"/>
        <family val="2"/>
        <scheme val="minor"/>
      </rPr>
      <t>FrontEnd</t>
    </r>
    <r>
      <rPr>
        <sz val="11"/>
        <color theme="1"/>
        <rFont val="Calibri"/>
        <family val="2"/>
        <scheme val="minor"/>
      </rPr>
      <t xml:space="preserve"> de sistemas principales y reingeniería de aplicativos Web para el sistema de seguridad social</t>
    </r>
  </si>
  <si>
    <r>
      <t xml:space="preserve">Unidad de almacenamiento. Adquisición de una unidad de almacenamiento </t>
    </r>
    <r>
      <rPr>
        <i/>
        <sz val="11"/>
        <color theme="1"/>
        <rFont val="Calibri"/>
        <family val="2"/>
        <scheme val="minor"/>
      </rPr>
      <t>High-End</t>
    </r>
    <r>
      <rPr>
        <sz val="11"/>
        <color theme="1"/>
        <rFont val="Calibri"/>
        <family val="2"/>
        <scheme val="minor"/>
      </rPr>
      <t xml:space="preserve"> conectado a la </t>
    </r>
    <r>
      <rPr>
        <i/>
        <sz val="11"/>
        <color theme="1"/>
        <rFont val="Calibri"/>
        <family val="2"/>
        <scheme val="minor"/>
      </rPr>
      <t>Storage Área Network</t>
    </r>
    <r>
      <rPr>
        <sz val="11"/>
        <color theme="1"/>
        <rFont val="Calibri"/>
        <family val="2"/>
        <scheme val="minor"/>
      </rPr>
      <t xml:space="preserve"> para reemplazar el equipo Hitachi VSP. Capacidad estimada 1 PT con soporte por 5 años. </t>
    </r>
  </si>
  <si>
    <r>
      <rPr>
        <sz val="11"/>
        <color theme="1"/>
        <rFont val="Times New Roman"/>
        <family val="1"/>
      </rPr>
      <t xml:space="preserve"> </t>
    </r>
    <r>
      <rPr>
        <sz val="11"/>
        <color theme="1"/>
        <rFont val="Calibri"/>
        <family val="2"/>
        <scheme val="minor"/>
      </rPr>
      <t xml:space="preserve">Conectividad Proyecto Hidrovía. Atento al requerimiento efectuado por la Dirección Regional Aduanera Hidrovía (REF: ACT SIGEA N° 18083-186-2016 / NOTA N° 777/2016 (DI GERP)), respecto de la necesidad de adquirir e instalar un Sistema de CCTV inteligente en puntos estratégicos, se requiere la puesta en funcionamiento de un sistema de interconexión de red de datos entre los puntos específicos de la localidad Isla del Cerrito y sobre el Puente General Belgrano. </t>
    </r>
  </si>
  <si>
    <r>
      <t xml:space="preserve">Adquisición de Sistema Para Detección y Análisis de amenazas avanzadas. Solución para la recopilación y correlación de eventos de múltiples dispositivos de seguridad, permitiendo mediante la administración y análisis de </t>
    </r>
    <r>
      <rPr>
        <i/>
        <sz val="11"/>
        <color theme="1"/>
        <rFont val="Calibri"/>
        <family val="2"/>
        <scheme val="minor"/>
      </rPr>
      <t>Big Data</t>
    </r>
    <r>
      <rPr>
        <sz val="11"/>
        <color theme="1"/>
        <rFont val="Calibri"/>
        <family val="2"/>
        <scheme val="minor"/>
      </rPr>
      <t xml:space="preserve">, sumado a la visibilidad completa del tráfico de red, la posibilidad de detección y mitigación de amenazas que no pueden ser identificadas en forma desagregada. </t>
    </r>
  </si>
  <si>
    <r>
      <t xml:space="preserve">Adquisición de plataforma de mitigación de DDOS en la nube para CABASE. El objetivo de esta plataforma es la mitigación temprana de ataques de DDOS dentro de </t>
    </r>
    <r>
      <rPr>
        <i/>
        <sz val="11"/>
        <color theme="1"/>
        <rFont val="Calibri"/>
        <family val="2"/>
        <scheme val="minor"/>
      </rPr>
      <t xml:space="preserve">backbone </t>
    </r>
    <r>
      <rPr>
        <sz val="11"/>
        <color theme="1"/>
        <rFont val="Calibri"/>
        <family val="2"/>
        <scheme val="minor"/>
      </rPr>
      <t>de CABASE.</t>
    </r>
  </si>
  <si>
    <r>
      <t xml:space="preserve">Adquisición de plataforma de Firewall de Aplicaciones WEB. Incorporación de dispositivos WAF para mitigación de ataques sobre aplicaciones WEB y </t>
    </r>
    <r>
      <rPr>
        <i/>
        <sz val="11"/>
        <color theme="1"/>
        <rFont val="Calibri"/>
        <family val="2"/>
        <scheme val="minor"/>
      </rPr>
      <t>webservices</t>
    </r>
    <r>
      <rPr>
        <sz val="11"/>
        <color theme="1"/>
        <rFont val="Calibri"/>
        <family val="2"/>
        <scheme val="minor"/>
      </rPr>
      <t xml:space="preserve"> en el centro de cómputos de AFIP. </t>
    </r>
  </si>
  <si>
    <r>
      <t xml:space="preserve">Adquisición de software Token. Software de autenticación con contraseñas de un sólo uso (OTP – </t>
    </r>
    <r>
      <rPr>
        <i/>
        <sz val="11"/>
        <color theme="1"/>
        <rFont val="Calibri"/>
        <family val="2"/>
        <scheme val="minor"/>
      </rPr>
      <t>One Time Password</t>
    </r>
    <r>
      <rPr>
        <sz val="11"/>
        <color theme="1"/>
        <rFont val="Calibri"/>
        <family val="2"/>
        <scheme val="minor"/>
      </rPr>
      <t xml:space="preserve"> utilizando la tecnología OATH) que combina la seguridad de un esquema de doble factor con la practicidad de que las mismas se generen en los dispositivos de tecnología móvil.</t>
    </r>
  </si>
  <si>
    <r>
      <t>Actualización de HSM. A los efectos de cumplimentar los requerimientos establecidos para el licenciamiento como Autoridad Certificante dentro de la Infraestructura de Firma Digital de la República Argentina, en el año 2006 esta Administración Federal ha adquirido dispositivos criptográficos de seguridad denominados HSM (</t>
    </r>
    <r>
      <rPr>
        <i/>
        <sz val="11"/>
        <color theme="1"/>
        <rFont val="Calibri"/>
        <family val="2"/>
        <scheme val="minor"/>
      </rPr>
      <t>Hardware Security Module</t>
    </r>
    <r>
      <rPr>
        <sz val="11"/>
        <color theme="1"/>
        <rFont val="Calibri"/>
        <family val="2"/>
        <scheme val="minor"/>
      </rPr>
      <t xml:space="preserve">). Considerando la evolución tecnológica, se requiere el reemplazo del hardware en cuestión. </t>
    </r>
  </si>
  <si>
    <t>TOTAL SIN IMPUESTO AL VALOR AGREGADO (IVA)</t>
  </si>
  <si>
    <t>El IVA sólo se contempla para aquellos Item en donde el Programa reconoce el pago del impuesto a los provedores de bienes y servicios</t>
  </si>
  <si>
    <t>Adquisición de licencias para minería de datos, Analytics, desarrollo de interfaces con bases de datos existentes, motor de inferencia para cruces y extracción.</t>
  </si>
  <si>
    <t>IMPUESTO AL VALOR AGREGADO</t>
  </si>
  <si>
    <t>Componentes</t>
  </si>
  <si>
    <t>Año 5</t>
  </si>
  <si>
    <t>Fuente de financiamiento</t>
  </si>
  <si>
    <t>Componente 2: Fortalecimiento de los sistemas de información de la AFIP</t>
  </si>
  <si>
    <t>Subcomponente 1.1: Fortalecimiento del control y fiscalización en la administración de tributos internos</t>
  </si>
  <si>
    <t>1. Costos Directos</t>
  </si>
  <si>
    <t>Componente 3: Mejora de los servicios de atención al contribuyente y del modelo de gestión, de planificación y desarrollo de servicios de las áreas centrales de la AFIP</t>
  </si>
  <si>
    <t>Total SIN  IVA</t>
  </si>
  <si>
    <t>TOTAL CON IVA</t>
  </si>
  <si>
    <t>Coordinación técnico de la ejecución</t>
  </si>
  <si>
    <t>Consultorías Técnicas</t>
  </si>
  <si>
    <t>Subcomponente 1.3: Fortalecimiento del control y fiscalización de los recursos de la seguridad social y mejora de la formalización del sector laboral</t>
  </si>
  <si>
    <t>Plan de Ejecución Plurianual - PEP</t>
  </si>
  <si>
    <t>TOTAL PROYECTO</t>
  </si>
  <si>
    <t>Financiamiento Anual</t>
  </si>
  <si>
    <t>Reforma del Sistema de Cuentas Tributarias</t>
  </si>
  <si>
    <t>Simplificación del SCT y monitoreo</t>
  </si>
  <si>
    <t>Control de saldos a favor y su forma de utilización</t>
  </si>
  <si>
    <t>Control de computables</t>
  </si>
  <si>
    <t>Impuestos conceptos y funcionalidades faltantes</t>
  </si>
  <si>
    <t>Interacción con otros sistemas</t>
  </si>
  <si>
    <t>Incorporación de los cargos aduaneros</t>
  </si>
  <si>
    <t>Actualización de los sistemas de informática tributaria</t>
  </si>
  <si>
    <t>Aplicativos WEB - Reingenieria MAW</t>
  </si>
  <si>
    <t>Reingeniería Aplicaciones sistemas tributarios</t>
  </si>
  <si>
    <t>Registro Unico Tributario</t>
  </si>
  <si>
    <t>Sistema de Ingresos Directos</t>
  </si>
  <si>
    <t>Reingenieria de Datamart MATT</t>
  </si>
  <si>
    <t>Reingeniería SIAP</t>
  </si>
  <si>
    <t>OSIRIS</t>
  </si>
  <si>
    <t>AcreTa (Acreditaciones Tardias)</t>
  </si>
  <si>
    <t>MulAT (Multiples Administraciones Tributarias)</t>
  </si>
  <si>
    <t>Desarrollo e implementación de sistemas de fiscalización y perfil de riesgo</t>
  </si>
  <si>
    <t>Desarrollo de sistema de perfil de riesgo</t>
  </si>
  <si>
    <t>Mejora en el acceso a información para análisis de riesgo y control de la tributación en transacciones internacionales</t>
  </si>
  <si>
    <t>Sistemas de selección de casos para fiscalización</t>
  </si>
  <si>
    <t>Reingeniería de la aplicación -eFISCO-</t>
  </si>
  <si>
    <t>Reingeniería del sistema de seguimiento de fiscalizaciones -SEFI-</t>
  </si>
  <si>
    <t>Análisis de casos sectoriales</t>
  </si>
  <si>
    <t>Reingeniería de los Sistemas de registración y facturación electrónica</t>
  </si>
  <si>
    <t>Desarrollo e Implmentación de un sistema integral de gestiòn de solicitudes de devolución o reintegro de impuestos</t>
  </si>
  <si>
    <t>1.1.4</t>
  </si>
  <si>
    <t>Desarrollo e implementación de sistemas de seguimiento jurídico</t>
  </si>
  <si>
    <t>Nuevo Sistema de Cobranza Coactiva (ex SIRAEF - SOJ)</t>
  </si>
  <si>
    <t>Sistema de Gestion Judicial - Modulo Penal (ex SCP)</t>
  </si>
  <si>
    <t>Sistema de Gestion Judicial - Modulo Contencioso No Tributario (ex QUAESTOR)</t>
  </si>
  <si>
    <t>1.1.5</t>
  </si>
  <si>
    <t>Consolidación del acervo tecnológico y capacitación de nuevas tecnologías (Minería de datos, Analytics, Big Data, capacitación)</t>
  </si>
  <si>
    <t>Modelo Integral de Riesgo</t>
  </si>
  <si>
    <t>Actualización del SIM</t>
  </si>
  <si>
    <t>Actualización de Infraestructura Tecnológica</t>
  </si>
  <si>
    <t>Nuevo Sistema de Atención en Frontera</t>
  </si>
  <si>
    <t xml:space="preserve">DDJJ Web Régimen General de Empleadores para grandes contribuyentes </t>
  </si>
  <si>
    <t>Libro de Sueldos Digital</t>
  </si>
  <si>
    <t>Simplificación Registral</t>
  </si>
  <si>
    <t>Cuenta Corriente de Provincias</t>
  </si>
  <si>
    <t>REM – Relevamiento Electrónico de Monotributistas</t>
  </si>
  <si>
    <t>Registración, distribución y control de retenciones</t>
  </si>
  <si>
    <t>Data Center (Software&amp;Hardware y Capacitación)</t>
  </si>
  <si>
    <t>Comunicaciones (adquisión de equipos y actualizacion de sistemas)</t>
  </si>
  <si>
    <t>Seguridad Informática (adquisión de equipos y actualización de sistemas)</t>
  </si>
  <si>
    <t>Mejora normativa, simplificación de procedimientos y cambio de enfoque en la atención (CRM)</t>
  </si>
  <si>
    <t>Integración de Base de Conocimiento al CRM</t>
  </si>
  <si>
    <t>Módulo de Reclamos y Sugerencias</t>
  </si>
  <si>
    <t>Integración de información de sistemas externos al CRM</t>
  </si>
  <si>
    <t>Módulo de gestión de Consultas de Organismos de Seguridad Social</t>
  </si>
  <si>
    <t>Módulo de Calidad de atención</t>
  </si>
  <si>
    <t>Módulo de Campañas Salientes</t>
  </si>
  <si>
    <t>Modulo aduanero</t>
  </si>
  <si>
    <t>Aplicación Móvil de Viajeros</t>
  </si>
  <si>
    <t>Aplicación Móvil de Denuncias</t>
  </si>
  <si>
    <t>Modulos de autogestión y cabinas de atención rápida</t>
  </si>
  <si>
    <t>Modelo de trazabilidad de los turnos de verificación aduaneros</t>
  </si>
  <si>
    <t>Canales de Atención</t>
  </si>
  <si>
    <t>Reingeniería SARHA</t>
  </si>
  <si>
    <t>Consultores Internos Comprar</t>
  </si>
  <si>
    <t>Consultores Internos GDE</t>
  </si>
  <si>
    <t>Plan Operativo Detallado</t>
  </si>
  <si>
    <t>Perfil</t>
  </si>
  <si>
    <t>Analista</t>
  </si>
  <si>
    <t>Desarrollador</t>
  </si>
  <si>
    <t>Tester</t>
  </si>
  <si>
    <t>1. Aplicativos WEB - Reingenieria MAW</t>
  </si>
  <si>
    <t>2. Reingeniería Aplicaciones sistemas tributarios</t>
  </si>
  <si>
    <t>Consultoría 1.</t>
  </si>
  <si>
    <t>Honorario x RRHH</t>
  </si>
  <si>
    <t>Honorarios por Todo Concepto</t>
  </si>
  <si>
    <t>Productos</t>
  </si>
  <si>
    <t>Moralidad: Firma Consultora</t>
  </si>
  <si>
    <t>INFORMATICA TRIBUTARIA</t>
  </si>
  <si>
    <t>Consultoría 2</t>
  </si>
  <si>
    <t xml:space="preserve">Consultoría 1. </t>
  </si>
  <si>
    <t>Costo sin IVA</t>
  </si>
  <si>
    <t>Presupuesto</t>
  </si>
  <si>
    <t>1. Registro Unico Tributario</t>
  </si>
  <si>
    <t>2. Sistema de Ingresos Directos</t>
  </si>
  <si>
    <t>3. Reingenieria de Datamart MATT</t>
  </si>
  <si>
    <t>4. SIAP Reingenieria</t>
  </si>
  <si>
    <t>5. OSIRIS</t>
  </si>
  <si>
    <t>6. AcreTa (Acreditaciones Tardias)</t>
  </si>
  <si>
    <t>7. MulAT (Multiples Administraciones Tributarias)</t>
  </si>
  <si>
    <t>SEGURIDAD SOCIAL</t>
  </si>
  <si>
    <t>Consultoría 1</t>
  </si>
  <si>
    <t>Consultoría 3</t>
  </si>
  <si>
    <t>Consultoría 4</t>
  </si>
  <si>
    <t>Consultoría 5</t>
  </si>
  <si>
    <t>Consultoría 6</t>
  </si>
  <si>
    <t>ANEXO. DETALLE DE CONSULTORIAS POR FIRMA</t>
  </si>
  <si>
    <t>INFORMATICA JURIDICA</t>
  </si>
  <si>
    <t>1. Nuevo Sistema de Cobranza Coactiva (ex SIRAEF - SOJ)</t>
  </si>
  <si>
    <t>2. Sistema de Gestion Judicial - Modulo Penal (ex SCP)</t>
  </si>
  <si>
    <t>3. Sistema de Gestion Judicial - Modulo Contencioso No Tributario (ex QUAESTOR)</t>
  </si>
  <si>
    <t>FISCALIZACION TRIBUTARIA</t>
  </si>
  <si>
    <t>1. Regímenes de control de la cadena comercial del ganado bovino, porcino y sector avícola</t>
  </si>
  <si>
    <t>2. Regímenes de control de la cadena comercial de granos</t>
  </si>
  <si>
    <t>3. Regímenes de control de la cadena comercial de algodón</t>
  </si>
  <si>
    <t>4.Regímenes de control del sector financiero</t>
  </si>
  <si>
    <t>Consultoría 1. Analisis Sectoriales</t>
  </si>
  <si>
    <t>Consultoría 2. Facturación y Registración Electrónica</t>
  </si>
  <si>
    <t xml:space="preserve">Consultoría 4. </t>
  </si>
  <si>
    <t xml:space="preserve">Consultoría 3. </t>
  </si>
  <si>
    <t>1. Facturación y Registración Eletrónica</t>
  </si>
  <si>
    <t>1. Reingeniería eFisco</t>
  </si>
  <si>
    <t>1. Sistema de Perfil de Riesgo</t>
  </si>
  <si>
    <t>1. Integración de Base de Conocimiento al CRM</t>
  </si>
  <si>
    <t>2. Módulo de Reclamos y Sugerencias</t>
  </si>
  <si>
    <t>3. Integración de información de sistemas externos al CRM</t>
  </si>
  <si>
    <t>4. Módulo de gestión de Consultas de Organismos de Seguridad Social</t>
  </si>
  <si>
    <t>5. Módulo de Calidad de atención</t>
  </si>
  <si>
    <t>6. Módulo de Campañas Salientes</t>
  </si>
  <si>
    <t>1. Aplicación Móvil de Viajeros</t>
  </si>
  <si>
    <t>2. Aplicación Móvil de Denuncias</t>
  </si>
  <si>
    <t>NUEVO MODELO DE GESTION</t>
  </si>
  <si>
    <t>Infraestructura operativa y en comunicación</t>
  </si>
  <si>
    <t xml:space="preserve">Software de Gateway  - PAM con servicio de soporte y actualizacion tecnologica. (Implementacion de medidas adicionales de seguridad IG 2/2017 - Punto 7)  Presupuesto a verificar </t>
  </si>
  <si>
    <t xml:space="preserve">Adquisicion de 350 servidores de borde para la implementación del Active Directory en áreas desentralizadas  </t>
  </si>
  <si>
    <t xml:space="preserve">Adecuacion Site de contingencia - Infraestructura Critica (Sala, AA, UPS,  etc) </t>
  </si>
  <si>
    <t>Data Center</t>
  </si>
  <si>
    <t>Comunicación</t>
  </si>
  <si>
    <t>Seguridad informática</t>
  </si>
  <si>
    <t>Adquisición y consultoría para la implementación de IBM QRadar (SIEM)</t>
  </si>
  <si>
    <t xml:space="preserve">Adquisición de Micro Focus Fortify </t>
  </si>
  <si>
    <t>1. Sistema Integral de Recuperos</t>
  </si>
  <si>
    <t>MODELO DE GESTION</t>
  </si>
  <si>
    <t>Consultoría 2.</t>
  </si>
  <si>
    <t>Moralidad: Consultoría Individual</t>
  </si>
  <si>
    <t>Consultoría 3.</t>
  </si>
  <si>
    <t>Adecuaciones Sistema GDE</t>
  </si>
  <si>
    <t>Adecuaciones Sistema COMPRAR</t>
  </si>
  <si>
    <t>1. Mejora en el acceso a información para análisis de riesgo y control de la tributación en transacciones internacionales</t>
  </si>
  <si>
    <t>2. Sistemas de selección de casos para fiscalización</t>
  </si>
  <si>
    <t>TOTAL FIRMAS CONSULTORAS</t>
  </si>
  <si>
    <t>TOTAL CONSULTORIAS IND.</t>
  </si>
  <si>
    <r>
      <t xml:space="preserve">Componente 1: </t>
    </r>
    <r>
      <rPr>
        <b/>
        <sz val="10"/>
        <color rgb="FF000000"/>
        <rFont val="Calibri"/>
        <family val="2"/>
        <scheme val="minor"/>
      </rPr>
      <t>Fortalecimiento de la gestión de riesgo de la AFIP</t>
    </r>
  </si>
  <si>
    <r>
      <t>Producto 1.1.1:</t>
    </r>
    <r>
      <rPr>
        <sz val="10"/>
        <color theme="1"/>
        <rFont val="Calibri"/>
        <family val="2"/>
        <scheme val="minor"/>
      </rPr>
      <t xml:space="preserve"> Sistema de Cuentas Tributarias (SCT) reformado</t>
    </r>
  </si>
  <si>
    <r>
      <t>Producto 1.1.2:</t>
    </r>
    <r>
      <rPr>
        <sz val="10"/>
        <color theme="1"/>
        <rFont val="Calibri"/>
        <family val="2"/>
        <scheme val="minor"/>
      </rPr>
      <t xml:space="preserve"> Sistemas de informática tributaria actualizados</t>
    </r>
  </si>
  <si>
    <r>
      <t>Producto 1.1.3:</t>
    </r>
    <r>
      <rPr>
        <sz val="10"/>
        <color theme="1"/>
        <rFont val="Calibri"/>
        <family val="2"/>
        <scheme val="minor"/>
      </rPr>
      <t xml:space="preserve"> Sistema integral de fiscalización y perfil de riesgo integral desarrollado e implementado </t>
    </r>
  </si>
  <si>
    <r>
      <t>Producto 1.1.4:</t>
    </r>
    <r>
      <rPr>
        <sz val="10"/>
        <color theme="1"/>
        <rFont val="Calibri"/>
        <family val="2"/>
        <scheme val="minor"/>
      </rPr>
      <t xml:space="preserve"> Desarrollo e implementación de sistemas de seguimiento jurídico</t>
    </r>
  </si>
  <si>
    <r>
      <t>Subcomponente 1.2: Fortalecimiento de los controles aduaneros y nueva estrategia de control mediante el uso de medios no intrusivos y una gestión de riesgo integral</t>
    </r>
    <r>
      <rPr>
        <sz val="10"/>
        <color theme="1"/>
        <rFont val="Calibri"/>
        <family val="2"/>
        <scheme val="minor"/>
      </rPr>
      <t>.</t>
    </r>
  </si>
  <si>
    <r>
      <t>Producto 1.2.1:</t>
    </r>
    <r>
      <rPr>
        <sz val="10"/>
        <color theme="1"/>
        <rFont val="Calibri"/>
        <family val="2"/>
        <scheme val="minor"/>
      </rPr>
      <t xml:space="preserve"> Modelo Integral de Riesgo</t>
    </r>
  </si>
  <si>
    <r>
      <t>Producto 1.2.2:</t>
    </r>
    <r>
      <rPr>
        <sz val="10"/>
        <color theme="1"/>
        <rFont val="Calibri"/>
        <family val="2"/>
        <scheme val="minor"/>
      </rPr>
      <t xml:space="preserve"> Actualización del SIM</t>
    </r>
  </si>
  <si>
    <r>
      <t>Producto 1.2.3:</t>
    </r>
    <r>
      <rPr>
        <sz val="10"/>
        <color theme="1"/>
        <rFont val="Calibri"/>
        <family val="2"/>
        <scheme val="minor"/>
      </rPr>
      <t xml:space="preserve"> Equipos de computación actualizados </t>
    </r>
  </si>
  <si>
    <r>
      <t xml:space="preserve">Producto 1.2.4: </t>
    </r>
    <r>
      <rPr>
        <sz val="10"/>
        <color theme="1"/>
        <rFont val="Calibri"/>
        <family val="2"/>
        <scheme val="minor"/>
      </rPr>
      <t>Puertos con conectividad mejorada</t>
    </r>
  </si>
  <si>
    <r>
      <t>Producto 1.2.5:</t>
    </r>
    <r>
      <rPr>
        <sz val="10"/>
        <color theme="1"/>
        <rFont val="Calibri"/>
        <family val="2"/>
        <scheme val="minor"/>
      </rPr>
      <t xml:space="preserve"> Adecuación de infraestructura edilicia</t>
    </r>
  </si>
  <si>
    <r>
      <t>Producto 1.2.6:</t>
    </r>
    <r>
      <rPr>
        <sz val="10"/>
        <color theme="1"/>
        <rFont val="Calibri"/>
        <family val="2"/>
        <scheme val="minor"/>
      </rPr>
      <t xml:space="preserve"> Sistema de Atención en Frontera</t>
    </r>
  </si>
  <si>
    <r>
      <t xml:space="preserve">Producto 1.3.1: </t>
    </r>
    <r>
      <rPr>
        <sz val="10"/>
        <color rgb="FF000000"/>
        <rFont val="Calibri"/>
        <family val="2"/>
        <scheme val="minor"/>
      </rPr>
      <t xml:space="preserve">Web Régimen General de Empleadores para grandes contribuyentes  </t>
    </r>
  </si>
  <si>
    <r>
      <t>Producto 1.3.2</t>
    </r>
    <r>
      <rPr>
        <sz val="10"/>
        <color rgb="FF000000"/>
        <rFont val="Calibri"/>
        <family val="2"/>
        <scheme val="minor"/>
      </rPr>
      <t>: Libro de Sueldos Digital</t>
    </r>
  </si>
  <si>
    <r>
      <t xml:space="preserve">Producto 1.3.3: </t>
    </r>
    <r>
      <rPr>
        <sz val="10"/>
        <color rgb="FF000000"/>
        <rFont val="Calibri"/>
        <family val="2"/>
        <scheme val="minor"/>
      </rPr>
      <t>Simplificación Registral</t>
    </r>
  </si>
  <si>
    <r>
      <t xml:space="preserve">Producto 1.3.4: </t>
    </r>
    <r>
      <rPr>
        <sz val="10"/>
        <color rgb="FF000000"/>
        <rFont val="Calibri"/>
        <family val="2"/>
        <scheme val="minor"/>
      </rPr>
      <t>Cuenta Corriente de Provincias</t>
    </r>
  </si>
  <si>
    <r>
      <t xml:space="preserve">Producto 1.3.5: </t>
    </r>
    <r>
      <rPr>
        <sz val="10"/>
        <color rgb="FF000000"/>
        <rFont val="Calibri"/>
        <family val="2"/>
        <scheme val="minor"/>
      </rPr>
      <t>Relevamiento Electrónico de Monotributistas</t>
    </r>
  </si>
  <si>
    <r>
      <t xml:space="preserve">Producto 1.3.5: </t>
    </r>
    <r>
      <rPr>
        <sz val="10"/>
        <color rgb="FF000000"/>
        <rFont val="Calibri"/>
        <family val="2"/>
        <scheme val="minor"/>
      </rPr>
      <t>Registración y control de retenciones</t>
    </r>
  </si>
  <si>
    <r>
      <t>Producto 2.1.1</t>
    </r>
    <r>
      <rPr>
        <b/>
        <sz val="10"/>
        <color rgb="FF000000"/>
        <rFont val="Calibri"/>
        <family val="2"/>
        <scheme val="minor"/>
      </rPr>
      <t xml:space="preserve">: </t>
    </r>
    <r>
      <rPr>
        <sz val="10"/>
        <color rgb="FF000000"/>
        <rFont val="Calibri"/>
        <family val="2"/>
        <scheme val="minor"/>
      </rPr>
      <t>Unidad de Almacenamiento</t>
    </r>
  </si>
  <si>
    <r>
      <t xml:space="preserve">Producto 2.1.2: </t>
    </r>
    <r>
      <rPr>
        <sz val="10"/>
        <color rgb="FF000000"/>
        <rFont val="Calibri"/>
        <family val="2"/>
        <scheme val="minor"/>
      </rPr>
      <t>Estaciones de trabajo</t>
    </r>
  </si>
  <si>
    <r>
      <t xml:space="preserve">Producto 2.1.3: </t>
    </r>
    <r>
      <rPr>
        <sz val="10"/>
        <color rgb="FF000000"/>
        <rFont val="Calibri"/>
        <family val="2"/>
        <scheme val="minor"/>
      </rPr>
      <t>Solución de Backup</t>
    </r>
  </si>
  <si>
    <r>
      <t xml:space="preserve">Producto 2.1.4: </t>
    </r>
    <r>
      <rPr>
        <sz val="10"/>
        <color rgb="FF000000"/>
        <rFont val="Calibri"/>
        <family val="2"/>
        <scheme val="minor"/>
      </rPr>
      <t>Solución VDI</t>
    </r>
  </si>
  <si>
    <r>
      <t xml:space="preserve">Producto 2.1.5: </t>
    </r>
    <r>
      <rPr>
        <sz val="10"/>
        <color rgb="FF000000"/>
        <rFont val="Calibri"/>
        <family val="2"/>
        <scheme val="minor"/>
      </rPr>
      <t>Software de Gateway</t>
    </r>
  </si>
  <si>
    <r>
      <t xml:space="preserve">Producto 2.1.6 </t>
    </r>
    <r>
      <rPr>
        <sz val="10"/>
        <color rgb="FF000000"/>
        <rFont val="Calibri"/>
        <family val="2"/>
        <scheme val="minor"/>
      </rPr>
      <t>Servidores</t>
    </r>
  </si>
  <si>
    <r>
      <t xml:space="preserve">Producto 2.1.7 </t>
    </r>
    <r>
      <rPr>
        <sz val="10"/>
        <color theme="1"/>
        <rFont val="Calibri"/>
        <family val="2"/>
        <scheme val="minor"/>
      </rPr>
      <t>Site de Contingencia</t>
    </r>
  </si>
  <si>
    <r>
      <t>Producto 2.2.1</t>
    </r>
    <r>
      <rPr>
        <b/>
        <sz val="10"/>
        <color rgb="FF000000"/>
        <rFont val="Calibri"/>
        <family val="2"/>
        <scheme val="minor"/>
      </rPr>
      <t xml:space="preserve">: </t>
    </r>
    <r>
      <rPr>
        <sz val="10"/>
        <color rgb="FF000000"/>
        <rFont val="Calibri"/>
        <family val="2"/>
        <scheme val="minor"/>
      </rPr>
      <t>Routers actualizados en las reders LAN</t>
    </r>
  </si>
  <si>
    <r>
      <t xml:space="preserve">Producto 2.2.2: </t>
    </r>
    <r>
      <rPr>
        <sz val="10"/>
        <color rgb="FF000000"/>
        <rFont val="Calibri"/>
        <family val="2"/>
        <scheme val="minor"/>
      </rPr>
      <t>Software de red inalámbrica</t>
    </r>
  </si>
  <si>
    <r>
      <t xml:space="preserve">Producto 2.2.3: </t>
    </r>
    <r>
      <rPr>
        <sz val="10"/>
        <color rgb="FF000000"/>
        <rFont val="Calibri"/>
        <family val="2"/>
        <scheme val="minor"/>
      </rPr>
      <t>Tecnología de acceso telefónico</t>
    </r>
  </si>
  <si>
    <r>
      <t xml:space="preserve">Producto 2.2.4: </t>
    </r>
    <r>
      <rPr>
        <sz val="10"/>
        <color rgb="FF000000"/>
        <rFont val="Calibri"/>
        <family val="2"/>
        <scheme val="minor"/>
      </rPr>
      <t>Nodos de Conectividad</t>
    </r>
  </si>
  <si>
    <r>
      <t xml:space="preserve">Producto 2.2.5: </t>
    </r>
    <r>
      <rPr>
        <sz val="10"/>
        <color rgb="FF000000"/>
        <rFont val="Calibri"/>
        <family val="2"/>
        <scheme val="minor"/>
      </rPr>
      <t>Equipo de energía renovable</t>
    </r>
  </si>
  <si>
    <r>
      <t xml:space="preserve">Producto 2.2.6 </t>
    </r>
    <r>
      <rPr>
        <sz val="10"/>
        <color rgb="FF000000"/>
        <rFont val="Calibri"/>
        <family val="2"/>
        <scheme val="minor"/>
      </rPr>
      <t>Servicios de movilidad</t>
    </r>
  </si>
  <si>
    <r>
      <t xml:space="preserve">Producto 2.2.7 </t>
    </r>
    <r>
      <rPr>
        <sz val="10"/>
        <color theme="1"/>
        <rFont val="Calibri"/>
        <family val="2"/>
        <scheme val="minor"/>
      </rPr>
      <t>Sistema de CCTV</t>
    </r>
  </si>
  <si>
    <r>
      <t xml:space="preserve">Producto 2.3.1 </t>
    </r>
    <r>
      <rPr>
        <sz val="10"/>
        <color theme="1"/>
        <rFont val="Calibri"/>
        <family val="2"/>
        <scheme val="minor"/>
      </rPr>
      <t>Sistema de detección de amenazas avanzadas</t>
    </r>
  </si>
  <si>
    <r>
      <t xml:space="preserve">Producto 2.3.2 </t>
    </r>
    <r>
      <rPr>
        <sz val="10"/>
        <color theme="1"/>
        <rFont val="Calibri"/>
        <family val="2"/>
        <scheme val="minor"/>
      </rPr>
      <t>Plataforma DDOS</t>
    </r>
  </si>
  <si>
    <r>
      <t xml:space="preserve">Producto 2.3.3 </t>
    </r>
    <r>
      <rPr>
        <sz val="10"/>
        <color theme="1"/>
        <rFont val="Calibri"/>
        <family val="2"/>
        <scheme val="minor"/>
      </rPr>
      <t>Firewall actualizado</t>
    </r>
  </si>
  <si>
    <r>
      <t xml:space="preserve">Producto 2.3.4 </t>
    </r>
    <r>
      <rPr>
        <sz val="10"/>
        <color theme="1"/>
        <rFont val="Calibri"/>
        <family val="2"/>
        <scheme val="minor"/>
      </rPr>
      <t>Token</t>
    </r>
  </si>
  <si>
    <r>
      <t>Producto 2.3.5</t>
    </r>
    <r>
      <rPr>
        <sz val="10"/>
        <color theme="1"/>
        <rFont val="Calibri"/>
        <family val="2"/>
        <scheme val="minor"/>
      </rPr>
      <t xml:space="preserve"> IBM QRadar</t>
    </r>
  </si>
  <si>
    <r>
      <t>Producto 2.3.6</t>
    </r>
    <r>
      <rPr>
        <sz val="10"/>
        <color theme="1"/>
        <rFont val="Calibri"/>
        <family val="2"/>
        <scheme val="minor"/>
      </rPr>
      <t xml:space="preserve"> Micro Focus</t>
    </r>
  </si>
  <si>
    <r>
      <t xml:space="preserve">Producto 2.3.7 </t>
    </r>
    <r>
      <rPr>
        <sz val="10"/>
        <color theme="1"/>
        <rFont val="Calibri"/>
        <family val="2"/>
        <scheme val="minor"/>
      </rPr>
      <t>Actualización HSM</t>
    </r>
  </si>
  <si>
    <r>
      <t xml:space="preserve">Producto 3.1 </t>
    </r>
    <r>
      <rPr>
        <sz val="10"/>
        <color theme="1"/>
        <rFont val="Calibri"/>
        <family val="2"/>
        <scheme val="minor"/>
      </rPr>
      <t>CRM</t>
    </r>
  </si>
  <si>
    <r>
      <t xml:space="preserve">Producto 3.2: </t>
    </r>
    <r>
      <rPr>
        <sz val="10"/>
        <color rgb="FF000000"/>
        <rFont val="Calibri"/>
        <family val="2"/>
        <scheme val="minor"/>
      </rPr>
      <t xml:space="preserve"> Nuevos medios y tecnologías de atención</t>
    </r>
  </si>
  <si>
    <r>
      <t xml:space="preserve">Producto 3.3  </t>
    </r>
    <r>
      <rPr>
        <sz val="10"/>
        <color theme="1"/>
        <rFont val="Calibri"/>
        <family val="2"/>
        <scheme val="minor"/>
      </rPr>
      <t>Modelo de gestión y planificación</t>
    </r>
    <r>
      <rPr>
        <b/>
        <sz val="10"/>
        <color theme="1"/>
        <rFont val="Calibri"/>
        <family val="2"/>
        <scheme val="minor"/>
      </rPr>
      <t xml:space="preserve"> </t>
    </r>
  </si>
  <si>
    <t>En Miles</t>
  </si>
  <si>
    <t>1. Modulos de autogestión y cabinas de atención rápida</t>
  </si>
  <si>
    <t>2. Modelo de trazabilidad de los turnos de verificación aduaneros</t>
  </si>
  <si>
    <t>1. Análisis y definición del nuevo modelo de gestión</t>
  </si>
  <si>
    <t>2. Canales de Atención</t>
  </si>
  <si>
    <t>2. Reingeniería del sistema de seguimiento de fiscalizaciones -SEFI-</t>
  </si>
  <si>
    <t>Soft</t>
  </si>
  <si>
    <t>Firma</t>
  </si>
  <si>
    <t>Hard</t>
  </si>
  <si>
    <t>Arquitectura Tecnológica y de Infraestructura</t>
  </si>
  <si>
    <t>Consolidación del acervo tecnológico y capacitación de nuevas tecnologías (Minería de datos, Analytics, Big Data, capacitación)
En Miles</t>
  </si>
  <si>
    <t>Firmas</t>
  </si>
  <si>
    <t>Individuales</t>
  </si>
  <si>
    <t>Adminsitración</t>
  </si>
  <si>
    <t>Resumen</t>
  </si>
  <si>
    <t>Por Item del Gasto</t>
  </si>
  <si>
    <t>Por Componente</t>
  </si>
  <si>
    <t>Componente 1</t>
  </si>
  <si>
    <t>Componente 2</t>
  </si>
  <si>
    <t>Componente 3</t>
  </si>
  <si>
    <t>Total Con IVA</t>
  </si>
  <si>
    <t>Hardware &amp; Software C / IVA</t>
  </si>
  <si>
    <t>Equipamiento e Infraestructura C / IVA</t>
  </si>
  <si>
    <t>Concepto</t>
  </si>
  <si>
    <t>Monto</t>
  </si>
  <si>
    <t>Detalle Por Item del Gasto</t>
  </si>
  <si>
    <t>Descripcion</t>
  </si>
  <si>
    <t>Adminsitracion</t>
  </si>
  <si>
    <t>Plan de Adquisiciones - 18 meses</t>
  </si>
  <si>
    <t>Plan de Adquisiciones - 18 primeros meses</t>
  </si>
  <si>
    <t>Nota: Todas las consultorias incluyen Viaticos y Gastos para Capacitación</t>
  </si>
  <si>
    <t>Compoenente 1</t>
  </si>
  <si>
    <r>
      <rPr>
        <sz val="11"/>
        <color theme="1"/>
        <rFont val="Calibri"/>
        <family val="2"/>
        <scheme val="minor"/>
      </rPr>
      <t xml:space="preserve">Desarrollo de transacciones interactivas. Desarrollo de todas las transacciones interactivas que hoy se ejecutan como </t>
    </r>
    <r>
      <rPr>
        <i/>
        <sz val="11"/>
        <color theme="1"/>
        <rFont val="Calibri"/>
        <family val="2"/>
        <scheme val="minor"/>
      </rPr>
      <t>Forms</t>
    </r>
    <r>
      <rPr>
        <sz val="11"/>
        <color theme="1"/>
        <rFont val="Calibri"/>
        <family val="2"/>
        <scheme val="minor"/>
      </rPr>
      <t xml:space="preserve"> Web en un nuevo entorno informático</t>
    </r>
  </si>
  <si>
    <r>
      <rPr>
        <sz val="11"/>
        <color theme="1"/>
        <rFont val="Calibri"/>
        <family val="2"/>
        <scheme val="minor"/>
      </rPr>
      <t xml:space="preserve">Desarrollo de transacciones interactivas. Desarrollo todas las transacciones interactivas que hoy se ejecutan como </t>
    </r>
    <r>
      <rPr>
        <i/>
        <sz val="11"/>
        <color theme="1"/>
        <rFont val="Calibri"/>
        <family val="2"/>
        <scheme val="minor"/>
      </rPr>
      <t>Forms</t>
    </r>
    <r>
      <rPr>
        <sz val="11"/>
        <color theme="1"/>
        <rFont val="Calibri"/>
        <family val="2"/>
        <scheme val="minor"/>
      </rPr>
      <t xml:space="preserve"> Web en un nuevo entorno informático</t>
    </r>
  </si>
  <si>
    <t>Adecuaciones del FrontEnd de sistemas principales y reingeniería de aplicativos Web para el sistema de seguridad social</t>
  </si>
  <si>
    <t>Actualización de los Sistemas de Informática Tributaria</t>
  </si>
  <si>
    <t>Individual</t>
  </si>
  <si>
    <t>Software</t>
  </si>
  <si>
    <t>Hardware</t>
  </si>
  <si>
    <r>
      <t xml:space="preserve">Desarrollo de un Sistema de Perfil de Riesgo
</t>
    </r>
    <r>
      <rPr>
        <u/>
        <sz val="11"/>
        <color rgb="FF000000"/>
        <rFont val="Calibri"/>
        <family val="2"/>
        <scheme val="minor"/>
      </rPr>
      <t>Perfiles y Dotación de RRHH:</t>
    </r>
    <r>
      <rPr>
        <sz val="11"/>
        <color rgb="FF000000"/>
        <rFont val="Calibri"/>
        <family val="2"/>
        <scheme val="minor"/>
      </rPr>
      <t xml:space="preserve">
Desarrollador:            1</t>
    </r>
  </si>
  <si>
    <r>
      <t xml:space="preserve">Reingeniería Sistema eFisco y  Reiengeniería de Sistema de seguimiento de fiscalizaciones -SEFI-
</t>
    </r>
    <r>
      <rPr>
        <u/>
        <sz val="11"/>
        <color theme="1"/>
        <rFont val="Calibri"/>
        <family val="2"/>
        <scheme val="minor"/>
      </rPr>
      <t xml:space="preserve">
Perfiles y Dotación de RHH:</t>
    </r>
    <r>
      <rPr>
        <sz val="11"/>
        <color theme="1"/>
        <rFont val="Calibri"/>
        <family val="2"/>
        <scheme val="minor"/>
      </rPr>
      <t xml:space="preserve">
Analistas:                   1
Desarrolladores:       5
Tester:                          2
</t>
    </r>
  </si>
  <si>
    <r>
      <t xml:space="preserve">Mejora en el acceso a información para análisis de riesgo y control de la tributación en transacciones internacionales y Desarrollo de Sistemas de selección de casos para fiscalización
</t>
    </r>
    <r>
      <rPr>
        <u/>
        <sz val="11"/>
        <color theme="1"/>
        <rFont val="Calibri"/>
        <family val="2"/>
        <scheme val="minor"/>
      </rPr>
      <t xml:space="preserve">
Perfiles y Dotación de RHH:
</t>
    </r>
    <r>
      <rPr>
        <sz val="11"/>
        <color theme="1"/>
        <rFont val="Calibri"/>
        <family val="2"/>
        <scheme val="minor"/>
      </rPr>
      <t>Analistas:                   8
Desarrolladores:       8
Tester:                         1</t>
    </r>
  </si>
  <si>
    <r>
      <t xml:space="preserve">Analisis Sectoriales:
1. Regímenes de control de la cadena comercial del ganado bovino, porcino y sector avícola
2. Regímenes de control de la cadena comercial de granos
3. Regímenes de control de la cadena comercial de algodón
4.Regímenes de control del sector financiero
</t>
    </r>
    <r>
      <rPr>
        <u/>
        <sz val="11"/>
        <color theme="1"/>
        <rFont val="Calibri"/>
        <family val="2"/>
        <scheme val="minor"/>
      </rPr>
      <t>Perfiles y Dotación de RHH:</t>
    </r>
    <r>
      <rPr>
        <sz val="11"/>
        <color theme="1"/>
        <rFont val="Calibri"/>
        <family val="2"/>
        <scheme val="minor"/>
      </rPr>
      <t xml:space="preserve">
Analistas:                    1
Desarrolladores:     5</t>
    </r>
  </si>
  <si>
    <t xml:space="preserve">Consolidación del acervo tecnológico y capacitación de nuevas tecnologías </t>
  </si>
  <si>
    <r>
      <t xml:space="preserve">Desarrollo y Actualización de Sistemas de Informática Tributaria
1. Registro Unico Tributario
2. Sistema de Ingresos Directos
3. Reingenieria de Datamart MATT
4. SIAP Reingenieria
5. OSIRIS
6. AcreTa (Acreditaciones Tardias)
7. MulAT (Multiples Administraciones Tributarias)
</t>
    </r>
    <r>
      <rPr>
        <u/>
        <sz val="11"/>
        <color theme="1"/>
        <rFont val="Calibri"/>
        <family val="2"/>
        <scheme val="minor"/>
      </rPr>
      <t xml:space="preserve">Perfiles y Dotación de RRHH:
</t>
    </r>
    <r>
      <rPr>
        <sz val="11"/>
        <color theme="1"/>
        <rFont val="Calibri"/>
        <family val="2"/>
        <scheme val="minor"/>
      </rPr>
      <t>Analistas:                    1
Desarrolladores:     10
Tesler:                           4</t>
    </r>
  </si>
  <si>
    <r>
      <t xml:space="preserve">Desarrollo y Reingeniería de Sistemas Tributarios
1. Aplicativos WEB - Reingenieria MAW
2. Reingeniería Aplicaciones sistemas tributarios
</t>
    </r>
    <r>
      <rPr>
        <u/>
        <sz val="11"/>
        <color rgb="FF000000"/>
        <rFont val="Calibri"/>
        <family val="2"/>
        <scheme val="minor"/>
      </rPr>
      <t xml:space="preserve">Perfiles y Dotación de RRHH Requeridos: </t>
    </r>
    <r>
      <rPr>
        <sz val="11"/>
        <color rgb="FF000000"/>
        <rFont val="Calibri"/>
        <family val="2"/>
        <scheme val="minor"/>
      </rPr>
      <t xml:space="preserve">
Desarrolladores:     5
Tesler:                            1</t>
    </r>
  </si>
  <si>
    <r>
      <t xml:space="preserve">Reingeniería de Sistemas de Registración y Facturación
</t>
    </r>
    <r>
      <rPr>
        <u/>
        <sz val="11"/>
        <color theme="1"/>
        <rFont val="Calibri"/>
        <family val="2"/>
        <scheme val="minor"/>
      </rPr>
      <t>Perfiles y Dotación de RHH:</t>
    </r>
    <r>
      <rPr>
        <sz val="11"/>
        <color theme="1"/>
        <rFont val="Calibri"/>
        <family val="2"/>
        <scheme val="minor"/>
      </rPr>
      <t xml:space="preserve">
Analistas:                    1
Desarrolladores:     4
Tester:                          1</t>
    </r>
  </si>
  <si>
    <r>
      <t xml:space="preserve">Sistema de Seguimiento Juríduco
1. Nuevo Sistema de Cobranza Coactiva (ex SIRAEF - SOJ)
2. Sistema de Gestion Judicial - Modulo Penal (ex SCP)
3. Sistema de Gestion Judicial - Modulo Contencioso No Tributario (ex QUAESTOR)
</t>
    </r>
    <r>
      <rPr>
        <u/>
        <sz val="11"/>
        <color theme="1"/>
        <rFont val="Calibri"/>
        <family val="2"/>
        <scheme val="minor"/>
      </rPr>
      <t xml:space="preserve">Perfiles y Dotación de RHH:
</t>
    </r>
    <r>
      <rPr>
        <sz val="11"/>
        <color theme="1"/>
        <rFont val="Calibri"/>
        <family val="2"/>
        <scheme val="minor"/>
      </rPr>
      <t>Analistas:                    1
Desarrolladores:      2
Tester:                          1</t>
    </r>
  </si>
  <si>
    <t>Subcomponente 1.1.</t>
  </si>
  <si>
    <t>Subcomponente 1.2</t>
  </si>
  <si>
    <r>
      <t xml:space="preserve">Desarrollo e Implmentación de un sistema integral de gestiòn de solicitudes de devolución o reintegro de impuestos
</t>
    </r>
    <r>
      <rPr>
        <u/>
        <sz val="11"/>
        <color rgb="FF000000"/>
        <rFont val="Calibri"/>
        <family val="2"/>
        <scheme val="minor"/>
      </rPr>
      <t>Perfiles y Dotación de RRHH:</t>
    </r>
    <r>
      <rPr>
        <sz val="11"/>
        <color rgb="FF000000"/>
        <rFont val="Calibri"/>
        <family val="2"/>
        <scheme val="minor"/>
      </rPr>
      <t xml:space="preserve">
Desarrollador:            2</t>
    </r>
  </si>
  <si>
    <r>
      <t xml:space="preserve">Desarrollo del Sistema de Simplificación Registral
</t>
    </r>
    <r>
      <rPr>
        <u/>
        <sz val="11"/>
        <color theme="1"/>
        <rFont val="Calibri"/>
        <family val="2"/>
        <scheme val="minor"/>
      </rPr>
      <t>Perfiles y Dotación de RHH:</t>
    </r>
    <r>
      <rPr>
        <sz val="11"/>
        <color theme="1"/>
        <rFont val="Calibri"/>
        <family val="2"/>
        <scheme val="minor"/>
      </rPr>
      <t xml:space="preserve">
Analistas:                     2
Desarrolladores:       2</t>
    </r>
  </si>
  <si>
    <r>
      <t xml:space="preserve">Desarrollo y adecuación del Sistema de DDJJ Web Régimen General de Empleadores para grandes contribuyentes
</t>
    </r>
    <r>
      <rPr>
        <u/>
        <sz val="11"/>
        <color theme="1"/>
        <rFont val="Calibri"/>
        <family val="2"/>
        <scheme val="minor"/>
      </rPr>
      <t>Perfiles y Dotación de RHH:</t>
    </r>
    <r>
      <rPr>
        <sz val="11"/>
        <color theme="1"/>
        <rFont val="Calibri"/>
        <family val="2"/>
        <scheme val="minor"/>
      </rPr>
      <t xml:space="preserve">
Desarrolladores:       5
Tester:                           1</t>
    </r>
  </si>
  <si>
    <r>
      <t xml:space="preserve">Desarrollo del Sistema de Libro de Sueldos Digital
</t>
    </r>
    <r>
      <rPr>
        <u/>
        <sz val="11"/>
        <color theme="1"/>
        <rFont val="Calibri"/>
        <family val="2"/>
        <scheme val="minor"/>
      </rPr>
      <t>Perfiles y Dotación de RHH:</t>
    </r>
    <r>
      <rPr>
        <sz val="11"/>
        <color theme="1"/>
        <rFont val="Calibri"/>
        <family val="2"/>
        <scheme val="minor"/>
      </rPr>
      <t xml:space="preserve">
Analistas:                     2
Desarrolladores:       3</t>
    </r>
  </si>
  <si>
    <r>
      <t xml:space="preserve">Desarrollo del Sistema de Cuenta Corriente Provincias
</t>
    </r>
    <r>
      <rPr>
        <u/>
        <sz val="11"/>
        <color theme="1"/>
        <rFont val="Calibri"/>
        <family val="2"/>
        <scheme val="minor"/>
      </rPr>
      <t xml:space="preserve">
Perfiles y Dotación de RHH:</t>
    </r>
    <r>
      <rPr>
        <sz val="11"/>
        <color theme="1"/>
        <rFont val="Calibri"/>
        <family val="2"/>
        <scheme val="minor"/>
      </rPr>
      <t xml:space="preserve">
Analistas:                     2
Desarrolladores:       3</t>
    </r>
  </si>
  <si>
    <r>
      <t xml:space="preserve">Desarrollo del Sistema REM
</t>
    </r>
    <r>
      <rPr>
        <u/>
        <sz val="11"/>
        <color theme="1"/>
        <rFont val="Calibri"/>
        <family val="2"/>
        <scheme val="minor"/>
      </rPr>
      <t xml:space="preserve">
Perfiles y Dotación de RHH:</t>
    </r>
    <r>
      <rPr>
        <sz val="11"/>
        <color theme="1"/>
        <rFont val="Calibri"/>
        <family val="2"/>
        <scheme val="minor"/>
      </rPr>
      <t xml:space="preserve">
Analistas:                     2
Desarrolladores:       3</t>
    </r>
  </si>
  <si>
    <t>Componente 2 Total</t>
  </si>
  <si>
    <t>Subcomponente 2.1.</t>
  </si>
  <si>
    <t xml:space="preserve">Software de Gateway  - PAM con servicio de soporte y actualizacion tecnologica. </t>
  </si>
  <si>
    <t xml:space="preserve">Aprovechamiento de energías renovables. Provisión de energía generada en forma sustentable para dependencias remotas de frontera y otras específicas como sustento integral de vida, eficiencia y calidad de servicio por dificultades de aprovisionamiento de combustibles y otras energía, en consonancia con el Decreto Presidencial 9/2017. </t>
  </si>
  <si>
    <t>Adquisición de equipos de telefonía móvil (continuidad operativa para brindar un servicio ubicuo y móvil en el acceso a las comunicaciones y los sistemas informáticos operativos por parte de los funcionarios de la AFIP)</t>
  </si>
  <si>
    <t xml:space="preserve">Conectividad Proyecto Hidrovía. Requerimiento de la Dirección Regional Aduanera Hidrovía (REF: ACT SIGEA N° 18083-186-2016 / NOTA N° 777/2016 (DI GERP)), respecto de la necesidad de adquirir e instalar un Sistema de CCTV inteligente en puntos estratégicos, se requiere la puesta en funcionamiento de un sistema de interconexión de red de datos entre los puntos específicos de la localidad Isla del Cerrito y sobre el Puente General Belgrano. </t>
  </si>
  <si>
    <t>Actualización de la Arquitectura tecnológica y de Comunicaciones</t>
  </si>
  <si>
    <t>Seguridad Informática</t>
  </si>
  <si>
    <r>
      <rPr>
        <sz val="11"/>
        <color theme="1"/>
        <rFont val="Calibri"/>
        <family val="2"/>
        <scheme val="minor"/>
      </rPr>
      <t xml:space="preserve">Adquisición de plataforma de mitigación de DDOS en la nube para CABASE. (Mitigación temprana de ataques de DDOS dentro de </t>
    </r>
    <r>
      <rPr>
        <i/>
        <sz val="11"/>
        <color theme="1"/>
        <rFont val="Calibri"/>
        <family val="2"/>
        <scheme val="minor"/>
      </rPr>
      <t xml:space="preserve">backbone </t>
    </r>
    <r>
      <rPr>
        <sz val="11"/>
        <color theme="1"/>
        <rFont val="Calibri"/>
        <family val="2"/>
        <scheme val="minor"/>
      </rPr>
      <t>de CABASE).</t>
    </r>
  </si>
  <si>
    <r>
      <t>Actualización de HSM. A los efectos de cumplimentar los requerimientos establecidos para el licenciamiento como Autoridad Certificante dentro de la Infraestructura de Firma Digital de la República Argentina, en el año 2006 esta Administración Federal ha adquirido dispositivos criptográficos de seguridad denominados HSM (</t>
    </r>
    <r>
      <rPr>
        <i/>
        <sz val="11"/>
        <color theme="1"/>
        <rFont val="Calibri"/>
        <family val="2"/>
        <scheme val="minor"/>
      </rPr>
      <t>Hardware Security Module</t>
    </r>
    <r>
      <rPr>
        <sz val="11"/>
        <color theme="1"/>
        <rFont val="Calibri"/>
        <family val="2"/>
        <scheme val="minor"/>
      </rPr>
      <t xml:space="preserve">). </t>
    </r>
  </si>
  <si>
    <t>Software sin discriminar</t>
  </si>
  <si>
    <t>Subcomponente 2.2.</t>
  </si>
  <si>
    <t>Total por Categoría -Componente 1</t>
  </si>
  <si>
    <t>Subcomponente 2.3.</t>
  </si>
  <si>
    <t>Total por Categoría - Componente 2</t>
  </si>
  <si>
    <t>Componente 3 Total</t>
  </si>
  <si>
    <t>Subcomponente 3.1.</t>
  </si>
  <si>
    <t>Subcomponente 3.2.</t>
  </si>
  <si>
    <t>Subcomponente 3.3.</t>
  </si>
  <si>
    <t>Total por Categoría - Componente 3</t>
  </si>
  <si>
    <r>
      <t xml:space="preserve">Desarrollo del Sistema de Registración distribución y control de Reteneciones
</t>
    </r>
    <r>
      <rPr>
        <u/>
        <sz val="11"/>
        <color theme="1"/>
        <rFont val="Calibri"/>
        <family val="2"/>
        <scheme val="minor"/>
      </rPr>
      <t>Perfiles y Dotación de RHH:</t>
    </r>
    <r>
      <rPr>
        <sz val="11"/>
        <color theme="1"/>
        <rFont val="Calibri"/>
        <family val="2"/>
        <scheme val="minor"/>
      </rPr>
      <t xml:space="preserve">
Analistas:                     1
Desarrolladores:       2</t>
    </r>
  </si>
  <si>
    <t xml:space="preserve">
</t>
  </si>
  <si>
    <t>Desarrollo de Aplicaciones Móviles de Viajeros y de Denuncias</t>
  </si>
  <si>
    <r>
      <t xml:space="preserve">Diseño y Desarrollo de un CMR
1. Integración de Base de Conocimiento al CRM
2. Módulo de Reclamos y Sugerencias
3. Integración de información de sistemas externos al CRM
4. Módulo de gestión de Consultas de Organismos de Seguridad Social
5. Módulo de Calidad de atención
6. Módulo de Campañas Salientes
</t>
    </r>
    <r>
      <rPr>
        <u/>
        <sz val="11"/>
        <color theme="1"/>
        <rFont val="Calibri"/>
        <family val="2"/>
        <scheme val="minor"/>
      </rPr>
      <t>Perfiles y Doración de RHH:</t>
    </r>
    <r>
      <rPr>
        <sz val="11"/>
        <color theme="1"/>
        <rFont val="Calibri"/>
        <family val="2"/>
        <scheme val="minor"/>
      </rPr>
      <t xml:space="preserve">
Analistas:                          9
Desarrolladores:           9
Tester:                                 3</t>
    </r>
  </si>
  <si>
    <r>
      <t xml:space="preserve">Dearrollo de Aplicaciones Móviles
1. Aplicación Móvil de Viajeros
2. Aplicación Móvil de Denuncias
</t>
    </r>
    <r>
      <rPr>
        <u/>
        <sz val="11"/>
        <color theme="1"/>
        <rFont val="Calibri"/>
        <family val="2"/>
        <scheme val="minor"/>
      </rPr>
      <t>Perfiles y Doración de RHH:</t>
    </r>
    <r>
      <rPr>
        <sz val="11"/>
        <color theme="1"/>
        <rFont val="Calibri"/>
        <family val="2"/>
        <scheme val="minor"/>
      </rPr>
      <t xml:space="preserve">
Desarrolladores:           1</t>
    </r>
  </si>
  <si>
    <t>Nuevos canales de Atención</t>
  </si>
  <si>
    <r>
      <t xml:space="preserve">Canales de Atención
1. Modulos de autogestión y cabinas de atención rápida
2. Modelo de trazabilidad de los turnos de verificación aduaneros
</t>
    </r>
    <r>
      <rPr>
        <u/>
        <sz val="11"/>
        <color rgb="FF000000"/>
        <rFont val="Calibri"/>
        <family val="2"/>
        <scheme val="minor"/>
      </rPr>
      <t xml:space="preserve">Perfiles y Dotación de RRHH:
</t>
    </r>
    <r>
      <rPr>
        <sz val="11"/>
        <color rgb="FF000000"/>
        <rFont val="Calibri"/>
        <family val="2"/>
        <scheme val="minor"/>
      </rPr>
      <t>Analistas:                  10
Desarrolladores:       8</t>
    </r>
  </si>
  <si>
    <t>Total sin IVA</t>
  </si>
  <si>
    <t>Analisis y Definición del Nuevo Modelo de Gestión</t>
  </si>
  <si>
    <r>
      <t xml:space="preserve">Nuevo Modelo de Gestión
1. Análisis y definición del nuevo modelo de gestión
2. Canales de Atención
</t>
    </r>
    <r>
      <rPr>
        <u/>
        <sz val="11"/>
        <color theme="1"/>
        <rFont val="Calibri"/>
        <family val="2"/>
        <scheme val="minor"/>
      </rPr>
      <t>Perfiles y Dotación de RRHH</t>
    </r>
    <r>
      <rPr>
        <sz val="11"/>
        <color theme="1"/>
        <rFont val="Calibri"/>
        <family val="2"/>
        <scheme val="minor"/>
      </rPr>
      <t>:
Analistas:                    5
Desarrolladores:       8</t>
    </r>
  </si>
  <si>
    <r>
      <t xml:space="preserve">Reingeniería del Sistema SARHA
1. Aplicación Móvil de Viajeros
2. Aplicación Móvil de Denuncias
</t>
    </r>
    <r>
      <rPr>
        <u/>
        <sz val="11"/>
        <color theme="1"/>
        <rFont val="Calibri"/>
        <family val="2"/>
        <scheme val="minor"/>
      </rPr>
      <t>Perfiles y Doración de RHH:</t>
    </r>
    <r>
      <rPr>
        <sz val="11"/>
        <color theme="1"/>
        <rFont val="Calibri"/>
        <family val="2"/>
        <scheme val="minor"/>
      </rPr>
      <t xml:space="preserve">
Desarrolladores:           6
Tester:                               2</t>
    </r>
  </si>
  <si>
    <t>Implementación del Sistema COMPRAR</t>
  </si>
  <si>
    <r>
      <t xml:space="preserve">Consultoría Interna Sistema COMPRAR
1. Aplicación Móvil de Viajeros
2. Aplicación Móvil de Denuncias
</t>
    </r>
    <r>
      <rPr>
        <u/>
        <sz val="11"/>
        <color theme="1"/>
        <rFont val="Calibri"/>
        <family val="2"/>
        <scheme val="minor"/>
      </rPr>
      <t>Perfiles y Doración de RHH:</t>
    </r>
    <r>
      <rPr>
        <sz val="11"/>
        <color theme="1"/>
        <rFont val="Calibri"/>
        <family val="2"/>
        <scheme val="minor"/>
      </rPr>
      <t xml:space="preserve">
Analista:                            1
Desarrolladores:           2
Tester:                               1</t>
    </r>
  </si>
  <si>
    <r>
      <t xml:space="preserve">Consultoría Interna Implementación del Sisteama de Gestión Documental Electrónica (GDE)
1. Aplicación Móvil de Viajeros
2. Aplicación Móvil de Denuncias
</t>
    </r>
    <r>
      <rPr>
        <u/>
        <sz val="11"/>
        <color theme="1"/>
        <rFont val="Calibri"/>
        <family val="2"/>
        <scheme val="minor"/>
      </rPr>
      <t>Perfiles y Doración de RHH:</t>
    </r>
    <r>
      <rPr>
        <sz val="11"/>
        <color theme="1"/>
        <rFont val="Calibri"/>
        <family val="2"/>
        <scheme val="minor"/>
      </rPr>
      <t xml:space="preserve">
Analista:                            1
Desarrolladores:           2
Tester:                               1</t>
    </r>
  </si>
  <si>
    <t>ANEXO. DETALLE DE CONSULTORIAS INDIVIDUALES</t>
  </si>
  <si>
    <t>ANEXO. Equipamiento y Adecuación de Infraestructura</t>
  </si>
  <si>
    <t>ANEXO. Adquisición de Hardware &amp; Software</t>
  </si>
  <si>
    <t>ANEXO. Administración del Programa Total</t>
  </si>
  <si>
    <t>Nota: Todas las consultorias incluyen Viaticos</t>
  </si>
  <si>
    <t>Producto 2.3.8. Software Segurida Informatica</t>
  </si>
  <si>
    <t>Software Segurida Informatica</t>
  </si>
  <si>
    <t>Conectividad de Puertos Operativos</t>
  </si>
  <si>
    <t>Conectividad de Puertos Operativos - Actualización de Infraestructura Tecnológica</t>
  </si>
  <si>
    <t>Costo con sin IVA</t>
  </si>
  <si>
    <t>Costo Con IVA</t>
  </si>
  <si>
    <t>GESTION DE RIESGO INTEGRAL - ADUANA</t>
  </si>
  <si>
    <t>Consultoría 1. Modelo Integral de Riesgo</t>
  </si>
  <si>
    <t xml:space="preserve">1. Modelo Integral de Riesgo </t>
  </si>
  <si>
    <t>Consultoría 2. Actualización del SIM</t>
  </si>
  <si>
    <t>1. Actualización del SIM</t>
  </si>
  <si>
    <t>Consultoría 3. Sistema de Atención en Frontera</t>
  </si>
  <si>
    <t>1. Nuevo Modelo de Atención de Frontera</t>
  </si>
  <si>
    <r>
      <t xml:space="preserve">Modelo Integral de Riesgo
1. Desarrollo de un Modelo Integral de Riesgo
</t>
    </r>
    <r>
      <rPr>
        <u/>
        <sz val="11"/>
        <color rgb="FF000000"/>
        <rFont val="Calibri"/>
        <family val="2"/>
        <scheme val="minor"/>
      </rPr>
      <t>Perfiles y Dotación de RHH:</t>
    </r>
    <r>
      <rPr>
        <sz val="11"/>
        <color rgb="FF000000"/>
        <rFont val="Calibri"/>
        <family val="2"/>
        <scheme val="minor"/>
      </rPr>
      <t xml:space="preserve">
Analistas:                    8
Desarrolladores:      18</t>
    </r>
  </si>
  <si>
    <r>
      <t xml:space="preserve">Actualización del SIM
1. Actualizacion del SIM
</t>
    </r>
    <r>
      <rPr>
        <u/>
        <sz val="11"/>
        <color rgb="FF000000"/>
        <rFont val="Calibri"/>
        <family val="2"/>
        <scheme val="minor"/>
      </rPr>
      <t>Perfiles y Dotación de RHH:</t>
    </r>
    <r>
      <rPr>
        <sz val="11"/>
        <color rgb="FF000000"/>
        <rFont val="Calibri"/>
        <family val="2"/>
        <scheme val="minor"/>
      </rPr>
      <t xml:space="preserve">
Analistas:                    15
Desarrolladores:      17</t>
    </r>
  </si>
  <si>
    <r>
      <t xml:space="preserve">Sistema de Atenci{on de Frontera
1. Nuevo Modelo de Atención de Frontera
</t>
    </r>
    <r>
      <rPr>
        <u/>
        <sz val="11"/>
        <color rgb="FF000000"/>
        <rFont val="Calibri"/>
        <family val="2"/>
        <scheme val="minor"/>
      </rPr>
      <t>Perfiles y Dotación de RHH:</t>
    </r>
    <r>
      <rPr>
        <sz val="11"/>
        <color rgb="FF000000"/>
        <rFont val="Calibri"/>
        <family val="2"/>
        <scheme val="minor"/>
      </rPr>
      <t xml:space="preserve">
Analistas:                     6
Desarrolladores:      5</t>
    </r>
  </si>
  <si>
    <r>
      <t xml:space="preserve">Producto 1.1.5. </t>
    </r>
    <r>
      <rPr>
        <sz val="10"/>
        <color theme="1"/>
        <rFont val="Calibri"/>
        <family val="2"/>
        <scheme val="minor"/>
      </rPr>
      <t>Minería de datos, Analytics, Big Data</t>
    </r>
  </si>
  <si>
    <t>Obra</t>
  </si>
  <si>
    <t>Equipamiento&amp;Edilicia</t>
  </si>
  <si>
    <t>PROGRAMA DE MEJORA DE LA CAPACIDAD DE 
GESTIÓN DE LA AFIP
AR-L1282</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</si>
</sst>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00_);_(* \(#,##0.00\);_(* &quot;-&quot;??_);_(@_)"/>
    <numFmt numFmtId="165" formatCode="_(* #,##0_);_(* \(#,##0\);_(* &quot;-&quot;??_);_(@_)"/>
    <numFmt numFmtId="166" formatCode="_(* #,##0.0_);_(* \(#,##0.0\);_(* &quot;-&quot;??_);_(@_)"/>
    <numFmt numFmtId="167" formatCode="0.0%"/>
    <numFmt numFmtId="168" formatCode="_-* #,##0.0\ _€_-;\-* #,##0.0\ _€_-;_-* &quot;-&quot;?\ _€_-;_-@_-"/>
    <numFmt numFmtId="169" formatCode="[$USD]\ #,##0.0\ "/>
    <numFmt numFmtId="170" formatCode="[$USD]\ #,##0.0"/>
    <numFmt numFmtId="171" formatCode="[$USD]\ #,##0\ "/>
    <numFmt numFmtId="172" formatCode="#,##0.0\ [$USD]"/>
    <numFmt numFmtId="173" formatCode="\ [$USD]\ #,##0.0"/>
    <numFmt numFmtId="174" formatCode="\ [$USD]\ #,##0"/>
    <numFmt numFmtId="175" formatCode="_ * #,##0.0_ ;_ * \-#,##0.0_ ;_ * &quot;-&quot;?_ ;_ @_ "/>
  </numFmts>
  <fonts count="66"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2"/>
      <color theme="1"/>
      <name val="Calibri"/>
      <family val="2"/>
      <scheme val="minor"/>
    </font>
    <font>
      <sz val="12"/>
      <color theme="1"/>
      <name val="Calibri"/>
      <family val="2"/>
      <scheme val="minor"/>
    </font>
    <font>
      <sz val="11"/>
      <color theme="1"/>
      <name val="Times New Roman"/>
      <family val="1"/>
    </font>
    <font>
      <b/>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9"/>
      <color indexed="81"/>
      <name val="Tahoma"/>
      <family val="2"/>
    </font>
    <font>
      <b/>
      <sz val="9"/>
      <color indexed="81"/>
      <name val="Tahoma"/>
      <family val="2"/>
    </font>
    <font>
      <sz val="11"/>
      <color rgb="FF000000"/>
      <name val="Calibri"/>
      <family val="2"/>
      <charset val="1"/>
    </font>
    <font>
      <b/>
      <sz val="10"/>
      <color rgb="FFFFFFFF"/>
      <name val="Calibri"/>
      <family val="2"/>
      <scheme val="minor"/>
    </font>
    <font>
      <b/>
      <sz val="10"/>
      <color rgb="FF000000"/>
      <name val="Calibri"/>
      <family val="2"/>
      <scheme val="minor"/>
    </font>
    <font>
      <sz val="10"/>
      <color rgb="FF000000"/>
      <name val="Calibri"/>
      <family val="2"/>
      <scheme val="minor"/>
    </font>
    <font>
      <sz val="10"/>
      <color theme="1"/>
      <name val="Calibri"/>
      <family val="2"/>
      <scheme val="minor"/>
    </font>
    <font>
      <b/>
      <sz val="9"/>
      <color rgb="FF000000"/>
      <name val="Calibri"/>
      <family val="2"/>
      <scheme val="minor"/>
    </font>
    <font>
      <sz val="9"/>
      <color rgb="FF000000"/>
      <name val="Calibri"/>
      <family val="2"/>
      <scheme val="minor"/>
    </font>
    <font>
      <sz val="11"/>
      <color rgb="FF000000"/>
      <name val="Calibri"/>
      <family val="2"/>
      <scheme val="minor"/>
    </font>
    <font>
      <b/>
      <sz val="11"/>
      <color rgb="FF000000"/>
      <name val="Calibri"/>
      <family val="2"/>
      <scheme val="minor"/>
    </font>
    <font>
      <b/>
      <sz val="16"/>
      <color theme="1"/>
      <name val="Calibri"/>
      <family val="2"/>
      <scheme val="minor"/>
    </font>
    <font>
      <b/>
      <sz val="14"/>
      <color theme="1"/>
      <name val="Calibri"/>
      <family val="2"/>
      <scheme val="minor"/>
    </font>
    <font>
      <b/>
      <sz val="9"/>
      <color theme="1"/>
      <name val="Calibri"/>
      <family val="2"/>
      <scheme val="minor"/>
    </font>
    <font>
      <sz val="9"/>
      <color theme="1"/>
      <name val="Calibri"/>
      <family val="2"/>
      <scheme val="minor"/>
    </font>
    <font>
      <b/>
      <sz val="11"/>
      <name val="Calibri"/>
      <family val="2"/>
      <scheme val="minor"/>
    </font>
    <font>
      <sz val="11"/>
      <name val="Calibri"/>
      <family val="2"/>
      <scheme val="minor"/>
    </font>
    <font>
      <sz val="14"/>
      <color theme="1"/>
      <name val="Calibri"/>
      <family val="2"/>
      <scheme val="minor"/>
    </font>
    <font>
      <u/>
      <sz val="11"/>
      <name val="Calibri"/>
      <family val="2"/>
      <scheme val="minor"/>
    </font>
    <font>
      <u/>
      <sz val="11"/>
      <color theme="1"/>
      <name val="Calibri"/>
      <family val="2"/>
      <scheme val="minor"/>
    </font>
    <font>
      <i/>
      <sz val="11"/>
      <color theme="1"/>
      <name val="Calibri"/>
      <family val="2"/>
      <scheme val="minor"/>
    </font>
    <font>
      <sz val="11"/>
      <color theme="1"/>
      <name val="Symbol"/>
      <family val="1"/>
      <charset val="2"/>
    </font>
    <font>
      <b/>
      <sz val="18"/>
      <color theme="1"/>
      <name val="Calibri"/>
      <family val="2"/>
      <scheme val="minor"/>
    </font>
    <font>
      <b/>
      <sz val="20"/>
      <color theme="1"/>
      <name val="Calibri"/>
      <family val="2"/>
      <scheme val="minor"/>
    </font>
    <font>
      <b/>
      <sz val="12"/>
      <color rgb="FF000000"/>
      <name val="Calibri"/>
      <family val="2"/>
      <scheme val="minor"/>
    </font>
    <font>
      <sz val="10"/>
      <name val="Calibri"/>
      <family val="2"/>
      <scheme val="minor"/>
    </font>
    <font>
      <b/>
      <sz val="10"/>
      <color theme="1"/>
      <name val="Calibri"/>
      <family val="2"/>
      <scheme val="minor"/>
    </font>
    <font>
      <u/>
      <sz val="11"/>
      <color rgb="FF000000"/>
      <name val="Calibri"/>
      <family val="2"/>
      <scheme val="minor"/>
    </font>
    <font>
      <b/>
      <sz val="22"/>
      <color theme="1"/>
      <name val="Calibri"/>
      <family val="2"/>
      <scheme val="minor"/>
    </font>
    <font>
      <sz val="11"/>
      <color rgb="FF000000"/>
      <name val="Arial"/>
      <family val="2"/>
    </font>
  </fonts>
  <fills count="52">
    <fill>
      <patternFill patternType="none"/>
    </fill>
    <fill>
      <patternFill patternType="gray125"/>
    </fill>
    <fill>
      <patternFill patternType="solid">
        <fgColor rgb="FFFFFFFF"/>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249977111117893"/>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0C0C0"/>
        <bgColor indexed="64"/>
      </patternFill>
    </fill>
    <fill>
      <patternFill patternType="solid">
        <fgColor rgb="FFBFBFBF"/>
        <bgColor indexed="64"/>
      </patternFill>
    </fill>
    <fill>
      <patternFill patternType="solid">
        <fgColor theme="9" tint="0.39997558519241921"/>
        <bgColor indexed="64"/>
      </patternFill>
    </fill>
    <fill>
      <patternFill patternType="solid">
        <fgColor theme="9"/>
        <bgColor indexed="64"/>
      </patternFill>
    </fill>
    <fill>
      <patternFill patternType="solid">
        <fgColor rgb="FF404040"/>
        <bgColor indexed="64"/>
      </patternFill>
    </fill>
    <fill>
      <patternFill patternType="solid">
        <fgColor rgb="FFA5A5A5"/>
        <bgColor indexed="64"/>
      </patternFill>
    </fill>
    <fill>
      <patternFill patternType="solid">
        <fgColor rgb="FF000000"/>
        <bgColor indexed="64"/>
      </patternFill>
    </fill>
    <fill>
      <patternFill patternType="solid">
        <fgColor rgb="FFFFFF00"/>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249977111117893"/>
        <bgColor indexed="64"/>
      </patternFill>
    </fill>
    <fill>
      <patternFill patternType="solid">
        <fgColor rgb="FFFF0000"/>
        <bgColor indexed="64"/>
      </patternFill>
    </fill>
    <fill>
      <patternFill patternType="solid">
        <fgColor theme="5" tint="-0.249977111117893"/>
        <bgColor indexed="64"/>
      </patternFill>
    </fill>
    <fill>
      <patternFill patternType="solid">
        <fgColor theme="9" tint="-0.249977111117893"/>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rgb="FFFFC000"/>
        <bgColor indexed="64"/>
      </patternFill>
    </fill>
    <fill>
      <patternFill patternType="solid">
        <fgColor rgb="FFC2D69B"/>
        <bgColor indexed="64"/>
      </patternFill>
    </fill>
    <fill>
      <patternFill patternType="solid">
        <fgColor rgb="FFD6E3BC"/>
        <bgColor indexed="64"/>
      </patternFill>
    </fill>
    <fill>
      <patternFill patternType="solid">
        <fgColor rgb="FFD9D9D9"/>
        <bgColor indexed="64"/>
      </patternFill>
    </fill>
    <fill>
      <patternFill patternType="solid">
        <fgColor theme="2"/>
        <bgColor indexed="64"/>
      </patternFill>
    </fill>
    <fill>
      <patternFill patternType="solid">
        <fgColor theme="0" tint="-0.14996795556505021"/>
        <bgColor indexed="64"/>
      </patternFill>
    </fill>
    <fill>
      <patternFill patternType="solid">
        <fgColor theme="0" tint="-4.9989318521683403E-2"/>
        <bgColor indexed="64"/>
      </patternFill>
    </fill>
    <fill>
      <patternFill patternType="solid">
        <fgColor rgb="FF92D050"/>
        <bgColor indexed="64"/>
      </patternFill>
    </fill>
  </fills>
  <borders count="93">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style="medium">
        <color indexed="64"/>
      </top>
      <bottom/>
      <diagonal/>
    </border>
    <border>
      <left/>
      <right style="medium">
        <color rgb="FF000000"/>
      </right>
      <top/>
      <bottom style="medium">
        <color rgb="FF000000"/>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medium">
        <color indexed="64"/>
      </right>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rgb="FF000000"/>
      </bottom>
      <diagonal/>
    </border>
    <border>
      <left/>
      <right style="medium">
        <color rgb="FF000000"/>
      </right>
      <top style="medium">
        <color indexed="64"/>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rgb="FF000000"/>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rgb="FF000000"/>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top/>
      <bottom style="medium">
        <color rgb="FF000000"/>
      </bottom>
      <diagonal/>
    </border>
    <border>
      <left style="medium">
        <color rgb="FF000000"/>
      </left>
      <right/>
      <top style="medium">
        <color rgb="FF000000"/>
      </top>
      <bottom/>
      <diagonal/>
    </border>
    <border>
      <left style="medium">
        <color rgb="FF000000"/>
      </left>
      <right/>
      <top/>
      <bottom/>
      <diagonal/>
    </border>
    <border>
      <left style="medium">
        <color indexed="64"/>
      </left>
      <right style="medium">
        <color indexed="64"/>
      </right>
      <top/>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medium">
        <color indexed="64"/>
      </top>
      <bottom style="medium">
        <color indexed="64"/>
      </bottom>
      <diagonal/>
    </border>
  </borders>
  <cellStyleXfs count="138">
    <xf numFmtId="0" fontId="0" fillId="0" borderId="0"/>
    <xf numFmtId="0" fontId="14" fillId="0" borderId="0"/>
    <xf numFmtId="0" fontId="14" fillId="0" borderId="0"/>
    <xf numFmtId="0" fontId="13" fillId="0" borderId="0"/>
    <xf numFmtId="0" fontId="12" fillId="0" borderId="0"/>
    <xf numFmtId="0" fontId="19" fillId="6" borderId="0" applyNumberFormat="0" applyBorder="0" applyAlignment="0" applyProtection="0"/>
    <xf numFmtId="0" fontId="19" fillId="6" borderId="0" applyNumberFormat="0" applyBorder="0" applyAlignment="0" applyProtection="0"/>
    <xf numFmtId="0" fontId="19" fillId="6"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7"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8"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14"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9"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2"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19" fillId="15"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6"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3"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4"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22"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18"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0" fillId="23"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0" fontId="22" fillId="24" borderId="4" applyNumberFormat="0" applyAlignment="0" applyProtection="0"/>
    <xf numFmtId="0" fontId="22" fillId="24" borderId="4" applyNumberFormat="0" applyAlignment="0" applyProtection="0"/>
    <xf numFmtId="0" fontId="22" fillId="24" borderId="4" applyNumberFormat="0" applyAlignment="0" applyProtection="0"/>
    <xf numFmtId="0" fontId="23" fillId="25" borderId="5" applyNumberFormat="0" applyAlignment="0" applyProtection="0"/>
    <xf numFmtId="0" fontId="23" fillId="25" borderId="5" applyNumberFormat="0" applyAlignment="0" applyProtection="0"/>
    <xf numFmtId="0" fontId="23" fillId="25" borderId="5" applyNumberFormat="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5" fillId="8" borderId="0" applyNumberFormat="0" applyBorder="0" applyAlignment="0" applyProtection="0"/>
    <xf numFmtId="0" fontId="25" fillId="8" borderId="0" applyNumberFormat="0" applyBorder="0" applyAlignment="0" applyProtection="0"/>
    <xf numFmtId="0" fontId="25" fillId="8" borderId="0" applyNumberFormat="0" applyBorder="0" applyAlignment="0" applyProtection="0"/>
    <xf numFmtId="0" fontId="26" fillId="0" borderId="6" applyNumberFormat="0" applyFill="0" applyAlignment="0" applyProtection="0"/>
    <xf numFmtId="0" fontId="26" fillId="0" borderId="6" applyNumberFormat="0" applyFill="0" applyAlignment="0" applyProtection="0"/>
    <xf numFmtId="0" fontId="26" fillId="0" borderId="6" applyNumberFormat="0" applyFill="0" applyAlignment="0" applyProtection="0"/>
    <xf numFmtId="0" fontId="27" fillId="0" borderId="7" applyNumberFormat="0" applyFill="0" applyAlignment="0" applyProtection="0"/>
    <xf numFmtId="0" fontId="27" fillId="0" borderId="7" applyNumberFormat="0" applyFill="0" applyAlignment="0" applyProtection="0"/>
    <xf numFmtId="0" fontId="27" fillId="0" borderId="7" applyNumberFormat="0" applyFill="0" applyAlignment="0" applyProtection="0"/>
    <xf numFmtId="0" fontId="28" fillId="0" borderId="8" applyNumberFormat="0" applyFill="0" applyAlignment="0" applyProtection="0"/>
    <xf numFmtId="0" fontId="28" fillId="0" borderId="8" applyNumberFormat="0" applyFill="0" applyAlignment="0" applyProtection="0"/>
    <xf numFmtId="0" fontId="28" fillId="0" borderId="8" applyNumberFormat="0" applyFill="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8" fillId="0" borderId="0" applyNumberFormat="0" applyFill="0" applyBorder="0" applyAlignment="0" applyProtection="0"/>
    <xf numFmtId="0" fontId="29" fillId="11" borderId="4" applyNumberFormat="0" applyAlignment="0" applyProtection="0"/>
    <xf numFmtId="0" fontId="29" fillId="11" borderId="4" applyNumberFormat="0" applyAlignment="0" applyProtection="0"/>
    <xf numFmtId="0" fontId="29" fillId="11" borderId="4" applyNumberFormat="0" applyAlignment="0" applyProtection="0"/>
    <xf numFmtId="0" fontId="30" fillId="0" borderId="9" applyNumberFormat="0" applyFill="0" applyAlignment="0" applyProtection="0"/>
    <xf numFmtId="0" fontId="30" fillId="0" borderId="9" applyNumberFormat="0" applyFill="0" applyAlignment="0" applyProtection="0"/>
    <xf numFmtId="0" fontId="30" fillId="0" borderId="9" applyNumberFormat="0" applyFill="0" applyAlignment="0" applyProtection="0"/>
    <xf numFmtId="0" fontId="31" fillId="26" borderId="0" applyNumberFormat="0" applyBorder="0" applyAlignment="0" applyProtection="0"/>
    <xf numFmtId="0" fontId="31" fillId="26" borderId="0" applyNumberFormat="0" applyBorder="0" applyAlignment="0" applyProtection="0"/>
    <xf numFmtId="0" fontId="31" fillId="26" borderId="0" applyNumberFormat="0" applyBorder="0" applyAlignment="0" applyProtection="0"/>
    <xf numFmtId="0" fontId="14" fillId="0" borderId="0"/>
    <xf numFmtId="0" fontId="14" fillId="0" borderId="0"/>
    <xf numFmtId="0" fontId="14" fillId="0" borderId="0"/>
    <xf numFmtId="0" fontId="14" fillId="0" borderId="0"/>
    <xf numFmtId="0" fontId="14" fillId="27" borderId="10" applyNumberFormat="0" applyFont="0" applyAlignment="0" applyProtection="0"/>
    <xf numFmtId="0" fontId="14" fillId="27" borderId="10" applyNumberFormat="0" applyFont="0" applyAlignment="0" applyProtection="0"/>
    <xf numFmtId="0" fontId="14" fillId="27" borderId="10" applyNumberFormat="0" applyFont="0" applyAlignment="0" applyProtection="0"/>
    <xf numFmtId="0" fontId="32" fillId="24" borderId="11" applyNumberFormat="0" applyAlignment="0" applyProtection="0"/>
    <xf numFmtId="0" fontId="32" fillId="24" borderId="11" applyNumberFormat="0" applyAlignment="0" applyProtection="0"/>
    <xf numFmtId="0" fontId="32" fillId="24" borderId="11" applyNumberFormat="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4" fillId="0" borderId="12" applyNumberFormat="0" applyFill="0" applyAlignment="0" applyProtection="0"/>
    <xf numFmtId="0" fontId="34" fillId="0" borderId="12" applyNumberFormat="0" applyFill="0" applyAlignment="0" applyProtection="0"/>
    <xf numFmtId="0" fontId="34" fillId="0" borderId="12" applyNumberFormat="0" applyFill="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164" fontId="16" fillId="0" borderId="0" applyFont="0" applyFill="0" applyBorder="0" applyAlignment="0" applyProtection="0"/>
    <xf numFmtId="0" fontId="11" fillId="0" borderId="0"/>
    <xf numFmtId="0" fontId="38" fillId="0" borderId="0"/>
    <xf numFmtId="9" fontId="16" fillId="0" borderId="0" applyFont="0" applyFill="0" applyBorder="0" applyAlignment="0" applyProtection="0"/>
    <xf numFmtId="0" fontId="5" fillId="0" borderId="0"/>
    <xf numFmtId="0" fontId="5" fillId="0" borderId="0"/>
  </cellStyleXfs>
  <cellXfs count="688">
    <xf numFmtId="0" fontId="0" fillId="0" borderId="0" xfId="0"/>
    <xf numFmtId="3" fontId="0" fillId="0" borderId="0" xfId="0" applyNumberFormat="1"/>
    <xf numFmtId="0" fontId="15" fillId="0" borderId="0" xfId="0" applyFont="1"/>
    <xf numFmtId="0" fontId="18" fillId="31" borderId="20" xfId="3" applyFont="1" applyFill="1" applyBorder="1" applyProtection="1">
      <protection locked="0"/>
    </xf>
    <xf numFmtId="0" fontId="39" fillId="32" borderId="13" xfId="0" applyFont="1" applyFill="1" applyBorder="1" applyAlignment="1">
      <alignment horizontal="center" vertical="center"/>
    </xf>
    <xf numFmtId="0" fontId="39" fillId="32" borderId="16" xfId="0" applyFont="1" applyFill="1" applyBorder="1" applyAlignment="1">
      <alignment horizontal="center" vertical="center"/>
    </xf>
    <xf numFmtId="0" fontId="41" fillId="0" borderId="16" xfId="0" applyFont="1" applyBorder="1" applyAlignment="1">
      <alignment horizontal="center" vertical="center"/>
    </xf>
    <xf numFmtId="167" fontId="39" fillId="34" borderId="17" xfId="135" applyNumberFormat="1" applyFont="1" applyFill="1" applyBorder="1" applyAlignment="1">
      <alignment horizontal="right" vertical="center"/>
    </xf>
    <xf numFmtId="0" fontId="10" fillId="0" borderId="0" xfId="3" applyFont="1" applyProtection="1">
      <protection locked="0"/>
    </xf>
    <xf numFmtId="0" fontId="47" fillId="0" borderId="0" xfId="3" applyFont="1" applyProtection="1">
      <protection locked="0"/>
    </xf>
    <xf numFmtId="0" fontId="18" fillId="36" borderId="0" xfId="3" applyFont="1" applyFill="1" applyBorder="1" applyProtection="1">
      <protection locked="0"/>
    </xf>
    <xf numFmtId="0" fontId="0" fillId="0" borderId="0" xfId="0" applyFont="1"/>
    <xf numFmtId="0" fontId="18" fillId="0" borderId="0" xfId="0" applyFont="1"/>
    <xf numFmtId="0" fontId="48" fillId="0" borderId="0" xfId="0" applyFont="1"/>
    <xf numFmtId="0" fontId="10" fillId="0" borderId="0" xfId="0" applyFont="1"/>
    <xf numFmtId="0" fontId="10" fillId="0" borderId="0" xfId="4" applyFont="1"/>
    <xf numFmtId="3" fontId="10" fillId="0" borderId="0" xfId="4" applyNumberFormat="1" applyFont="1"/>
    <xf numFmtId="0" fontId="18" fillId="28" borderId="14" xfId="4" applyFont="1" applyFill="1" applyBorder="1" applyAlignment="1">
      <alignment horizontal="center" vertical="center" wrapText="1"/>
    </xf>
    <xf numFmtId="0" fontId="18" fillId="28" borderId="15" xfId="4" applyFont="1" applyFill="1" applyBorder="1" applyAlignment="1">
      <alignment horizontal="center" vertical="center" wrapText="1"/>
    </xf>
    <xf numFmtId="0" fontId="18" fillId="0" borderId="16" xfId="4" applyFont="1" applyBorder="1" applyAlignment="1">
      <alignment horizontal="left" vertical="center" wrapText="1" indent="1"/>
    </xf>
    <xf numFmtId="4" fontId="46" fillId="0" borderId="17" xfId="4" applyNumberFormat="1" applyFont="1" applyBorder="1" applyAlignment="1">
      <alignment horizontal="center" vertical="center" wrapText="1"/>
    </xf>
    <xf numFmtId="0" fontId="10" fillId="0" borderId="16" xfId="4" applyFont="1" applyBorder="1" applyAlignment="1">
      <alignment horizontal="left" vertical="center" wrapText="1" indent="4"/>
    </xf>
    <xf numFmtId="0" fontId="18" fillId="28" borderId="16" xfId="4" applyFont="1" applyFill="1" applyBorder="1" applyAlignment="1">
      <alignment vertical="center" wrapText="1"/>
    </xf>
    <xf numFmtId="4" fontId="46" fillId="5" borderId="17" xfId="4" applyNumberFormat="1" applyFont="1" applyFill="1" applyBorder="1" applyAlignment="1">
      <alignment horizontal="center" vertical="center" wrapText="1"/>
    </xf>
    <xf numFmtId="0" fontId="10" fillId="36" borderId="0" xfId="3" applyFont="1" applyFill="1" applyBorder="1" applyProtection="1">
      <protection locked="0"/>
    </xf>
    <xf numFmtId="0" fontId="10" fillId="0" borderId="0" xfId="3" applyFont="1" applyAlignment="1" applyProtection="1">
      <alignment horizontal="right"/>
      <protection locked="0"/>
    </xf>
    <xf numFmtId="0" fontId="18" fillId="4" borderId="34" xfId="3" applyFont="1" applyFill="1" applyBorder="1" applyAlignment="1" applyProtection="1">
      <alignment horizontal="center" vertical="center"/>
      <protection locked="0"/>
    </xf>
    <xf numFmtId="0" fontId="18" fillId="4" borderId="34" xfId="3" applyFont="1" applyFill="1" applyBorder="1" applyAlignment="1" applyProtection="1">
      <alignment horizontal="center" vertical="center" wrapText="1"/>
      <protection locked="0"/>
    </xf>
    <xf numFmtId="0" fontId="18" fillId="4" borderId="20" xfId="3" applyFont="1" applyFill="1" applyBorder="1" applyAlignment="1" applyProtection="1">
      <alignment horizontal="center" vertical="center"/>
      <protection locked="0"/>
    </xf>
    <xf numFmtId="0" fontId="18" fillId="4" borderId="20" xfId="3" applyFont="1" applyFill="1" applyBorder="1" applyAlignment="1" applyProtection="1">
      <alignment horizontal="center" vertical="center" wrapText="1"/>
      <protection locked="0"/>
    </xf>
    <xf numFmtId="0" fontId="18" fillId="31" borderId="34" xfId="0" applyFont="1" applyFill="1" applyBorder="1" applyAlignment="1" applyProtection="1">
      <alignment horizontal="left" vertical="center" wrapText="1"/>
      <protection locked="0"/>
    </xf>
    <xf numFmtId="3" fontId="18" fillId="31" borderId="34" xfId="0" applyNumberFormat="1" applyFont="1" applyFill="1" applyBorder="1" applyAlignment="1" applyProtection="1">
      <alignment horizontal="right" vertical="center" wrapText="1"/>
      <protection locked="0"/>
    </xf>
    <xf numFmtId="3" fontId="18" fillId="31" borderId="34" xfId="3" applyNumberFormat="1" applyFont="1" applyFill="1" applyBorder="1" applyAlignment="1" applyProtection="1">
      <alignment horizontal="right" vertical="center" wrapText="1"/>
    </xf>
    <xf numFmtId="0" fontId="18" fillId="31" borderId="20" xfId="3" applyFont="1" applyFill="1" applyBorder="1" applyAlignment="1" applyProtection="1">
      <alignment horizontal="left" vertical="center" wrapText="1"/>
      <protection locked="0"/>
    </xf>
    <xf numFmtId="3" fontId="18" fillId="31" borderId="20" xfId="0" applyNumberFormat="1" applyFont="1" applyFill="1" applyBorder="1" applyAlignment="1" applyProtection="1">
      <alignment horizontal="right" vertical="center" wrapText="1"/>
      <protection locked="0"/>
    </xf>
    <xf numFmtId="3" fontId="18" fillId="31" borderId="20" xfId="3" applyNumberFormat="1" applyFont="1" applyFill="1" applyBorder="1" applyAlignment="1" applyProtection="1">
      <alignment horizontal="right" vertical="center" wrapText="1"/>
    </xf>
    <xf numFmtId="0" fontId="18" fillId="31" borderId="20" xfId="0" applyFont="1" applyFill="1" applyBorder="1" applyAlignment="1" applyProtection="1">
      <alignment horizontal="left" vertical="center" wrapText="1"/>
      <protection locked="0"/>
    </xf>
    <xf numFmtId="3" fontId="10" fillId="0" borderId="0" xfId="3" applyNumberFormat="1" applyFont="1" applyProtection="1">
      <protection locked="0"/>
    </xf>
    <xf numFmtId="0" fontId="18" fillId="0" borderId="0" xfId="3" applyFont="1" applyBorder="1" applyProtection="1">
      <protection locked="0"/>
    </xf>
    <xf numFmtId="0" fontId="10" fillId="0" borderId="0" xfId="3" applyFont="1" applyBorder="1" applyAlignment="1" applyProtection="1">
      <alignment horizontal="right"/>
      <protection locked="0"/>
    </xf>
    <xf numFmtId="0" fontId="10" fillId="0" borderId="0" xfId="3" applyFont="1" applyBorder="1" applyProtection="1">
      <protection locked="0"/>
    </xf>
    <xf numFmtId="3" fontId="18" fillId="0" borderId="0" xfId="3" applyNumberFormat="1" applyFont="1" applyProtection="1">
      <protection locked="0"/>
    </xf>
    <xf numFmtId="3" fontId="10" fillId="0" borderId="0" xfId="3" applyNumberFormat="1" applyFont="1" applyBorder="1" applyProtection="1">
      <protection locked="0"/>
    </xf>
    <xf numFmtId="3" fontId="10" fillId="0" borderId="0" xfId="3" applyNumberFormat="1" applyFont="1" applyBorder="1" applyAlignment="1" applyProtection="1">
      <alignment horizontal="right"/>
      <protection locked="0"/>
    </xf>
    <xf numFmtId="0" fontId="16" fillId="0" borderId="0" xfId="0" applyFont="1"/>
    <xf numFmtId="0" fontId="15" fillId="0" borderId="0" xfId="3" applyFont="1" applyProtection="1">
      <protection locked="0"/>
    </xf>
    <xf numFmtId="0" fontId="48" fillId="0" borderId="0" xfId="3" applyFont="1" applyProtection="1">
      <protection locked="0"/>
    </xf>
    <xf numFmtId="0" fontId="53" fillId="0" borderId="0" xfId="4" applyFont="1"/>
    <xf numFmtId="0" fontId="47" fillId="0" borderId="0" xfId="0" applyFont="1"/>
    <xf numFmtId="0" fontId="9" fillId="36" borderId="1" xfId="0" applyFont="1" applyFill="1" applyBorder="1" applyAlignment="1" applyProtection="1">
      <alignment horizontal="left" vertical="center" wrapText="1"/>
      <protection locked="0"/>
    </xf>
    <xf numFmtId="0" fontId="18" fillId="41" borderId="42" xfId="3" applyFont="1" applyFill="1" applyBorder="1" applyAlignment="1" applyProtection="1">
      <alignment horizontal="center"/>
      <protection locked="0"/>
    </xf>
    <xf numFmtId="3" fontId="18" fillId="41" borderId="42" xfId="3" applyNumberFormat="1" applyFont="1" applyFill="1" applyBorder="1" applyAlignment="1" applyProtection="1">
      <alignment horizontal="right"/>
      <protection locked="0"/>
    </xf>
    <xf numFmtId="3" fontId="18" fillId="41" borderId="42" xfId="3" applyNumberFormat="1" applyFont="1" applyFill="1" applyBorder="1" applyAlignment="1" applyProtection="1">
      <alignment horizontal="center"/>
      <protection locked="0"/>
    </xf>
    <xf numFmtId="3" fontId="46" fillId="0" borderId="42" xfId="0" applyNumberFormat="1" applyFont="1" applyBorder="1" applyAlignment="1" applyProtection="1">
      <alignment horizontal="center" vertical="center" wrapText="1"/>
    </xf>
    <xf numFmtId="0" fontId="10" fillId="0" borderId="41" xfId="3" applyFont="1" applyFill="1" applyBorder="1" applyAlignment="1" applyProtection="1">
      <alignment vertical="center" wrapText="1"/>
      <protection locked="0"/>
    </xf>
    <xf numFmtId="0" fontId="15" fillId="42" borderId="41" xfId="0" applyFont="1" applyFill="1" applyBorder="1"/>
    <xf numFmtId="3" fontId="18" fillId="0" borderId="41" xfId="3" applyNumberFormat="1" applyFont="1" applyFill="1" applyBorder="1" applyAlignment="1" applyProtection="1">
      <alignment horizontal="center" wrapText="1"/>
      <protection locked="0"/>
    </xf>
    <xf numFmtId="0" fontId="18" fillId="0" borderId="41" xfId="3" applyFont="1" applyFill="1" applyBorder="1" applyAlignment="1" applyProtection="1">
      <alignment vertical="center" wrapText="1"/>
      <protection locked="0"/>
    </xf>
    <xf numFmtId="0" fontId="18" fillId="0" borderId="42" xfId="3" applyFont="1" applyFill="1" applyBorder="1" applyAlignment="1" applyProtection="1">
      <alignment vertical="center" wrapText="1"/>
      <protection locked="0"/>
    </xf>
    <xf numFmtId="0" fontId="15" fillId="42" borderId="41" xfId="0" applyFont="1" applyFill="1" applyBorder="1" applyAlignment="1">
      <alignment horizontal="center"/>
    </xf>
    <xf numFmtId="0" fontId="9" fillId="36" borderId="41" xfId="0" applyFont="1" applyFill="1" applyBorder="1" applyAlignment="1" applyProtection="1">
      <alignment horizontal="left" vertical="center" wrapText="1"/>
      <protection locked="0"/>
    </xf>
    <xf numFmtId="165" fontId="0" fillId="0" borderId="0" xfId="0" applyNumberFormat="1"/>
    <xf numFmtId="0" fontId="9" fillId="0" borderId="43" xfId="3" applyFont="1" applyFill="1" applyBorder="1" applyAlignment="1" applyProtection="1">
      <alignment vertical="center" wrapText="1"/>
      <protection locked="0"/>
    </xf>
    <xf numFmtId="0" fontId="9" fillId="0" borderId="3" xfId="3" applyFont="1" applyFill="1" applyBorder="1" applyAlignment="1" applyProtection="1">
      <alignment horizontal="left" vertical="center" wrapText="1"/>
      <protection locked="0"/>
    </xf>
    <xf numFmtId="0" fontId="9" fillId="0" borderId="41" xfId="3" applyFont="1" applyFill="1" applyBorder="1" applyAlignment="1" applyProtection="1">
      <alignment horizontal="left" vertical="center"/>
      <protection locked="0"/>
    </xf>
    <xf numFmtId="0" fontId="9" fillId="0" borderId="41" xfId="3" applyFont="1" applyFill="1" applyBorder="1" applyAlignment="1" applyProtection="1">
      <alignment horizontal="left" vertical="center" wrapText="1"/>
      <protection locked="0"/>
    </xf>
    <xf numFmtId="0" fontId="18" fillId="35" borderId="41" xfId="3" applyFont="1" applyFill="1" applyBorder="1" applyAlignment="1" applyProtection="1">
      <alignment vertical="center" wrapText="1"/>
      <protection locked="0"/>
    </xf>
    <xf numFmtId="165" fontId="10" fillId="0" borderId="0" xfId="0" applyNumberFormat="1" applyFont="1"/>
    <xf numFmtId="0" fontId="18" fillId="29" borderId="45" xfId="0" applyFont="1" applyFill="1" applyBorder="1" applyAlignment="1">
      <alignment horizontal="center" vertical="center"/>
    </xf>
    <xf numFmtId="166" fontId="10" fillId="0" borderId="0" xfId="0" applyNumberFormat="1" applyFont="1"/>
    <xf numFmtId="3" fontId="9" fillId="36" borderId="3" xfId="0" applyNumberFormat="1" applyFont="1" applyFill="1" applyBorder="1" applyAlignment="1" applyProtection="1">
      <alignment horizontal="center" vertical="center" wrapText="1"/>
      <protection locked="0"/>
    </xf>
    <xf numFmtId="3" fontId="9" fillId="36" borderId="1" xfId="0" applyNumberFormat="1" applyFont="1" applyFill="1" applyBorder="1" applyAlignment="1" applyProtection="1">
      <alignment horizontal="center" vertical="center" wrapText="1"/>
      <protection locked="0"/>
    </xf>
    <xf numFmtId="3" fontId="9" fillId="36" borderId="41" xfId="0" applyNumberFormat="1" applyFont="1" applyFill="1" applyBorder="1" applyAlignment="1" applyProtection="1">
      <alignment horizontal="center" vertical="center" wrapText="1"/>
      <protection locked="0"/>
    </xf>
    <xf numFmtId="3" fontId="9" fillId="36" borderId="20" xfId="0" applyNumberFormat="1" applyFont="1" applyFill="1" applyBorder="1" applyAlignment="1" applyProtection="1">
      <alignment horizontal="center" vertical="center" wrapText="1"/>
      <protection locked="0"/>
    </xf>
    <xf numFmtId="3" fontId="9" fillId="36" borderId="1" xfId="3" applyNumberFormat="1" applyFont="1" applyFill="1" applyBorder="1" applyAlignment="1" applyProtection="1">
      <alignment horizontal="center" vertical="center" wrapText="1"/>
    </xf>
    <xf numFmtId="3" fontId="9" fillId="36" borderId="41" xfId="3" applyNumberFormat="1" applyFont="1" applyFill="1" applyBorder="1" applyAlignment="1" applyProtection="1">
      <alignment horizontal="center" vertical="center" wrapText="1"/>
    </xf>
    <xf numFmtId="0" fontId="18" fillId="42" borderId="45" xfId="0" applyFont="1" applyFill="1" applyBorder="1"/>
    <xf numFmtId="0" fontId="7" fillId="36" borderId="49" xfId="3" applyFont="1" applyFill="1" applyBorder="1" applyAlignment="1" applyProtection="1">
      <alignment horizontal="left" vertical="center" wrapText="1"/>
      <protection locked="0"/>
    </xf>
    <xf numFmtId="0" fontId="18" fillId="43" borderId="46" xfId="0" applyFont="1" applyFill="1" applyBorder="1"/>
    <xf numFmtId="0" fontId="0" fillId="0" borderId="46" xfId="0" applyFont="1" applyBorder="1" applyAlignment="1">
      <alignment horizontal="justify" vertical="center"/>
    </xf>
    <xf numFmtId="3" fontId="9" fillId="36" borderId="46" xfId="0" applyNumberFormat="1" applyFont="1" applyFill="1" applyBorder="1" applyAlignment="1" applyProtection="1">
      <alignment horizontal="center" vertical="center" wrapText="1"/>
      <protection locked="0"/>
    </xf>
    <xf numFmtId="3" fontId="7" fillId="36" borderId="46" xfId="0" applyNumberFormat="1" applyFont="1" applyFill="1" applyBorder="1" applyAlignment="1" applyProtection="1">
      <alignment horizontal="center" vertical="center" wrapText="1"/>
      <protection locked="0"/>
    </xf>
    <xf numFmtId="0" fontId="7" fillId="0" borderId="46" xfId="0" applyFont="1" applyBorder="1" applyAlignment="1">
      <alignment horizontal="justify" vertical="center"/>
    </xf>
    <xf numFmtId="3" fontId="7" fillId="36" borderId="3" xfId="0" applyNumberFormat="1" applyFont="1" applyFill="1" applyBorder="1" applyAlignment="1" applyProtection="1">
      <alignment horizontal="center" vertical="center" wrapText="1"/>
      <protection locked="0"/>
    </xf>
    <xf numFmtId="9" fontId="48" fillId="35" borderId="46" xfId="135" applyFont="1" applyFill="1" applyBorder="1"/>
    <xf numFmtId="0" fontId="58" fillId="30" borderId="41" xfId="3" applyFont="1" applyFill="1" applyBorder="1" applyAlignment="1" applyProtection="1">
      <alignment horizontal="center" vertical="center" wrapText="1"/>
      <protection locked="0"/>
    </xf>
    <xf numFmtId="3" fontId="58" fillId="30" borderId="41" xfId="3" applyNumberFormat="1" applyFont="1" applyFill="1" applyBorder="1" applyAlignment="1" applyProtection="1">
      <alignment horizontal="center" vertical="center"/>
      <protection locked="0"/>
    </xf>
    <xf numFmtId="0" fontId="58" fillId="0" borderId="0" xfId="3" applyFont="1" applyProtection="1">
      <protection locked="0"/>
    </xf>
    <xf numFmtId="0" fontId="18" fillId="31" borderId="3" xfId="3" applyFont="1" applyFill="1" applyBorder="1" applyAlignment="1" applyProtection="1">
      <alignment horizontal="left" vertical="center" wrapText="1"/>
      <protection locked="0"/>
    </xf>
    <xf numFmtId="3" fontId="18" fillId="31" borderId="3" xfId="0" applyNumberFormat="1" applyFont="1" applyFill="1" applyBorder="1" applyAlignment="1" applyProtection="1">
      <alignment horizontal="right" vertical="center" wrapText="1"/>
      <protection locked="0"/>
    </xf>
    <xf numFmtId="3" fontId="18" fillId="31" borderId="3" xfId="3" applyNumberFormat="1" applyFont="1" applyFill="1" applyBorder="1" applyAlignment="1" applyProtection="1">
      <alignment horizontal="right" vertical="center" wrapText="1"/>
    </xf>
    <xf numFmtId="0" fontId="18" fillId="31" borderId="3" xfId="0" applyFont="1" applyFill="1" applyBorder="1" applyAlignment="1" applyProtection="1">
      <alignment horizontal="left" vertical="center" wrapText="1"/>
      <protection locked="0"/>
    </xf>
    <xf numFmtId="0" fontId="47" fillId="44" borderId="46" xfId="3" applyFont="1" applyFill="1" applyBorder="1" applyProtection="1">
      <protection locked="0"/>
    </xf>
    <xf numFmtId="3" fontId="47" fillId="44" borderId="46" xfId="3" applyNumberFormat="1" applyFont="1" applyFill="1" applyBorder="1" applyAlignment="1" applyProtection="1">
      <alignment horizontal="center"/>
      <protection locked="0"/>
    </xf>
    <xf numFmtId="0" fontId="59" fillId="0" borderId="0" xfId="3" applyFont="1" applyProtection="1">
      <protection locked="0"/>
    </xf>
    <xf numFmtId="0" fontId="0" fillId="0" borderId="0" xfId="0" applyAlignment="1">
      <alignment horizontal="left" wrapText="1"/>
    </xf>
    <xf numFmtId="168" fontId="0" fillId="0" borderId="0" xfId="0" applyNumberFormat="1"/>
    <xf numFmtId="166" fontId="15" fillId="0" borderId="0" xfId="0" applyNumberFormat="1" applyFont="1"/>
    <xf numFmtId="0" fontId="42" fillId="0" borderId="0" xfId="0" applyFont="1"/>
    <xf numFmtId="167" fontId="48" fillId="0" borderId="0" xfId="135" applyNumberFormat="1" applyFont="1"/>
    <xf numFmtId="167" fontId="0" fillId="0" borderId="0" xfId="135" applyNumberFormat="1" applyFont="1"/>
    <xf numFmtId="167" fontId="42" fillId="0" borderId="0" xfId="135" applyNumberFormat="1" applyFont="1"/>
    <xf numFmtId="0" fontId="15" fillId="5" borderId="62" xfId="0" applyFont="1" applyFill="1" applyBorder="1" applyAlignment="1">
      <alignment horizontal="center"/>
    </xf>
    <xf numFmtId="0" fontId="15" fillId="5" borderId="63" xfId="0" applyFont="1" applyFill="1" applyBorder="1" applyAlignment="1">
      <alignment horizontal="center"/>
    </xf>
    <xf numFmtId="0" fontId="15" fillId="5" borderId="64" xfId="0" applyFont="1" applyFill="1" applyBorder="1" applyAlignment="1">
      <alignment horizontal="center"/>
    </xf>
    <xf numFmtId="0" fontId="15" fillId="5" borderId="72" xfId="0" applyFont="1" applyFill="1" applyBorder="1" applyAlignment="1">
      <alignment horizontal="center"/>
    </xf>
    <xf numFmtId="0" fontId="15" fillId="5" borderId="32" xfId="0" applyFont="1" applyFill="1" applyBorder="1" applyAlignment="1">
      <alignment horizontal="center"/>
    </xf>
    <xf numFmtId="0" fontId="15" fillId="5" borderId="33" xfId="0" applyFont="1" applyFill="1" applyBorder="1" applyAlignment="1">
      <alignment horizontal="center"/>
    </xf>
    <xf numFmtId="0" fontId="15" fillId="5" borderId="76" xfId="0" applyFont="1" applyFill="1" applyBorder="1" applyAlignment="1">
      <alignment horizontal="center"/>
    </xf>
    <xf numFmtId="0" fontId="15" fillId="5" borderId="77" xfId="0" applyFont="1" applyFill="1" applyBorder="1" applyAlignment="1">
      <alignment horizontal="center"/>
    </xf>
    <xf numFmtId="0" fontId="60" fillId="33" borderId="16" xfId="0" applyFont="1" applyFill="1" applyBorder="1" applyAlignment="1">
      <alignment horizontal="center" vertical="center"/>
    </xf>
    <xf numFmtId="0" fontId="60" fillId="33" borderId="17" xfId="0" applyFont="1" applyFill="1" applyBorder="1" applyAlignment="1">
      <alignment horizontal="left" vertical="center"/>
    </xf>
    <xf numFmtId="167" fontId="60" fillId="33" borderId="17" xfId="0" applyNumberFormat="1" applyFont="1" applyFill="1" applyBorder="1" applyAlignment="1">
      <alignment horizontal="right" vertical="center"/>
    </xf>
    <xf numFmtId="0" fontId="45" fillId="48" borderId="16" xfId="0" applyFont="1" applyFill="1" applyBorder="1" applyAlignment="1">
      <alignment horizontal="center" vertical="center"/>
    </xf>
    <xf numFmtId="0" fontId="46" fillId="48" borderId="17" xfId="0" applyFont="1" applyFill="1" applyBorder="1" applyAlignment="1">
      <alignment horizontal="left" vertical="center" wrapText="1"/>
    </xf>
    <xf numFmtId="167" fontId="46" fillId="48" borderId="17" xfId="0" applyNumberFormat="1" applyFont="1" applyFill="1" applyBorder="1" applyAlignment="1">
      <alignment horizontal="right" vertical="center"/>
    </xf>
    <xf numFmtId="0" fontId="41" fillId="36" borderId="79" xfId="0" applyFont="1" applyFill="1" applyBorder="1" applyAlignment="1">
      <alignment horizontal="center" vertical="center"/>
    </xf>
    <xf numFmtId="0" fontId="41" fillId="36" borderId="79" xfId="0" applyFont="1" applyFill="1" applyBorder="1" applyAlignment="1">
      <alignment horizontal="left" vertical="center" wrapText="1"/>
    </xf>
    <xf numFmtId="167" fontId="41" fillId="36" borderId="75" xfId="0" applyNumberFormat="1" applyFont="1" applyFill="1" applyBorder="1" applyAlignment="1">
      <alignment horizontal="right" vertical="center"/>
    </xf>
    <xf numFmtId="0" fontId="44" fillId="36" borderId="80" xfId="0" applyFont="1" applyFill="1" applyBorder="1" applyAlignment="1">
      <alignment horizontal="center" vertical="center"/>
    </xf>
    <xf numFmtId="0" fontId="44" fillId="36" borderId="80" xfId="0" applyFont="1" applyFill="1" applyBorder="1" applyAlignment="1">
      <alignment horizontal="left" vertical="center" wrapText="1"/>
    </xf>
    <xf numFmtId="167" fontId="44" fillId="36" borderId="81" xfId="0" applyNumberFormat="1" applyFont="1" applyFill="1" applyBorder="1" applyAlignment="1">
      <alignment horizontal="right" vertical="center"/>
    </xf>
    <xf numFmtId="0" fontId="44" fillId="36" borderId="82" xfId="0" applyFont="1" applyFill="1" applyBorder="1" applyAlignment="1">
      <alignment horizontal="center" vertical="center"/>
    </xf>
    <xf numFmtId="0" fontId="44" fillId="36" borderId="82" xfId="0" applyFont="1" applyFill="1" applyBorder="1" applyAlignment="1">
      <alignment horizontal="left" vertical="center" wrapText="1"/>
    </xf>
    <xf numFmtId="167" fontId="44" fillId="36" borderId="78" xfId="0" applyNumberFormat="1" applyFont="1" applyFill="1" applyBorder="1" applyAlignment="1">
      <alignment horizontal="right" vertical="center"/>
    </xf>
    <xf numFmtId="0" fontId="41" fillId="36" borderId="83" xfId="0" applyFont="1" applyFill="1" applyBorder="1" applyAlignment="1">
      <alignment horizontal="center" vertical="center"/>
    </xf>
    <xf numFmtId="167" fontId="41" fillId="36" borderId="84" xfId="0" applyNumberFormat="1" applyFont="1" applyFill="1" applyBorder="1" applyAlignment="1">
      <alignment horizontal="right" vertical="center"/>
    </xf>
    <xf numFmtId="0" fontId="44" fillId="0" borderId="80" xfId="0" applyFont="1" applyBorder="1" applyAlignment="1">
      <alignment horizontal="center" vertical="center"/>
    </xf>
    <xf numFmtId="165" fontId="50" fillId="0" borderId="81" xfId="132" applyNumberFormat="1" applyFont="1" applyBorder="1" applyAlignment="1">
      <alignment horizontal="right" vertical="center"/>
    </xf>
    <xf numFmtId="0" fontId="44" fillId="0" borderId="85" xfId="0" applyFont="1" applyBorder="1" applyAlignment="1">
      <alignment horizontal="center" vertical="center"/>
    </xf>
    <xf numFmtId="165" fontId="50" fillId="0" borderId="86" xfId="132" applyNumberFormat="1" applyFont="1" applyBorder="1" applyAlignment="1">
      <alignment horizontal="right" vertical="center"/>
    </xf>
    <xf numFmtId="0" fontId="41" fillId="0" borderId="79" xfId="0" applyFont="1" applyBorder="1" applyAlignment="1">
      <alignment horizontal="center" vertical="center"/>
    </xf>
    <xf numFmtId="0" fontId="50" fillId="0" borderId="80" xfId="0" applyFont="1" applyBorder="1" applyAlignment="1">
      <alignment horizontal="left" vertical="center" wrapText="1"/>
    </xf>
    <xf numFmtId="167" fontId="50" fillId="0" borderId="81" xfId="0" applyNumberFormat="1" applyFont="1" applyBorder="1" applyAlignment="1">
      <alignment vertical="center"/>
    </xf>
    <xf numFmtId="0" fontId="44" fillId="0" borderId="80" xfId="0" applyFont="1" applyFill="1" applyBorder="1" applyAlignment="1">
      <alignment horizontal="center" vertical="center"/>
    </xf>
    <xf numFmtId="0" fontId="50" fillId="0" borderId="80" xfId="0" applyFont="1" applyFill="1" applyBorder="1" applyAlignment="1">
      <alignment horizontal="left" vertical="center" wrapText="1"/>
    </xf>
    <xf numFmtId="167" fontId="50" fillId="0" borderId="81" xfId="0" applyNumberFormat="1" applyFont="1" applyFill="1" applyBorder="1" applyAlignment="1">
      <alignment vertical="center"/>
    </xf>
    <xf numFmtId="0" fontId="44" fillId="0" borderId="82" xfId="0" applyFont="1" applyBorder="1" applyAlignment="1">
      <alignment horizontal="center" vertical="center"/>
    </xf>
    <xf numFmtId="0" fontId="50" fillId="0" borderId="82" xfId="0" applyFont="1" applyBorder="1" applyAlignment="1">
      <alignment horizontal="left" vertical="center" wrapText="1"/>
    </xf>
    <xf numFmtId="165" fontId="50" fillId="0" borderId="78" xfId="132" applyNumberFormat="1" applyFont="1" applyBorder="1" applyAlignment="1">
      <alignment horizontal="right" vertical="center"/>
    </xf>
    <xf numFmtId="167" fontId="50" fillId="0" borderId="78" xfId="0" applyNumberFormat="1" applyFont="1" applyBorder="1" applyAlignment="1">
      <alignment vertical="center"/>
    </xf>
    <xf numFmtId="0" fontId="42" fillId="0" borderId="75" xfId="0" applyFont="1" applyBorder="1" applyAlignment="1">
      <alignment horizontal="left" vertical="center" wrapText="1"/>
    </xf>
    <xf numFmtId="0" fontId="42" fillId="0" borderId="17" xfId="0" applyFont="1" applyBorder="1" applyAlignment="1">
      <alignment horizontal="left" vertical="center" wrapText="1"/>
    </xf>
    <xf numFmtId="167" fontId="41" fillId="36" borderId="17" xfId="0" applyNumberFormat="1" applyFont="1" applyFill="1" applyBorder="1" applyAlignment="1">
      <alignment horizontal="right" vertical="center"/>
    </xf>
    <xf numFmtId="0" fontId="46" fillId="48" borderId="16" xfId="0" applyFont="1" applyFill="1" applyBorder="1" applyAlignment="1">
      <alignment horizontal="center" vertical="center"/>
    </xf>
    <xf numFmtId="0" fontId="18" fillId="48" borderId="17" xfId="0" applyFont="1" applyFill="1" applyBorder="1" applyAlignment="1">
      <alignment horizontal="left" vertical="center" wrapText="1"/>
    </xf>
    <xf numFmtId="0" fontId="42" fillId="0" borderId="79" xfId="0" applyFont="1" applyFill="1" applyBorder="1" applyAlignment="1">
      <alignment horizontal="center" vertical="center"/>
    </xf>
    <xf numFmtId="0" fontId="42" fillId="0" borderId="79" xfId="0" applyFont="1" applyFill="1" applyBorder="1" applyAlignment="1">
      <alignment horizontal="left" vertical="center" wrapText="1"/>
    </xf>
    <xf numFmtId="167" fontId="5" fillId="0" borderId="75" xfId="0" applyNumberFormat="1" applyFont="1" applyFill="1" applyBorder="1" applyAlignment="1">
      <alignment vertical="center"/>
    </xf>
    <xf numFmtId="0" fontId="42" fillId="36" borderId="80" xfId="0" applyFont="1" applyFill="1" applyBorder="1" applyAlignment="1">
      <alignment horizontal="center" vertical="center"/>
    </xf>
    <xf numFmtId="167" fontId="5" fillId="36" borderId="81" xfId="0" applyNumberFormat="1" applyFont="1" applyFill="1" applyBorder="1" applyAlignment="1">
      <alignment vertical="center"/>
    </xf>
    <xf numFmtId="0" fontId="42" fillId="36" borderId="82" xfId="0" applyFont="1" applyFill="1" applyBorder="1" applyAlignment="1">
      <alignment horizontal="center" vertical="center"/>
    </xf>
    <xf numFmtId="0" fontId="42" fillId="0" borderId="78" xfId="0" applyFont="1" applyBorder="1" applyAlignment="1">
      <alignment horizontal="left" vertical="center" wrapText="1"/>
    </xf>
    <xf numFmtId="167" fontId="5" fillId="36" borderId="78" xfId="0" applyNumberFormat="1" applyFont="1" applyFill="1" applyBorder="1" applyAlignment="1">
      <alignment vertical="center"/>
    </xf>
    <xf numFmtId="0" fontId="41" fillId="36" borderId="30" xfId="0" applyFont="1" applyFill="1" applyBorder="1" applyAlignment="1">
      <alignment horizontal="center" vertical="center"/>
    </xf>
    <xf numFmtId="0" fontId="41" fillId="0" borderId="79" xfId="0" applyFont="1" applyBorder="1" applyAlignment="1">
      <alignment horizontal="left" vertical="center"/>
    </xf>
    <xf numFmtId="167" fontId="5" fillId="36" borderId="75" xfId="0" applyNumberFormat="1" applyFont="1" applyFill="1" applyBorder="1" applyAlignment="1">
      <alignment vertical="center"/>
    </xf>
    <xf numFmtId="0" fontId="41" fillId="0" borderId="60" xfId="0" applyFont="1" applyBorder="1" applyAlignment="1">
      <alignment horizontal="center" vertical="center"/>
    </xf>
    <xf numFmtId="0" fontId="41" fillId="0" borderId="80" xfId="0" applyFont="1" applyBorder="1" applyAlignment="1">
      <alignment horizontal="left" vertical="center"/>
    </xf>
    <xf numFmtId="165" fontId="41" fillId="0" borderId="81" xfId="132" applyNumberFormat="1" applyFont="1" applyBorder="1" applyAlignment="1">
      <alignment horizontal="right" vertical="center"/>
    </xf>
    <xf numFmtId="167" fontId="5" fillId="0" borderId="81" xfId="0" applyNumberFormat="1" applyFont="1" applyBorder="1" applyAlignment="1">
      <alignment vertical="center"/>
    </xf>
    <xf numFmtId="0" fontId="41" fillId="0" borderId="82" xfId="0" applyFont="1" applyBorder="1" applyAlignment="1">
      <alignment horizontal="left" vertical="center"/>
    </xf>
    <xf numFmtId="165" fontId="41" fillId="0" borderId="78" xfId="132" applyNumberFormat="1" applyFont="1" applyBorder="1" applyAlignment="1">
      <alignment horizontal="right" vertical="center"/>
    </xf>
    <xf numFmtId="167" fontId="5" fillId="0" borderId="78" xfId="0" applyNumberFormat="1" applyFont="1" applyBorder="1" applyAlignment="1">
      <alignment vertical="center"/>
    </xf>
    <xf numFmtId="0" fontId="41" fillId="0" borderId="79" xfId="0" applyFont="1" applyFill="1" applyBorder="1" applyAlignment="1">
      <alignment horizontal="center" vertical="center"/>
    </xf>
    <xf numFmtId="0" fontId="41" fillId="0" borderId="80" xfId="0" applyFont="1" applyBorder="1" applyAlignment="1">
      <alignment horizontal="center" vertical="center"/>
    </xf>
    <xf numFmtId="0" fontId="41" fillId="0" borderId="82" xfId="0" applyFont="1" applyBorder="1" applyAlignment="1">
      <alignment horizontal="center" vertical="center"/>
    </xf>
    <xf numFmtId="0" fontId="60" fillId="33" borderId="17" xfId="0" applyFont="1" applyFill="1" applyBorder="1" applyAlignment="1">
      <alignment horizontal="left" vertical="center" wrapText="1"/>
    </xf>
    <xf numFmtId="0" fontId="41" fillId="0" borderId="75" xfId="0" applyFont="1" applyFill="1" applyBorder="1" applyAlignment="1">
      <alignment horizontal="left" vertical="center" wrapText="1"/>
    </xf>
    <xf numFmtId="167" fontId="41" fillId="0" borderId="75" xfId="0" applyNumberFormat="1" applyFont="1" applyFill="1" applyBorder="1" applyAlignment="1">
      <alignment horizontal="right" vertical="center"/>
    </xf>
    <xf numFmtId="0" fontId="41" fillId="0" borderId="78" xfId="0" applyFont="1" applyBorder="1" applyAlignment="1">
      <alignment horizontal="left" vertical="center"/>
    </xf>
    <xf numFmtId="0" fontId="42" fillId="0" borderId="75" xfId="0" applyFont="1" applyFill="1" applyBorder="1" applyAlignment="1">
      <alignment horizontal="left" vertical="center" wrapText="1"/>
    </xf>
    <xf numFmtId="0" fontId="41" fillId="0" borderId="81" xfId="0" applyFont="1" applyBorder="1" applyAlignment="1">
      <alignment horizontal="left" vertical="center"/>
    </xf>
    <xf numFmtId="0" fontId="41" fillId="0" borderId="80" xfId="0" applyFont="1" applyFill="1" applyBorder="1" applyAlignment="1">
      <alignment horizontal="center" vertical="center"/>
    </xf>
    <xf numFmtId="0" fontId="41" fillId="0" borderId="81" xfId="0" applyFont="1" applyFill="1" applyBorder="1" applyAlignment="1">
      <alignment horizontal="left" vertical="center"/>
    </xf>
    <xf numFmtId="167" fontId="5" fillId="0" borderId="81" xfId="0" applyNumberFormat="1" applyFont="1" applyFill="1" applyBorder="1" applyAlignment="1">
      <alignment vertical="center"/>
    </xf>
    <xf numFmtId="0" fontId="41" fillId="0" borderId="82" xfId="0" applyFont="1" applyFill="1" applyBorder="1" applyAlignment="1">
      <alignment horizontal="center" vertical="center"/>
    </xf>
    <xf numFmtId="0" fontId="41" fillId="0" borderId="78" xfId="0" applyFont="1" applyFill="1" applyBorder="1" applyAlignment="1">
      <alignment horizontal="left" vertical="center"/>
    </xf>
    <xf numFmtId="167" fontId="5" fillId="0" borderId="78" xfId="0" applyNumberFormat="1" applyFont="1" applyFill="1" applyBorder="1" applyAlignment="1">
      <alignment vertical="center"/>
    </xf>
    <xf numFmtId="0" fontId="41" fillId="0" borderId="16" xfId="0" applyFont="1" applyFill="1" applyBorder="1" applyAlignment="1">
      <alignment horizontal="center" vertical="center"/>
    </xf>
    <xf numFmtId="0" fontId="41" fillId="0" borderId="17" xfId="0" applyFont="1" applyFill="1" applyBorder="1" applyAlignment="1">
      <alignment horizontal="left" vertical="center" wrapText="1"/>
    </xf>
    <xf numFmtId="167" fontId="41" fillId="0" borderId="17" xfId="0" applyNumberFormat="1" applyFont="1" applyFill="1" applyBorder="1" applyAlignment="1">
      <alignment horizontal="right" vertical="center"/>
    </xf>
    <xf numFmtId="0" fontId="41" fillId="0" borderId="75" xfId="0" applyFont="1" applyFill="1" applyBorder="1" applyAlignment="1">
      <alignment horizontal="left" vertical="center"/>
    </xf>
    <xf numFmtId="0" fontId="41" fillId="0" borderId="81" xfId="0" applyFont="1" applyFill="1" applyBorder="1" applyAlignment="1">
      <alignment horizontal="left" vertical="center" wrapText="1"/>
    </xf>
    <xf numFmtId="0" fontId="41" fillId="0" borderId="81" xfId="0" applyFont="1" applyBorder="1" applyAlignment="1">
      <alignment horizontal="left" vertical="center" wrapText="1"/>
    </xf>
    <xf numFmtId="0" fontId="41" fillId="0" borderId="78" xfId="0" applyFont="1" applyBorder="1" applyAlignment="1">
      <alignment horizontal="left" vertical="center" wrapText="1"/>
    </xf>
    <xf numFmtId="0" fontId="46" fillId="33" borderId="16" xfId="0" applyFont="1" applyFill="1" applyBorder="1" applyAlignment="1">
      <alignment horizontal="center" vertical="center"/>
    </xf>
    <xf numFmtId="0" fontId="46" fillId="33" borderId="17" xfId="0" applyFont="1" applyFill="1" applyBorder="1" applyAlignment="1">
      <alignment horizontal="left" vertical="center"/>
    </xf>
    <xf numFmtId="167" fontId="46" fillId="33" borderId="17" xfId="0" applyNumberFormat="1" applyFont="1" applyFill="1" applyBorder="1" applyAlignment="1">
      <alignment horizontal="right" vertical="center"/>
    </xf>
    <xf numFmtId="0" fontId="15" fillId="0" borderId="79" xfId="0" applyFont="1" applyBorder="1" applyAlignment="1">
      <alignment horizontal="center" vertical="center"/>
    </xf>
    <xf numFmtId="0" fontId="0" fillId="0" borderId="80" xfId="0" applyBorder="1" applyAlignment="1">
      <alignment horizontal="center" vertical="center"/>
    </xf>
    <xf numFmtId="0" fontId="15" fillId="0" borderId="80" xfId="0" applyFont="1" applyBorder="1" applyAlignment="1">
      <alignment horizontal="center" vertical="center"/>
    </xf>
    <xf numFmtId="0" fontId="15" fillId="0" borderId="82" xfId="0" applyFont="1" applyBorder="1" applyAlignment="1">
      <alignment horizontal="center" vertical="center"/>
    </xf>
    <xf numFmtId="0" fontId="15" fillId="0" borderId="79" xfId="0" applyFont="1" applyBorder="1" applyAlignment="1">
      <alignment horizontal="left" vertical="center" wrapText="1"/>
    </xf>
    <xf numFmtId="0" fontId="0" fillId="0" borderId="80" xfId="0" applyBorder="1" applyAlignment="1">
      <alignment horizontal="left" vertical="center" wrapText="1"/>
    </xf>
    <xf numFmtId="0" fontId="15" fillId="0" borderId="80" xfId="0" applyFont="1" applyBorder="1" applyAlignment="1">
      <alignment horizontal="left" vertical="center" wrapText="1"/>
    </xf>
    <xf numFmtId="0" fontId="15" fillId="0" borderId="82" xfId="0" applyFont="1" applyBorder="1" applyAlignment="1">
      <alignment horizontal="left" vertical="center" wrapText="1"/>
    </xf>
    <xf numFmtId="166" fontId="10" fillId="0" borderId="0" xfId="4" applyNumberFormat="1" applyFont="1"/>
    <xf numFmtId="167" fontId="15" fillId="0" borderId="0" xfId="135" applyNumberFormat="1" applyFont="1"/>
    <xf numFmtId="10" fontId="15" fillId="0" borderId="0" xfId="135" applyNumberFormat="1" applyFont="1"/>
    <xf numFmtId="0" fontId="18" fillId="0" borderId="0" xfId="0" applyFont="1" applyFill="1" applyBorder="1" applyAlignment="1"/>
    <xf numFmtId="0" fontId="0" fillId="0" borderId="0" xfId="0" applyBorder="1"/>
    <xf numFmtId="3" fontId="0" fillId="0" borderId="0" xfId="0" applyNumberFormat="1" applyBorder="1"/>
    <xf numFmtId="0" fontId="18" fillId="49" borderId="71" xfId="0" applyFont="1" applyFill="1" applyBorder="1" applyAlignment="1">
      <alignment horizontal="center" vertical="center" wrapText="1"/>
    </xf>
    <xf numFmtId="3" fontId="18" fillId="49" borderId="71" xfId="0" applyNumberFormat="1" applyFont="1" applyFill="1" applyBorder="1" applyAlignment="1">
      <alignment horizontal="center" vertical="center" wrapText="1"/>
    </xf>
    <xf numFmtId="0" fontId="0" fillId="0" borderId="71" xfId="0" applyFill="1" applyBorder="1" applyAlignment="1">
      <alignment wrapText="1"/>
    </xf>
    <xf numFmtId="0" fontId="18" fillId="0" borderId="0" xfId="0" applyFont="1" applyBorder="1"/>
    <xf numFmtId="0" fontId="0" fillId="0" borderId="0" xfId="0" applyBorder="1" applyAlignment="1"/>
    <xf numFmtId="3" fontId="0" fillId="0" borderId="71" xfId="0" applyNumberFormat="1" applyBorder="1" applyAlignment="1">
      <alignment horizontal="center"/>
    </xf>
    <xf numFmtId="3" fontId="18" fillId="0" borderId="0" xfId="0" applyNumberFormat="1" applyFont="1"/>
    <xf numFmtId="0" fontId="15" fillId="0" borderId="0" xfId="0" applyFont="1" applyBorder="1"/>
    <xf numFmtId="0" fontId="18" fillId="50" borderId="71" xfId="0" applyFont="1" applyFill="1" applyBorder="1" applyAlignment="1">
      <alignment wrapText="1"/>
    </xf>
    <xf numFmtId="3" fontId="18" fillId="50" borderId="71" xfId="0" applyNumberFormat="1" applyFont="1" applyFill="1" applyBorder="1" applyAlignment="1">
      <alignment horizontal="center"/>
    </xf>
    <xf numFmtId="3" fontId="18" fillId="50" borderId="71" xfId="0" applyNumberFormat="1" applyFont="1" applyFill="1" applyBorder="1"/>
    <xf numFmtId="0" fontId="15" fillId="35" borderId="71" xfId="0" applyFont="1" applyFill="1" applyBorder="1"/>
    <xf numFmtId="169" fontId="42" fillId="0" borderId="0" xfId="0" applyNumberFormat="1" applyFont="1"/>
    <xf numFmtId="169" fontId="42" fillId="0" borderId="14" xfId="132" applyNumberFormat="1" applyFont="1" applyBorder="1" applyAlignment="1">
      <alignment vertical="center" wrapText="1"/>
    </xf>
    <xf numFmtId="0" fontId="15" fillId="47" borderId="58" xfId="0" applyFont="1" applyFill="1" applyBorder="1" applyAlignment="1">
      <alignment horizontal="center" vertical="center" wrapText="1"/>
    </xf>
    <xf numFmtId="0" fontId="15" fillId="47" borderId="30" xfId="0" applyFont="1" applyFill="1" applyBorder="1" applyAlignment="1">
      <alignment horizontal="center" vertical="center" wrapText="1"/>
    </xf>
    <xf numFmtId="167" fontId="15" fillId="47" borderId="14" xfId="135" applyNumberFormat="1" applyFont="1" applyFill="1" applyBorder="1" applyAlignment="1">
      <alignment horizontal="center" vertical="center" wrapText="1"/>
    </xf>
    <xf numFmtId="0" fontId="62" fillId="47" borderId="29" xfId="0" applyFont="1" applyFill="1" applyBorder="1" applyAlignment="1">
      <alignment horizontal="left" vertical="center" wrapText="1"/>
    </xf>
    <xf numFmtId="169" fontId="62" fillId="47" borderId="14" xfId="132" applyNumberFormat="1" applyFont="1" applyFill="1" applyBorder="1" applyAlignment="1">
      <alignment vertical="center" wrapText="1"/>
    </xf>
    <xf numFmtId="167" fontId="62" fillId="47" borderId="14" xfId="135" applyNumberFormat="1" applyFont="1" applyFill="1" applyBorder="1" applyAlignment="1">
      <alignment vertical="center" wrapText="1"/>
    </xf>
    <xf numFmtId="169" fontId="62" fillId="47" borderId="16" xfId="132" applyNumberFormat="1" applyFont="1" applyFill="1" applyBorder="1" applyAlignment="1">
      <alignment vertical="center" wrapText="1"/>
    </xf>
    <xf numFmtId="167" fontId="62" fillId="47" borderId="16" xfId="135" applyNumberFormat="1" applyFont="1" applyFill="1" applyBorder="1" applyAlignment="1">
      <alignment vertical="center" wrapText="1"/>
    </xf>
    <xf numFmtId="0" fontId="62" fillId="45" borderId="54" xfId="0" applyFont="1" applyFill="1" applyBorder="1" applyAlignment="1">
      <alignment vertical="center" wrapText="1"/>
    </xf>
    <xf numFmtId="169" fontId="62" fillId="45" borderId="14" xfId="132" applyNumberFormat="1" applyFont="1" applyFill="1" applyBorder="1" applyAlignment="1">
      <alignment vertical="center" wrapText="1"/>
    </xf>
    <xf numFmtId="167" fontId="62" fillId="45" borderId="14" xfId="135" applyNumberFormat="1" applyFont="1" applyFill="1" applyBorder="1" applyAlignment="1">
      <alignment vertical="center" wrapText="1"/>
    </xf>
    <xf numFmtId="0" fontId="62" fillId="46" borderId="29" xfId="0" applyFont="1" applyFill="1" applyBorder="1" applyAlignment="1">
      <alignment horizontal="left" vertical="center" wrapText="1"/>
    </xf>
    <xf numFmtId="169" fontId="62" fillId="46" borderId="14" xfId="132" applyNumberFormat="1" applyFont="1" applyFill="1" applyBorder="1" applyAlignment="1">
      <alignment vertical="center" wrapText="1"/>
    </xf>
    <xf numFmtId="167" fontId="62" fillId="46" borderId="15" xfId="135" applyNumberFormat="1" applyFont="1" applyFill="1" applyBorder="1" applyAlignment="1">
      <alignment vertical="center" wrapText="1"/>
    </xf>
    <xf numFmtId="0" fontId="62" fillId="0" borderId="59" xfId="0" applyFont="1" applyBorder="1" applyAlignment="1">
      <alignment vertical="center" wrapText="1"/>
    </xf>
    <xf numFmtId="9" fontId="42" fillId="0" borderId="14" xfId="135" applyFont="1" applyBorder="1" applyAlignment="1">
      <alignment vertical="center" wrapText="1"/>
    </xf>
    <xf numFmtId="0" fontId="62" fillId="0" borderId="55" xfId="0" applyFont="1" applyBorder="1" applyAlignment="1">
      <alignment vertical="center" wrapText="1"/>
    </xf>
    <xf numFmtId="3" fontId="0" fillId="0" borderId="0" xfId="0" applyNumberFormat="1" applyFont="1"/>
    <xf numFmtId="0" fontId="62" fillId="46" borderId="14" xfId="0" applyFont="1" applyFill="1" applyBorder="1" applyAlignment="1">
      <alignment vertical="center" wrapText="1"/>
    </xf>
    <xf numFmtId="166" fontId="0" fillId="0" borderId="0" xfId="0" applyNumberFormat="1" applyFont="1"/>
    <xf numFmtId="0" fontId="62" fillId="0" borderId="56" xfId="0" applyFont="1" applyBorder="1" applyAlignment="1">
      <alignment vertical="center" wrapText="1"/>
    </xf>
    <xf numFmtId="168" fontId="0" fillId="0" borderId="0" xfId="0" applyNumberFormat="1" applyFont="1"/>
    <xf numFmtId="0" fontId="62" fillId="0" borderId="14" xfId="0" applyFont="1" applyBorder="1" applyAlignment="1">
      <alignment vertical="center" wrapText="1"/>
    </xf>
    <xf numFmtId="0" fontId="62" fillId="0" borderId="53" xfId="0" applyFont="1" applyBorder="1" applyAlignment="1">
      <alignment vertical="center" wrapText="1"/>
    </xf>
    <xf numFmtId="165" fontId="0" fillId="0" borderId="0" xfId="0" applyNumberFormat="1" applyFont="1"/>
    <xf numFmtId="0" fontId="62" fillId="0" borderId="57" xfId="0" applyFont="1" applyBorder="1" applyAlignment="1">
      <alignment vertical="center" wrapText="1"/>
    </xf>
    <xf numFmtId="167" fontId="42" fillId="0" borderId="19" xfId="135" applyNumberFormat="1" applyFont="1" applyBorder="1" applyAlignment="1">
      <alignment vertical="center" wrapText="1"/>
    </xf>
    <xf numFmtId="0" fontId="62" fillId="47" borderId="14" xfId="0" applyFont="1" applyFill="1" applyBorder="1" applyAlignment="1">
      <alignment horizontal="left" vertical="center" wrapText="1"/>
    </xf>
    <xf numFmtId="169" fontId="62" fillId="0" borderId="14" xfId="132" applyNumberFormat="1" applyFont="1" applyBorder="1" applyAlignment="1">
      <alignment vertical="center" wrapText="1"/>
    </xf>
    <xf numFmtId="169" fontId="62" fillId="5" borderId="14" xfId="132" applyNumberFormat="1" applyFont="1" applyFill="1" applyBorder="1" applyAlignment="1">
      <alignment vertical="center" wrapText="1"/>
    </xf>
    <xf numFmtId="164" fontId="62" fillId="5" borderId="14" xfId="132" applyFont="1" applyFill="1" applyBorder="1" applyAlignment="1">
      <alignment vertical="center" wrapText="1"/>
    </xf>
    <xf numFmtId="4" fontId="18" fillId="28" borderId="17" xfId="4" applyNumberFormat="1" applyFont="1" applyFill="1" applyBorder="1" applyAlignment="1">
      <alignment horizontal="center" vertical="center" wrapText="1"/>
    </xf>
    <xf numFmtId="170" fontId="48" fillId="0" borderId="0" xfId="3" applyNumberFormat="1" applyFont="1" applyProtection="1">
      <protection locked="0"/>
    </xf>
    <xf numFmtId="170" fontId="0" fillId="0" borderId="0" xfId="0" applyNumberFormat="1" applyFont="1"/>
    <xf numFmtId="170" fontId="15" fillId="0" borderId="0" xfId="3" applyNumberFormat="1" applyFont="1" applyProtection="1">
      <protection locked="0"/>
    </xf>
    <xf numFmtId="170" fontId="43" fillId="29" borderId="14" xfId="0" applyNumberFormat="1" applyFont="1" applyFill="1" applyBorder="1" applyAlignment="1">
      <alignment horizontal="center" vertical="center"/>
    </xf>
    <xf numFmtId="170" fontId="43" fillId="29" borderId="15" xfId="0" applyNumberFormat="1" applyFont="1" applyFill="1" applyBorder="1" applyAlignment="1">
      <alignment horizontal="center" vertical="center"/>
    </xf>
    <xf numFmtId="170" fontId="18" fillId="0" borderId="26" xfId="4" applyNumberFormat="1" applyFont="1" applyBorder="1" applyAlignment="1">
      <alignment horizontal="center" vertical="center" wrapText="1"/>
    </xf>
    <xf numFmtId="170" fontId="42" fillId="0" borderId="29" xfId="132" applyNumberFormat="1" applyFont="1" applyBorder="1"/>
    <xf numFmtId="170" fontId="42" fillId="0" borderId="14" xfId="132" applyNumberFormat="1" applyFont="1" applyBorder="1"/>
    <xf numFmtId="170" fontId="42" fillId="0" borderId="15" xfId="132" applyNumberFormat="1" applyFont="1" applyBorder="1"/>
    <xf numFmtId="170" fontId="40" fillId="2" borderId="15" xfId="132" applyNumberFormat="1" applyFont="1" applyFill="1" applyBorder="1" applyAlignment="1">
      <alignment horizontal="right" vertical="center"/>
    </xf>
    <xf numFmtId="170" fontId="51" fillId="37" borderId="26" xfId="4" applyNumberFormat="1" applyFont="1" applyFill="1" applyBorder="1" applyAlignment="1">
      <alignment horizontal="center" vertical="center" wrapText="1"/>
    </xf>
    <xf numFmtId="170" fontId="43" fillId="37" borderId="14" xfId="132" applyNumberFormat="1" applyFont="1" applyFill="1" applyBorder="1" applyAlignment="1">
      <alignment horizontal="right" vertical="center"/>
    </xf>
    <xf numFmtId="170" fontId="43" fillId="5" borderId="28" xfId="0" applyNumberFormat="1" applyFont="1" applyFill="1" applyBorder="1" applyAlignment="1">
      <alignment horizontal="center" vertical="center"/>
    </xf>
    <xf numFmtId="164" fontId="49" fillId="5" borderId="14" xfId="132" applyNumberFormat="1" applyFont="1" applyFill="1" applyBorder="1" applyAlignment="1"/>
    <xf numFmtId="170" fontId="15" fillId="0" borderId="35" xfId="132" applyNumberFormat="1" applyFont="1" applyBorder="1" applyAlignment="1">
      <alignment horizontal="center"/>
    </xf>
    <xf numFmtId="170" fontId="15" fillId="0" borderId="73" xfId="132" applyNumberFormat="1" applyFont="1" applyBorder="1" applyAlignment="1">
      <alignment horizontal="center" vertical="center"/>
    </xf>
    <xf numFmtId="170" fontId="15" fillId="0" borderId="65" xfId="132" applyNumberFormat="1" applyFont="1" applyBorder="1" applyAlignment="1">
      <alignment horizontal="center"/>
    </xf>
    <xf numFmtId="170" fontId="15" fillId="0" borderId="3" xfId="132" applyNumberFormat="1" applyFont="1" applyBorder="1" applyAlignment="1">
      <alignment horizontal="center"/>
    </xf>
    <xf numFmtId="170" fontId="15" fillId="0" borderId="66" xfId="132" applyNumberFormat="1" applyFont="1" applyBorder="1" applyAlignment="1">
      <alignment horizontal="center"/>
    </xf>
    <xf numFmtId="170" fontId="15" fillId="0" borderId="21" xfId="132" applyNumberFormat="1" applyFont="1" applyBorder="1" applyAlignment="1">
      <alignment horizontal="center"/>
    </xf>
    <xf numFmtId="170" fontId="0" fillId="0" borderId="67" xfId="132" applyNumberFormat="1" applyFont="1" applyBorder="1" applyAlignment="1">
      <alignment horizontal="center" vertical="center" wrapText="1"/>
    </xf>
    <xf numFmtId="170" fontId="0" fillId="0" borderId="71" xfId="132" applyNumberFormat="1" applyFont="1" applyBorder="1" applyAlignment="1">
      <alignment horizontal="center" vertical="center" wrapText="1"/>
    </xf>
    <xf numFmtId="170" fontId="0" fillId="0" borderId="68" xfId="132" applyNumberFormat="1" applyFont="1" applyBorder="1" applyAlignment="1">
      <alignment horizontal="center" vertical="center" wrapText="1"/>
    </xf>
    <xf numFmtId="170" fontId="0" fillId="0" borderId="70" xfId="132" applyNumberFormat="1" applyFont="1" applyBorder="1" applyAlignment="1">
      <alignment horizontal="center" vertical="center" wrapText="1"/>
    </xf>
    <xf numFmtId="170" fontId="0" fillId="0" borderId="73" xfId="132" applyNumberFormat="1" applyFont="1" applyBorder="1" applyAlignment="1">
      <alignment horizontal="center" vertical="center" wrapText="1"/>
    </xf>
    <xf numFmtId="170" fontId="0" fillId="0" borderId="70" xfId="132" applyNumberFormat="1" applyFont="1" applyBorder="1" applyAlignment="1">
      <alignment vertical="center"/>
    </xf>
    <xf numFmtId="170" fontId="0" fillId="0" borderId="71" xfId="132" applyNumberFormat="1" applyFont="1" applyBorder="1" applyAlignment="1">
      <alignment vertical="center"/>
    </xf>
    <xf numFmtId="170" fontId="15" fillId="0" borderId="70" xfId="132" applyNumberFormat="1" applyFont="1" applyBorder="1" applyAlignment="1">
      <alignment horizontal="center" vertical="center"/>
    </xf>
    <xf numFmtId="170" fontId="15" fillId="0" borderId="67" xfId="132" applyNumberFormat="1" applyFont="1" applyBorder="1" applyAlignment="1">
      <alignment horizontal="center"/>
    </xf>
    <xf numFmtId="170" fontId="15" fillId="0" borderId="71" xfId="132" applyNumberFormat="1" applyFont="1" applyBorder="1" applyAlignment="1">
      <alignment horizontal="center"/>
    </xf>
    <xf numFmtId="170" fontId="15" fillId="0" borderId="68" xfId="132" applyNumberFormat="1" applyFont="1" applyBorder="1" applyAlignment="1">
      <alignment horizontal="center"/>
    </xf>
    <xf numFmtId="170" fontId="15" fillId="0" borderId="70" xfId="132" applyNumberFormat="1" applyFont="1" applyBorder="1" applyAlignment="1">
      <alignment horizontal="center"/>
    </xf>
    <xf numFmtId="170" fontId="15" fillId="0" borderId="73" xfId="132" applyNumberFormat="1" applyFont="1" applyBorder="1" applyAlignment="1">
      <alignment horizontal="center"/>
    </xf>
    <xf numFmtId="170" fontId="16" fillId="0" borderId="73" xfId="132" applyNumberFormat="1" applyFont="1" applyBorder="1" applyAlignment="1">
      <alignment horizontal="center" vertical="center" wrapText="1"/>
    </xf>
    <xf numFmtId="170" fontId="15" fillId="37" borderId="72" xfId="132" applyNumberFormat="1" applyFont="1" applyFill="1" applyBorder="1" applyAlignment="1">
      <alignment horizontal="center" vertical="center"/>
    </xf>
    <xf numFmtId="170" fontId="15" fillId="37" borderId="69" xfId="132" applyNumberFormat="1" applyFont="1" applyFill="1" applyBorder="1" applyAlignment="1">
      <alignment horizontal="center"/>
    </xf>
    <xf numFmtId="170" fontId="15" fillId="37" borderId="63" xfId="132" applyNumberFormat="1" applyFont="1" applyFill="1" applyBorder="1" applyAlignment="1">
      <alignment horizontal="center"/>
    </xf>
    <xf numFmtId="170" fontId="15" fillId="37" borderId="64" xfId="132" applyNumberFormat="1" applyFont="1" applyFill="1" applyBorder="1" applyAlignment="1">
      <alignment horizontal="center"/>
    </xf>
    <xf numFmtId="170" fontId="15" fillId="37" borderId="62" xfId="132" applyNumberFormat="1" applyFont="1" applyFill="1" applyBorder="1" applyAlignment="1">
      <alignment horizontal="center"/>
    </xf>
    <xf numFmtId="170" fontId="15" fillId="37" borderId="72" xfId="132" applyNumberFormat="1" applyFont="1" applyFill="1" applyBorder="1" applyAlignment="1">
      <alignment horizontal="center"/>
    </xf>
    <xf numFmtId="169" fontId="0" fillId="0" borderId="71" xfId="0" applyNumberFormat="1" applyBorder="1"/>
    <xf numFmtId="169" fontId="18" fillId="50" borderId="71" xfId="0" applyNumberFormat="1" applyFont="1" applyFill="1" applyBorder="1"/>
    <xf numFmtId="169" fontId="18" fillId="42" borderId="0" xfId="132" applyNumberFormat="1" applyFont="1" applyFill="1"/>
    <xf numFmtId="0" fontId="0" fillId="0" borderId="41" xfId="0" applyBorder="1" applyAlignment="1">
      <alignment horizontal="center"/>
    </xf>
    <xf numFmtId="0" fontId="0" fillId="35" borderId="41" xfId="0" applyFill="1" applyBorder="1" applyAlignment="1">
      <alignment horizontal="center"/>
    </xf>
    <xf numFmtId="170" fontId="0" fillId="0" borderId="41" xfId="0" applyNumberFormat="1" applyBorder="1" applyAlignment="1">
      <alignment horizontal="center"/>
    </xf>
    <xf numFmtId="170" fontId="15" fillId="0" borderId="41" xfId="132" applyNumberFormat="1" applyFont="1" applyBorder="1" applyAlignment="1">
      <alignment horizontal="right"/>
    </xf>
    <xf numFmtId="170" fontId="0" fillId="0" borderId="41" xfId="132" applyNumberFormat="1" applyFont="1" applyBorder="1" applyAlignment="1">
      <alignment horizontal="right"/>
    </xf>
    <xf numFmtId="170" fontId="0" fillId="35" borderId="41" xfId="0" applyNumberFormat="1" applyFill="1" applyBorder="1" applyAlignment="1">
      <alignment horizontal="center"/>
    </xf>
    <xf numFmtId="170" fontId="15" fillId="35" borderId="41" xfId="132" applyNumberFormat="1" applyFont="1" applyFill="1" applyBorder="1" applyAlignment="1">
      <alignment horizontal="right"/>
    </xf>
    <xf numFmtId="170" fontId="60" fillId="33" borderId="17" xfId="132" applyNumberFormat="1" applyFont="1" applyFill="1" applyBorder="1" applyAlignment="1">
      <alignment horizontal="right" vertical="center"/>
    </xf>
    <xf numFmtId="170" fontId="46" fillId="48" borderId="17" xfId="132" applyNumberFormat="1" applyFont="1" applyFill="1" applyBorder="1" applyAlignment="1">
      <alignment horizontal="right" vertical="center"/>
    </xf>
    <xf numFmtId="170" fontId="41" fillId="36" borderId="75" xfId="132" applyNumberFormat="1" applyFont="1" applyFill="1" applyBorder="1" applyAlignment="1">
      <alignment horizontal="right" vertical="center"/>
    </xf>
    <xf numFmtId="170" fontId="44" fillId="36" borderId="81" xfId="132" applyNumberFormat="1" applyFont="1" applyFill="1" applyBorder="1" applyAlignment="1">
      <alignment horizontal="right" vertical="center"/>
    </xf>
    <xf numFmtId="170" fontId="44" fillId="36" borderId="78" xfId="132" applyNumberFormat="1" applyFont="1" applyFill="1" applyBorder="1" applyAlignment="1">
      <alignment horizontal="right" vertical="center"/>
    </xf>
    <xf numFmtId="170" fontId="50" fillId="0" borderId="81" xfId="132" applyNumberFormat="1" applyFont="1" applyBorder="1" applyAlignment="1">
      <alignment horizontal="right" vertical="center"/>
    </xf>
    <xf numFmtId="170" fontId="44" fillId="0" borderId="81" xfId="132" applyNumberFormat="1" applyFont="1" applyBorder="1" applyAlignment="1">
      <alignment horizontal="right" vertical="center"/>
    </xf>
    <xf numFmtId="170" fontId="50" fillId="0" borderId="81" xfId="132" applyNumberFormat="1" applyFont="1" applyFill="1" applyBorder="1" applyAlignment="1">
      <alignment horizontal="right" vertical="center"/>
    </xf>
    <xf numFmtId="170" fontId="44" fillId="0" borderId="81" xfId="132" applyNumberFormat="1" applyFont="1" applyFill="1" applyBorder="1" applyAlignment="1">
      <alignment horizontal="right" vertical="center"/>
    </xf>
    <xf numFmtId="170" fontId="50" fillId="0" borderId="78" xfId="132" applyNumberFormat="1" applyFont="1" applyBorder="1" applyAlignment="1">
      <alignment horizontal="right" vertical="center"/>
    </xf>
    <xf numFmtId="170" fontId="44" fillId="0" borderId="78" xfId="132" applyNumberFormat="1" applyFont="1" applyBorder="1" applyAlignment="1">
      <alignment horizontal="right" vertical="center"/>
    </xf>
    <xf numFmtId="170" fontId="42" fillId="0" borderId="75" xfId="132" applyNumberFormat="1" applyFont="1" applyBorder="1" applyAlignment="1">
      <alignment horizontal="right" vertical="center"/>
    </xf>
    <xf numFmtId="170" fontId="42" fillId="0" borderId="17" xfId="132" applyNumberFormat="1" applyFont="1" applyBorder="1" applyAlignment="1">
      <alignment horizontal="right" vertical="center"/>
    </xf>
    <xf numFmtId="170" fontId="41" fillId="0" borderId="17" xfId="132" applyNumberFormat="1" applyFont="1" applyBorder="1" applyAlignment="1">
      <alignment horizontal="right" vertical="center"/>
    </xf>
    <xf numFmtId="170" fontId="18" fillId="48" borderId="17" xfId="132" applyNumberFormat="1" applyFont="1" applyFill="1" applyBorder="1" applyAlignment="1">
      <alignment horizontal="right" vertical="center"/>
    </xf>
    <xf numFmtId="170" fontId="42" fillId="0" borderId="75" xfId="132" applyNumberFormat="1" applyFont="1" applyFill="1" applyBorder="1" applyAlignment="1">
      <alignment horizontal="right" vertical="center"/>
    </xf>
    <xf numFmtId="170" fontId="41" fillId="0" borderId="75" xfId="132" applyNumberFormat="1" applyFont="1" applyFill="1" applyBorder="1" applyAlignment="1">
      <alignment horizontal="right" vertical="center"/>
    </xf>
    <xf numFmtId="170" fontId="42" fillId="36" borderId="78" xfId="132" applyNumberFormat="1" applyFont="1" applyFill="1" applyBorder="1" applyAlignment="1">
      <alignment horizontal="right" vertical="center"/>
    </xf>
    <xf numFmtId="170" fontId="41" fillId="36" borderId="78" xfId="132" applyNumberFormat="1" applyFont="1" applyFill="1" applyBorder="1" applyAlignment="1">
      <alignment horizontal="right" vertical="center"/>
    </xf>
    <xf numFmtId="170" fontId="41" fillId="36" borderId="81" xfId="132" applyNumberFormat="1" applyFont="1" applyFill="1" applyBorder="1" applyAlignment="1">
      <alignment horizontal="right" vertical="center"/>
    </xf>
    <xf numFmtId="170" fontId="41" fillId="0" borderId="81" xfId="132" applyNumberFormat="1" applyFont="1" applyBorder="1" applyAlignment="1">
      <alignment horizontal="right" vertical="center"/>
    </xf>
    <xf numFmtId="170" fontId="41" fillId="0" borderId="78" xfId="132" applyNumberFormat="1" applyFont="1" applyBorder="1" applyAlignment="1">
      <alignment horizontal="right" vertical="center"/>
    </xf>
    <xf numFmtId="170" fontId="42" fillId="0" borderId="81" xfId="132" applyNumberFormat="1" applyFont="1" applyBorder="1" applyAlignment="1">
      <alignment horizontal="right" vertical="center"/>
    </xf>
    <xf numFmtId="170" fontId="42" fillId="0" borderId="78" xfId="132" applyNumberFormat="1" applyFont="1" applyBorder="1" applyAlignment="1">
      <alignment horizontal="right" vertical="center"/>
    </xf>
    <xf numFmtId="170" fontId="61" fillId="0" borderId="75" xfId="132" applyNumberFormat="1" applyFont="1" applyFill="1" applyBorder="1" applyAlignment="1">
      <alignment horizontal="right" vertical="center"/>
    </xf>
    <xf numFmtId="170" fontId="42" fillId="0" borderId="81" xfId="132" applyNumberFormat="1" applyFont="1" applyFill="1" applyBorder="1" applyAlignment="1">
      <alignment horizontal="right" vertical="center"/>
    </xf>
    <xf numFmtId="170" fontId="41" fillId="0" borderId="81" xfId="132" applyNumberFormat="1" applyFont="1" applyFill="1" applyBorder="1" applyAlignment="1">
      <alignment horizontal="right" vertical="center"/>
    </xf>
    <xf numFmtId="170" fontId="42" fillId="0" borderId="78" xfId="132" applyNumberFormat="1" applyFont="1" applyFill="1" applyBorder="1" applyAlignment="1">
      <alignment horizontal="right" vertical="center"/>
    </xf>
    <xf numFmtId="170" fontId="41" fillId="0" borderId="78" xfId="132" applyNumberFormat="1" applyFont="1" applyFill="1" applyBorder="1" applyAlignment="1">
      <alignment horizontal="right" vertical="center"/>
    </xf>
    <xf numFmtId="170" fontId="46" fillId="33" borderId="17" xfId="132" applyNumberFormat="1" applyFont="1" applyFill="1" applyBorder="1" applyAlignment="1">
      <alignment horizontal="right" vertical="center"/>
    </xf>
    <xf numFmtId="170" fontId="39" fillId="34" borderId="17" xfId="132" applyNumberFormat="1" applyFont="1" applyFill="1" applyBorder="1" applyAlignment="1">
      <alignment horizontal="right" vertical="center"/>
    </xf>
    <xf numFmtId="172" fontId="0" fillId="0" borderId="0" xfId="0" applyNumberFormat="1"/>
    <xf numFmtId="170" fontId="0" fillId="0" borderId="0" xfId="0" applyNumberFormat="1"/>
    <xf numFmtId="169" fontId="0" fillId="0" borderId="0" xfId="0" applyNumberFormat="1" applyFont="1"/>
    <xf numFmtId="0" fontId="0" fillId="0" borderId="0" xfId="0" applyAlignment="1">
      <alignment horizontal="center"/>
    </xf>
    <xf numFmtId="170" fontId="0" fillId="0" borderId="0" xfId="0" applyNumberFormat="1" applyAlignment="1">
      <alignment horizontal="center"/>
    </xf>
    <xf numFmtId="172" fontId="0" fillId="0" borderId="0" xfId="0" applyNumberFormat="1" applyFont="1"/>
    <xf numFmtId="169" fontId="0" fillId="0" borderId="0" xfId="0" applyNumberFormat="1"/>
    <xf numFmtId="168" fontId="0" fillId="0" borderId="0" xfId="0" applyNumberFormat="1" applyAlignment="1">
      <alignment horizontal="center"/>
    </xf>
    <xf numFmtId="0" fontId="4" fillId="0" borderId="71" xfId="0" applyFont="1" applyBorder="1" applyAlignment="1">
      <alignment horizontal="justify" vertical="center"/>
    </xf>
    <xf numFmtId="0" fontId="0" fillId="0" borderId="0" xfId="0" applyAlignment="1">
      <alignment vertical="top" wrapText="1"/>
    </xf>
    <xf numFmtId="0" fontId="0" fillId="0" borderId="0" xfId="0" quotePrefix="1" applyAlignment="1">
      <alignment vertical="top" wrapText="1"/>
    </xf>
    <xf numFmtId="169" fontId="15" fillId="35" borderId="71" xfId="0" applyNumberFormat="1" applyFont="1" applyFill="1" applyBorder="1"/>
    <xf numFmtId="169" fontId="18" fillId="35" borderId="71" xfId="0" applyNumberFormat="1" applyFont="1" applyFill="1" applyBorder="1"/>
    <xf numFmtId="0" fontId="0" fillId="0" borderId="71" xfId="0" applyBorder="1"/>
    <xf numFmtId="169" fontId="0" fillId="0" borderId="71" xfId="132" applyNumberFormat="1" applyFont="1" applyBorder="1" applyAlignment="1">
      <alignment horizontal="right"/>
    </xf>
    <xf numFmtId="171" fontId="0" fillId="0" borderId="71" xfId="132" applyNumberFormat="1" applyFont="1" applyBorder="1" applyAlignment="1">
      <alignment horizontal="right"/>
    </xf>
    <xf numFmtId="0" fontId="15" fillId="37" borderId="71" xfId="0" applyFont="1" applyFill="1" applyBorder="1" applyAlignment="1">
      <alignment horizontal="center"/>
    </xf>
    <xf numFmtId="171" fontId="15" fillId="37" borderId="71" xfId="132" applyNumberFormat="1" applyFont="1" applyFill="1" applyBorder="1" applyAlignment="1">
      <alignment horizontal="right"/>
    </xf>
    <xf numFmtId="0" fontId="15" fillId="37" borderId="71" xfId="0" applyFont="1" applyFill="1" applyBorder="1"/>
    <xf numFmtId="0" fontId="15" fillId="0" borderId="71" xfId="0" applyFont="1" applyBorder="1" applyAlignment="1">
      <alignment horizontal="center" vertical="center"/>
    </xf>
    <xf numFmtId="0" fontId="0" fillId="0" borderId="71" xfId="0" applyBorder="1" applyAlignment="1">
      <alignment horizontal="center" vertical="center"/>
    </xf>
    <xf numFmtId="0" fontId="0" fillId="0" borderId="73" xfId="0" applyBorder="1" applyAlignment="1">
      <alignment horizontal="left" wrapText="1"/>
    </xf>
    <xf numFmtId="172" fontId="0" fillId="0" borderId="71" xfId="0" applyNumberFormat="1" applyBorder="1"/>
    <xf numFmtId="0" fontId="0" fillId="37" borderId="71" xfId="0" applyFill="1" applyBorder="1" applyAlignment="1">
      <alignment horizontal="left" wrapText="1"/>
    </xf>
    <xf numFmtId="172" fontId="15" fillId="0" borderId="71" xfId="0" applyNumberFormat="1" applyFont="1" applyBorder="1"/>
    <xf numFmtId="167" fontId="0" fillId="0" borderId="71" xfId="135" applyNumberFormat="1" applyFont="1" applyBorder="1"/>
    <xf numFmtId="167" fontId="15" fillId="0" borderId="71" xfId="135" applyNumberFormat="1" applyFont="1" applyBorder="1"/>
    <xf numFmtId="0" fontId="15" fillId="0" borderId="0" xfId="0" applyFont="1" applyAlignment="1">
      <alignment horizontal="left"/>
    </xf>
    <xf numFmtId="170" fontId="15" fillId="0" borderId="70" xfId="132" applyNumberFormat="1" applyFont="1" applyBorder="1" applyAlignment="1">
      <alignment vertical="center"/>
    </xf>
    <xf numFmtId="166" fontId="15" fillId="37" borderId="71" xfId="0" applyNumberFormat="1" applyFont="1" applyFill="1" applyBorder="1" applyAlignment="1">
      <alignment horizontal="center"/>
    </xf>
    <xf numFmtId="10" fontId="15" fillId="37" borderId="71" xfId="135" applyNumberFormat="1" applyFont="1" applyFill="1" applyBorder="1" applyAlignment="1">
      <alignment horizontal="center"/>
    </xf>
    <xf numFmtId="167" fontId="15" fillId="37" borderId="71" xfId="135" applyNumberFormat="1" applyFont="1" applyFill="1" applyBorder="1" applyAlignment="1">
      <alignment horizontal="center"/>
    </xf>
    <xf numFmtId="0" fontId="15" fillId="0" borderId="89" xfId="0" applyFont="1" applyBorder="1" applyAlignment="1">
      <alignment horizontal="center" vertical="center"/>
    </xf>
    <xf numFmtId="0" fontId="0" fillId="0" borderId="91" xfId="0" applyBorder="1" applyAlignment="1">
      <alignment horizontal="left" wrapText="1"/>
    </xf>
    <xf numFmtId="172" fontId="0" fillId="0" borderId="89" xfId="0" applyNumberFormat="1" applyBorder="1"/>
    <xf numFmtId="172" fontId="15" fillId="0" borderId="89" xfId="0" applyNumberFormat="1" applyFont="1" applyBorder="1"/>
    <xf numFmtId="167" fontId="0" fillId="0" borderId="89" xfId="135" applyNumberFormat="1" applyFont="1" applyBorder="1"/>
    <xf numFmtId="0" fontId="15" fillId="37" borderId="29" xfId="0" applyFont="1" applyFill="1" applyBorder="1"/>
    <xf numFmtId="0" fontId="15" fillId="37" borderId="33" xfId="0" applyFont="1" applyFill="1" applyBorder="1" applyAlignment="1">
      <alignment horizontal="left" wrapText="1"/>
    </xf>
    <xf numFmtId="172" fontId="15" fillId="37" borderId="33" xfId="0" applyNumberFormat="1" applyFont="1" applyFill="1" applyBorder="1"/>
    <xf numFmtId="167" fontId="15" fillId="37" borderId="33" xfId="135" applyNumberFormat="1" applyFont="1" applyFill="1" applyBorder="1"/>
    <xf numFmtId="167" fontId="15" fillId="37" borderId="76" xfId="135" applyNumberFormat="1" applyFont="1" applyFill="1" applyBorder="1"/>
    <xf numFmtId="169" fontId="10" fillId="0" borderId="0" xfId="0" applyNumberFormat="1" applyFont="1"/>
    <xf numFmtId="169" fontId="15" fillId="0" borderId="0" xfId="0" applyNumberFormat="1" applyFont="1" applyAlignment="1">
      <alignment horizontal="left" vertical="top" wrapText="1"/>
    </xf>
    <xf numFmtId="169" fontId="48" fillId="0" borderId="0" xfId="0" applyNumberFormat="1" applyFont="1" applyAlignment="1">
      <alignment horizontal="left" vertical="top" wrapText="1"/>
    </xf>
    <xf numFmtId="169" fontId="48" fillId="0" borderId="0" xfId="0" applyNumberFormat="1" applyFont="1"/>
    <xf numFmtId="169" fontId="15" fillId="0" borderId="0" xfId="0" applyNumberFormat="1" applyFont="1"/>
    <xf numFmtId="169" fontId="15" fillId="43" borderId="46" xfId="0" applyNumberFormat="1" applyFont="1" applyFill="1" applyBorder="1"/>
    <xf numFmtId="169" fontId="15" fillId="43" borderId="46" xfId="0" applyNumberFormat="1" applyFont="1" applyFill="1" applyBorder="1" applyAlignment="1">
      <alignment horizontal="center"/>
    </xf>
    <xf numFmtId="169" fontId="18" fillId="0" borderId="46" xfId="0" applyNumberFormat="1" applyFont="1" applyBorder="1" applyAlignment="1">
      <alignment horizontal="justify" vertical="center"/>
    </xf>
    <xf numFmtId="169" fontId="18" fillId="0" borderId="46" xfId="0" applyNumberFormat="1" applyFont="1" applyBorder="1"/>
    <xf numFmtId="169" fontId="18" fillId="36" borderId="46" xfId="132" applyNumberFormat="1" applyFont="1" applyFill="1" applyBorder="1"/>
    <xf numFmtId="169" fontId="6" fillId="0" borderId="46" xfId="0" applyNumberFormat="1" applyFont="1" applyBorder="1" applyAlignment="1">
      <alignment horizontal="justify" vertical="center"/>
    </xf>
    <xf numFmtId="169" fontId="6" fillId="0" borderId="46" xfId="132" applyNumberFormat="1" applyFont="1" applyBorder="1"/>
    <xf numFmtId="169" fontId="5" fillId="0" borderId="46" xfId="0" applyNumberFormat="1" applyFont="1" applyBorder="1" applyAlignment="1">
      <alignment horizontal="justify" vertical="center"/>
    </xf>
    <xf numFmtId="169" fontId="10" fillId="0" borderId="0" xfId="0" applyNumberFormat="1" applyFont="1" applyBorder="1" applyAlignment="1" applyProtection="1">
      <alignment horizontal="center" vertical="center" wrapText="1"/>
      <protection locked="0"/>
    </xf>
    <xf numFmtId="169" fontId="15" fillId="0" borderId="46" xfId="0" applyNumberFormat="1" applyFont="1" applyBorder="1"/>
    <xf numFmtId="169" fontId="56" fillId="0" borderId="46" xfId="0" applyNumberFormat="1" applyFont="1" applyBorder="1" applyAlignment="1">
      <alignment horizontal="justify" vertical="center"/>
    </xf>
    <xf numFmtId="169" fontId="56" fillId="0" borderId="71" xfId="0" applyNumberFormat="1" applyFont="1" applyBorder="1" applyAlignment="1">
      <alignment horizontal="justify" vertical="center"/>
    </xf>
    <xf numFmtId="169" fontId="6" fillId="0" borderId="71" xfId="132" applyNumberFormat="1" applyFont="1" applyBorder="1"/>
    <xf numFmtId="169" fontId="6" fillId="0" borderId="46" xfId="132" applyNumberFormat="1" applyFont="1" applyBorder="1" applyAlignment="1">
      <alignment horizontal="left" vertical="center"/>
    </xf>
    <xf numFmtId="169" fontId="18" fillId="43" borderId="46" xfId="0" applyNumberFormat="1" applyFont="1" applyFill="1" applyBorder="1" applyAlignment="1">
      <alignment horizontal="justify" vertical="center"/>
    </xf>
    <xf numFmtId="169" fontId="4" fillId="0" borderId="71" xfId="0" applyNumberFormat="1" applyFont="1" applyBorder="1" applyAlignment="1">
      <alignment horizontal="justify" vertical="center"/>
    </xf>
    <xf numFmtId="169" fontId="52" fillId="36" borderId="71" xfId="132" applyNumberFormat="1" applyFont="1" applyFill="1" applyBorder="1" applyAlignment="1">
      <alignment vertical="center"/>
    </xf>
    <xf numFmtId="169" fontId="6" fillId="0" borderId="0" xfId="0" applyNumberFormat="1" applyFont="1" applyAlignment="1">
      <alignment horizontal="justify" vertical="center"/>
    </xf>
    <xf numFmtId="169" fontId="6" fillId="0" borderId="0" xfId="0" applyNumberFormat="1" applyFont="1"/>
    <xf numFmtId="169" fontId="57" fillId="0" borderId="46" xfId="0" applyNumberFormat="1" applyFont="1" applyBorder="1" applyAlignment="1">
      <alignment horizontal="justify" vertical="center"/>
    </xf>
    <xf numFmtId="169" fontId="6" fillId="0" borderId="3" xfId="132" applyNumberFormat="1" applyFont="1" applyBorder="1"/>
    <xf numFmtId="169" fontId="0" fillId="0" borderId="71" xfId="0" applyNumberFormat="1" applyFont="1" applyBorder="1"/>
    <xf numFmtId="169" fontId="18" fillId="43" borderId="46" xfId="0" applyNumberFormat="1" applyFont="1" applyFill="1" applyBorder="1"/>
    <xf numFmtId="169" fontId="48" fillId="35" borderId="46" xfId="135" applyNumberFormat="1" applyFont="1" applyFill="1" applyBorder="1"/>
    <xf numFmtId="169" fontId="48" fillId="35" borderId="46" xfId="0" applyNumberFormat="1" applyFont="1" applyFill="1" applyBorder="1"/>
    <xf numFmtId="169" fontId="48" fillId="35" borderId="46" xfId="132" applyNumberFormat="1" applyFont="1" applyFill="1" applyBorder="1"/>
    <xf numFmtId="169" fontId="15" fillId="37" borderId="71" xfId="132" applyNumberFormat="1" applyFont="1" applyFill="1" applyBorder="1" applyAlignment="1">
      <alignment horizontal="right"/>
    </xf>
    <xf numFmtId="0" fontId="4" fillId="36" borderId="46" xfId="0" applyFont="1" applyFill="1" applyBorder="1" applyAlignment="1">
      <alignment vertical="top" wrapText="1"/>
    </xf>
    <xf numFmtId="0" fontId="18" fillId="5" borderId="33" xfId="0" applyFont="1" applyFill="1" applyBorder="1" applyAlignment="1">
      <alignment horizontal="center"/>
    </xf>
    <xf numFmtId="0" fontId="18" fillId="5" borderId="76" xfId="0" applyFont="1" applyFill="1" applyBorder="1" applyAlignment="1">
      <alignment horizontal="center"/>
    </xf>
    <xf numFmtId="0" fontId="18" fillId="5" borderId="77" xfId="0" applyFont="1" applyFill="1" applyBorder="1" applyAlignment="1">
      <alignment horizontal="center"/>
    </xf>
    <xf numFmtId="173" fontId="4" fillId="35" borderId="65" xfId="0" applyNumberFormat="1" applyFont="1" applyFill="1" applyBorder="1" applyAlignment="1">
      <alignment horizontal="center"/>
    </xf>
    <xf numFmtId="174" fontId="4" fillId="35" borderId="3" xfId="0" applyNumberFormat="1" applyFont="1" applyFill="1" applyBorder="1" applyAlignment="1">
      <alignment horizontal="center"/>
    </xf>
    <xf numFmtId="165" fontId="4" fillId="35" borderId="3" xfId="132" applyNumberFormat="1" applyFont="1" applyFill="1" applyBorder="1"/>
    <xf numFmtId="173" fontId="4" fillId="0" borderId="3" xfId="132" applyNumberFormat="1" applyFont="1" applyBorder="1"/>
    <xf numFmtId="173" fontId="4" fillId="0" borderId="66" xfId="0" applyNumberFormat="1" applyFont="1" applyBorder="1"/>
    <xf numFmtId="173" fontId="4" fillId="0" borderId="35" xfId="132" applyNumberFormat="1" applyFont="1" applyBorder="1"/>
    <xf numFmtId="173" fontId="4" fillId="0" borderId="67" xfId="0" applyNumberFormat="1" applyFont="1" applyBorder="1" applyAlignment="1">
      <alignment horizontal="center"/>
    </xf>
    <xf numFmtId="174" fontId="4" fillId="0" borderId="71" xfId="0" applyNumberFormat="1" applyFont="1" applyBorder="1" applyAlignment="1">
      <alignment horizontal="center"/>
    </xf>
    <xf numFmtId="165" fontId="4" fillId="0" borderId="71" xfId="132" applyNumberFormat="1" applyFont="1" applyBorder="1"/>
    <xf numFmtId="173" fontId="4" fillId="0" borderId="71" xfId="132" applyNumberFormat="1" applyFont="1" applyBorder="1"/>
    <xf numFmtId="173" fontId="4" fillId="0" borderId="68" xfId="0" applyNumberFormat="1" applyFont="1" applyBorder="1"/>
    <xf numFmtId="173" fontId="4" fillId="0" borderId="70" xfId="132" applyNumberFormat="1" applyFont="1" applyBorder="1"/>
    <xf numFmtId="173" fontId="4" fillId="0" borderId="71" xfId="0" applyNumberFormat="1" applyFont="1" applyBorder="1"/>
    <xf numFmtId="173" fontId="4" fillId="35" borderId="67" xfId="0" applyNumberFormat="1" applyFont="1" applyFill="1" applyBorder="1" applyAlignment="1">
      <alignment horizontal="center"/>
    </xf>
    <xf numFmtId="174" fontId="4" fillId="35" borderId="71" xfId="0" applyNumberFormat="1" applyFont="1" applyFill="1" applyBorder="1" applyAlignment="1">
      <alignment horizontal="center"/>
    </xf>
    <xf numFmtId="165" fontId="4" fillId="35" borderId="71" xfId="132" applyNumberFormat="1" applyFont="1" applyFill="1" applyBorder="1" applyAlignment="1">
      <alignment horizontal="left"/>
    </xf>
    <xf numFmtId="165" fontId="4" fillId="0" borderId="89" xfId="132" applyNumberFormat="1" applyFont="1" applyBorder="1"/>
    <xf numFmtId="173" fontId="4" fillId="0" borderId="89" xfId="132" applyNumberFormat="1" applyFont="1" applyBorder="1"/>
    <xf numFmtId="173" fontId="4" fillId="0" borderId="90" xfId="0" applyNumberFormat="1" applyFont="1" applyBorder="1"/>
    <xf numFmtId="173" fontId="4" fillId="0" borderId="89" xfId="0" applyNumberFormat="1" applyFont="1" applyBorder="1"/>
    <xf numFmtId="173" fontId="18" fillId="37" borderId="32" xfId="0" applyNumberFormat="1" applyFont="1" applyFill="1" applyBorder="1" applyAlignment="1">
      <alignment horizontal="center"/>
    </xf>
    <xf numFmtId="174" fontId="18" fillId="37" borderId="33" xfId="0" applyNumberFormat="1" applyFont="1" applyFill="1" applyBorder="1" applyAlignment="1">
      <alignment horizontal="center"/>
    </xf>
    <xf numFmtId="173" fontId="18" fillId="37" borderId="77" xfId="132" applyNumberFormat="1" applyFont="1" applyFill="1" applyBorder="1"/>
    <xf numFmtId="173" fontId="18" fillId="37" borderId="76" xfId="0" applyNumberFormat="1" applyFont="1" applyFill="1" applyBorder="1"/>
    <xf numFmtId="3" fontId="10" fillId="36" borderId="71" xfId="0" applyNumberFormat="1" applyFont="1" applyFill="1" applyBorder="1" applyAlignment="1" applyProtection="1">
      <alignment horizontal="center" vertical="center" wrapText="1"/>
      <protection locked="0"/>
    </xf>
    <xf numFmtId="3" fontId="10" fillId="36" borderId="71" xfId="3" applyNumberFormat="1" applyFont="1" applyFill="1" applyBorder="1" applyAlignment="1" applyProtection="1">
      <alignment horizontal="center" vertical="center" wrapText="1"/>
    </xf>
    <xf numFmtId="0" fontId="45" fillId="0" borderId="41" xfId="0" applyFont="1" applyBorder="1" applyAlignment="1">
      <alignment horizontal="center" vertical="center" wrapText="1"/>
    </xf>
    <xf numFmtId="0" fontId="45" fillId="0" borderId="71" xfId="0" applyFont="1" applyBorder="1" applyAlignment="1">
      <alignment horizontal="center" vertical="center" wrapText="1"/>
    </xf>
    <xf numFmtId="169" fontId="4" fillId="0" borderId="46" xfId="0" applyNumberFormat="1" applyFont="1" applyBorder="1" applyAlignment="1">
      <alignment horizontal="justify" vertical="center"/>
    </xf>
    <xf numFmtId="166" fontId="45" fillId="0" borderId="71" xfId="132" applyNumberFormat="1" applyFont="1" applyBorder="1" applyAlignment="1">
      <alignment horizontal="center" vertical="center" wrapText="1"/>
    </xf>
    <xf numFmtId="164" fontId="45" fillId="0" borderId="73" xfId="132" applyFont="1" applyBorder="1" applyAlignment="1">
      <alignment horizontal="center" vertical="center" wrapText="1"/>
    </xf>
    <xf numFmtId="3" fontId="10" fillId="36" borderId="3" xfId="0" applyNumberFormat="1" applyFont="1" applyFill="1" applyBorder="1" applyAlignment="1" applyProtection="1">
      <alignment horizontal="center" vertical="center" wrapText="1"/>
      <protection locked="0"/>
    </xf>
    <xf numFmtId="169" fontId="5" fillId="0" borderId="70" xfId="0" applyNumberFormat="1" applyFont="1" applyBorder="1" applyAlignment="1">
      <alignment horizontal="justify" vertical="center"/>
    </xf>
    <xf numFmtId="169" fontId="6" fillId="0" borderId="70" xfId="0" applyNumberFormat="1" applyFont="1" applyBorder="1" applyAlignment="1">
      <alignment horizontal="justify" vertical="center"/>
    </xf>
    <xf numFmtId="169" fontId="4" fillId="0" borderId="70" xfId="0" applyNumberFormat="1" applyFont="1" applyBorder="1" applyAlignment="1">
      <alignment horizontal="justify" vertical="center"/>
    </xf>
    <xf numFmtId="0" fontId="45" fillId="0" borderId="70" xfId="0" applyFont="1" applyBorder="1" applyAlignment="1">
      <alignment horizontal="left" vertical="center" wrapText="1"/>
    </xf>
    <xf numFmtId="0" fontId="45" fillId="0" borderId="3" xfId="0" quotePrefix="1" applyFont="1" applyBorder="1" applyAlignment="1">
      <alignment horizontal="left" vertical="center" wrapText="1"/>
    </xf>
    <xf numFmtId="0" fontId="4" fillId="36" borderId="71" xfId="0" applyFont="1" applyFill="1" applyBorder="1" applyAlignment="1" applyProtection="1">
      <alignment horizontal="left" vertical="center" wrapText="1"/>
      <protection locked="0"/>
    </xf>
    <xf numFmtId="166" fontId="10" fillId="36" borderId="73" xfId="132" applyNumberFormat="1" applyFont="1" applyFill="1" applyBorder="1" applyAlignment="1" applyProtection="1">
      <alignment vertical="center" wrapText="1"/>
      <protection locked="0"/>
    </xf>
    <xf numFmtId="166" fontId="10" fillId="36" borderId="71" xfId="132" applyNumberFormat="1" applyFont="1" applyFill="1" applyBorder="1" applyAlignment="1" applyProtection="1">
      <alignment vertical="center" wrapText="1"/>
    </xf>
    <xf numFmtId="166" fontId="10" fillId="36" borderId="3" xfId="132" applyNumberFormat="1" applyFont="1" applyFill="1" applyBorder="1" applyAlignment="1" applyProtection="1">
      <alignment horizontal="center" vertical="center" wrapText="1"/>
    </xf>
    <xf numFmtId="166" fontId="10" fillId="36" borderId="3" xfId="132" applyNumberFormat="1" applyFont="1" applyFill="1" applyBorder="1" applyAlignment="1" applyProtection="1">
      <alignment vertical="center" wrapText="1"/>
      <protection locked="0"/>
    </xf>
    <xf numFmtId="0" fontId="45" fillId="0" borderId="89" xfId="0" applyFont="1" applyBorder="1" applyAlignment="1">
      <alignment horizontal="center" vertical="center" wrapText="1"/>
    </xf>
    <xf numFmtId="0" fontId="45" fillId="36" borderId="71" xfId="0" applyFont="1" applyFill="1" applyBorder="1" applyAlignment="1">
      <alignment horizontal="left" vertical="center" wrapText="1"/>
    </xf>
    <xf numFmtId="166" fontId="10" fillId="36" borderId="71" xfId="132" applyNumberFormat="1" applyFont="1" applyFill="1" applyBorder="1" applyAlignment="1" applyProtection="1">
      <alignment horizontal="center" vertical="center" wrapText="1"/>
    </xf>
    <xf numFmtId="166" fontId="10" fillId="36" borderId="71" xfId="132" applyNumberFormat="1" applyFont="1" applyFill="1" applyBorder="1" applyAlignment="1" applyProtection="1">
      <alignment horizontal="center" vertical="center" wrapText="1"/>
      <protection locked="0"/>
    </xf>
    <xf numFmtId="166" fontId="10" fillId="36" borderId="71" xfId="132" applyNumberFormat="1" applyFont="1" applyFill="1" applyBorder="1" applyAlignment="1" applyProtection="1">
      <alignment vertical="center" wrapText="1"/>
      <protection locked="0"/>
    </xf>
    <xf numFmtId="0" fontId="45" fillId="50" borderId="71" xfId="0" applyFont="1" applyFill="1" applyBorder="1" applyAlignment="1">
      <alignment horizontal="left" vertical="center" wrapText="1"/>
    </xf>
    <xf numFmtId="3" fontId="10" fillId="50" borderId="71" xfId="3" applyNumberFormat="1" applyFont="1" applyFill="1" applyBorder="1" applyAlignment="1" applyProtection="1">
      <alignment horizontal="center" vertical="center" wrapText="1"/>
    </xf>
    <xf numFmtId="0" fontId="45" fillId="50" borderId="2" xfId="0" applyFont="1" applyFill="1" applyBorder="1" applyAlignment="1">
      <alignment horizontal="left" vertical="center" wrapText="1"/>
    </xf>
    <xf numFmtId="3" fontId="10" fillId="50" borderId="40" xfId="3" applyNumberFormat="1" applyFont="1" applyFill="1" applyBorder="1" applyAlignment="1" applyProtection="1">
      <alignment horizontal="center" vertical="center" wrapText="1"/>
    </xf>
    <xf numFmtId="0" fontId="45" fillId="50" borderId="89" xfId="0" applyFont="1" applyFill="1" applyBorder="1" applyAlignment="1">
      <alignment horizontal="left" vertical="center" wrapText="1"/>
    </xf>
    <xf numFmtId="166" fontId="45" fillId="50" borderId="89" xfId="132" applyNumberFormat="1" applyFont="1" applyFill="1" applyBorder="1" applyAlignment="1">
      <alignment horizontal="left" vertical="center" wrapText="1"/>
    </xf>
    <xf numFmtId="3" fontId="10" fillId="50" borderId="2" xfId="0" applyNumberFormat="1" applyFont="1" applyFill="1" applyBorder="1" applyAlignment="1" applyProtection="1">
      <alignment horizontal="center" vertical="center" wrapText="1"/>
      <protection locked="0"/>
    </xf>
    <xf numFmtId="166" fontId="45" fillId="50" borderId="71" xfId="132" applyNumberFormat="1" applyFont="1" applyFill="1" applyBorder="1" applyAlignment="1">
      <alignment horizontal="left" vertical="center" wrapText="1"/>
    </xf>
    <xf numFmtId="0" fontId="54" fillId="50" borderId="71" xfId="0" applyFont="1" applyFill="1" applyBorder="1" applyAlignment="1" applyProtection="1">
      <alignment horizontal="left" vertical="center" wrapText="1"/>
      <protection locked="0"/>
    </xf>
    <xf numFmtId="3" fontId="10" fillId="50" borderId="71" xfId="0" applyNumberFormat="1" applyFont="1" applyFill="1" applyBorder="1" applyAlignment="1" applyProtection="1">
      <alignment horizontal="center" vertical="center" wrapText="1"/>
      <protection locked="0"/>
    </xf>
    <xf numFmtId="0" fontId="54" fillId="50" borderId="3" xfId="0" applyFont="1" applyFill="1" applyBorder="1" applyAlignment="1" applyProtection="1">
      <alignment horizontal="left" vertical="center" wrapText="1"/>
      <protection locked="0"/>
    </xf>
    <xf numFmtId="3" fontId="10" fillId="50" borderId="3" xfId="0" applyNumberFormat="1" applyFont="1" applyFill="1" applyBorder="1" applyAlignment="1" applyProtection="1">
      <alignment horizontal="center" vertical="center" wrapText="1"/>
      <protection locked="0"/>
    </xf>
    <xf numFmtId="3" fontId="10" fillId="50" borderId="3" xfId="3" applyNumberFormat="1" applyFont="1" applyFill="1" applyBorder="1" applyAlignment="1" applyProtection="1">
      <alignment horizontal="center" vertical="center" wrapText="1"/>
    </xf>
    <xf numFmtId="0" fontId="45" fillId="50" borderId="71" xfId="0" quotePrefix="1" applyFont="1" applyFill="1" applyBorder="1" applyAlignment="1">
      <alignment horizontal="left" vertical="center" wrapText="1"/>
    </xf>
    <xf numFmtId="3" fontId="10" fillId="50" borderId="73" xfId="3" applyNumberFormat="1" applyFont="1" applyFill="1" applyBorder="1" applyAlignment="1" applyProtection="1">
      <alignment horizontal="center" vertical="center" wrapText="1"/>
    </xf>
    <xf numFmtId="0" fontId="45" fillId="50" borderId="91" xfId="0" applyFont="1" applyFill="1" applyBorder="1" applyAlignment="1">
      <alignment horizontal="left" vertical="center" wrapText="1"/>
    </xf>
    <xf numFmtId="3" fontId="10" fillId="50" borderId="89" xfId="0" applyNumberFormat="1" applyFont="1" applyFill="1" applyBorder="1" applyAlignment="1" applyProtection="1">
      <alignment horizontal="center" vertical="center" wrapText="1"/>
      <protection locked="0"/>
    </xf>
    <xf numFmtId="3" fontId="10" fillId="50" borderId="51" xfId="3" applyNumberFormat="1" applyFont="1" applyFill="1" applyBorder="1" applyAlignment="1" applyProtection="1">
      <alignment horizontal="center" vertical="center" wrapText="1"/>
    </xf>
    <xf numFmtId="0" fontId="45" fillId="50" borderId="50" xfId="0" applyFont="1" applyFill="1" applyBorder="1" applyAlignment="1">
      <alignment horizontal="left" vertical="center" wrapText="1"/>
    </xf>
    <xf numFmtId="0" fontId="45" fillId="50" borderId="51" xfId="0" applyFont="1" applyFill="1" applyBorder="1" applyAlignment="1">
      <alignment horizontal="left" vertical="center" wrapText="1"/>
    </xf>
    <xf numFmtId="0" fontId="45" fillId="50" borderId="39" xfId="0" applyFont="1" applyFill="1" applyBorder="1" applyAlignment="1">
      <alignment horizontal="left" vertical="center" wrapText="1"/>
    </xf>
    <xf numFmtId="0" fontId="45" fillId="50" borderId="0" xfId="0" applyFont="1" applyFill="1" applyBorder="1" applyAlignment="1">
      <alignment horizontal="left" vertical="center" wrapText="1"/>
    </xf>
    <xf numFmtId="0" fontId="45" fillId="50" borderId="40" xfId="0" applyFont="1" applyFill="1" applyBorder="1" applyAlignment="1">
      <alignment horizontal="left" vertical="center" wrapText="1"/>
    </xf>
    <xf numFmtId="0" fontId="45" fillId="50" borderId="21" xfId="0" applyFont="1" applyFill="1" applyBorder="1" applyAlignment="1">
      <alignment horizontal="left" vertical="center" wrapText="1"/>
    </xf>
    <xf numFmtId="3" fontId="10" fillId="50" borderId="35" xfId="3" applyNumberFormat="1" applyFont="1" applyFill="1" applyBorder="1" applyAlignment="1" applyProtection="1">
      <alignment horizontal="center" vertical="center" wrapText="1"/>
    </xf>
    <xf numFmtId="0" fontId="45" fillId="50" borderId="3" xfId="0" applyFont="1" applyFill="1" applyBorder="1" applyAlignment="1">
      <alignment horizontal="left" vertical="center" wrapText="1"/>
    </xf>
    <xf numFmtId="0" fontId="45" fillId="50" borderId="22" xfId="0" applyFont="1" applyFill="1" applyBorder="1" applyAlignment="1">
      <alignment horizontal="left" vertical="center" wrapText="1"/>
    </xf>
    <xf numFmtId="0" fontId="45" fillId="50" borderId="35" xfId="0" applyFont="1" applyFill="1" applyBorder="1" applyAlignment="1">
      <alignment horizontal="left" vertical="center" wrapText="1"/>
    </xf>
    <xf numFmtId="3" fontId="10" fillId="50" borderId="89" xfId="3" applyNumberFormat="1" applyFont="1" applyFill="1" applyBorder="1" applyAlignment="1" applyProtection="1">
      <alignment horizontal="center" vertical="center" wrapText="1"/>
    </xf>
    <xf numFmtId="0" fontId="8" fillId="50" borderId="89" xfId="0" applyFont="1" applyFill="1" applyBorder="1" applyAlignment="1" applyProtection="1">
      <alignment horizontal="left" vertical="center" wrapText="1"/>
      <protection locked="0"/>
    </xf>
    <xf numFmtId="0" fontId="45" fillId="36" borderId="89" xfId="0" applyFont="1" applyFill="1" applyBorder="1" applyAlignment="1">
      <alignment horizontal="left" vertical="center" wrapText="1"/>
    </xf>
    <xf numFmtId="166" fontId="45" fillId="36" borderId="89" xfId="132" applyNumberFormat="1" applyFont="1" applyFill="1" applyBorder="1" applyAlignment="1">
      <alignment horizontal="center" vertical="center" wrapText="1"/>
    </xf>
    <xf numFmtId="0" fontId="45" fillId="36" borderId="89" xfId="0" applyFont="1" applyFill="1" applyBorder="1" applyAlignment="1">
      <alignment horizontal="center" vertical="center" wrapText="1"/>
    </xf>
    <xf numFmtId="0" fontId="54" fillId="50" borderId="89" xfId="0" applyFont="1" applyFill="1" applyBorder="1" applyAlignment="1" applyProtection="1">
      <alignment horizontal="left" vertical="center" wrapText="1"/>
      <protection locked="0"/>
    </xf>
    <xf numFmtId="0" fontId="4" fillId="0" borderId="0" xfId="0" applyFont="1" applyAlignment="1">
      <alignment horizontal="center" vertical="center"/>
    </xf>
    <xf numFmtId="165" fontId="4" fillId="35" borderId="71" xfId="132" applyNumberFormat="1" applyFont="1" applyFill="1" applyBorder="1" applyAlignment="1">
      <alignment horizontal="center"/>
    </xf>
    <xf numFmtId="3" fontId="9" fillId="36" borderId="71" xfId="0" applyNumberFormat="1" applyFont="1" applyFill="1" applyBorder="1" applyAlignment="1" applyProtection="1">
      <alignment horizontal="center" vertical="center" wrapText="1"/>
      <protection locked="0"/>
    </xf>
    <xf numFmtId="0" fontId="9" fillId="50" borderId="71" xfId="3" applyFont="1" applyFill="1" applyBorder="1" applyAlignment="1" applyProtection="1">
      <alignment vertical="center" wrapText="1"/>
      <protection locked="0"/>
    </xf>
    <xf numFmtId="0" fontId="9" fillId="50" borderId="71" xfId="3" applyFont="1" applyFill="1" applyBorder="1" applyAlignment="1" applyProtection="1">
      <alignment horizontal="left" vertical="center" wrapText="1"/>
      <protection locked="0"/>
    </xf>
    <xf numFmtId="3" fontId="9" fillId="50" borderId="71" xfId="0" applyNumberFormat="1" applyFont="1" applyFill="1" applyBorder="1" applyAlignment="1" applyProtection="1">
      <alignment horizontal="center" vertical="center" wrapText="1"/>
      <protection locked="0"/>
    </xf>
    <xf numFmtId="3" fontId="9" fillId="50" borderId="71" xfId="3" applyNumberFormat="1" applyFont="1" applyFill="1" applyBorder="1" applyAlignment="1" applyProtection="1">
      <alignment horizontal="center" vertical="center" wrapText="1"/>
    </xf>
    <xf numFmtId="3" fontId="9" fillId="50" borderId="71" xfId="3" applyNumberFormat="1" applyFont="1" applyFill="1" applyBorder="1" applyAlignment="1" applyProtection="1">
      <alignment vertical="center" wrapText="1"/>
    </xf>
    <xf numFmtId="0" fontId="9" fillId="50" borderId="71" xfId="0" applyFont="1" applyFill="1" applyBorder="1" applyAlignment="1" applyProtection="1">
      <alignment horizontal="left" vertical="center" wrapText="1"/>
      <protection locked="0"/>
    </xf>
    <xf numFmtId="3" fontId="9" fillId="50" borderId="71" xfId="0" applyNumberFormat="1" applyFont="1" applyFill="1" applyBorder="1" applyAlignment="1" applyProtection="1">
      <alignment horizontal="right" vertical="center" wrapText="1"/>
      <protection locked="0"/>
    </xf>
    <xf numFmtId="3" fontId="9" fillId="50" borderId="71" xfId="3" applyNumberFormat="1" applyFont="1" applyFill="1" applyBorder="1" applyAlignment="1" applyProtection="1">
      <alignment horizontal="right" vertical="center" wrapText="1"/>
    </xf>
    <xf numFmtId="0" fontId="8" fillId="50" borderId="71" xfId="0" applyFont="1" applyFill="1" applyBorder="1" applyAlignment="1" applyProtection="1">
      <alignment vertical="center" wrapText="1"/>
      <protection locked="0"/>
    </xf>
    <xf numFmtId="3" fontId="9" fillId="50" borderId="34" xfId="0" applyNumberFormat="1" applyFont="1" applyFill="1" applyBorder="1" applyAlignment="1" applyProtection="1">
      <alignment horizontal="center" vertical="center" wrapText="1"/>
      <protection locked="0"/>
    </xf>
    <xf numFmtId="3" fontId="9" fillId="50" borderId="34" xfId="3" applyNumberFormat="1" applyFont="1" applyFill="1" applyBorder="1" applyAlignment="1" applyProtection="1">
      <alignment horizontal="center" vertical="center" wrapText="1"/>
    </xf>
    <xf numFmtId="0" fontId="9" fillId="50" borderId="71" xfId="0" applyFont="1" applyFill="1" applyBorder="1" applyAlignment="1" applyProtection="1">
      <alignment vertical="center" wrapText="1"/>
      <protection locked="0"/>
    </xf>
    <xf numFmtId="0" fontId="4" fillId="36" borderId="20" xfId="3" applyFont="1" applyFill="1" applyBorder="1" applyAlignment="1" applyProtection="1">
      <alignment horizontal="left" vertical="center" wrapText="1"/>
      <protection locked="0"/>
    </xf>
    <xf numFmtId="0" fontId="4" fillId="36" borderId="71" xfId="3" applyFont="1" applyFill="1" applyBorder="1" applyAlignment="1" applyProtection="1">
      <alignment horizontal="left" vertical="center" wrapText="1"/>
      <protection locked="0"/>
    </xf>
    <xf numFmtId="166" fontId="9" fillId="36" borderId="20" xfId="132" applyNumberFormat="1" applyFont="1" applyFill="1" applyBorder="1" applyAlignment="1" applyProtection="1">
      <alignment vertical="center" wrapText="1"/>
      <protection locked="0"/>
    </xf>
    <xf numFmtId="0" fontId="4" fillId="0" borderId="46" xfId="0" applyFont="1" applyBorder="1" applyAlignment="1">
      <alignment horizontal="justify" vertical="center"/>
    </xf>
    <xf numFmtId="166" fontId="7" fillId="36" borderId="3" xfId="132" applyNumberFormat="1" applyFont="1" applyFill="1" applyBorder="1" applyAlignment="1" applyProtection="1">
      <alignment horizontal="center" vertical="center" wrapText="1"/>
    </xf>
    <xf numFmtId="166" fontId="7" fillId="36" borderId="3" xfId="132" applyNumberFormat="1" applyFont="1" applyFill="1" applyBorder="1" applyAlignment="1" applyProtection="1">
      <alignment vertical="center" wrapText="1"/>
    </xf>
    <xf numFmtId="166" fontId="9" fillId="36" borderId="3" xfId="132" applyNumberFormat="1" applyFont="1" applyFill="1" applyBorder="1" applyAlignment="1" applyProtection="1">
      <alignment horizontal="center" vertical="center" wrapText="1"/>
      <protection locked="0"/>
    </xf>
    <xf numFmtId="166" fontId="9" fillId="36" borderId="3" xfId="132" applyNumberFormat="1" applyFont="1" applyFill="1" applyBorder="1" applyAlignment="1" applyProtection="1">
      <alignment vertical="center" wrapText="1"/>
      <protection locked="0"/>
    </xf>
    <xf numFmtId="166" fontId="9" fillId="36" borderId="1" xfId="132" applyNumberFormat="1" applyFont="1" applyFill="1" applyBorder="1" applyAlignment="1" applyProtection="1">
      <alignment vertical="center" wrapText="1"/>
      <protection locked="0"/>
    </xf>
    <xf numFmtId="0" fontId="4" fillId="0" borderId="3" xfId="0" applyFont="1" applyBorder="1" applyAlignment="1" applyProtection="1">
      <alignment horizontal="center" vertical="center" wrapText="1"/>
      <protection locked="0"/>
    </xf>
    <xf numFmtId="166" fontId="10" fillId="0" borderId="0" xfId="3" applyNumberFormat="1" applyFont="1" applyProtection="1">
      <protection locked="0"/>
    </xf>
    <xf numFmtId="3" fontId="9" fillId="36" borderId="50" xfId="0" applyNumberFormat="1" applyFont="1" applyFill="1" applyBorder="1" applyAlignment="1" applyProtection="1">
      <alignment horizontal="center" vertical="center" wrapText="1"/>
      <protection locked="0"/>
    </xf>
    <xf numFmtId="166" fontId="7" fillId="36" borderId="21" xfId="132" applyNumberFormat="1" applyFont="1" applyFill="1" applyBorder="1" applyAlignment="1" applyProtection="1">
      <alignment vertical="center" wrapText="1"/>
    </xf>
    <xf numFmtId="166" fontId="7" fillId="36" borderId="21" xfId="132" applyNumberFormat="1" applyFont="1" applyFill="1" applyBorder="1" applyAlignment="1" applyProtection="1">
      <alignment horizontal="center" vertical="center" wrapText="1"/>
    </xf>
    <xf numFmtId="0" fontId="55" fillId="50" borderId="71" xfId="3" applyFont="1" applyFill="1" applyBorder="1" applyAlignment="1" applyProtection="1">
      <alignment vertical="center" wrapText="1"/>
      <protection locked="0"/>
    </xf>
    <xf numFmtId="3" fontId="9" fillId="50" borderId="71" xfId="0" applyNumberFormat="1" applyFont="1" applyFill="1" applyBorder="1" applyAlignment="1" applyProtection="1">
      <alignment vertical="center" wrapText="1"/>
      <protection locked="0"/>
    </xf>
    <xf numFmtId="0" fontId="55" fillId="50" borderId="71" xfId="3" applyFont="1" applyFill="1" applyBorder="1" applyAlignment="1" applyProtection="1">
      <alignment horizontal="left" vertical="center" wrapText="1"/>
      <protection locked="0"/>
    </xf>
    <xf numFmtId="0" fontId="4" fillId="35" borderId="71" xfId="0" applyFont="1" applyFill="1" applyBorder="1" applyAlignment="1">
      <alignment horizontal="justify" vertical="center"/>
    </xf>
    <xf numFmtId="166" fontId="18" fillId="41" borderId="42" xfId="132" applyNumberFormat="1" applyFont="1" applyFill="1" applyBorder="1" applyAlignment="1" applyProtection="1">
      <alignment horizontal="center"/>
      <protection locked="0"/>
    </xf>
    <xf numFmtId="0" fontId="4" fillId="0" borderId="41" xfId="0" applyFont="1" applyBorder="1" applyAlignment="1" applyProtection="1">
      <alignment horizontal="center" vertical="center" wrapText="1"/>
      <protection locked="0"/>
    </xf>
    <xf numFmtId="0" fontId="4" fillId="36" borderId="71" xfId="0" applyFont="1" applyFill="1" applyBorder="1" applyAlignment="1" applyProtection="1">
      <alignment vertical="center" wrapText="1"/>
      <protection locked="0"/>
    </xf>
    <xf numFmtId="0" fontId="4" fillId="50" borderId="20" xfId="3" applyFont="1" applyFill="1" applyBorder="1" applyAlignment="1" applyProtection="1">
      <alignment horizontal="left" vertical="center" wrapText="1"/>
      <protection locked="0"/>
    </xf>
    <xf numFmtId="3" fontId="9" fillId="50" borderId="1" xfId="0" applyNumberFormat="1" applyFont="1" applyFill="1" applyBorder="1" applyAlignment="1" applyProtection="1">
      <alignment horizontal="center" vertical="center" wrapText="1"/>
      <protection locked="0"/>
    </xf>
    <xf numFmtId="3" fontId="9" fillId="50" borderId="1" xfId="3" applyNumberFormat="1" applyFont="1" applyFill="1" applyBorder="1" applyAlignment="1" applyProtection="1">
      <alignment horizontal="center" vertical="center" wrapText="1"/>
    </xf>
    <xf numFmtId="3" fontId="4" fillId="36" borderId="71" xfId="0" applyNumberFormat="1" applyFont="1" applyFill="1" applyBorder="1" applyAlignment="1" applyProtection="1">
      <alignment horizontal="center" vertical="center" wrapText="1"/>
      <protection locked="0"/>
    </xf>
    <xf numFmtId="0" fontId="45" fillId="0" borderId="0" xfId="0" applyFont="1" applyAlignment="1">
      <alignment vertical="center" wrapText="1"/>
    </xf>
    <xf numFmtId="0" fontId="65" fillId="50" borderId="71" xfId="0" applyFont="1" applyFill="1" applyBorder="1" applyAlignment="1">
      <alignment horizontal="center" vertical="center"/>
    </xf>
    <xf numFmtId="3" fontId="9" fillId="50" borderId="89" xfId="3" applyNumberFormat="1" applyFont="1" applyFill="1" applyBorder="1" applyAlignment="1" applyProtection="1">
      <alignment vertical="center" wrapText="1"/>
    </xf>
    <xf numFmtId="3" fontId="9" fillId="50" borderId="89" xfId="0" applyNumberFormat="1" applyFont="1" applyFill="1" applyBorder="1" applyAlignment="1" applyProtection="1">
      <alignment horizontal="center" vertical="center" wrapText="1"/>
      <protection locked="0"/>
    </xf>
    <xf numFmtId="166" fontId="9" fillId="36" borderId="71" xfId="132" applyNumberFormat="1" applyFont="1" applyFill="1" applyBorder="1" applyAlignment="1" applyProtection="1">
      <alignment vertical="center" wrapText="1"/>
    </xf>
    <xf numFmtId="0" fontId="4" fillId="50" borderId="71" xfId="0" applyFont="1" applyFill="1" applyBorder="1" applyAlignment="1" applyProtection="1">
      <alignment vertical="center" wrapText="1"/>
      <protection locked="0"/>
    </xf>
    <xf numFmtId="166" fontId="10" fillId="50" borderId="71" xfId="132" applyNumberFormat="1" applyFont="1" applyFill="1" applyBorder="1" applyAlignment="1" applyProtection="1">
      <alignment horizontal="center" vertical="center" wrapText="1"/>
    </xf>
    <xf numFmtId="3" fontId="4" fillId="50" borderId="71" xfId="0" applyNumberFormat="1" applyFont="1" applyFill="1" applyBorder="1" applyAlignment="1" applyProtection="1">
      <alignment horizontal="center" vertical="center" wrapText="1"/>
      <protection locked="0"/>
    </xf>
    <xf numFmtId="165" fontId="15" fillId="50" borderId="71" xfId="0" quotePrefix="1" applyNumberFormat="1" applyFont="1" applyFill="1" applyBorder="1" applyAlignment="1">
      <alignment vertical="top" wrapText="1"/>
    </xf>
    <xf numFmtId="173" fontId="4" fillId="35" borderId="67" xfId="132" applyNumberFormat="1" applyFont="1" applyFill="1" applyBorder="1" applyAlignment="1">
      <alignment horizontal="center"/>
    </xf>
    <xf numFmtId="173" fontId="4" fillId="35" borderId="88" xfId="0" applyNumberFormat="1" applyFont="1" applyFill="1" applyBorder="1" applyAlignment="1">
      <alignment horizontal="center"/>
    </xf>
    <xf numFmtId="174" fontId="4" fillId="35" borderId="89" xfId="0" applyNumberFormat="1" applyFont="1" applyFill="1" applyBorder="1" applyAlignment="1">
      <alignment horizontal="center"/>
    </xf>
    <xf numFmtId="0" fontId="8" fillId="50" borderId="3" xfId="0" applyFont="1" applyFill="1" applyBorder="1" applyAlignment="1" applyProtection="1">
      <alignment vertical="center" wrapText="1"/>
      <protection locked="0"/>
    </xf>
    <xf numFmtId="0" fontId="7" fillId="0" borderId="3" xfId="0" applyFont="1" applyBorder="1" applyAlignment="1">
      <alignment horizontal="justify" vertical="center"/>
    </xf>
    <xf numFmtId="0" fontId="55" fillId="50" borderId="3" xfId="3" applyFont="1" applyFill="1" applyBorder="1" applyAlignment="1" applyProtection="1">
      <alignment vertical="center" wrapText="1"/>
      <protection locked="0"/>
    </xf>
    <xf numFmtId="3" fontId="9" fillId="50" borderId="3" xfId="0" applyNumberFormat="1" applyFont="1" applyFill="1" applyBorder="1" applyAlignment="1" applyProtection="1">
      <alignment vertical="center" wrapText="1"/>
      <protection locked="0"/>
    </xf>
    <xf numFmtId="168" fontId="10" fillId="0" borderId="0" xfId="3" applyNumberFormat="1" applyFont="1" applyProtection="1">
      <protection locked="0"/>
    </xf>
    <xf numFmtId="0" fontId="45" fillId="0" borderId="89" xfId="0" applyFont="1" applyBorder="1" applyAlignment="1">
      <alignment horizontal="center" vertical="center" wrapText="1"/>
    </xf>
    <xf numFmtId="0" fontId="45" fillId="0" borderId="71" xfId="0" applyFont="1" applyBorder="1" applyAlignment="1">
      <alignment horizontal="center" vertical="center" wrapText="1"/>
    </xf>
    <xf numFmtId="173" fontId="4" fillId="51" borderId="71" xfId="0" applyNumberFormat="1" applyFont="1" applyFill="1" applyBorder="1"/>
    <xf numFmtId="0" fontId="42" fillId="36" borderId="14" xfId="0" applyFont="1" applyFill="1" applyBorder="1" applyAlignment="1">
      <alignment vertical="center" wrapText="1"/>
    </xf>
    <xf numFmtId="169" fontId="0" fillId="36" borderId="71" xfId="0" applyNumberFormat="1" applyFont="1" applyFill="1" applyBorder="1"/>
    <xf numFmtId="169" fontId="6" fillId="36" borderId="3" xfId="132" applyNumberFormat="1" applyFont="1" applyFill="1" applyBorder="1"/>
    <xf numFmtId="169" fontId="6" fillId="36" borderId="71" xfId="132" applyNumberFormat="1" applyFont="1" applyFill="1" applyBorder="1"/>
    <xf numFmtId="0" fontId="18" fillId="42" borderId="3" xfId="0" applyFont="1" applyFill="1" applyBorder="1"/>
    <xf numFmtId="170" fontId="18" fillId="35" borderId="71" xfId="0" applyNumberFormat="1" applyFont="1" applyFill="1" applyBorder="1"/>
    <xf numFmtId="169" fontId="3" fillId="36" borderId="71" xfId="132" applyNumberFormat="1" applyFont="1" applyFill="1" applyBorder="1" applyAlignment="1">
      <alignment vertical="center"/>
    </xf>
    <xf numFmtId="174" fontId="3" fillId="35" borderId="71" xfId="0" applyNumberFormat="1" applyFont="1" applyFill="1" applyBorder="1" applyAlignment="1">
      <alignment horizontal="center"/>
    </xf>
    <xf numFmtId="0" fontId="0" fillId="0" borderId="0" xfId="0" applyFont="1" applyBorder="1"/>
    <xf numFmtId="0" fontId="9" fillId="0" borderId="71" xfId="0" applyFont="1" applyBorder="1" applyAlignment="1">
      <alignment horizontal="left" vertical="center"/>
    </xf>
    <xf numFmtId="0" fontId="45" fillId="50" borderId="89" xfId="0" applyFont="1" applyFill="1" applyBorder="1" applyAlignment="1">
      <alignment horizontal="center" vertical="center" wrapText="1"/>
    </xf>
    <xf numFmtId="3" fontId="45" fillId="0" borderId="89" xfId="0" applyNumberFormat="1" applyFont="1" applyBorder="1" applyAlignment="1">
      <alignment horizontal="center" vertical="center" wrapText="1"/>
    </xf>
    <xf numFmtId="0" fontId="9" fillId="50" borderId="3" xfId="3" applyFont="1" applyFill="1" applyBorder="1" applyAlignment="1" applyProtection="1">
      <alignment vertical="center" wrapText="1"/>
      <protection locked="0"/>
    </xf>
    <xf numFmtId="175" fontId="10" fillId="0" borderId="0" xfId="3" applyNumberFormat="1" applyFont="1" applyProtection="1">
      <protection locked="0"/>
    </xf>
    <xf numFmtId="171" fontId="0" fillId="0" borderId="0" xfId="0" applyNumberFormat="1"/>
    <xf numFmtId="0" fontId="0" fillId="36" borderId="80" xfId="0" applyFill="1" applyBorder="1" applyAlignment="1">
      <alignment horizontal="left" vertical="center" wrapText="1"/>
    </xf>
    <xf numFmtId="170" fontId="0" fillId="36" borderId="70" xfId="132" applyNumberFormat="1" applyFont="1" applyFill="1" applyBorder="1" applyAlignment="1">
      <alignment vertical="center"/>
    </xf>
    <xf numFmtId="170" fontId="0" fillId="36" borderId="71" xfId="132" applyNumberFormat="1" applyFont="1" applyFill="1" applyBorder="1" applyAlignment="1">
      <alignment vertical="center"/>
    </xf>
    <xf numFmtId="170" fontId="0" fillId="36" borderId="73" xfId="132" applyNumberFormat="1" applyFont="1" applyFill="1" applyBorder="1" applyAlignment="1">
      <alignment horizontal="center" vertical="center" wrapText="1"/>
    </xf>
    <xf numFmtId="173" fontId="4" fillId="36" borderId="71" xfId="0" applyNumberFormat="1" applyFont="1" applyFill="1" applyBorder="1"/>
    <xf numFmtId="173" fontId="4" fillId="36" borderId="3" xfId="0" applyNumberFormat="1" applyFont="1" applyFill="1" applyBorder="1"/>
    <xf numFmtId="169" fontId="0" fillId="0" borderId="0" xfId="0" applyNumberFormat="1" applyBorder="1"/>
    <xf numFmtId="169" fontId="2" fillId="0" borderId="46" xfId="0" applyNumberFormat="1" applyFont="1" applyBorder="1" applyAlignment="1">
      <alignment horizontal="justify" vertical="center"/>
    </xf>
    <xf numFmtId="0" fontId="2" fillId="36" borderId="46" xfId="0" applyFont="1" applyFill="1" applyBorder="1" applyAlignment="1">
      <alignment vertical="top" wrapText="1"/>
    </xf>
    <xf numFmtId="0" fontId="45" fillId="0" borderId="89" xfId="0" applyFont="1" applyBorder="1" applyAlignment="1">
      <alignment horizontal="left" vertical="center" wrapText="1"/>
    </xf>
    <xf numFmtId="0" fontId="45" fillId="0" borderId="3" xfId="0" applyFont="1" applyBorder="1" applyAlignment="1">
      <alignment horizontal="left" vertical="center" wrapText="1"/>
    </xf>
    <xf numFmtId="0" fontId="18" fillId="41" borderId="20" xfId="3" applyFont="1" applyFill="1" applyBorder="1" applyAlignment="1" applyProtection="1">
      <alignment horizontal="center"/>
      <protection locked="0"/>
    </xf>
    <xf numFmtId="0" fontId="18" fillId="41" borderId="52" xfId="3" applyFont="1" applyFill="1" applyBorder="1" applyAlignment="1" applyProtection="1">
      <alignment horizontal="center"/>
      <protection locked="0"/>
    </xf>
    <xf numFmtId="0" fontId="18" fillId="31" borderId="43" xfId="0" applyFont="1" applyFill="1" applyBorder="1" applyAlignment="1" applyProtection="1">
      <alignment vertical="center" wrapText="1"/>
      <protection locked="0"/>
    </xf>
    <xf numFmtId="0" fontId="16" fillId="0" borderId="44" xfId="0" applyFont="1" applyBorder="1" applyAlignment="1">
      <alignment vertical="center" wrapText="1"/>
    </xf>
    <xf numFmtId="0" fontId="18" fillId="41" borderId="36" xfId="3" applyFont="1" applyFill="1" applyBorder="1" applyAlignment="1" applyProtection="1">
      <alignment horizontal="center"/>
      <protection locked="0"/>
    </xf>
    <xf numFmtId="0" fontId="18" fillId="41" borderId="37" xfId="3" applyFont="1" applyFill="1" applyBorder="1" applyAlignment="1" applyProtection="1">
      <alignment horizontal="center"/>
      <protection locked="0"/>
    </xf>
    <xf numFmtId="0" fontId="18" fillId="41" borderId="38" xfId="3" applyFont="1" applyFill="1" applyBorder="1" applyAlignment="1" applyProtection="1">
      <alignment horizontal="center"/>
      <protection locked="0"/>
    </xf>
    <xf numFmtId="0" fontId="18" fillId="30" borderId="36" xfId="3" applyFont="1" applyFill="1" applyBorder="1" applyAlignment="1" applyProtection="1">
      <alignment horizontal="center"/>
      <protection locked="0"/>
    </xf>
    <xf numFmtId="0" fontId="18" fillId="30" borderId="37" xfId="3" applyFont="1" applyFill="1" applyBorder="1" applyAlignment="1" applyProtection="1">
      <alignment horizontal="center"/>
      <protection locked="0"/>
    </xf>
    <xf numFmtId="0" fontId="18" fillId="30" borderId="38" xfId="3" applyFont="1" applyFill="1" applyBorder="1" applyAlignment="1" applyProtection="1">
      <alignment horizontal="center"/>
      <protection locked="0"/>
    </xf>
    <xf numFmtId="3" fontId="18" fillId="0" borderId="42" xfId="0" applyNumberFormat="1" applyFont="1" applyBorder="1" applyAlignment="1">
      <alignment horizontal="center" vertical="center" wrapText="1"/>
    </xf>
    <xf numFmtId="0" fontId="18" fillId="0" borderId="3" xfId="0" applyFont="1" applyBorder="1" applyAlignment="1">
      <alignment horizontal="center" vertical="center" wrapText="1"/>
    </xf>
    <xf numFmtId="0" fontId="4" fillId="36" borderId="89" xfId="3" applyFont="1" applyFill="1" applyBorder="1" applyAlignment="1" applyProtection="1">
      <alignment horizontal="left" vertical="center" wrapText="1"/>
      <protection locked="0"/>
    </xf>
    <xf numFmtId="0" fontId="4" fillId="36" borderId="3" xfId="3" applyFont="1" applyFill="1" applyBorder="1" applyAlignment="1" applyProtection="1">
      <alignment horizontal="left" vertical="center" wrapText="1"/>
      <protection locked="0"/>
    </xf>
    <xf numFmtId="0" fontId="4" fillId="0" borderId="71" xfId="0" applyFont="1" applyBorder="1" applyAlignment="1" applyProtection="1">
      <alignment horizontal="center" vertical="center" wrapText="1"/>
      <protection locked="0"/>
    </xf>
    <xf numFmtId="0" fontId="4" fillId="0" borderId="51" xfId="0" applyFont="1" applyBorder="1" applyAlignment="1" applyProtection="1">
      <alignment horizontal="center" vertical="center" wrapText="1"/>
      <protection locked="0"/>
    </xf>
    <xf numFmtId="0" fontId="4" fillId="0" borderId="40" xfId="0" applyFont="1" applyBorder="1" applyAlignment="1" applyProtection="1">
      <alignment horizontal="center" vertical="center" wrapText="1"/>
      <protection locked="0"/>
    </xf>
    <xf numFmtId="0" fontId="4" fillId="0" borderId="35" xfId="0" applyFont="1" applyBorder="1" applyAlignment="1" applyProtection="1">
      <alignment horizontal="center" vertical="center" wrapText="1"/>
      <protection locked="0"/>
    </xf>
    <xf numFmtId="0" fontId="18" fillId="30" borderId="71" xfId="3" applyFont="1" applyFill="1" applyBorder="1" applyAlignment="1" applyProtection="1">
      <alignment horizontal="center"/>
      <protection locked="0"/>
    </xf>
    <xf numFmtId="0" fontId="18" fillId="30" borderId="41" xfId="3" applyFont="1" applyFill="1" applyBorder="1" applyAlignment="1" applyProtection="1">
      <alignment horizontal="center"/>
      <protection locked="0"/>
    </xf>
    <xf numFmtId="0" fontId="18" fillId="30" borderId="43" xfId="3" applyFont="1" applyFill="1" applyBorder="1" applyAlignment="1" applyProtection="1">
      <alignment horizontal="center"/>
      <protection locked="0"/>
    </xf>
    <xf numFmtId="0" fontId="18" fillId="30" borderId="44" xfId="3" applyFont="1" applyFill="1" applyBorder="1" applyAlignment="1" applyProtection="1">
      <alignment horizontal="center"/>
      <protection locked="0"/>
    </xf>
    <xf numFmtId="0" fontId="52" fillId="50" borderId="89" xfId="0" applyFont="1" applyFill="1" applyBorder="1" applyAlignment="1" applyProtection="1">
      <alignment horizontal="left" vertical="center" wrapText="1"/>
      <protection locked="0"/>
    </xf>
    <xf numFmtId="0" fontId="52" fillId="50" borderId="2" xfId="0" applyFont="1" applyFill="1" applyBorder="1" applyAlignment="1" applyProtection="1">
      <alignment horizontal="left" vertical="center" wrapText="1"/>
      <protection locked="0"/>
    </xf>
    <xf numFmtId="0" fontId="52" fillId="50" borderId="3" xfId="0" applyFont="1" applyFill="1" applyBorder="1" applyAlignment="1" applyProtection="1">
      <alignment horizontal="left" vertical="center" wrapText="1"/>
      <protection locked="0"/>
    </xf>
    <xf numFmtId="0" fontId="18" fillId="30" borderId="73" xfId="3" applyFont="1" applyFill="1" applyBorder="1" applyAlignment="1" applyProtection="1">
      <alignment horizontal="left"/>
      <protection locked="0"/>
    </xf>
    <xf numFmtId="0" fontId="18" fillId="30" borderId="87" xfId="3" applyFont="1" applyFill="1" applyBorder="1" applyAlignment="1" applyProtection="1">
      <alignment horizontal="left"/>
      <protection locked="0"/>
    </xf>
    <xf numFmtId="0" fontId="18" fillId="30" borderId="70" xfId="3" applyFont="1" applyFill="1" applyBorder="1" applyAlignment="1" applyProtection="1">
      <alignment horizontal="left"/>
      <protection locked="0"/>
    </xf>
    <xf numFmtId="3" fontId="18" fillId="0" borderId="2" xfId="0" applyNumberFormat="1" applyFont="1" applyBorder="1" applyAlignment="1">
      <alignment horizontal="center" vertical="center" wrapText="1"/>
    </xf>
    <xf numFmtId="0" fontId="45" fillId="0" borderId="89" xfId="0" applyFont="1" applyBorder="1" applyAlignment="1">
      <alignment horizontal="center" vertical="center" wrapText="1"/>
    </xf>
    <xf numFmtId="0" fontId="45" fillId="0" borderId="3" xfId="0" applyFont="1" applyBorder="1" applyAlignment="1">
      <alignment horizontal="center" vertical="center" wrapText="1"/>
    </xf>
    <xf numFmtId="166" fontId="45" fillId="0" borderId="89" xfId="132" applyNumberFormat="1" applyFont="1" applyBorder="1" applyAlignment="1">
      <alignment vertical="center" wrapText="1"/>
    </xf>
    <xf numFmtId="166" fontId="45" fillId="0" borderId="3" xfId="132" applyNumberFormat="1" applyFont="1" applyBorder="1" applyAlignment="1">
      <alignment vertical="center" wrapText="1"/>
    </xf>
    <xf numFmtId="166" fontId="45" fillId="0" borderId="91" xfId="132" applyNumberFormat="1" applyFont="1" applyBorder="1" applyAlignment="1">
      <alignment horizontal="center" vertical="center" wrapText="1"/>
    </xf>
    <xf numFmtId="166" fontId="45" fillId="0" borderId="21" xfId="132" applyNumberFormat="1" applyFont="1" applyBorder="1" applyAlignment="1">
      <alignment horizontal="center" vertical="center" wrapText="1"/>
    </xf>
    <xf numFmtId="0" fontId="3" fillId="36" borderId="71" xfId="0" applyFont="1" applyFill="1" applyBorder="1" applyAlignment="1" applyProtection="1">
      <alignment horizontal="left" vertical="center" wrapText="1"/>
      <protection locked="0"/>
    </xf>
    <xf numFmtId="0" fontId="4" fillId="36" borderId="71" xfId="0" applyFont="1" applyFill="1" applyBorder="1" applyAlignment="1" applyProtection="1">
      <alignment horizontal="left" vertical="center" wrapText="1"/>
      <protection locked="0"/>
    </xf>
    <xf numFmtId="3" fontId="46" fillId="0" borderId="89" xfId="0" applyNumberFormat="1" applyFont="1" applyBorder="1" applyAlignment="1" applyProtection="1">
      <alignment horizontal="center" vertical="center" wrapText="1"/>
    </xf>
    <xf numFmtId="3" fontId="46" fillId="0" borderId="2" xfId="0" applyNumberFormat="1" applyFont="1" applyBorder="1" applyAlignment="1" applyProtection="1">
      <alignment horizontal="center" vertical="center" wrapText="1"/>
    </xf>
    <xf numFmtId="3" fontId="46" fillId="0" borderId="3" xfId="0" applyNumberFormat="1" applyFont="1" applyBorder="1" applyAlignment="1" applyProtection="1">
      <alignment horizontal="center" vertical="center" wrapText="1"/>
    </xf>
    <xf numFmtId="0" fontId="10" fillId="0" borderId="42" xfId="3" applyFont="1" applyFill="1" applyBorder="1" applyAlignment="1" applyProtection="1">
      <alignment horizontal="left" vertical="center" wrapText="1"/>
      <protection locked="0"/>
    </xf>
    <xf numFmtId="0" fontId="10" fillId="0" borderId="2" xfId="3" applyFont="1" applyFill="1" applyBorder="1" applyAlignment="1" applyProtection="1">
      <alignment horizontal="left" vertical="center" wrapText="1"/>
      <protection locked="0"/>
    </xf>
    <xf numFmtId="0" fontId="10" fillId="0" borderId="3" xfId="3" applyFont="1" applyFill="1" applyBorder="1" applyAlignment="1" applyProtection="1">
      <alignment horizontal="left" vertical="center" wrapText="1"/>
      <protection locked="0"/>
    </xf>
    <xf numFmtId="3" fontId="18" fillId="0" borderId="42" xfId="3" applyNumberFormat="1" applyFont="1" applyFill="1" applyBorder="1" applyAlignment="1" applyProtection="1">
      <alignment horizontal="center" vertical="center" wrapText="1"/>
      <protection locked="0"/>
    </xf>
    <xf numFmtId="3" fontId="18" fillId="0" borderId="2" xfId="3" applyNumberFormat="1" applyFont="1" applyFill="1" applyBorder="1" applyAlignment="1" applyProtection="1">
      <alignment horizontal="center" vertical="center" wrapText="1"/>
      <protection locked="0"/>
    </xf>
    <xf numFmtId="0" fontId="16" fillId="0" borderId="2" xfId="0" applyFont="1" applyBorder="1" applyAlignment="1" applyProtection="1">
      <alignment horizontal="center" vertical="center" wrapText="1"/>
      <protection locked="0"/>
    </xf>
    <xf numFmtId="0" fontId="16" fillId="0" borderId="3" xfId="0" applyFont="1" applyBorder="1" applyAlignment="1" applyProtection="1">
      <alignment horizontal="center" vertical="center" wrapText="1"/>
      <protection locked="0"/>
    </xf>
    <xf numFmtId="0" fontId="4" fillId="0" borderId="89"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64" fillId="30" borderId="73" xfId="3" applyFont="1" applyFill="1" applyBorder="1" applyAlignment="1" applyProtection="1">
      <alignment horizontal="center" vertical="center" wrapText="1"/>
      <protection locked="0"/>
    </xf>
    <xf numFmtId="0" fontId="64" fillId="30" borderId="87" xfId="3" applyFont="1" applyFill="1" applyBorder="1" applyAlignment="1" applyProtection="1">
      <alignment horizontal="center" vertical="center" wrapText="1"/>
      <protection locked="0"/>
    </xf>
    <xf numFmtId="0" fontId="64" fillId="30" borderId="70" xfId="3" applyFont="1" applyFill="1" applyBorder="1" applyAlignment="1" applyProtection="1">
      <alignment horizontal="center" vertical="center" wrapText="1"/>
      <protection locked="0"/>
    </xf>
    <xf numFmtId="0" fontId="18" fillId="3" borderId="20" xfId="3" applyFont="1" applyFill="1" applyBorder="1" applyAlignment="1" applyProtection="1">
      <alignment horizontal="center" vertical="center"/>
      <protection locked="0"/>
    </xf>
    <xf numFmtId="0" fontId="16" fillId="3" borderId="20" xfId="0" applyFont="1" applyFill="1" applyBorder="1" applyAlignment="1" applyProtection="1">
      <alignment horizontal="center" vertical="center"/>
      <protection locked="0"/>
    </xf>
    <xf numFmtId="0" fontId="18" fillId="40" borderId="20" xfId="3" applyFont="1" applyFill="1" applyBorder="1" applyAlignment="1" applyProtection="1">
      <alignment horizontal="center" vertical="center"/>
      <protection locked="0"/>
    </xf>
    <xf numFmtId="0" fontId="16" fillId="40" borderId="20" xfId="0" applyFont="1" applyFill="1" applyBorder="1" applyAlignment="1" applyProtection="1">
      <alignment horizontal="center" vertical="center"/>
      <protection locked="0"/>
    </xf>
    <xf numFmtId="0" fontId="18" fillId="38" borderId="34" xfId="3" applyFont="1" applyFill="1" applyBorder="1" applyAlignment="1" applyProtection="1">
      <alignment horizontal="center" vertical="center"/>
      <protection locked="0"/>
    </xf>
    <xf numFmtId="0" fontId="16" fillId="38" borderId="34" xfId="0" applyFont="1" applyFill="1" applyBorder="1" applyAlignment="1" applyProtection="1">
      <alignment horizontal="center" vertical="center"/>
      <protection locked="0"/>
    </xf>
    <xf numFmtId="0" fontId="18" fillId="39" borderId="20" xfId="3" applyFont="1" applyFill="1" applyBorder="1" applyAlignment="1" applyProtection="1">
      <alignment horizontal="center" vertical="center"/>
      <protection locked="0"/>
    </xf>
    <xf numFmtId="0" fontId="16" fillId="39" borderId="20" xfId="0" applyFont="1" applyFill="1" applyBorder="1" applyAlignment="1" applyProtection="1">
      <alignment horizontal="center" vertical="center"/>
      <protection locked="0"/>
    </xf>
    <xf numFmtId="0" fontId="18" fillId="4" borderId="41" xfId="3" applyFont="1" applyFill="1" applyBorder="1" applyAlignment="1" applyProtection="1">
      <alignment horizontal="center" vertical="center"/>
      <protection locked="0"/>
    </xf>
    <xf numFmtId="0" fontId="16" fillId="0" borderId="41" xfId="0" applyFont="1" applyBorder="1" applyAlignment="1" applyProtection="1">
      <alignment horizontal="center" vertical="center"/>
      <protection locked="0"/>
    </xf>
    <xf numFmtId="3" fontId="46" fillId="0" borderId="91" xfId="0" applyNumberFormat="1" applyFont="1" applyBorder="1" applyAlignment="1" applyProtection="1">
      <alignment horizontal="center" vertical="center" wrapText="1"/>
    </xf>
    <xf numFmtId="3" fontId="46" fillId="0" borderId="39" xfId="0" applyNumberFormat="1" applyFont="1" applyBorder="1" applyAlignment="1" applyProtection="1">
      <alignment horizontal="center" vertical="center" wrapText="1"/>
    </xf>
    <xf numFmtId="0" fontId="18" fillId="30" borderId="73" xfId="3" applyFont="1" applyFill="1" applyBorder="1" applyAlignment="1" applyProtection="1">
      <alignment horizontal="center"/>
      <protection locked="0"/>
    </xf>
    <xf numFmtId="0" fontId="18" fillId="30" borderId="87" xfId="3" applyFont="1" applyFill="1" applyBorder="1" applyAlignment="1" applyProtection="1">
      <alignment horizontal="center"/>
      <protection locked="0"/>
    </xf>
    <xf numFmtId="0" fontId="18" fillId="30" borderId="70" xfId="3" applyFont="1" applyFill="1" applyBorder="1" applyAlignment="1" applyProtection="1">
      <alignment horizontal="center"/>
      <protection locked="0"/>
    </xf>
    <xf numFmtId="0" fontId="18" fillId="30" borderId="47" xfId="3" applyFont="1" applyFill="1" applyBorder="1" applyAlignment="1" applyProtection="1">
      <alignment horizontal="center"/>
      <protection locked="0"/>
    </xf>
    <xf numFmtId="0" fontId="18" fillId="30" borderId="48" xfId="3" applyFont="1" applyFill="1" applyBorder="1" applyAlignment="1" applyProtection="1">
      <alignment horizontal="center"/>
      <protection locked="0"/>
    </xf>
    <xf numFmtId="0" fontId="18" fillId="30" borderId="50" xfId="3" applyFont="1" applyFill="1" applyBorder="1" applyAlignment="1" applyProtection="1">
      <alignment horizontal="center"/>
      <protection locked="0"/>
    </xf>
    <xf numFmtId="0" fontId="18" fillId="30" borderId="49" xfId="3" applyFont="1" applyFill="1" applyBorder="1" applyAlignment="1" applyProtection="1">
      <alignment horizontal="center"/>
      <protection locked="0"/>
    </xf>
    <xf numFmtId="0" fontId="45" fillId="0" borderId="71" xfId="0" applyFont="1" applyBorder="1" applyAlignment="1">
      <alignment horizontal="center" vertical="center" wrapText="1"/>
    </xf>
    <xf numFmtId="0" fontId="45" fillId="0" borderId="2" xfId="0" applyFont="1" applyBorder="1" applyAlignment="1">
      <alignment horizontal="center" vertical="center" wrapText="1"/>
    </xf>
    <xf numFmtId="0" fontId="18" fillId="30" borderId="39" xfId="3" applyFont="1" applyFill="1" applyBorder="1" applyAlignment="1" applyProtection="1">
      <alignment horizontal="center"/>
      <protection locked="0"/>
    </xf>
    <xf numFmtId="0" fontId="18" fillId="30" borderId="0" xfId="3" applyFont="1" applyFill="1" applyBorder="1" applyAlignment="1" applyProtection="1">
      <alignment horizontal="center"/>
      <protection locked="0"/>
    </xf>
    <xf numFmtId="3" fontId="46" fillId="0" borderId="71" xfId="0" applyNumberFormat="1" applyFont="1" applyBorder="1" applyAlignment="1" applyProtection="1">
      <alignment horizontal="center" vertical="center" wrapText="1"/>
    </xf>
    <xf numFmtId="3" fontId="18" fillId="0" borderId="89" xfId="132" applyNumberFormat="1" applyFont="1" applyBorder="1" applyAlignment="1" applyProtection="1">
      <alignment horizontal="center" vertical="center"/>
      <protection locked="0"/>
    </xf>
    <xf numFmtId="3" fontId="18" fillId="0" borderId="2" xfId="132" applyNumberFormat="1" applyFont="1" applyBorder="1" applyAlignment="1" applyProtection="1">
      <alignment horizontal="center" vertical="center"/>
      <protection locked="0"/>
    </xf>
    <xf numFmtId="3" fontId="18" fillId="0" borderId="3" xfId="132" applyNumberFormat="1" applyFont="1" applyBorder="1" applyAlignment="1" applyProtection="1">
      <alignment horizontal="center" vertical="center"/>
      <protection locked="0"/>
    </xf>
    <xf numFmtId="0" fontId="15" fillId="5" borderId="74" xfId="0" applyFont="1" applyFill="1" applyBorder="1" applyAlignment="1">
      <alignment horizontal="center"/>
    </xf>
    <xf numFmtId="0" fontId="15" fillId="5" borderId="61" xfId="0" applyFont="1" applyFill="1" applyBorder="1" applyAlignment="1">
      <alignment horizontal="center"/>
    </xf>
    <xf numFmtId="0" fontId="15" fillId="5" borderId="75" xfId="0" applyFont="1" applyFill="1" applyBorder="1" applyAlignment="1">
      <alignment horizontal="center"/>
    </xf>
    <xf numFmtId="0" fontId="15" fillId="5" borderId="24" xfId="0" applyFont="1" applyFill="1" applyBorder="1" applyAlignment="1">
      <alignment horizontal="center"/>
    </xf>
    <xf numFmtId="0" fontId="15" fillId="5" borderId="18" xfId="0" applyFont="1" applyFill="1" applyBorder="1" applyAlignment="1">
      <alignment horizontal="center"/>
    </xf>
    <xf numFmtId="0" fontId="15" fillId="5" borderId="25" xfId="0" applyFont="1" applyFill="1" applyBorder="1" applyAlignment="1">
      <alignment horizontal="center"/>
    </xf>
    <xf numFmtId="0" fontId="48" fillId="0" borderId="0" xfId="0" applyFont="1" applyAlignment="1">
      <alignment horizontal="left" wrapText="1"/>
    </xf>
    <xf numFmtId="0" fontId="15" fillId="37" borderId="28" xfId="0" applyFont="1" applyFill="1" applyBorder="1" applyAlignment="1">
      <alignment horizontal="center" vertical="center" wrapText="1"/>
    </xf>
    <xf numFmtId="0" fontId="15" fillId="37" borderId="17" xfId="0" applyFont="1" applyFill="1" applyBorder="1" applyAlignment="1">
      <alignment horizontal="center" vertical="center" wrapText="1"/>
    </xf>
    <xf numFmtId="0" fontId="15" fillId="5" borderId="24" xfId="0" applyFont="1" applyFill="1" applyBorder="1" applyAlignment="1">
      <alignment horizontal="center" vertical="center"/>
    </xf>
    <xf numFmtId="0" fontId="15" fillId="5" borderId="25" xfId="0" applyFont="1" applyFill="1" applyBorder="1" applyAlignment="1">
      <alignment horizontal="center" vertical="center"/>
    </xf>
    <xf numFmtId="0" fontId="15" fillId="5" borderId="28" xfId="0" applyFont="1" applyFill="1" applyBorder="1" applyAlignment="1">
      <alignment horizontal="center" vertical="center"/>
    </xf>
    <xf numFmtId="0" fontId="15" fillId="5" borderId="17" xfId="0" applyFont="1" applyFill="1" applyBorder="1" applyAlignment="1">
      <alignment horizontal="center" vertical="center"/>
    </xf>
    <xf numFmtId="0" fontId="15" fillId="50" borderId="71" xfId="0" applyFont="1" applyFill="1" applyBorder="1" applyAlignment="1">
      <alignment horizontal="center"/>
    </xf>
    <xf numFmtId="0" fontId="15" fillId="50" borderId="73" xfId="0" applyFont="1" applyFill="1" applyBorder="1" applyAlignment="1">
      <alignment horizontal="center"/>
    </xf>
    <xf numFmtId="0" fontId="15" fillId="50" borderId="87" xfId="0" applyFont="1" applyFill="1" applyBorder="1" applyAlignment="1">
      <alignment horizontal="center"/>
    </xf>
    <xf numFmtId="0" fontId="15" fillId="50" borderId="70" xfId="0" applyFont="1" applyFill="1" applyBorder="1" applyAlignment="1">
      <alignment horizontal="center"/>
    </xf>
    <xf numFmtId="169" fontId="15" fillId="0" borderId="87" xfId="0" applyNumberFormat="1" applyFont="1" applyBorder="1" applyAlignment="1">
      <alignment horizontal="left" vertical="top" wrapText="1"/>
    </xf>
    <xf numFmtId="169" fontId="48" fillId="0" borderId="0" xfId="0" applyNumberFormat="1" applyFont="1" applyAlignment="1">
      <alignment horizontal="left" vertical="top" wrapText="1"/>
    </xf>
    <xf numFmtId="169" fontId="6" fillId="0" borderId="46" xfId="132" applyNumberFormat="1" applyFont="1" applyBorder="1" applyAlignment="1">
      <alignment horizontal="center" vertical="center"/>
    </xf>
    <xf numFmtId="0" fontId="39" fillId="34" borderId="29" xfId="0" applyFont="1" applyFill="1" applyBorder="1" applyAlignment="1">
      <alignment horizontal="left" vertical="center"/>
    </xf>
    <xf numFmtId="0" fontId="39" fillId="34" borderId="27" xfId="0" applyFont="1" applyFill="1" applyBorder="1" applyAlignment="1">
      <alignment horizontal="left" vertical="center"/>
    </xf>
    <xf numFmtId="0" fontId="15" fillId="0" borderId="0" xfId="0" applyFont="1" applyBorder="1" applyAlignment="1">
      <alignment horizontal="left"/>
    </xf>
    <xf numFmtId="166" fontId="18" fillId="5" borderId="29" xfId="0" applyNumberFormat="1" applyFont="1" applyFill="1" applyBorder="1" applyAlignment="1">
      <alignment horizontal="center"/>
    </xf>
    <xf numFmtId="166" fontId="18" fillId="5" borderId="92" xfId="0" applyNumberFormat="1" applyFont="1" applyFill="1" applyBorder="1" applyAlignment="1">
      <alignment horizontal="center"/>
    </xf>
    <xf numFmtId="166" fontId="18" fillId="5" borderId="77" xfId="0" applyNumberFormat="1" applyFont="1" applyFill="1" applyBorder="1" applyAlignment="1">
      <alignment horizontal="center"/>
    </xf>
    <xf numFmtId="0" fontId="39" fillId="32" borderId="24" xfId="0" applyFont="1" applyFill="1" applyBorder="1" applyAlignment="1">
      <alignment horizontal="center" vertical="center"/>
    </xf>
    <xf numFmtId="0" fontId="39" fillId="32" borderId="25" xfId="0" applyFont="1" applyFill="1" applyBorder="1" applyAlignment="1">
      <alignment horizontal="center" vertical="center"/>
    </xf>
    <xf numFmtId="0" fontId="39" fillId="32" borderId="26" xfId="0" applyFont="1" applyFill="1" applyBorder="1" applyAlignment="1">
      <alignment horizontal="center" vertical="center"/>
    </xf>
    <xf numFmtId="0" fontId="39" fillId="32" borderId="23" xfId="0" applyFont="1" applyFill="1" applyBorder="1" applyAlignment="1">
      <alignment horizontal="center" vertical="center"/>
    </xf>
    <xf numFmtId="0" fontId="39" fillId="32" borderId="29" xfId="0" applyFont="1" applyFill="1" applyBorder="1" applyAlignment="1">
      <alignment horizontal="center" vertical="center"/>
    </xf>
    <xf numFmtId="0" fontId="39" fillId="32" borderId="27" xfId="0" applyFont="1" applyFill="1" applyBorder="1" applyAlignment="1">
      <alignment horizontal="center" vertical="center"/>
    </xf>
    <xf numFmtId="0" fontId="39" fillId="32" borderId="30" xfId="0" applyFont="1" applyFill="1" applyBorder="1" applyAlignment="1">
      <alignment horizontal="center" vertical="center"/>
    </xf>
    <xf numFmtId="0" fontId="39" fillId="32" borderId="31" xfId="0" applyFont="1" applyFill="1" applyBorder="1" applyAlignment="1">
      <alignment horizontal="center" vertical="center"/>
    </xf>
  </cellXfs>
  <cellStyles count="138">
    <cellStyle name="20% - Accent1 2" xfId="5"/>
    <cellStyle name="20% - Accent1 3" xfId="6"/>
    <cellStyle name="20% - Accent1 4" xfId="7"/>
    <cellStyle name="20% - Accent2 2" xfId="8"/>
    <cellStyle name="20% - Accent2 3" xfId="9"/>
    <cellStyle name="20% - Accent2 4" xfId="10"/>
    <cellStyle name="20% - Accent3 2" xfId="11"/>
    <cellStyle name="20% - Accent3 3" xfId="12"/>
    <cellStyle name="20% - Accent3 4" xfId="13"/>
    <cellStyle name="20% - Accent4 2" xfId="14"/>
    <cellStyle name="20% - Accent4 3" xfId="15"/>
    <cellStyle name="20% - Accent4 4" xfId="16"/>
    <cellStyle name="20% - Accent5 2" xfId="17"/>
    <cellStyle name="20% - Accent5 3" xfId="18"/>
    <cellStyle name="20% - Accent5 4" xfId="19"/>
    <cellStyle name="20% - Accent6 2" xfId="20"/>
    <cellStyle name="20% - Accent6 3" xfId="21"/>
    <cellStyle name="20% - Accent6 4" xfId="22"/>
    <cellStyle name="40% - Accent1 2" xfId="23"/>
    <cellStyle name="40% - Accent1 3" xfId="24"/>
    <cellStyle name="40% - Accent1 4" xfId="25"/>
    <cellStyle name="40% - Accent2 2" xfId="26"/>
    <cellStyle name="40% - Accent2 3" xfId="27"/>
    <cellStyle name="40% - Accent2 4" xfId="28"/>
    <cellStyle name="40% - Accent3 2" xfId="29"/>
    <cellStyle name="40% - Accent3 3" xfId="30"/>
    <cellStyle name="40% - Accent3 4" xfId="31"/>
    <cellStyle name="40% - Accent4 2" xfId="32"/>
    <cellStyle name="40% - Accent4 3" xfId="33"/>
    <cellStyle name="40% - Accent4 4" xfId="34"/>
    <cellStyle name="40% - Accent5 2" xfId="35"/>
    <cellStyle name="40% - Accent5 3" xfId="36"/>
    <cellStyle name="40% - Accent5 4" xfId="37"/>
    <cellStyle name="40% - Accent6 2" xfId="38"/>
    <cellStyle name="40% - Accent6 3" xfId="39"/>
    <cellStyle name="40% - Accent6 4" xfId="40"/>
    <cellStyle name="60% - Accent1 2" xfId="41"/>
    <cellStyle name="60% - Accent1 3" xfId="42"/>
    <cellStyle name="60% - Accent1 4" xfId="43"/>
    <cellStyle name="60% - Accent2 2" xfId="44"/>
    <cellStyle name="60% - Accent2 3" xfId="45"/>
    <cellStyle name="60% - Accent2 4" xfId="46"/>
    <cellStyle name="60% - Accent3 2" xfId="47"/>
    <cellStyle name="60% - Accent3 3" xfId="48"/>
    <cellStyle name="60% - Accent3 4" xfId="49"/>
    <cellStyle name="60% - Accent4 2" xfId="50"/>
    <cellStyle name="60% - Accent4 3" xfId="51"/>
    <cellStyle name="60% - Accent4 4" xfId="52"/>
    <cellStyle name="60% - Accent5 2" xfId="53"/>
    <cellStyle name="60% - Accent5 3" xfId="54"/>
    <cellStyle name="60% - Accent5 4" xfId="55"/>
    <cellStyle name="60% - Accent6 2" xfId="56"/>
    <cellStyle name="60% - Accent6 3" xfId="57"/>
    <cellStyle name="60% - Accent6 4" xfId="58"/>
    <cellStyle name="Accent1 2" xfId="59"/>
    <cellStyle name="Accent1 3" xfId="60"/>
    <cellStyle name="Accent1 4" xfId="61"/>
    <cellStyle name="Accent2 2" xfId="62"/>
    <cellStyle name="Accent2 3" xfId="63"/>
    <cellStyle name="Accent2 4" xfId="64"/>
    <cellStyle name="Accent3 2" xfId="65"/>
    <cellStyle name="Accent3 3" xfId="66"/>
    <cellStyle name="Accent3 4" xfId="67"/>
    <cellStyle name="Accent4 2" xfId="68"/>
    <cellStyle name="Accent4 3" xfId="69"/>
    <cellStyle name="Accent4 4" xfId="70"/>
    <cellStyle name="Accent5 2" xfId="71"/>
    <cellStyle name="Accent5 3" xfId="72"/>
    <cellStyle name="Accent5 4" xfId="73"/>
    <cellStyle name="Accent6 2" xfId="74"/>
    <cellStyle name="Accent6 3" xfId="75"/>
    <cellStyle name="Accent6 4" xfId="76"/>
    <cellStyle name="Bad 2" xfId="77"/>
    <cellStyle name="Bad 3" xfId="78"/>
    <cellStyle name="Bad 4" xfId="79"/>
    <cellStyle name="Calculation 2" xfId="80"/>
    <cellStyle name="Calculation 3" xfId="81"/>
    <cellStyle name="Calculation 4" xfId="82"/>
    <cellStyle name="Check Cell 2" xfId="83"/>
    <cellStyle name="Check Cell 3" xfId="84"/>
    <cellStyle name="Check Cell 4" xfId="85"/>
    <cellStyle name="Explanatory Text 2" xfId="86"/>
    <cellStyle name="Explanatory Text 3" xfId="87"/>
    <cellStyle name="Explanatory Text 4" xfId="88"/>
    <cellStyle name="Good 2" xfId="89"/>
    <cellStyle name="Good 3" xfId="90"/>
    <cellStyle name="Good 4" xfId="91"/>
    <cellStyle name="Heading 1 2" xfId="92"/>
    <cellStyle name="Heading 1 3" xfId="93"/>
    <cellStyle name="Heading 1 4" xfId="94"/>
    <cellStyle name="Heading 2 2" xfId="95"/>
    <cellStyle name="Heading 2 3" xfId="96"/>
    <cellStyle name="Heading 2 4" xfId="97"/>
    <cellStyle name="Heading 3 2" xfId="98"/>
    <cellStyle name="Heading 3 3" xfId="99"/>
    <cellStyle name="Heading 3 4" xfId="100"/>
    <cellStyle name="Heading 4 2" xfId="101"/>
    <cellStyle name="Heading 4 3" xfId="102"/>
    <cellStyle name="Heading 4 4" xfId="103"/>
    <cellStyle name="Input 2" xfId="104"/>
    <cellStyle name="Input 3" xfId="105"/>
    <cellStyle name="Input 4" xfId="106"/>
    <cellStyle name="Linked Cell 2" xfId="107"/>
    <cellStyle name="Linked Cell 3" xfId="108"/>
    <cellStyle name="Linked Cell 4" xfId="109"/>
    <cellStyle name="Millares" xfId="132" builtinId="3"/>
    <cellStyle name="Neutral 2" xfId="110"/>
    <cellStyle name="Neutral 3" xfId="111"/>
    <cellStyle name="Neutral 4" xfId="112"/>
    <cellStyle name="Normal" xfId="0" builtinId="0"/>
    <cellStyle name="Normal 2" xfId="1"/>
    <cellStyle name="Normal 2 2" xfId="113"/>
    <cellStyle name="Normal 2 3" xfId="114"/>
    <cellStyle name="Normal 2 4" xfId="115"/>
    <cellStyle name="Normal 3" xfId="2"/>
    <cellStyle name="Normal 3 2" xfId="116"/>
    <cellStyle name="Normal 4" xfId="3"/>
    <cellStyle name="Normal 4 2" xfId="136"/>
    <cellStyle name="Normal 5" xfId="4"/>
    <cellStyle name="Normal 5 2" xfId="137"/>
    <cellStyle name="Normal 6" xfId="133"/>
    <cellStyle name="Note 2" xfId="117"/>
    <cellStyle name="Note 3" xfId="118"/>
    <cellStyle name="Note 4" xfId="119"/>
    <cellStyle name="Output 2" xfId="120"/>
    <cellStyle name="Output 3" xfId="121"/>
    <cellStyle name="Output 4" xfId="122"/>
    <cellStyle name="Porcentaje" xfId="135" builtinId="5"/>
    <cellStyle name="TableStyleLight1" xfId="134"/>
    <cellStyle name="Title 2" xfId="123"/>
    <cellStyle name="Title 3" xfId="124"/>
    <cellStyle name="Title 4" xfId="125"/>
    <cellStyle name="Total 2" xfId="126"/>
    <cellStyle name="Total 3" xfId="127"/>
    <cellStyle name="Total 4" xfId="128"/>
    <cellStyle name="Warning Text 2" xfId="129"/>
    <cellStyle name="Warning Text 3" xfId="130"/>
    <cellStyle name="Warning Text 4" xfId="131"/>
  </cellStyles>
  <dxfs count="0"/>
  <tableStyles count="0" defaultTableStyle="TableStyleMedium9" defaultPivotStyle="PivotStyleMedium4"/>
  <colors>
    <mruColors>
      <color rgb="FFCC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23" Type="http://schemas.openxmlformats.org/officeDocument/2006/relationships/customXml" Target="../customXml/item6.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 Id="rId22" Type="http://schemas.openxmlformats.org/officeDocument/2006/relationships/customXml" Target="../customXml/item5.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Sebasti&#225;n/Downloads/PRODUCTOS%20AFIP%20v3011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erfil Modificado"/>
      <sheetName val="POD Con Agregados "/>
      <sheetName val="Matriz Financiamiento Año 1-5"/>
    </sheetNames>
    <sheetDataSet>
      <sheetData sheetId="0">
        <row r="5">
          <cell r="C5" t="str">
            <v>Fortalecimiento de la gestión de riesgo de la AFIP</v>
          </cell>
        </row>
        <row r="6">
          <cell r="C6" t="str">
            <v xml:space="preserve">Fortalecimiento del control y fiscalización en la administración de tributos internos </v>
          </cell>
        </row>
        <row r="38">
          <cell r="C38" t="str">
            <v>Fortalecimiento de los controles aduaneros y nueva estrategia de control mediante el uso de medios no intrusivos y una gestión de riesgo integral</v>
          </cell>
        </row>
        <row r="43">
          <cell r="C43" t="str">
            <v>Fortalecimiento del control y fiscalización de los recursos de la seguridad social y mejora de la formalización del sector laboral</v>
          </cell>
        </row>
        <row r="50">
          <cell r="C50" t="str">
            <v>Fortalecimiento de los sistemas de información de la AFIP</v>
          </cell>
        </row>
        <row r="51">
          <cell r="C51" t="str">
            <v>Data Center (Software&amp;Hardware y Capacitación)</v>
          </cell>
        </row>
        <row r="52">
          <cell r="C52" t="str">
            <v>Comunicaciones (adquisión de equipos y actualizacion de sistemas)</v>
          </cell>
        </row>
        <row r="53">
          <cell r="C53" t="str">
            <v>Seguridad Informática (adquisión de equipos y actualización de sistemas)</v>
          </cell>
        </row>
        <row r="54">
          <cell r="C54" t="str">
            <v>Mejora de los servicios de atención al contribuyente y del modelo de gestión, de planificación y desarrollo de servicios de las áreas centrales de la AFIP</v>
          </cell>
        </row>
        <row r="55">
          <cell r="C55" t="str">
            <v>Mejora normativa, simplificación de procedimientos y cambio de enfoque en la atención (CRM)</v>
          </cell>
        </row>
        <row r="63">
          <cell r="C63" t="str">
            <v>Incorporación de nuevos medios y tecnologías y reorientación del rol de las sucursales/agencias que constituyen el despliegue territorial de la AFIP</v>
          </cell>
        </row>
        <row r="68">
          <cell r="C68" t="str">
            <v>Nuevo modelo de gestión, planificación y organización</v>
          </cell>
        </row>
        <row r="74">
          <cell r="C74" t="str">
            <v>Administración y gestión del programa</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U117"/>
  <sheetViews>
    <sheetView tabSelected="1" topLeftCell="A2" zoomScale="60" zoomScaleNormal="60" workbookViewId="0">
      <pane xSplit="1" ySplit="5" topLeftCell="B7" activePane="bottomRight" state="frozen"/>
      <selection activeCell="A2" sqref="A2"/>
      <selection pane="topRight" activeCell="B2" sqref="B2"/>
      <selection pane="bottomLeft" activeCell="A6" sqref="A6"/>
      <selection pane="bottomRight" activeCell="A2" sqref="A2"/>
    </sheetView>
  </sheetViews>
  <sheetFormatPr baseColWidth="10" defaultColWidth="9" defaultRowHeight="15" x14ac:dyDescent="0.25"/>
  <cols>
    <col min="1" max="1" width="3.875" style="24" customWidth="1"/>
    <col min="2" max="2" width="64.375" style="8" customWidth="1"/>
    <col min="3" max="3" width="24.5" style="25" customWidth="1"/>
    <col min="4" max="4" width="91.375" style="8" customWidth="1"/>
    <col min="5" max="5" width="10.5" style="8" customWidth="1"/>
    <col min="6" max="6" width="14" style="8" customWidth="1"/>
    <col min="7" max="7" width="8.875" style="8" customWidth="1"/>
    <col min="8" max="8" width="57.375" style="8" customWidth="1"/>
    <col min="9" max="9" width="15.375" style="8" bestFit="1" customWidth="1"/>
    <col min="10" max="10" width="13" style="8" customWidth="1"/>
    <col min="11" max="11" width="11.875" style="8" customWidth="1"/>
    <col min="12" max="12" width="66.125" style="8" customWidth="1"/>
    <col min="13" max="13" width="12.5" style="8" customWidth="1"/>
    <col min="14" max="14" width="11.125" style="8" customWidth="1"/>
    <col min="15" max="15" width="17.75" style="8" customWidth="1"/>
    <col min="16" max="16" width="30.5" style="8" customWidth="1"/>
    <col min="17" max="17" width="11.75" style="8" bestFit="1" customWidth="1"/>
    <col min="18" max="18" width="10.5" style="8" customWidth="1"/>
    <col min="19" max="19" width="10.25" style="8" customWidth="1"/>
    <col min="20" max="20" width="9" style="8"/>
    <col min="21" max="21" width="54.25" style="8" customWidth="1"/>
    <col min="22" max="16384" width="9" style="8"/>
  </cols>
  <sheetData>
    <row r="1" spans="1:21" ht="21" x14ac:dyDescent="0.35">
      <c r="B1" s="9" t="s">
        <v>74</v>
      </c>
    </row>
    <row r="2" spans="1:21" ht="33.75" customHeight="1" x14ac:dyDescent="0.4">
      <c r="A2" s="25"/>
      <c r="B2" s="94" t="s">
        <v>209</v>
      </c>
      <c r="H2" s="562"/>
      <c r="I2" s="562"/>
    </row>
    <row r="3" spans="1:21" ht="23.25" customHeight="1" x14ac:dyDescent="0.35">
      <c r="A3" s="25"/>
      <c r="B3" s="87" t="s">
        <v>76</v>
      </c>
      <c r="H3" s="562"/>
      <c r="I3" s="562"/>
      <c r="J3" s="562"/>
      <c r="K3" s="562"/>
      <c r="L3" s="514"/>
      <c r="M3" s="514"/>
      <c r="P3" s="37"/>
    </row>
    <row r="4" spans="1:21" ht="104.25" customHeight="1" x14ac:dyDescent="0.25">
      <c r="A4" s="25"/>
      <c r="B4" s="85" t="s">
        <v>8</v>
      </c>
      <c r="C4" s="86">
        <f>+C7+C42+C70+C84</f>
        <v>110500.049</v>
      </c>
      <c r="D4" s="624" t="s">
        <v>441</v>
      </c>
      <c r="E4" s="625"/>
      <c r="F4" s="625"/>
      <c r="G4" s="625"/>
      <c r="H4" s="625"/>
      <c r="I4" s="625"/>
      <c r="J4" s="625"/>
      <c r="K4" s="625"/>
      <c r="L4" s="625"/>
      <c r="M4" s="625"/>
      <c r="N4" s="625"/>
      <c r="O4" s="625"/>
      <c r="P4" s="625"/>
      <c r="Q4" s="625"/>
      <c r="R4" s="625"/>
      <c r="S4" s="626"/>
    </row>
    <row r="5" spans="1:21" ht="15.75" x14ac:dyDescent="0.25">
      <c r="B5" s="635" t="s">
        <v>4</v>
      </c>
      <c r="C5" s="636"/>
      <c r="D5" s="631" t="s">
        <v>33</v>
      </c>
      <c r="E5" s="632"/>
      <c r="F5" s="632"/>
      <c r="G5" s="632"/>
      <c r="H5" s="627" t="s">
        <v>22</v>
      </c>
      <c r="I5" s="628"/>
      <c r="J5" s="628"/>
      <c r="K5" s="628"/>
      <c r="L5" s="629" t="s">
        <v>15</v>
      </c>
      <c r="M5" s="630"/>
      <c r="N5" s="630"/>
      <c r="O5" s="630"/>
      <c r="P5" s="633" t="s">
        <v>24</v>
      </c>
      <c r="Q5" s="634"/>
      <c r="R5" s="634"/>
      <c r="S5" s="634"/>
    </row>
    <row r="6" spans="1:21" ht="30" x14ac:dyDescent="0.25">
      <c r="B6" s="636"/>
      <c r="C6" s="636"/>
      <c r="D6" s="26" t="s">
        <v>25</v>
      </c>
      <c r="E6" s="27" t="s">
        <v>5</v>
      </c>
      <c r="F6" s="26" t="s">
        <v>6</v>
      </c>
      <c r="G6" s="26" t="s">
        <v>0</v>
      </c>
      <c r="H6" s="28" t="s">
        <v>25</v>
      </c>
      <c r="I6" s="29" t="s">
        <v>5</v>
      </c>
      <c r="J6" s="28" t="s">
        <v>6</v>
      </c>
      <c r="K6" s="28" t="s">
        <v>0</v>
      </c>
      <c r="L6" s="28" t="s">
        <v>25</v>
      </c>
      <c r="M6" s="29" t="s">
        <v>5</v>
      </c>
      <c r="N6" s="28" t="s">
        <v>6</v>
      </c>
      <c r="O6" s="28" t="s">
        <v>0</v>
      </c>
      <c r="P6" s="28" t="s">
        <v>25</v>
      </c>
      <c r="Q6" s="29" t="s">
        <v>5</v>
      </c>
      <c r="R6" s="28" t="s">
        <v>6</v>
      </c>
      <c r="S6" s="28" t="s">
        <v>0</v>
      </c>
    </row>
    <row r="7" spans="1:21" ht="27.75" customHeight="1" x14ac:dyDescent="0.25">
      <c r="B7" s="50" t="s">
        <v>358</v>
      </c>
      <c r="C7" s="51">
        <f>+C9+C26+C35</f>
        <v>48022.154200000004</v>
      </c>
      <c r="D7" s="575" t="str">
        <f>+'Plan_Ejecutivo_Plurianual (PEP)'!C5</f>
        <v>Fortalecimiento de la gestión de riesgo de la AFIP</v>
      </c>
      <c r="E7" s="575"/>
      <c r="F7" s="575"/>
      <c r="G7" s="575"/>
      <c r="H7" s="575"/>
      <c r="I7" s="575"/>
      <c r="J7" s="575"/>
      <c r="K7" s="575"/>
      <c r="L7" s="575"/>
      <c r="M7" s="575"/>
      <c r="N7" s="575"/>
      <c r="O7" s="575"/>
      <c r="P7" s="575"/>
      <c r="Q7" s="575"/>
      <c r="R7" s="575"/>
      <c r="S7" s="575"/>
    </row>
    <row r="8" spans="1:21" ht="24.75" customHeight="1" x14ac:dyDescent="0.25">
      <c r="B8" s="594" t="s">
        <v>375</v>
      </c>
      <c r="C8" s="594"/>
      <c r="D8" s="600" t="str">
        <f>+'Plan_Ejecutivo_Plurianual (PEP)'!C6</f>
        <v xml:space="preserve">Fortalecimiento del control y fiscalización en la administración de tributos internos </v>
      </c>
      <c r="E8" s="601"/>
      <c r="F8" s="601"/>
      <c r="G8" s="601"/>
      <c r="H8" s="601"/>
      <c r="I8" s="601"/>
      <c r="J8" s="601"/>
      <c r="K8" s="601"/>
      <c r="L8" s="601"/>
      <c r="M8" s="601"/>
      <c r="N8" s="601"/>
      <c r="O8" s="601"/>
      <c r="P8" s="601"/>
      <c r="Q8" s="601"/>
      <c r="R8" s="601"/>
      <c r="S8" s="602"/>
    </row>
    <row r="9" spans="1:21" x14ac:dyDescent="0.25">
      <c r="B9" s="604" t="s">
        <v>147</v>
      </c>
      <c r="C9" s="637">
        <f>+O9+O11+O13+K14+K15+G16+G17+K16+K17+K18+K19+K20+K21+K22+K23+O24</f>
        <v>12329.8734</v>
      </c>
      <c r="D9" s="470"/>
      <c r="E9" s="471"/>
      <c r="F9" s="471"/>
      <c r="G9" s="472"/>
      <c r="H9" s="459"/>
      <c r="I9" s="473"/>
      <c r="J9" s="459"/>
      <c r="K9" s="474"/>
      <c r="L9" s="440" t="s">
        <v>115</v>
      </c>
      <c r="M9" s="606">
        <f>+'A4_Detalle Soft&amp;Hard Sub 2 '!H7</f>
        <v>400</v>
      </c>
      <c r="N9" s="604">
        <v>1</v>
      </c>
      <c r="O9" s="608">
        <f>+M9*N9</f>
        <v>400</v>
      </c>
      <c r="P9" s="597"/>
      <c r="Q9" s="471"/>
      <c r="R9" s="471"/>
      <c r="S9" s="472"/>
    </row>
    <row r="10" spans="1:21" x14ac:dyDescent="0.25">
      <c r="B10" s="647"/>
      <c r="C10" s="638"/>
      <c r="D10" s="475"/>
      <c r="E10" s="461"/>
      <c r="F10" s="461"/>
      <c r="G10" s="458"/>
      <c r="H10" s="457"/>
      <c r="I10" s="476"/>
      <c r="J10" s="457"/>
      <c r="K10" s="477"/>
      <c r="L10" s="441" t="s">
        <v>116</v>
      </c>
      <c r="M10" s="607"/>
      <c r="N10" s="605"/>
      <c r="O10" s="609"/>
      <c r="P10" s="598"/>
      <c r="Q10" s="461"/>
      <c r="R10" s="461"/>
      <c r="S10" s="458"/>
    </row>
    <row r="11" spans="1:21" ht="45" x14ac:dyDescent="0.25">
      <c r="B11" s="647"/>
      <c r="C11" s="638"/>
      <c r="D11" s="475"/>
      <c r="E11" s="461"/>
      <c r="F11" s="461"/>
      <c r="G11" s="458"/>
      <c r="H11" s="457"/>
      <c r="I11" s="476"/>
      <c r="J11" s="457"/>
      <c r="K11" s="477"/>
      <c r="L11" s="441" t="s">
        <v>118</v>
      </c>
      <c r="M11" s="606">
        <f>+'A4_Detalle Soft&amp;Hard Sub 2 '!H10</f>
        <v>2900</v>
      </c>
      <c r="N11" s="604">
        <v>1</v>
      </c>
      <c r="O11" s="608">
        <f>+M11*N11</f>
        <v>2900</v>
      </c>
      <c r="P11" s="598"/>
      <c r="Q11" s="461"/>
      <c r="R11" s="461"/>
      <c r="S11" s="458"/>
      <c r="U11" s="545"/>
    </row>
    <row r="12" spans="1:21" ht="45" x14ac:dyDescent="0.25">
      <c r="B12" s="647"/>
      <c r="C12" s="638"/>
      <c r="D12" s="475"/>
      <c r="E12" s="461"/>
      <c r="F12" s="461"/>
      <c r="G12" s="458"/>
      <c r="H12" s="457"/>
      <c r="I12" s="476"/>
      <c r="J12" s="457"/>
      <c r="K12" s="477"/>
      <c r="L12" s="442" t="s">
        <v>359</v>
      </c>
      <c r="M12" s="607"/>
      <c r="N12" s="605"/>
      <c r="O12" s="609"/>
      <c r="P12" s="598"/>
      <c r="Q12" s="461"/>
      <c r="R12" s="461"/>
      <c r="S12" s="458"/>
      <c r="U12" s="514"/>
    </row>
    <row r="13" spans="1:21" ht="30" x14ac:dyDescent="0.25">
      <c r="B13" s="647"/>
      <c r="C13" s="638"/>
      <c r="D13" s="478"/>
      <c r="E13" s="466"/>
      <c r="F13" s="466"/>
      <c r="G13" s="479"/>
      <c r="H13" s="480"/>
      <c r="I13" s="481"/>
      <c r="J13" s="480"/>
      <c r="K13" s="482"/>
      <c r="L13" s="443" t="s">
        <v>361</v>
      </c>
      <c r="M13" s="437">
        <f>+'A4_Detalle Soft&amp;Hard Sub 2 '!H13</f>
        <v>491</v>
      </c>
      <c r="N13" s="435">
        <v>1</v>
      </c>
      <c r="O13" s="438">
        <f>+M13*N13</f>
        <v>491</v>
      </c>
      <c r="P13" s="599"/>
      <c r="Q13" s="466"/>
      <c r="R13" s="466"/>
      <c r="S13" s="479"/>
      <c r="U13" s="545"/>
    </row>
    <row r="14" spans="1:21" ht="118.5" customHeight="1" x14ac:dyDescent="0.25">
      <c r="B14" s="604" t="s">
        <v>362</v>
      </c>
      <c r="C14" s="613"/>
      <c r="D14" s="468"/>
      <c r="E14" s="464"/>
      <c r="F14" s="464"/>
      <c r="G14" s="464"/>
      <c r="H14" s="444" t="s">
        <v>372</v>
      </c>
      <c r="I14" s="449">
        <f>+'A1. Firmas Consultoras'!D12</f>
        <v>108.333</v>
      </c>
      <c r="J14" s="439">
        <v>6</v>
      </c>
      <c r="K14" s="448">
        <f>I14*J14</f>
        <v>649.99800000000005</v>
      </c>
      <c r="L14" s="455"/>
      <c r="M14" s="462"/>
      <c r="N14" s="455"/>
      <c r="O14" s="455"/>
      <c r="P14" s="465"/>
      <c r="Q14" s="466"/>
      <c r="R14" s="466"/>
      <c r="S14" s="467"/>
    </row>
    <row r="15" spans="1:21" ht="195" x14ac:dyDescent="0.25">
      <c r="B15" s="605"/>
      <c r="C15" s="613"/>
      <c r="D15" s="457"/>
      <c r="E15" s="469"/>
      <c r="F15" s="456"/>
      <c r="G15" s="458"/>
      <c r="H15" s="445" t="s">
        <v>371</v>
      </c>
      <c r="I15" s="446">
        <f>+'A1. Firmas Consultoras'!K10</f>
        <v>108.333</v>
      </c>
      <c r="J15" s="432">
        <f>+'A1. Firmas Consultoras'!J13</f>
        <v>15</v>
      </c>
      <c r="K15" s="447">
        <f t="shared" ref="K15:K21" si="0">+I15*J15</f>
        <v>1624.9949999999999</v>
      </c>
      <c r="L15" s="459"/>
      <c r="M15" s="460"/>
      <c r="N15" s="459"/>
      <c r="O15" s="459"/>
      <c r="P15" s="463"/>
      <c r="Q15" s="464"/>
      <c r="R15" s="464"/>
      <c r="S15" s="456"/>
    </row>
    <row r="16" spans="1:21" ht="76.5" customHeight="1" x14ac:dyDescent="0.25">
      <c r="B16" s="646" t="s">
        <v>164</v>
      </c>
      <c r="C16" s="613"/>
      <c r="D16" s="451" t="s">
        <v>366</v>
      </c>
      <c r="E16" s="452">
        <f>+'A2. Consultorias Individuales'!E12</f>
        <v>72.221999999999994</v>
      </c>
      <c r="F16" s="433">
        <f>+'A2. Consultorias Individuales'!C10</f>
        <v>1</v>
      </c>
      <c r="G16" s="452">
        <f>+E16*F16</f>
        <v>72.221999999999994</v>
      </c>
      <c r="H16" s="611" t="s">
        <v>368</v>
      </c>
      <c r="I16" s="453">
        <f>+'A1. Firmas Consultoras'!K60</f>
        <v>108.333</v>
      </c>
      <c r="J16" s="432">
        <f>+'A1. Firmas Consultoras'!J60+'A1. Firmas Consultoras'!J61</f>
        <v>16</v>
      </c>
      <c r="K16" s="452">
        <f t="shared" si="0"/>
        <v>1733.328</v>
      </c>
      <c r="L16" s="455"/>
      <c r="M16" s="462"/>
      <c r="N16" s="455"/>
      <c r="O16" s="455"/>
      <c r="P16" s="463"/>
      <c r="Q16" s="464"/>
      <c r="R16" s="464"/>
      <c r="S16" s="456"/>
    </row>
    <row r="17" spans="2:19" ht="82.5" customHeight="1" x14ac:dyDescent="0.25">
      <c r="B17" s="646"/>
      <c r="C17" s="613"/>
      <c r="D17" s="451" t="s">
        <v>377</v>
      </c>
      <c r="E17" s="452">
        <f>+'A2. Consultorias Individuales'!I10</f>
        <v>72.221999999999994</v>
      </c>
      <c r="F17" s="433">
        <f>+'A2. Consultorias Individuales'!H10</f>
        <v>2</v>
      </c>
      <c r="G17" s="452">
        <f>+E17*F17</f>
        <v>144.44399999999999</v>
      </c>
      <c r="H17" s="611"/>
      <c r="I17" s="453">
        <f>+'A1. Firmas Consultoras'!K62</f>
        <v>266.66699999999997</v>
      </c>
      <c r="J17" s="432">
        <f>+'A1. Firmas Consultoras'!J62</f>
        <v>1</v>
      </c>
      <c r="K17" s="452">
        <f t="shared" si="0"/>
        <v>266.66699999999997</v>
      </c>
      <c r="L17" s="455"/>
      <c r="M17" s="462"/>
      <c r="N17" s="455"/>
      <c r="O17" s="455"/>
      <c r="P17" s="463"/>
      <c r="Q17" s="464"/>
      <c r="R17" s="464"/>
      <c r="S17" s="456"/>
    </row>
    <row r="18" spans="2:19" ht="33.75" customHeight="1" x14ac:dyDescent="0.25">
      <c r="B18" s="646"/>
      <c r="C18" s="613"/>
      <c r="D18" s="455"/>
      <c r="E18" s="456"/>
      <c r="F18" s="456"/>
      <c r="G18" s="456"/>
      <c r="H18" s="611" t="s">
        <v>367</v>
      </c>
      <c r="I18" s="453">
        <f>+'A1. Firmas Consultoras'!D60</f>
        <v>108.33</v>
      </c>
      <c r="J18" s="432">
        <v>1</v>
      </c>
      <c r="K18" s="452">
        <f t="shared" si="0"/>
        <v>108.33</v>
      </c>
      <c r="L18" s="455"/>
      <c r="M18" s="462"/>
      <c r="N18" s="455"/>
      <c r="O18" s="455"/>
      <c r="P18" s="463"/>
      <c r="Q18" s="464"/>
      <c r="R18" s="464"/>
      <c r="S18" s="456"/>
    </row>
    <row r="19" spans="2:19" ht="86.25" customHeight="1" x14ac:dyDescent="0.25">
      <c r="B19" s="646"/>
      <c r="C19" s="613"/>
      <c r="D19" s="455"/>
      <c r="E19" s="456"/>
      <c r="F19" s="456"/>
      <c r="G19" s="456"/>
      <c r="H19" s="611"/>
      <c r="I19" s="453">
        <f>+'A1. Firmas Consultoras'!D61</f>
        <v>75</v>
      </c>
      <c r="J19" s="432">
        <v>7</v>
      </c>
      <c r="K19" s="452">
        <f t="shared" si="0"/>
        <v>525</v>
      </c>
      <c r="L19" s="455"/>
      <c r="M19" s="462"/>
      <c r="N19" s="455"/>
      <c r="O19" s="455"/>
      <c r="P19" s="463"/>
      <c r="Q19" s="464"/>
      <c r="R19" s="464"/>
      <c r="S19" s="456"/>
    </row>
    <row r="20" spans="2:19" ht="157.5" customHeight="1" x14ac:dyDescent="0.25">
      <c r="B20" s="646"/>
      <c r="C20" s="613"/>
      <c r="D20" s="455"/>
      <c r="E20" s="456"/>
      <c r="F20" s="456"/>
      <c r="G20" s="456"/>
      <c r="H20" s="445" t="s">
        <v>369</v>
      </c>
      <c r="I20" s="453">
        <f>+'A1. Firmas Consultoras'!D45</f>
        <v>108.3334</v>
      </c>
      <c r="J20" s="453">
        <f>+'A1. Firmas Consultoras'!C48</f>
        <v>6</v>
      </c>
      <c r="K20" s="452">
        <f t="shared" si="0"/>
        <v>650.00040000000001</v>
      </c>
      <c r="L20" s="455"/>
      <c r="M20" s="462"/>
      <c r="N20" s="455"/>
      <c r="O20" s="455"/>
      <c r="P20" s="463"/>
      <c r="Q20" s="464"/>
      <c r="R20" s="464"/>
      <c r="S20" s="456"/>
    </row>
    <row r="21" spans="2:19" ht="101.25" customHeight="1" x14ac:dyDescent="0.25">
      <c r="B21" s="646"/>
      <c r="C21" s="613"/>
      <c r="D21" s="455"/>
      <c r="E21" s="456"/>
      <c r="F21" s="456"/>
      <c r="G21" s="456"/>
      <c r="H21" s="445" t="s">
        <v>373</v>
      </c>
      <c r="I21" s="454">
        <f>+'A1. Firmas Consultoras'!K45</f>
        <v>72.221999999999994</v>
      </c>
      <c r="J21" s="432">
        <f>+'A1. Firmas Consultoras'!J48</f>
        <v>6</v>
      </c>
      <c r="K21" s="452">
        <f t="shared" si="0"/>
        <v>433.33199999999999</v>
      </c>
      <c r="L21" s="455"/>
      <c r="M21" s="462"/>
      <c r="N21" s="455"/>
      <c r="O21" s="455"/>
      <c r="P21" s="463"/>
      <c r="Q21" s="464"/>
      <c r="R21" s="464"/>
      <c r="S21" s="456"/>
    </row>
    <row r="22" spans="2:19" ht="69" customHeight="1" x14ac:dyDescent="0.25">
      <c r="B22" s="646" t="s">
        <v>174</v>
      </c>
      <c r="C22" s="613"/>
      <c r="D22" s="455"/>
      <c r="E22" s="456"/>
      <c r="F22" s="456"/>
      <c r="G22" s="456"/>
      <c r="H22" s="610" t="s">
        <v>374</v>
      </c>
      <c r="I22" s="452">
        <f>+'A1. Firmas Consultoras'!D29</f>
        <v>180.55600000000001</v>
      </c>
      <c r="J22" s="432">
        <v>1</v>
      </c>
      <c r="K22" s="452">
        <f t="shared" ref="K22:K23" si="1">+I22*J22</f>
        <v>180.55600000000001</v>
      </c>
      <c r="L22" s="455"/>
      <c r="M22" s="462"/>
      <c r="N22" s="455"/>
      <c r="O22" s="455"/>
      <c r="P22" s="463"/>
      <c r="Q22" s="464"/>
      <c r="R22" s="464"/>
      <c r="S22" s="456"/>
    </row>
    <row r="23" spans="2:19" ht="87" customHeight="1" x14ac:dyDescent="0.25">
      <c r="B23" s="646"/>
      <c r="C23" s="613"/>
      <c r="D23" s="455"/>
      <c r="E23" s="456"/>
      <c r="F23" s="456"/>
      <c r="G23" s="456"/>
      <c r="H23" s="611"/>
      <c r="I23" s="452">
        <f>+'A1. Firmas Consultoras'!D30</f>
        <v>216.667</v>
      </c>
      <c r="J23" s="432">
        <v>3</v>
      </c>
      <c r="K23" s="452">
        <f t="shared" si="1"/>
        <v>650.00099999999998</v>
      </c>
      <c r="L23" s="455"/>
      <c r="M23" s="462"/>
      <c r="N23" s="455"/>
      <c r="O23" s="455"/>
      <c r="P23" s="463"/>
      <c r="Q23" s="464"/>
      <c r="R23" s="464"/>
      <c r="S23" s="456"/>
    </row>
    <row r="24" spans="2:19" ht="51" customHeight="1" x14ac:dyDescent="0.25">
      <c r="B24" s="450" t="s">
        <v>370</v>
      </c>
      <c r="C24" s="613"/>
      <c r="D24" s="457"/>
      <c r="E24" s="483"/>
      <c r="F24" s="483"/>
      <c r="G24" s="483"/>
      <c r="H24" s="484"/>
      <c r="I24" s="471"/>
      <c r="J24" s="471"/>
      <c r="K24" s="483"/>
      <c r="L24" s="485" t="s">
        <v>130</v>
      </c>
      <c r="M24" s="486">
        <f>+'A4_Detalle Soft&amp;Hard Sub 2 '!H16</f>
        <v>1500</v>
      </c>
      <c r="N24" s="487">
        <v>1</v>
      </c>
      <c r="O24" s="486">
        <f>+M24*N24</f>
        <v>1500</v>
      </c>
      <c r="P24" s="488"/>
      <c r="Q24" s="471"/>
      <c r="R24" s="471"/>
      <c r="S24" s="483"/>
    </row>
    <row r="25" spans="2:19" ht="28.5" customHeight="1" x14ac:dyDescent="0.25">
      <c r="B25" s="594" t="s">
        <v>376</v>
      </c>
      <c r="C25" s="594"/>
      <c r="D25" s="600" t="str">
        <f>+'Plan_Ejecutivo_Plurianual (PEP)'!C7</f>
        <v>Fortalecimiento de los controles aduaneros y nueva estrategia de control mediante el uso de medios no intrusivos y una gestión de riesgo integral</v>
      </c>
      <c r="E25" s="601"/>
      <c r="F25" s="601"/>
      <c r="G25" s="601"/>
      <c r="H25" s="601"/>
      <c r="I25" s="601"/>
      <c r="J25" s="601"/>
      <c r="K25" s="601"/>
      <c r="L25" s="601"/>
      <c r="M25" s="601"/>
      <c r="N25" s="601"/>
      <c r="O25" s="601"/>
      <c r="P25" s="601"/>
      <c r="Q25" s="601"/>
      <c r="R25" s="601"/>
      <c r="S25" s="602"/>
    </row>
    <row r="26" spans="2:19" ht="50.25" customHeight="1" x14ac:dyDescent="0.25">
      <c r="B26" s="604" t="s">
        <v>180</v>
      </c>
      <c r="C26" s="612">
        <f>+K26+K27+K28+K29+K30+K31+O32+O33</f>
        <v>32658.95</v>
      </c>
      <c r="D26" s="559"/>
      <c r="E26" s="559"/>
      <c r="F26" s="559"/>
      <c r="G26" s="559"/>
      <c r="H26" s="573" t="s">
        <v>435</v>
      </c>
      <c r="I26" s="452">
        <f>+'A1. Firmas Consultoras'!D75</f>
        <v>225.1</v>
      </c>
      <c r="J26" s="560">
        <f>+'A1. Firmas Consultoras'!C75</f>
        <v>8</v>
      </c>
      <c r="K26" s="452">
        <f t="shared" ref="K26:K31" si="2">+I26*J26</f>
        <v>1800.8</v>
      </c>
      <c r="L26" s="492"/>
      <c r="M26" s="492"/>
      <c r="N26" s="492"/>
      <c r="O26" s="492"/>
      <c r="P26" s="492"/>
      <c r="Q26" s="492"/>
      <c r="R26" s="492"/>
      <c r="S26" s="492"/>
    </row>
    <row r="27" spans="2:19" ht="40.5" customHeight="1" x14ac:dyDescent="0.25">
      <c r="B27" s="605"/>
      <c r="C27" s="613"/>
      <c r="D27" s="559"/>
      <c r="E27" s="559"/>
      <c r="F27" s="559"/>
      <c r="G27" s="559"/>
      <c r="H27" s="574"/>
      <c r="I27" s="452">
        <f>+'A1. Firmas Consultoras'!D76</f>
        <v>224.64500000000001</v>
      </c>
      <c r="J27" s="560">
        <f>+'A1. Firmas Consultoras'!C76</f>
        <v>18</v>
      </c>
      <c r="K27" s="452">
        <f t="shared" si="2"/>
        <v>4043.61</v>
      </c>
      <c r="L27" s="492"/>
      <c r="M27" s="492"/>
      <c r="N27" s="492"/>
      <c r="O27" s="492"/>
      <c r="P27" s="492"/>
      <c r="Q27" s="492"/>
      <c r="R27" s="492"/>
      <c r="S27" s="492"/>
    </row>
    <row r="28" spans="2:19" ht="50.25" customHeight="1" x14ac:dyDescent="0.25">
      <c r="B28" s="546" t="s">
        <v>181</v>
      </c>
      <c r="C28" s="613"/>
      <c r="D28" s="559"/>
      <c r="E28" s="559"/>
      <c r="F28" s="559"/>
      <c r="G28" s="559"/>
      <c r="H28" s="573" t="s">
        <v>436</v>
      </c>
      <c r="I28" s="452">
        <f>+'A1. Firmas Consultoras'!K75</f>
        <v>221.73599999999999</v>
      </c>
      <c r="J28" s="560">
        <f>+'A1. Firmas Consultoras'!J75</f>
        <v>15</v>
      </c>
      <c r="K28" s="452">
        <f t="shared" si="2"/>
        <v>3326.04</v>
      </c>
      <c r="L28" s="492"/>
      <c r="M28" s="492"/>
      <c r="N28" s="492"/>
      <c r="O28" s="492"/>
      <c r="P28" s="492"/>
      <c r="Q28" s="492"/>
      <c r="R28" s="492"/>
      <c r="S28" s="492"/>
    </row>
    <row r="29" spans="2:19" ht="56.25" customHeight="1" x14ac:dyDescent="0.25">
      <c r="B29" s="546"/>
      <c r="C29" s="613"/>
      <c r="D29" s="559"/>
      <c r="E29" s="559"/>
      <c r="F29" s="559"/>
      <c r="G29" s="559"/>
      <c r="H29" s="574"/>
      <c r="I29" s="452">
        <f>+'A1. Firmas Consultoras'!K76</f>
        <v>222</v>
      </c>
      <c r="J29" s="560">
        <f>+'A1. Firmas Consultoras'!J76</f>
        <v>17</v>
      </c>
      <c r="K29" s="452">
        <f t="shared" si="2"/>
        <v>3774</v>
      </c>
      <c r="L29" s="492"/>
      <c r="M29" s="492"/>
      <c r="N29" s="492"/>
      <c r="O29" s="492"/>
      <c r="P29" s="492"/>
      <c r="Q29" s="492"/>
      <c r="R29" s="492"/>
      <c r="S29" s="492"/>
    </row>
    <row r="30" spans="2:19" ht="58.5" customHeight="1" x14ac:dyDescent="0.25">
      <c r="B30" s="546"/>
      <c r="C30" s="613"/>
      <c r="D30" s="559"/>
      <c r="E30" s="559"/>
      <c r="F30" s="559"/>
      <c r="G30" s="559"/>
      <c r="H30" s="573" t="s">
        <v>437</v>
      </c>
      <c r="I30" s="452">
        <f>+'A1. Firmas Consultoras'!D87</f>
        <v>221.5</v>
      </c>
      <c r="J30" s="560">
        <f>+'A1. Firmas Consultoras'!C87</f>
        <v>5</v>
      </c>
      <c r="K30" s="452">
        <f t="shared" si="2"/>
        <v>1107.5</v>
      </c>
      <c r="L30" s="492"/>
      <c r="M30" s="561"/>
      <c r="N30" s="561"/>
      <c r="O30" s="561"/>
      <c r="P30" s="492"/>
      <c r="Q30" s="492"/>
      <c r="R30" s="492"/>
      <c r="S30" s="492"/>
    </row>
    <row r="31" spans="2:19" ht="48.75" customHeight="1" x14ac:dyDescent="0.25">
      <c r="B31" s="546"/>
      <c r="C31" s="613"/>
      <c r="D31" s="559"/>
      <c r="E31" s="559"/>
      <c r="F31" s="559"/>
      <c r="G31" s="559"/>
      <c r="H31" s="574"/>
      <c r="I31" s="452">
        <f>+'A1. Firmas Consultoras'!D88</f>
        <v>224.5</v>
      </c>
      <c r="J31" s="560">
        <f>+'A1. Firmas Consultoras'!C88</f>
        <v>6</v>
      </c>
      <c r="K31" s="452">
        <f t="shared" si="2"/>
        <v>1347</v>
      </c>
      <c r="L31" s="492"/>
      <c r="M31" s="561"/>
      <c r="N31" s="561"/>
      <c r="O31" s="561"/>
      <c r="P31" s="492"/>
      <c r="Q31" s="492"/>
      <c r="R31" s="492"/>
      <c r="S31" s="492"/>
    </row>
    <row r="32" spans="2:19" ht="34.5" customHeight="1" x14ac:dyDescent="0.25">
      <c r="B32" s="547" t="s">
        <v>424</v>
      </c>
      <c r="C32" s="613"/>
      <c r="D32" s="496"/>
      <c r="E32" s="496"/>
      <c r="F32" s="496"/>
      <c r="G32" s="496"/>
      <c r="H32" s="496"/>
      <c r="I32" s="496"/>
      <c r="J32" s="496"/>
      <c r="K32" s="496"/>
      <c r="L32" s="558" t="str">
        <f>+'A3_Bs-Equip-Infr Sub 1.2'!B6</f>
        <v>Conectividad de Puertos Operativos - Actualización de Infraestructura Tecnológica</v>
      </c>
      <c r="M32" s="511">
        <f>+'A3_Bs-Equip-Infr Sub 1.2'!D6</f>
        <v>12260</v>
      </c>
      <c r="N32" s="70">
        <v>1</v>
      </c>
      <c r="O32" s="511">
        <f t="shared" ref="O32:O34" si="3">M32*N32</f>
        <v>12260</v>
      </c>
      <c r="P32" s="492"/>
      <c r="Q32" s="492"/>
      <c r="R32" s="492"/>
      <c r="S32" s="492"/>
    </row>
    <row r="33" spans="1:151" ht="58.5" customHeight="1" x14ac:dyDescent="0.25">
      <c r="B33" s="489" t="s">
        <v>265</v>
      </c>
      <c r="C33" s="614"/>
      <c r="D33" s="497"/>
      <c r="E33" s="498"/>
      <c r="F33" s="498"/>
      <c r="G33" s="499"/>
      <c r="H33" s="493"/>
      <c r="I33" s="494"/>
      <c r="J33" s="494"/>
      <c r="K33" s="495"/>
      <c r="L33" s="77" t="s">
        <v>94</v>
      </c>
      <c r="M33" s="512">
        <f>+'A3_Bs-Equip-Infr Sub 1.2'!D12</f>
        <v>5000</v>
      </c>
      <c r="N33" s="71">
        <v>1</v>
      </c>
      <c r="O33" s="512">
        <f>+M33*N33</f>
        <v>5000</v>
      </c>
      <c r="P33" s="493"/>
      <c r="Q33" s="494"/>
      <c r="R33" s="494"/>
      <c r="S33" s="495"/>
    </row>
    <row r="34" spans="1:151" ht="30" customHeight="1" x14ac:dyDescent="0.25">
      <c r="B34" s="595" t="s">
        <v>75</v>
      </c>
      <c r="C34" s="596"/>
      <c r="D34" s="600" t="str">
        <f>+'Plan_Ejecutivo_Plurianual (PEP)'!C13</f>
        <v>Mejora de los servicios de atención al contribuyente y del modelo de gestión, de planificación y desarrollo de servicios de las áreas centrales de la AFIP</v>
      </c>
      <c r="E34" s="601"/>
      <c r="F34" s="601"/>
      <c r="G34" s="601">
        <f t="shared" ref="G34" si="4">E34*F34</f>
        <v>0</v>
      </c>
      <c r="H34" s="601"/>
      <c r="I34" s="601"/>
      <c r="J34" s="601"/>
      <c r="K34" s="601">
        <f t="shared" ref="K34" si="5">I34*J34</f>
        <v>0</v>
      </c>
      <c r="L34" s="601"/>
      <c r="M34" s="601"/>
      <c r="N34" s="601"/>
      <c r="O34" s="601">
        <f t="shared" si="3"/>
        <v>0</v>
      </c>
      <c r="P34" s="601"/>
      <c r="Q34" s="601"/>
      <c r="R34" s="601"/>
      <c r="S34" s="602">
        <f t="shared" ref="S34" si="6">Q34*R34</f>
        <v>0</v>
      </c>
    </row>
    <row r="35" spans="1:151" ht="112.5" customHeight="1" x14ac:dyDescent="0.25">
      <c r="B35" s="434" t="s">
        <v>184</v>
      </c>
      <c r="C35" s="585">
        <f>+K35+K36+K37+K38+K39+K40</f>
        <v>3033.3307999999997</v>
      </c>
      <c r="D35" s="500"/>
      <c r="E35" s="501"/>
      <c r="F35" s="501"/>
      <c r="G35" s="502"/>
      <c r="H35" s="504" t="s">
        <v>379</v>
      </c>
      <c r="I35" s="506">
        <f>+'A1. Firmas Consultoras'!D103</f>
        <v>108.333</v>
      </c>
      <c r="J35" s="73">
        <f>+'A1. Firmas Consultoras'!C105</f>
        <v>6</v>
      </c>
      <c r="K35" s="506">
        <f>+I35*J35</f>
        <v>649.99800000000005</v>
      </c>
      <c r="L35" s="493"/>
      <c r="M35" s="493"/>
      <c r="N35" s="493"/>
      <c r="O35" s="493"/>
      <c r="P35" s="493"/>
      <c r="Q35" s="493"/>
      <c r="R35" s="493"/>
      <c r="S35" s="493"/>
    </row>
    <row r="36" spans="1:151" ht="92.25" customHeight="1" x14ac:dyDescent="0.25">
      <c r="B36" s="435" t="s">
        <v>185</v>
      </c>
      <c r="C36" s="603"/>
      <c r="D36" s="500"/>
      <c r="E36" s="494"/>
      <c r="F36" s="494"/>
      <c r="G36" s="495"/>
      <c r="H36" s="505" t="s">
        <v>380</v>
      </c>
      <c r="I36" s="506">
        <f>+'A1. Firmas Consultoras'!K102</f>
        <v>108.333</v>
      </c>
      <c r="J36" s="491">
        <f>+'A1. Firmas Consultoras'!J105</f>
        <v>5</v>
      </c>
      <c r="K36" s="506">
        <f>+I36*J36</f>
        <v>541.66499999999996</v>
      </c>
      <c r="L36" s="493"/>
      <c r="M36" s="493"/>
      <c r="N36" s="493"/>
      <c r="O36" s="493"/>
      <c r="P36" s="493"/>
      <c r="Q36" s="493"/>
      <c r="R36" s="493"/>
      <c r="S36" s="493"/>
    </row>
    <row r="37" spans="1:151" ht="86.25" customHeight="1" x14ac:dyDescent="0.25">
      <c r="B37" s="435" t="s">
        <v>186</v>
      </c>
      <c r="C37" s="603"/>
      <c r="D37" s="500"/>
      <c r="E37" s="494"/>
      <c r="F37" s="494"/>
      <c r="G37" s="495"/>
      <c r="H37" s="505" t="s">
        <v>378</v>
      </c>
      <c r="I37" s="506">
        <f>+'A1. Firmas Consultoras'!D114</f>
        <v>108.3334</v>
      </c>
      <c r="J37" s="491">
        <f>+'A1. Firmas Consultoras'!C117</f>
        <v>4</v>
      </c>
      <c r="K37" s="506">
        <f>+I37*J37</f>
        <v>433.33359999999999</v>
      </c>
      <c r="L37" s="493"/>
      <c r="M37" s="493"/>
      <c r="N37" s="493"/>
      <c r="O37" s="493"/>
      <c r="P37" s="493"/>
      <c r="Q37" s="493"/>
      <c r="R37" s="493"/>
      <c r="S37" s="493"/>
    </row>
    <row r="38" spans="1:151" ht="81" customHeight="1" x14ac:dyDescent="0.25">
      <c r="B38" s="435" t="s">
        <v>187</v>
      </c>
      <c r="C38" s="603"/>
      <c r="D38" s="500"/>
      <c r="E38" s="494"/>
      <c r="F38" s="494"/>
      <c r="G38" s="495"/>
      <c r="H38" s="505" t="s">
        <v>381</v>
      </c>
      <c r="I38" s="506">
        <f>+'A1. Firmas Consultoras'!K114</f>
        <v>108.3334</v>
      </c>
      <c r="J38" s="491">
        <f>+'A1. Firmas Consultoras'!J117</f>
        <v>5</v>
      </c>
      <c r="K38" s="506">
        <f t="shared" ref="K38:K40" si="7">+I38*J38</f>
        <v>541.66700000000003</v>
      </c>
      <c r="L38" s="493"/>
      <c r="M38" s="493"/>
      <c r="N38" s="493"/>
      <c r="O38" s="493"/>
      <c r="P38" s="493"/>
      <c r="Q38" s="493"/>
      <c r="R38" s="493"/>
      <c r="S38" s="493"/>
    </row>
    <row r="39" spans="1:151" ht="81.75" customHeight="1" x14ac:dyDescent="0.25">
      <c r="B39" s="435" t="s">
        <v>188</v>
      </c>
      <c r="C39" s="603"/>
      <c r="D39" s="500"/>
      <c r="E39" s="494"/>
      <c r="F39" s="494"/>
      <c r="G39" s="495"/>
      <c r="H39" s="505" t="s">
        <v>382</v>
      </c>
      <c r="I39" s="506">
        <f>+'A1. Firmas Consultoras'!D126</f>
        <v>108.3334</v>
      </c>
      <c r="J39" s="491">
        <f>+'A1. Firmas Consultoras'!C129</f>
        <v>5</v>
      </c>
      <c r="K39" s="506">
        <f t="shared" si="7"/>
        <v>541.66700000000003</v>
      </c>
      <c r="L39" s="493"/>
      <c r="M39" s="493"/>
      <c r="N39" s="493"/>
      <c r="O39" s="493"/>
      <c r="P39" s="493"/>
      <c r="Q39" s="493"/>
      <c r="R39" s="493"/>
      <c r="S39" s="493"/>
    </row>
    <row r="40" spans="1:151" ht="107.25" customHeight="1" x14ac:dyDescent="0.25">
      <c r="B40" s="434" t="s">
        <v>189</v>
      </c>
      <c r="C40" s="586"/>
      <c r="D40" s="503"/>
      <c r="E40" s="501"/>
      <c r="F40" s="501"/>
      <c r="G40" s="502"/>
      <c r="H40" s="504" t="s">
        <v>403</v>
      </c>
      <c r="I40" s="506">
        <f>+'A1. Firmas Consultoras'!K126</f>
        <v>108.3334</v>
      </c>
      <c r="J40" s="73">
        <f>+'A1. Firmas Consultoras'!J129</f>
        <v>3</v>
      </c>
      <c r="K40" s="506">
        <f t="shared" si="7"/>
        <v>325.00020000000001</v>
      </c>
      <c r="L40" s="493"/>
      <c r="M40" s="493"/>
      <c r="N40" s="493"/>
      <c r="O40" s="493"/>
      <c r="P40" s="493"/>
      <c r="Q40" s="493"/>
      <c r="R40" s="493"/>
      <c r="S40" s="493"/>
    </row>
    <row r="41" spans="1:151" s="3" customFormat="1" ht="15" customHeight="1" x14ac:dyDescent="0.25">
      <c r="A41" s="10"/>
      <c r="B41" s="577" t="s">
        <v>395</v>
      </c>
      <c r="C41" s="578"/>
      <c r="D41" s="30"/>
      <c r="E41" s="31"/>
      <c r="F41" s="31"/>
      <c r="G41" s="32">
        <f>SUM(G9:G40)</f>
        <v>216.666</v>
      </c>
      <c r="H41" s="33"/>
      <c r="I41" s="34"/>
      <c r="J41" s="34"/>
      <c r="K41" s="32">
        <f>SUM(K9:K40)</f>
        <v>25254.488200000003</v>
      </c>
      <c r="L41" s="36"/>
      <c r="M41" s="34"/>
      <c r="N41" s="34"/>
      <c r="O41" s="32">
        <f>SUM(O9:O40)</f>
        <v>22551</v>
      </c>
      <c r="P41" s="33"/>
      <c r="Q41" s="34"/>
      <c r="R41" s="34"/>
      <c r="S41" s="32">
        <f>SUM(S9:S40)</f>
        <v>0</v>
      </c>
      <c r="T41" s="37"/>
      <c r="U41" s="37"/>
      <c r="V41" s="8"/>
      <c r="W41" s="8"/>
      <c r="X41" s="8"/>
      <c r="Y41" s="8"/>
      <c r="Z41" s="8"/>
      <c r="AA41" s="8"/>
      <c r="AB41" s="8"/>
      <c r="AC41" s="8"/>
      <c r="AD41" s="8"/>
      <c r="AE41" s="8"/>
      <c r="AF41" s="8"/>
      <c r="AG41" s="8"/>
      <c r="AH41" s="8"/>
      <c r="AI41" s="8"/>
      <c r="AJ41" s="8"/>
      <c r="AK41" s="8"/>
      <c r="AL41" s="8"/>
      <c r="AM41" s="8"/>
      <c r="AN41" s="8"/>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row>
    <row r="42" spans="1:151" ht="30" customHeight="1" x14ac:dyDescent="0.25">
      <c r="B42" s="50" t="s">
        <v>383</v>
      </c>
      <c r="C42" s="522">
        <f>+C44+C52+C60</f>
        <v>47600</v>
      </c>
      <c r="D42" s="575" t="str">
        <f>+'Plan_Ejecutivo_Plurianual (PEP)'!C9</f>
        <v>Fortalecimiento de los sistemas de información de la AFIP</v>
      </c>
      <c r="E42" s="575"/>
      <c r="F42" s="575"/>
      <c r="G42" s="575"/>
      <c r="H42" s="575"/>
      <c r="I42" s="575"/>
      <c r="J42" s="575"/>
      <c r="K42" s="575"/>
      <c r="L42" s="575"/>
      <c r="M42" s="575"/>
      <c r="N42" s="575"/>
      <c r="O42" s="575"/>
      <c r="P42" s="575"/>
      <c r="Q42" s="575"/>
      <c r="R42" s="575"/>
      <c r="S42" s="575"/>
    </row>
    <row r="43" spans="1:151" x14ac:dyDescent="0.25">
      <c r="B43" s="594" t="s">
        <v>384</v>
      </c>
      <c r="C43" s="594"/>
      <c r="D43" s="642" t="str">
        <f>+'Plan_Ejecutivo_Plurianual (PEP)'!C10</f>
        <v>Data Center (Software&amp;Hardware y Capacitación)</v>
      </c>
      <c r="E43" s="643"/>
      <c r="F43" s="643"/>
      <c r="G43" s="643"/>
      <c r="H43" s="643"/>
      <c r="I43" s="643"/>
      <c r="J43" s="643"/>
      <c r="K43" s="643"/>
      <c r="L43" s="643"/>
      <c r="M43" s="644"/>
      <c r="N43" s="644"/>
      <c r="O43" s="644"/>
      <c r="P43" s="643"/>
      <c r="Q43" s="643"/>
      <c r="R43" s="643"/>
      <c r="S43" s="645"/>
    </row>
    <row r="44" spans="1:151" ht="61.5" customHeight="1" x14ac:dyDescent="0.25">
      <c r="B44" s="589" t="s">
        <v>269</v>
      </c>
      <c r="C44" s="651">
        <f>SUM(O44:O50)</f>
        <v>21000</v>
      </c>
      <c r="D44" s="500"/>
      <c r="E44" s="500"/>
      <c r="F44" s="500"/>
      <c r="G44" s="500"/>
      <c r="H44" s="500"/>
      <c r="I44" s="500"/>
      <c r="J44" s="500"/>
      <c r="K44" s="500"/>
      <c r="L44" s="82" t="s">
        <v>107</v>
      </c>
      <c r="M44" s="509">
        <f>+'A4_Detalle Soft&amp;Hard Sub 2 '!D7</f>
        <v>3000</v>
      </c>
      <c r="N44" s="83">
        <v>1</v>
      </c>
      <c r="O44" s="516">
        <f>+M44*N44</f>
        <v>3000</v>
      </c>
      <c r="P44" s="518"/>
      <c r="Q44" s="519"/>
      <c r="R44" s="519"/>
      <c r="S44" s="519"/>
    </row>
    <row r="45" spans="1:151" ht="51" customHeight="1" x14ac:dyDescent="0.25">
      <c r="B45" s="589"/>
      <c r="C45" s="652"/>
      <c r="D45" s="500"/>
      <c r="E45" s="500"/>
      <c r="F45" s="500"/>
      <c r="G45" s="500"/>
      <c r="H45" s="500"/>
      <c r="I45" s="500"/>
      <c r="J45" s="500"/>
      <c r="K45" s="500"/>
      <c r="L45" s="82" t="s">
        <v>104</v>
      </c>
      <c r="M45" s="508">
        <v>0.82</v>
      </c>
      <c r="N45" s="81">
        <v>10000</v>
      </c>
      <c r="O45" s="517">
        <f t="shared" ref="O45:O68" si="8">+M45*N45</f>
        <v>8200</v>
      </c>
      <c r="P45" s="518"/>
      <c r="Q45" s="519"/>
      <c r="R45" s="519"/>
      <c r="S45" s="519"/>
    </row>
    <row r="46" spans="1:151" ht="45" x14ac:dyDescent="0.25">
      <c r="B46" s="589"/>
      <c r="C46" s="652"/>
      <c r="D46" s="500"/>
      <c r="E46" s="500"/>
      <c r="F46" s="500"/>
      <c r="G46" s="500"/>
      <c r="H46" s="500"/>
      <c r="I46" s="500"/>
      <c r="J46" s="500"/>
      <c r="K46" s="500"/>
      <c r="L46" s="82" t="s">
        <v>108</v>
      </c>
      <c r="M46" s="508">
        <f>+'A4_Detalle Soft&amp;Hard Sub 2 '!D9</f>
        <v>3000</v>
      </c>
      <c r="N46" s="81">
        <v>1</v>
      </c>
      <c r="O46" s="517">
        <f t="shared" si="8"/>
        <v>3000</v>
      </c>
      <c r="P46" s="518"/>
      <c r="Q46" s="519"/>
      <c r="R46" s="519"/>
      <c r="S46" s="519"/>
    </row>
    <row r="47" spans="1:151" ht="33.75" customHeight="1" x14ac:dyDescent="0.25">
      <c r="B47" s="589"/>
      <c r="C47" s="652"/>
      <c r="D47" s="500"/>
      <c r="E47" s="500"/>
      <c r="F47" s="500"/>
      <c r="G47" s="500"/>
      <c r="H47" s="500"/>
      <c r="I47" s="500"/>
      <c r="J47" s="500"/>
      <c r="K47" s="500"/>
      <c r="L47" s="82" t="s">
        <v>109</v>
      </c>
      <c r="M47" s="508">
        <f>+'A4_Detalle Soft&amp;Hard Sub 2 '!D10</f>
        <v>1000</v>
      </c>
      <c r="N47" s="81">
        <v>1</v>
      </c>
      <c r="O47" s="517">
        <f t="shared" si="8"/>
        <v>1000</v>
      </c>
      <c r="P47" s="518"/>
      <c r="Q47" s="519"/>
      <c r="R47" s="519"/>
      <c r="S47" s="519"/>
    </row>
    <row r="48" spans="1:151" ht="43.5" customHeight="1" x14ac:dyDescent="0.25">
      <c r="B48" s="589"/>
      <c r="C48" s="652"/>
      <c r="D48" s="500"/>
      <c r="E48" s="500"/>
      <c r="F48" s="500"/>
      <c r="G48" s="500"/>
      <c r="H48" s="500"/>
      <c r="I48" s="500"/>
      <c r="J48" s="500"/>
      <c r="K48" s="500"/>
      <c r="L48" s="82" t="s">
        <v>385</v>
      </c>
      <c r="M48" s="508">
        <f>+'A4_Detalle Soft&amp;Hard Sub 2 '!D11</f>
        <v>1100</v>
      </c>
      <c r="N48" s="81">
        <v>1</v>
      </c>
      <c r="O48" s="517">
        <f t="shared" si="8"/>
        <v>1100</v>
      </c>
      <c r="P48" s="518"/>
      <c r="Q48" s="519"/>
      <c r="R48" s="519"/>
      <c r="S48" s="519"/>
    </row>
    <row r="49" spans="2:21" ht="45" customHeight="1" x14ac:dyDescent="0.25">
      <c r="B49" s="589"/>
      <c r="C49" s="652"/>
      <c r="D49" s="500"/>
      <c r="E49" s="500"/>
      <c r="F49" s="500"/>
      <c r="G49" s="500"/>
      <c r="H49" s="500"/>
      <c r="I49" s="500"/>
      <c r="J49" s="500"/>
      <c r="K49" s="500"/>
      <c r="L49" s="82" t="s">
        <v>267</v>
      </c>
      <c r="M49" s="508">
        <v>10</v>
      </c>
      <c r="N49" s="81">
        <v>350</v>
      </c>
      <c r="O49" s="517">
        <f t="shared" si="8"/>
        <v>3500</v>
      </c>
      <c r="P49" s="518"/>
      <c r="Q49" s="519"/>
      <c r="R49" s="519"/>
      <c r="S49" s="519"/>
    </row>
    <row r="50" spans="2:21" ht="45" customHeight="1" x14ac:dyDescent="0.25">
      <c r="B50" s="589"/>
      <c r="C50" s="653"/>
      <c r="D50" s="500"/>
      <c r="E50" s="500"/>
      <c r="F50" s="500"/>
      <c r="G50" s="500"/>
      <c r="H50" s="500"/>
      <c r="I50" s="500"/>
      <c r="J50" s="500"/>
      <c r="K50" s="500"/>
      <c r="L50" s="507" t="s">
        <v>268</v>
      </c>
      <c r="M50" s="508">
        <f>+'A4_Detalle Soft&amp;Hard Sub 2 '!D13</f>
        <v>1200</v>
      </c>
      <c r="N50" s="81">
        <v>1</v>
      </c>
      <c r="O50" s="517">
        <f t="shared" si="8"/>
        <v>1200</v>
      </c>
      <c r="P50" s="518"/>
      <c r="Q50" s="519"/>
      <c r="R50" s="519"/>
      <c r="S50" s="519"/>
    </row>
    <row r="51" spans="2:21" ht="29.25" customHeight="1" x14ac:dyDescent="0.25">
      <c r="B51" s="594" t="s">
        <v>394</v>
      </c>
      <c r="C51" s="594"/>
      <c r="D51" s="593" t="str">
        <f>+'Plan_Ejecutivo_Plurianual (PEP)'!C11</f>
        <v>Comunicaciones (adquisión de equipos y actualizacion de sistemas)</v>
      </c>
      <c r="E51" s="593"/>
      <c r="F51" s="593"/>
      <c r="G51" s="593">
        <f>E51*F51</f>
        <v>0</v>
      </c>
      <c r="H51" s="593"/>
      <c r="I51" s="593"/>
      <c r="J51" s="593"/>
      <c r="K51" s="593">
        <f t="shared" ref="K51" si="9">I51*J51</f>
        <v>0</v>
      </c>
      <c r="L51" s="593"/>
      <c r="M51" s="593"/>
      <c r="N51" s="593"/>
      <c r="O51" s="593">
        <f t="shared" ref="O51" si="10">M51*N51</f>
        <v>0</v>
      </c>
      <c r="P51" s="593"/>
      <c r="Q51" s="593"/>
      <c r="R51" s="593"/>
      <c r="S51" s="593">
        <f t="shared" ref="S51" si="11">Q51*R51</f>
        <v>0</v>
      </c>
    </row>
    <row r="52" spans="2:21" ht="76.5" customHeight="1" x14ac:dyDescent="0.25">
      <c r="B52" s="589" t="s">
        <v>389</v>
      </c>
      <c r="C52" s="650">
        <f>SUM(O52:O58)</f>
        <v>12400</v>
      </c>
      <c r="D52" s="541"/>
      <c r="E52" s="541"/>
      <c r="F52" s="541"/>
      <c r="G52" s="541"/>
      <c r="H52" s="541"/>
      <c r="I52" s="541"/>
      <c r="J52" s="541"/>
      <c r="K52" s="541"/>
      <c r="L52" s="542" t="s">
        <v>110</v>
      </c>
      <c r="M52" s="508">
        <f>+'A4_Detalle Soft&amp;Hard Sub 2 '!D15</f>
        <v>6000</v>
      </c>
      <c r="N52" s="83">
        <v>1</v>
      </c>
      <c r="O52" s="517">
        <f t="shared" si="8"/>
        <v>6000</v>
      </c>
      <c r="P52" s="543"/>
      <c r="Q52" s="544"/>
      <c r="R52" s="544"/>
      <c r="S52" s="544"/>
    </row>
    <row r="53" spans="2:21" ht="106.5" customHeight="1" x14ac:dyDescent="0.25">
      <c r="B53" s="589"/>
      <c r="C53" s="650"/>
      <c r="D53" s="500"/>
      <c r="E53" s="500"/>
      <c r="F53" s="500"/>
      <c r="G53" s="500"/>
      <c r="H53" s="500"/>
      <c r="I53" s="500"/>
      <c r="J53" s="500"/>
      <c r="K53" s="500"/>
      <c r="L53" s="82" t="s">
        <v>101</v>
      </c>
      <c r="M53" s="508">
        <f>+'A4_Detalle Soft&amp;Hard Sub 2 '!D16</f>
        <v>700</v>
      </c>
      <c r="N53" s="81">
        <v>1</v>
      </c>
      <c r="O53" s="517">
        <f t="shared" si="8"/>
        <v>700</v>
      </c>
      <c r="P53" s="518"/>
      <c r="Q53" s="519"/>
      <c r="R53" s="519"/>
      <c r="S53" s="519"/>
      <c r="T53" s="37"/>
      <c r="U53" s="514"/>
    </row>
    <row r="54" spans="2:21" ht="69.75" customHeight="1" x14ac:dyDescent="0.25">
      <c r="B54" s="589"/>
      <c r="C54" s="650"/>
      <c r="D54" s="500"/>
      <c r="E54" s="500"/>
      <c r="F54" s="500"/>
      <c r="G54" s="500"/>
      <c r="H54" s="500"/>
      <c r="I54" s="500"/>
      <c r="J54" s="500"/>
      <c r="K54" s="500"/>
      <c r="L54" s="82" t="s">
        <v>105</v>
      </c>
      <c r="M54" s="508">
        <f>+'A4_Detalle Soft&amp;Hard Sub 2 '!D17</f>
        <v>750</v>
      </c>
      <c r="N54" s="81">
        <v>1</v>
      </c>
      <c r="O54" s="517">
        <f t="shared" si="8"/>
        <v>750</v>
      </c>
      <c r="P54" s="518"/>
      <c r="Q54" s="519"/>
      <c r="R54" s="519"/>
      <c r="S54" s="519"/>
    </row>
    <row r="55" spans="2:21" ht="120.75" customHeight="1" x14ac:dyDescent="0.25">
      <c r="B55" s="589"/>
      <c r="C55" s="650"/>
      <c r="D55" s="500"/>
      <c r="E55" s="500"/>
      <c r="F55" s="500"/>
      <c r="G55" s="500"/>
      <c r="H55" s="500"/>
      <c r="I55" s="500"/>
      <c r="J55" s="500"/>
      <c r="K55" s="500"/>
      <c r="L55" s="82" t="s">
        <v>106</v>
      </c>
      <c r="M55" s="508">
        <v>40</v>
      </c>
      <c r="N55" s="81">
        <v>10</v>
      </c>
      <c r="O55" s="517">
        <f t="shared" si="8"/>
        <v>400</v>
      </c>
      <c r="P55" s="518"/>
      <c r="Q55" s="519"/>
      <c r="R55" s="519"/>
      <c r="S55" s="519"/>
      <c r="T55" s="37"/>
    </row>
    <row r="56" spans="2:21" ht="106.5" customHeight="1" x14ac:dyDescent="0.25">
      <c r="B56" s="589"/>
      <c r="C56" s="650"/>
      <c r="D56" s="500"/>
      <c r="E56" s="500"/>
      <c r="F56" s="500"/>
      <c r="G56" s="500"/>
      <c r="H56" s="500"/>
      <c r="I56" s="500"/>
      <c r="J56" s="500"/>
      <c r="K56" s="500"/>
      <c r="L56" s="79" t="s">
        <v>386</v>
      </c>
      <c r="M56" s="508">
        <f>+'A4_Detalle Soft&amp;Hard Sub 2 '!D19</f>
        <v>350</v>
      </c>
      <c r="N56" s="80">
        <v>1</v>
      </c>
      <c r="O56" s="517">
        <f>+'A4_Detalle Soft&amp;Hard Sub 2 '!D19</f>
        <v>350</v>
      </c>
      <c r="P56" s="518"/>
      <c r="Q56" s="519"/>
      <c r="R56" s="519"/>
      <c r="S56" s="519"/>
    </row>
    <row r="57" spans="2:21" ht="76.5" customHeight="1" x14ac:dyDescent="0.25">
      <c r="B57" s="589"/>
      <c r="C57" s="650"/>
      <c r="D57" s="500"/>
      <c r="E57" s="500"/>
      <c r="F57" s="500"/>
      <c r="G57" s="500"/>
      <c r="H57" s="500"/>
      <c r="I57" s="500"/>
      <c r="J57" s="500"/>
      <c r="K57" s="500"/>
      <c r="L57" s="79" t="s">
        <v>387</v>
      </c>
      <c r="M57" s="508">
        <f>+'A4_Detalle Soft&amp;Hard Sub 2 '!D20</f>
        <v>3600</v>
      </c>
      <c r="N57" s="80">
        <v>1</v>
      </c>
      <c r="O57" s="517">
        <f>+'A4_Detalle Soft&amp;Hard Sub 2 '!D20</f>
        <v>3600</v>
      </c>
      <c r="P57" s="518"/>
      <c r="Q57" s="519"/>
      <c r="R57" s="519"/>
      <c r="S57" s="519"/>
    </row>
    <row r="58" spans="2:21" ht="129" customHeight="1" x14ac:dyDescent="0.25">
      <c r="B58" s="589"/>
      <c r="C58" s="650"/>
      <c r="D58" s="500"/>
      <c r="E58" s="500"/>
      <c r="F58" s="500"/>
      <c r="G58" s="500"/>
      <c r="H58" s="500"/>
      <c r="I58" s="500"/>
      <c r="J58" s="500"/>
      <c r="K58" s="500"/>
      <c r="L58" s="507" t="s">
        <v>388</v>
      </c>
      <c r="M58" s="508">
        <f>+'A4_Detalle Soft&amp;Hard Sub 2 '!D21</f>
        <v>600</v>
      </c>
      <c r="N58" s="80">
        <v>1</v>
      </c>
      <c r="O58" s="517">
        <f>+'A4_Detalle Soft&amp;Hard Sub 2 '!D21</f>
        <v>600</v>
      </c>
      <c r="P58" s="518"/>
      <c r="Q58" s="519"/>
      <c r="R58" s="519"/>
      <c r="S58" s="519"/>
    </row>
    <row r="59" spans="2:21" ht="29.25" customHeight="1" x14ac:dyDescent="0.25">
      <c r="B59" s="594" t="s">
        <v>396</v>
      </c>
      <c r="C59" s="594"/>
      <c r="D59" s="648" t="str">
        <f>+'Plan_Ejecutivo_Plurianual (PEP)'!C12</f>
        <v>Seguridad Informática (adquisión de equipos y actualización de sistemas)</v>
      </c>
      <c r="E59" s="649"/>
      <c r="F59" s="649"/>
      <c r="G59" s="649"/>
      <c r="H59" s="649"/>
      <c r="I59" s="649"/>
      <c r="J59" s="649"/>
      <c r="K59" s="649"/>
      <c r="L59" s="583"/>
      <c r="M59" s="583"/>
      <c r="N59" s="583"/>
      <c r="O59" s="583"/>
      <c r="P59" s="583"/>
      <c r="Q59" s="583"/>
      <c r="R59" s="583"/>
      <c r="S59" s="584"/>
    </row>
    <row r="60" spans="2:21" ht="104.25" customHeight="1" x14ac:dyDescent="0.25">
      <c r="B60" s="590" t="s">
        <v>390</v>
      </c>
      <c r="C60" s="613">
        <f>SUM(O60:O68)</f>
        <v>14200</v>
      </c>
      <c r="D60" s="500"/>
      <c r="E60" s="500"/>
      <c r="F60" s="500"/>
      <c r="G60" s="500"/>
      <c r="H60" s="500"/>
      <c r="I60" s="500"/>
      <c r="J60" s="500"/>
      <c r="K60" s="500"/>
      <c r="L60" s="79" t="s">
        <v>98</v>
      </c>
      <c r="M60" s="508">
        <f>+'A4_Detalle Soft&amp;Hard Sub 2 '!D23</f>
        <v>2000</v>
      </c>
      <c r="N60" s="80">
        <v>1</v>
      </c>
      <c r="O60" s="517">
        <f t="shared" si="8"/>
        <v>2000</v>
      </c>
      <c r="P60" s="518"/>
      <c r="Q60" s="519"/>
      <c r="R60" s="519"/>
      <c r="S60" s="519"/>
      <c r="U60" s="37"/>
    </row>
    <row r="61" spans="2:21" ht="57" customHeight="1" x14ac:dyDescent="0.25">
      <c r="B61" s="591"/>
      <c r="C61" s="613"/>
      <c r="D61" s="500"/>
      <c r="E61" s="500"/>
      <c r="F61" s="500"/>
      <c r="G61" s="500"/>
      <c r="H61" s="500"/>
      <c r="I61" s="500"/>
      <c r="J61" s="500"/>
      <c r="K61" s="500"/>
      <c r="L61" s="79" t="s">
        <v>97</v>
      </c>
      <c r="M61" s="508">
        <f>+'A4_Detalle Soft&amp;Hard Sub 2 '!D24</f>
        <v>2000</v>
      </c>
      <c r="N61" s="80">
        <v>1</v>
      </c>
      <c r="O61" s="517">
        <f t="shared" si="8"/>
        <v>2000</v>
      </c>
      <c r="P61" s="518"/>
      <c r="Q61" s="519"/>
      <c r="R61" s="519"/>
      <c r="S61" s="519"/>
    </row>
    <row r="62" spans="2:21" ht="58.5" customHeight="1" x14ac:dyDescent="0.25">
      <c r="B62" s="591"/>
      <c r="C62" s="613"/>
      <c r="D62" s="500"/>
      <c r="E62" s="500"/>
      <c r="F62" s="500"/>
      <c r="G62" s="500"/>
      <c r="H62" s="500"/>
      <c r="I62" s="500"/>
      <c r="J62" s="500"/>
      <c r="K62" s="500"/>
      <c r="L62" s="507" t="s">
        <v>391</v>
      </c>
      <c r="M62" s="508">
        <f>+'A4_Detalle Soft&amp;Hard Sub 2 '!D25</f>
        <v>1500</v>
      </c>
      <c r="N62" s="80">
        <v>1</v>
      </c>
      <c r="O62" s="517">
        <f t="shared" si="8"/>
        <v>1500</v>
      </c>
      <c r="P62" s="518"/>
      <c r="Q62" s="519"/>
      <c r="R62" s="519"/>
      <c r="S62" s="519"/>
    </row>
    <row r="63" spans="2:21" ht="69" customHeight="1" x14ac:dyDescent="0.25">
      <c r="B63" s="591"/>
      <c r="C63" s="613"/>
      <c r="D63" s="500"/>
      <c r="E63" s="500"/>
      <c r="F63" s="500"/>
      <c r="G63" s="500"/>
      <c r="H63" s="500"/>
      <c r="I63" s="500"/>
      <c r="J63" s="500"/>
      <c r="K63" s="500"/>
      <c r="L63" s="79" t="s">
        <v>96</v>
      </c>
      <c r="M63" s="508">
        <f>+'A4_Detalle Soft&amp;Hard Sub 2 '!D26</f>
        <v>1500</v>
      </c>
      <c r="N63" s="80">
        <v>1</v>
      </c>
      <c r="O63" s="517">
        <f t="shared" si="8"/>
        <v>1500</v>
      </c>
      <c r="P63" s="518"/>
      <c r="Q63" s="519"/>
      <c r="R63" s="519"/>
      <c r="S63" s="519"/>
    </row>
    <row r="64" spans="2:21" ht="60" x14ac:dyDescent="0.25">
      <c r="B64" s="591"/>
      <c r="C64" s="613"/>
      <c r="D64" s="500"/>
      <c r="E64" s="500"/>
      <c r="F64" s="500"/>
      <c r="G64" s="500"/>
      <c r="H64" s="500"/>
      <c r="I64" s="500"/>
      <c r="J64" s="500"/>
      <c r="K64" s="500"/>
      <c r="L64" s="79" t="s">
        <v>95</v>
      </c>
      <c r="M64" s="508">
        <f>+'A4_Detalle Soft&amp;Hard Sub 2 '!D27</f>
        <v>1700</v>
      </c>
      <c r="N64" s="80">
        <v>1</v>
      </c>
      <c r="O64" s="517">
        <f t="shared" si="8"/>
        <v>1700</v>
      </c>
      <c r="P64" s="518"/>
      <c r="Q64" s="519"/>
      <c r="R64" s="519"/>
      <c r="S64" s="519"/>
    </row>
    <row r="65" spans="1:151" ht="75" x14ac:dyDescent="0.25">
      <c r="B65" s="591"/>
      <c r="C65" s="613"/>
      <c r="D65" s="500"/>
      <c r="E65" s="500"/>
      <c r="F65" s="500"/>
      <c r="G65" s="500"/>
      <c r="H65" s="500"/>
      <c r="I65" s="500"/>
      <c r="J65" s="500"/>
      <c r="K65" s="500"/>
      <c r="L65" s="507" t="s">
        <v>392</v>
      </c>
      <c r="M65" s="508">
        <f>+'A4_Detalle Soft&amp;Hard Sub 2 '!D28</f>
        <v>800</v>
      </c>
      <c r="N65" s="71">
        <v>1</v>
      </c>
      <c r="O65" s="517">
        <f t="shared" si="8"/>
        <v>800</v>
      </c>
      <c r="P65" s="518"/>
      <c r="Q65" s="519"/>
      <c r="R65" s="519"/>
      <c r="S65" s="519"/>
    </row>
    <row r="66" spans="1:151" x14ac:dyDescent="0.25">
      <c r="B66" s="591"/>
      <c r="C66" s="613"/>
      <c r="D66" s="500"/>
      <c r="E66" s="500"/>
      <c r="F66" s="500"/>
      <c r="G66" s="500"/>
      <c r="H66" s="500"/>
      <c r="I66" s="500"/>
      <c r="J66" s="500"/>
      <c r="K66" s="500"/>
      <c r="L66" s="338" t="s">
        <v>272</v>
      </c>
      <c r="M66" s="508">
        <f>+'A4_Detalle Soft&amp;Hard Sub 2 '!D29</f>
        <v>3000</v>
      </c>
      <c r="N66" s="515">
        <v>1</v>
      </c>
      <c r="O66" s="517">
        <f t="shared" si="8"/>
        <v>3000</v>
      </c>
      <c r="P66" s="520"/>
      <c r="Q66" s="494"/>
      <c r="R66" s="494"/>
      <c r="S66" s="494"/>
    </row>
    <row r="67" spans="1:151" x14ac:dyDescent="0.25">
      <c r="B67" s="591"/>
      <c r="C67" s="613"/>
      <c r="D67" s="500"/>
      <c r="E67" s="500"/>
      <c r="F67" s="500"/>
      <c r="G67" s="500"/>
      <c r="H67" s="500"/>
      <c r="I67" s="500"/>
      <c r="J67" s="500"/>
      <c r="K67" s="500"/>
      <c r="L67" s="338" t="s">
        <v>273</v>
      </c>
      <c r="M67" s="508">
        <f>+'A4_Detalle Soft&amp;Hard Sub 2 '!D30</f>
        <v>500</v>
      </c>
      <c r="N67" s="515">
        <v>1</v>
      </c>
      <c r="O67" s="517">
        <f t="shared" si="8"/>
        <v>500</v>
      </c>
      <c r="P67" s="520"/>
      <c r="Q67" s="494"/>
      <c r="R67" s="494"/>
      <c r="S67" s="494"/>
    </row>
    <row r="68" spans="1:151" x14ac:dyDescent="0.25">
      <c r="B68" s="592"/>
      <c r="C68" s="614"/>
      <c r="D68" s="500"/>
      <c r="E68" s="500"/>
      <c r="F68" s="500"/>
      <c r="G68" s="500"/>
      <c r="H68" s="500"/>
      <c r="I68" s="500"/>
      <c r="J68" s="500"/>
      <c r="K68" s="500"/>
      <c r="L68" s="521" t="s">
        <v>393</v>
      </c>
      <c r="M68" s="508">
        <f>+'A4_Detalle Soft&amp;Hard Sub 2 '!D31</f>
        <v>1200</v>
      </c>
      <c r="N68" s="515">
        <v>1</v>
      </c>
      <c r="O68" s="517">
        <f t="shared" si="8"/>
        <v>1200</v>
      </c>
      <c r="P68" s="520"/>
      <c r="Q68" s="494"/>
      <c r="R68" s="494"/>
      <c r="S68" s="494"/>
    </row>
    <row r="69" spans="1:151" s="3" customFormat="1" ht="15" customHeight="1" x14ac:dyDescent="0.25">
      <c r="A69" s="10"/>
      <c r="B69" s="577" t="s">
        <v>397</v>
      </c>
      <c r="C69" s="578"/>
      <c r="D69" s="91"/>
      <c r="E69" s="89"/>
      <c r="F69" s="89"/>
      <c r="G69" s="90">
        <f>SUM(G44:G68)</f>
        <v>0</v>
      </c>
      <c r="H69" s="88"/>
      <c r="I69" s="89"/>
      <c r="J69" s="89"/>
      <c r="K69" s="90">
        <f>SUM(K44:K68)</f>
        <v>0</v>
      </c>
      <c r="L69" s="36"/>
      <c r="M69" s="34"/>
      <c r="N69" s="34"/>
      <c r="O69" s="90">
        <f>SUM(O44:O68)</f>
        <v>47600</v>
      </c>
      <c r="P69" s="33"/>
      <c r="Q69" s="34"/>
      <c r="R69" s="34"/>
      <c r="S69" s="90">
        <f>SUM(S44:S68)</f>
        <v>0</v>
      </c>
      <c r="T69" s="37"/>
      <c r="U69" s="8"/>
      <c r="V69" s="8"/>
      <c r="W69" s="8"/>
      <c r="X69" s="8"/>
      <c r="Y69" s="8"/>
      <c r="Z69" s="8"/>
      <c r="AA69" s="8"/>
      <c r="AB69" s="8"/>
      <c r="AC69" s="8"/>
      <c r="AD69" s="8"/>
      <c r="AE69" s="8"/>
      <c r="AF69" s="8"/>
      <c r="AG69" s="8"/>
      <c r="AH69" s="8"/>
      <c r="AI69" s="8"/>
      <c r="AJ69" s="8"/>
      <c r="AK69" s="8"/>
      <c r="AL69" s="8"/>
      <c r="AM69" s="8"/>
      <c r="AN69" s="8"/>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row>
    <row r="70" spans="1:151" ht="30" customHeight="1" x14ac:dyDescent="0.25">
      <c r="B70" s="50" t="s">
        <v>398</v>
      </c>
      <c r="C70" s="52">
        <f>+C72+C74+C77</f>
        <v>9377.8947999999982</v>
      </c>
      <c r="D70" s="579" t="str">
        <f>+'Plan_Ejecutivo_Plurianual (PEP)'!C13</f>
        <v>Mejora de los servicios de atención al contribuyente y del modelo de gestión, de planificación y desarrollo de servicios de las áreas centrales de la AFIP</v>
      </c>
      <c r="E70" s="580"/>
      <c r="F70" s="580"/>
      <c r="G70" s="580"/>
      <c r="H70" s="580"/>
      <c r="I70" s="580"/>
      <c r="J70" s="580"/>
      <c r="K70" s="580"/>
      <c r="L70" s="580"/>
      <c r="M70" s="580"/>
      <c r="N70" s="580"/>
      <c r="O70" s="580"/>
      <c r="P70" s="580"/>
      <c r="Q70" s="580"/>
      <c r="R70" s="580"/>
      <c r="S70" s="581"/>
    </row>
    <row r="71" spans="1:151" x14ac:dyDescent="0.25">
      <c r="B71" s="595" t="s">
        <v>399</v>
      </c>
      <c r="C71" s="596"/>
      <c r="D71" s="582" t="str">
        <f>+'Plan_Ejecutivo_Plurianual (PEP)'!C14</f>
        <v>Mejora normativa, simplificación de procedimientos y cambio de enfoque en la atención (CRM)</v>
      </c>
      <c r="E71" s="583"/>
      <c r="F71" s="583"/>
      <c r="G71" s="583"/>
      <c r="H71" s="583"/>
      <c r="I71" s="583"/>
      <c r="J71" s="583"/>
      <c r="K71" s="583"/>
      <c r="L71" s="583"/>
      <c r="M71" s="583"/>
      <c r="N71" s="583"/>
      <c r="O71" s="583"/>
      <c r="P71" s="583"/>
      <c r="Q71" s="583"/>
      <c r="R71" s="583"/>
      <c r="S71" s="584"/>
    </row>
    <row r="72" spans="1:151" ht="201" customHeight="1" x14ac:dyDescent="0.25">
      <c r="B72" s="523" t="s">
        <v>193</v>
      </c>
      <c r="C72" s="53">
        <f>+G72</f>
        <v>4549.9943999999996</v>
      </c>
      <c r="D72" s="524" t="s">
        <v>406</v>
      </c>
      <c r="E72" s="452">
        <f>+'A2. Consultorias Individuales'!D23</f>
        <v>216.66639999999998</v>
      </c>
      <c r="F72" s="528">
        <f>+'A2. Consultorias Individuales'!C26</f>
        <v>21</v>
      </c>
      <c r="G72" s="452">
        <f>+E72*F72</f>
        <v>4549.9943999999996</v>
      </c>
      <c r="H72" s="525" t="s">
        <v>404</v>
      </c>
      <c r="I72" s="526"/>
      <c r="J72" s="526"/>
      <c r="K72" s="527"/>
      <c r="L72" s="519"/>
      <c r="M72" s="519"/>
      <c r="N72" s="519"/>
      <c r="O72" s="519"/>
      <c r="P72" s="519"/>
      <c r="Q72" s="519"/>
      <c r="R72" s="519"/>
      <c r="S72" s="519"/>
    </row>
    <row r="73" spans="1:151" x14ac:dyDescent="0.25">
      <c r="B73" s="595" t="s">
        <v>400</v>
      </c>
      <c r="C73" s="596"/>
      <c r="D73" s="639" t="str">
        <f>+'Plan_Ejecutivo_Plurianual (PEP)'!C15</f>
        <v>Incorporación de nuevos medios y tecnologías y reorientación del rol de las sucursales/agencias que constituyen el despliegue territorial de la AFIP</v>
      </c>
      <c r="E73" s="640"/>
      <c r="F73" s="640"/>
      <c r="G73" s="640">
        <f t="shared" ref="G73" si="12">E73*F73</f>
        <v>0</v>
      </c>
      <c r="H73" s="640"/>
      <c r="I73" s="640"/>
      <c r="J73" s="640"/>
      <c r="K73" s="640">
        <f t="shared" ref="K73" si="13">I73*J73</f>
        <v>0</v>
      </c>
      <c r="L73" s="640" t="s">
        <v>28</v>
      </c>
      <c r="M73" s="640">
        <v>2000000</v>
      </c>
      <c r="N73" s="640">
        <v>1</v>
      </c>
      <c r="O73" s="640">
        <f t="shared" ref="O73" si="14">M73*N73</f>
        <v>2000000</v>
      </c>
      <c r="P73" s="640"/>
      <c r="Q73" s="640"/>
      <c r="R73" s="640"/>
      <c r="S73" s="641">
        <f t="shared" ref="S73" si="15">Q73*R73</f>
        <v>0</v>
      </c>
    </row>
    <row r="74" spans="1:151" ht="114.75" customHeight="1" x14ac:dyDescent="0.25">
      <c r="B74" s="523" t="s">
        <v>405</v>
      </c>
      <c r="C74" s="585">
        <f>+G74+K75</f>
        <v>2166.6603999999998</v>
      </c>
      <c r="D74" s="524" t="s">
        <v>407</v>
      </c>
      <c r="E74" s="452">
        <f>+'A2. Consultorias Individuales'!D41</f>
        <v>216.66639999999998</v>
      </c>
      <c r="F74" s="528">
        <f>+'A2. Consultorias Individuales'!C41</f>
        <v>1</v>
      </c>
      <c r="G74" s="452">
        <f>+E74*F74</f>
        <v>216.66639999999998</v>
      </c>
      <c r="H74" s="530"/>
      <c r="I74" s="519"/>
      <c r="J74" s="532"/>
      <c r="K74" s="531"/>
      <c r="L74" s="519"/>
      <c r="M74" s="519"/>
      <c r="N74" s="519"/>
      <c r="O74" s="519"/>
      <c r="P74" s="519"/>
      <c r="Q74" s="519"/>
      <c r="R74" s="519"/>
      <c r="S74" s="519"/>
    </row>
    <row r="75" spans="1:151" ht="130.5" customHeight="1" x14ac:dyDescent="0.25">
      <c r="B75" s="523" t="s">
        <v>408</v>
      </c>
      <c r="C75" s="586"/>
      <c r="D75" s="534"/>
      <c r="E75" s="535"/>
      <c r="F75" s="536"/>
      <c r="G75" s="535"/>
      <c r="H75" s="529" t="s">
        <v>409</v>
      </c>
      <c r="I75" s="510">
        <f>+'A1. Firmas Consultoras'!D152</f>
        <v>108.333</v>
      </c>
      <c r="J75" s="491">
        <f>+'A1. Firmas Consultoras'!C155</f>
        <v>18</v>
      </c>
      <c r="K75" s="533">
        <f>+I75*J75</f>
        <v>1949.9939999999999</v>
      </c>
      <c r="L75" s="519"/>
      <c r="M75" s="519"/>
      <c r="N75" s="519"/>
      <c r="O75" s="519"/>
      <c r="P75" s="519"/>
      <c r="Q75" s="519"/>
      <c r="R75" s="519"/>
      <c r="S75" s="519"/>
    </row>
    <row r="76" spans="1:151" x14ac:dyDescent="0.25">
      <c r="B76" s="595" t="s">
        <v>401</v>
      </c>
      <c r="C76" s="596"/>
      <c r="D76" s="582" t="str">
        <f>+'Plan_Ejecutivo_Plurianual (PEP)'!C16</f>
        <v>Nuevo modelo de gestión, planificación y organización</v>
      </c>
      <c r="E76" s="583"/>
      <c r="F76" s="583"/>
      <c r="G76" s="583">
        <f t="shared" ref="G76" si="16">E76*F76</f>
        <v>0</v>
      </c>
      <c r="H76" s="583"/>
      <c r="I76" s="583"/>
      <c r="J76" s="583"/>
      <c r="K76" s="583">
        <f t="shared" ref="K76" si="17">I76*J76</f>
        <v>0</v>
      </c>
      <c r="L76" s="583" t="s">
        <v>28</v>
      </c>
      <c r="M76" s="583">
        <v>2000000</v>
      </c>
      <c r="N76" s="583">
        <v>1</v>
      </c>
      <c r="O76" s="583">
        <f t="shared" ref="O76" si="18">M76*N76</f>
        <v>2000000</v>
      </c>
      <c r="P76" s="583"/>
      <c r="Q76" s="583"/>
      <c r="R76" s="583"/>
      <c r="S76" s="584">
        <f t="shared" ref="S76" si="19">Q76*R76</f>
        <v>0</v>
      </c>
    </row>
    <row r="77" spans="1:151" ht="88.5" customHeight="1" x14ac:dyDescent="0.25">
      <c r="B77" s="622" t="s">
        <v>411</v>
      </c>
      <c r="C77" s="612">
        <f>+K77+K78+G79+G80+G81</f>
        <v>2661.24</v>
      </c>
      <c r="D77" s="535"/>
      <c r="E77" s="535"/>
      <c r="F77" s="535"/>
      <c r="G77" s="535"/>
      <c r="H77" s="587" t="s">
        <v>412</v>
      </c>
      <c r="I77" s="510">
        <f>+'A1. Firmas Consultoras'!K152</f>
        <v>72.16</v>
      </c>
      <c r="J77" s="73">
        <f>+'A1. Firmas Consultoras'!J152</f>
        <v>5</v>
      </c>
      <c r="K77" s="533">
        <f t="shared" ref="K77:K78" si="20">+I77*J77</f>
        <v>360.79999999999995</v>
      </c>
      <c r="L77" s="519"/>
      <c r="M77" s="519"/>
      <c r="N77" s="519"/>
      <c r="O77" s="519"/>
      <c r="P77" s="519"/>
      <c r="Q77" s="519"/>
      <c r="R77" s="519"/>
      <c r="S77" s="519"/>
    </row>
    <row r="78" spans="1:151" ht="86.25" customHeight="1" x14ac:dyDescent="0.25">
      <c r="B78" s="623"/>
      <c r="C78" s="613"/>
      <c r="D78" s="535"/>
      <c r="E78" s="535"/>
      <c r="F78" s="535"/>
      <c r="G78" s="535"/>
      <c r="H78" s="588"/>
      <c r="I78" s="510">
        <f>+'A1. Firmas Consultoras'!K153</f>
        <v>107</v>
      </c>
      <c r="J78" s="491">
        <f>+'A1. Firmas Consultoras'!J153</f>
        <v>8</v>
      </c>
      <c r="K78" s="533">
        <f t="shared" si="20"/>
        <v>856</v>
      </c>
      <c r="L78" s="519"/>
      <c r="M78" s="519"/>
      <c r="N78" s="519"/>
      <c r="O78" s="519"/>
      <c r="P78" s="519"/>
      <c r="Q78" s="519"/>
      <c r="R78" s="519"/>
      <c r="S78" s="519"/>
    </row>
    <row r="79" spans="1:151" ht="138.75" customHeight="1" x14ac:dyDescent="0.25">
      <c r="B79" s="513" t="s">
        <v>206</v>
      </c>
      <c r="C79" s="613"/>
      <c r="D79" s="524" t="s">
        <v>413</v>
      </c>
      <c r="E79" s="510">
        <f>+'A2. Consultorias Individuales'!I24</f>
        <v>72.221999999999994</v>
      </c>
      <c r="F79" s="491">
        <f>+'A2. Consultorias Individuales'!H26</f>
        <v>8</v>
      </c>
      <c r="G79" s="510">
        <f>+E79*F79</f>
        <v>577.77599999999995</v>
      </c>
      <c r="H79" s="519"/>
      <c r="I79" s="519"/>
      <c r="J79" s="519"/>
      <c r="K79" s="519"/>
      <c r="L79" s="519"/>
      <c r="M79" s="519"/>
      <c r="N79" s="519"/>
      <c r="O79" s="519"/>
      <c r="P79" s="519"/>
      <c r="Q79" s="519"/>
      <c r="R79" s="519"/>
      <c r="S79" s="519"/>
    </row>
    <row r="80" spans="1:151" ht="146.25" customHeight="1" x14ac:dyDescent="0.25">
      <c r="B80" s="513" t="s">
        <v>414</v>
      </c>
      <c r="C80" s="613"/>
      <c r="D80" s="524" t="s">
        <v>415</v>
      </c>
      <c r="E80" s="510">
        <f>+'A1. Firmas Consultoras'!K140</f>
        <v>108.333</v>
      </c>
      <c r="F80" s="491">
        <f>+'A1. Firmas Consultoras'!J143</f>
        <v>4</v>
      </c>
      <c r="G80" s="510">
        <f>+F80*E80</f>
        <v>433.33199999999999</v>
      </c>
      <c r="H80" s="519"/>
      <c r="I80" s="519"/>
      <c r="J80" s="519"/>
      <c r="K80" s="519"/>
      <c r="L80" s="519"/>
      <c r="M80" s="519"/>
      <c r="N80" s="519"/>
      <c r="O80" s="519"/>
      <c r="P80" s="519"/>
      <c r="Q80" s="519"/>
      <c r="R80" s="519"/>
      <c r="S80" s="519"/>
    </row>
    <row r="81" spans="2:21" ht="146.25" customHeight="1" x14ac:dyDescent="0.25">
      <c r="B81" s="513" t="s">
        <v>414</v>
      </c>
      <c r="C81" s="613"/>
      <c r="D81" s="524" t="s">
        <v>416</v>
      </c>
      <c r="E81" s="510">
        <f>+'A1. Firmas Consultoras'!D140</f>
        <v>108.333</v>
      </c>
      <c r="F81" s="491">
        <f>+'A1. Firmas Consultoras'!C143</f>
        <v>4</v>
      </c>
      <c r="G81" s="510">
        <f>+F81*E81</f>
        <v>433.33199999999999</v>
      </c>
      <c r="H81" s="519"/>
      <c r="I81" s="519"/>
      <c r="J81" s="519"/>
      <c r="K81" s="519"/>
      <c r="L81" s="519"/>
      <c r="M81" s="519"/>
      <c r="N81" s="519"/>
      <c r="O81" s="519"/>
      <c r="P81" s="519"/>
      <c r="Q81" s="519"/>
      <c r="R81" s="519"/>
      <c r="S81" s="519"/>
    </row>
    <row r="82" spans="2:21" ht="23.25" customHeight="1" x14ac:dyDescent="0.25">
      <c r="B82" s="577" t="s">
        <v>402</v>
      </c>
      <c r="C82" s="578"/>
      <c r="D82" s="36"/>
      <c r="E82" s="34"/>
      <c r="F82" s="34"/>
      <c r="G82" s="35">
        <f>+SUM(G72:G81)</f>
        <v>6211.1008000000002</v>
      </c>
      <c r="H82" s="33"/>
      <c r="I82" s="34"/>
      <c r="J82" s="34"/>
      <c r="K82" s="35">
        <f>+SUM(K72:K81)</f>
        <v>3166.7939999999999</v>
      </c>
      <c r="L82" s="36"/>
      <c r="M82" s="34"/>
      <c r="N82" s="34"/>
      <c r="O82" s="35">
        <v>0</v>
      </c>
      <c r="P82" s="33"/>
      <c r="Q82" s="34"/>
      <c r="R82" s="34"/>
      <c r="S82" s="35">
        <f>+S74+S72</f>
        <v>0</v>
      </c>
      <c r="T82" s="37"/>
    </row>
    <row r="83" spans="2:21" ht="21" customHeight="1" x14ac:dyDescent="0.25">
      <c r="B83" s="577" t="s">
        <v>31</v>
      </c>
      <c r="C83" s="578"/>
      <c r="D83" s="36"/>
      <c r="E83" s="34"/>
      <c r="F83" s="34"/>
      <c r="G83" s="35">
        <f>+G82+G69+G41</f>
        <v>6427.7668000000003</v>
      </c>
      <c r="H83" s="33"/>
      <c r="I83" s="34"/>
      <c r="J83" s="34"/>
      <c r="K83" s="35">
        <f>+K82+K69+K41</f>
        <v>28421.282200000001</v>
      </c>
      <c r="L83" s="36"/>
      <c r="M83" s="34"/>
      <c r="N83" s="34"/>
      <c r="O83" s="35">
        <f>+O82+O69+O41</f>
        <v>70151</v>
      </c>
      <c r="P83" s="33"/>
      <c r="Q83" s="34"/>
      <c r="R83" s="34"/>
      <c r="S83" s="35">
        <f>+S82+S69+S41</f>
        <v>0</v>
      </c>
      <c r="T83" s="37"/>
      <c r="U83" s="37"/>
    </row>
    <row r="84" spans="2:21" ht="29.25" customHeight="1" x14ac:dyDescent="0.25">
      <c r="B84" s="50" t="s">
        <v>9</v>
      </c>
      <c r="C84" s="52">
        <f>SUM(C85:C96)</f>
        <v>5500</v>
      </c>
      <c r="D84" s="575" t="s">
        <v>7</v>
      </c>
      <c r="E84" s="575"/>
      <c r="F84" s="575"/>
      <c r="G84" s="575"/>
      <c r="H84" s="575"/>
      <c r="I84" s="575"/>
      <c r="J84" s="575"/>
      <c r="K84" s="575"/>
      <c r="L84" s="576"/>
      <c r="M84" s="576"/>
      <c r="N84" s="576"/>
      <c r="O84" s="576"/>
      <c r="P84" s="575"/>
      <c r="Q84" s="575"/>
      <c r="R84" s="575"/>
      <c r="S84" s="575"/>
      <c r="T84" s="37"/>
    </row>
    <row r="85" spans="2:21" x14ac:dyDescent="0.25">
      <c r="B85" s="54" t="s">
        <v>36</v>
      </c>
      <c r="C85" s="56">
        <f>G85</f>
        <v>720</v>
      </c>
      <c r="D85" s="64" t="s">
        <v>35</v>
      </c>
      <c r="E85" s="71">
        <f>+'A5_Detalle Administración'!D4*'A5_Detalle Administración'!E4</f>
        <v>144</v>
      </c>
      <c r="F85" s="71">
        <f>+'A5_Detalle Administración'!C4</f>
        <v>5</v>
      </c>
      <c r="G85" s="74">
        <f t="shared" ref="G85:G94" si="21">E85*F85</f>
        <v>720</v>
      </c>
      <c r="H85" s="519"/>
      <c r="I85" s="519"/>
      <c r="J85" s="519"/>
      <c r="K85" s="519"/>
      <c r="L85" s="519"/>
      <c r="M85" s="519"/>
      <c r="N85" s="519"/>
      <c r="O85" s="519"/>
      <c r="P85" s="519"/>
      <c r="Q85" s="519"/>
      <c r="R85" s="519"/>
      <c r="S85" s="519"/>
      <c r="U85" s="37"/>
    </row>
    <row r="86" spans="2:21" x14ac:dyDescent="0.25">
      <c r="B86" s="54" t="s">
        <v>14</v>
      </c>
      <c r="C86" s="56">
        <f>G86</f>
        <v>576</v>
      </c>
      <c r="D86" s="49" t="s">
        <v>88</v>
      </c>
      <c r="E86" s="71">
        <f>+'A5_Detalle Administración'!D5*'A5_Detalle Administración'!E5</f>
        <v>144</v>
      </c>
      <c r="F86" s="71">
        <f>+'A5_Detalle Administración'!C5</f>
        <v>4</v>
      </c>
      <c r="G86" s="74">
        <f>E86*F86</f>
        <v>576</v>
      </c>
      <c r="H86" s="519"/>
      <c r="I86" s="519"/>
      <c r="J86" s="519"/>
      <c r="K86" s="519"/>
      <c r="L86" s="519"/>
      <c r="M86" s="519"/>
      <c r="N86" s="519"/>
      <c r="O86" s="519"/>
      <c r="P86" s="519"/>
      <c r="Q86" s="519"/>
      <c r="R86" s="519"/>
      <c r="S86" s="519"/>
    </row>
    <row r="87" spans="2:21" x14ac:dyDescent="0.25">
      <c r="B87" s="54" t="s">
        <v>10</v>
      </c>
      <c r="C87" s="56">
        <f>G87</f>
        <v>72</v>
      </c>
      <c r="D87" s="49" t="s">
        <v>89</v>
      </c>
      <c r="E87" s="71">
        <f>+'A5_Detalle Administración'!D6*'A5_Detalle Administración'!E6</f>
        <v>18</v>
      </c>
      <c r="F87" s="71">
        <f>+'A5_Detalle Administración'!C6</f>
        <v>4</v>
      </c>
      <c r="G87" s="74">
        <f t="shared" si="21"/>
        <v>72</v>
      </c>
      <c r="H87" s="519"/>
      <c r="I87" s="519"/>
      <c r="J87" s="519"/>
      <c r="K87" s="519"/>
      <c r="L87" s="519"/>
      <c r="M87" s="519"/>
      <c r="N87" s="519"/>
      <c r="O87" s="519"/>
      <c r="P87" s="519"/>
      <c r="Q87" s="519"/>
      <c r="R87" s="519"/>
      <c r="S87" s="519"/>
      <c r="U87" s="37"/>
    </row>
    <row r="88" spans="2:21" x14ac:dyDescent="0.25">
      <c r="B88" s="615" t="s">
        <v>26</v>
      </c>
      <c r="C88" s="618">
        <f>SUM(G88:G92)</f>
        <v>384</v>
      </c>
      <c r="D88" s="49" t="s">
        <v>87</v>
      </c>
      <c r="E88" s="71">
        <f>+'A5_Detalle Administración'!D8*'A5_Detalle Administración'!E8</f>
        <v>18</v>
      </c>
      <c r="F88" s="71">
        <f>+'A5_Detalle Administración'!C8</f>
        <v>4</v>
      </c>
      <c r="G88" s="74">
        <f t="shared" si="21"/>
        <v>72</v>
      </c>
      <c r="H88" s="519"/>
      <c r="I88" s="519"/>
      <c r="J88" s="519"/>
      <c r="K88" s="519"/>
      <c r="L88" s="519"/>
      <c r="M88" s="519"/>
      <c r="N88" s="519"/>
      <c r="O88" s="519"/>
      <c r="P88" s="519"/>
      <c r="Q88" s="519"/>
      <c r="R88" s="519"/>
      <c r="S88" s="519"/>
    </row>
    <row r="89" spans="2:21" x14ac:dyDescent="0.25">
      <c r="B89" s="616"/>
      <c r="C89" s="619"/>
      <c r="D89" s="60" t="s">
        <v>84</v>
      </c>
      <c r="E89" s="71">
        <f>+'A5_Detalle Administración'!D9*'A5_Detalle Administración'!E9</f>
        <v>18</v>
      </c>
      <c r="F89" s="71">
        <f>+'A5_Detalle Administración'!C9</f>
        <v>4</v>
      </c>
      <c r="G89" s="74">
        <f t="shared" si="21"/>
        <v>72</v>
      </c>
      <c r="H89" s="519"/>
      <c r="I89" s="519"/>
      <c r="J89" s="519"/>
      <c r="K89" s="519"/>
      <c r="L89" s="519"/>
      <c r="M89" s="519"/>
      <c r="N89" s="519"/>
      <c r="O89" s="519"/>
      <c r="P89" s="519"/>
      <c r="Q89" s="519"/>
      <c r="R89" s="519"/>
      <c r="S89" s="519"/>
    </row>
    <row r="90" spans="2:21" x14ac:dyDescent="0.25">
      <c r="B90" s="616"/>
      <c r="C90" s="620"/>
      <c r="D90" s="49" t="s">
        <v>27</v>
      </c>
      <c r="E90" s="71">
        <f>+'A5_Detalle Administración'!D10*'A5_Detalle Administración'!E10</f>
        <v>24</v>
      </c>
      <c r="F90" s="71">
        <f>+'A5_Detalle Administración'!C10</f>
        <v>4</v>
      </c>
      <c r="G90" s="74">
        <f t="shared" si="21"/>
        <v>96</v>
      </c>
      <c r="H90" s="519"/>
      <c r="I90" s="519"/>
      <c r="J90" s="519"/>
      <c r="K90" s="519"/>
      <c r="L90" s="519"/>
      <c r="M90" s="519"/>
      <c r="N90" s="519"/>
      <c r="O90" s="519"/>
      <c r="P90" s="519"/>
      <c r="Q90" s="519"/>
      <c r="R90" s="519"/>
      <c r="S90" s="519"/>
    </row>
    <row r="91" spans="2:21" ht="15" customHeight="1" x14ac:dyDescent="0.25">
      <c r="B91" s="616"/>
      <c r="C91" s="620"/>
      <c r="D91" s="49" t="s">
        <v>13</v>
      </c>
      <c r="E91" s="71">
        <f>+'A5_Detalle Administración'!D11*'A5_Detalle Administración'!E11</f>
        <v>18</v>
      </c>
      <c r="F91" s="71">
        <f>+'A5_Detalle Administración'!C11</f>
        <v>4</v>
      </c>
      <c r="G91" s="74">
        <f t="shared" si="21"/>
        <v>72</v>
      </c>
      <c r="H91" s="519"/>
      <c r="I91" s="519"/>
      <c r="J91" s="519"/>
      <c r="K91" s="519"/>
      <c r="L91" s="519"/>
      <c r="M91" s="519"/>
      <c r="N91" s="519"/>
      <c r="O91" s="519"/>
      <c r="P91" s="519"/>
      <c r="Q91" s="519"/>
      <c r="R91" s="519"/>
      <c r="S91" s="519"/>
    </row>
    <row r="92" spans="2:21" x14ac:dyDescent="0.25">
      <c r="B92" s="617"/>
      <c r="C92" s="621"/>
      <c r="D92" s="49" t="s">
        <v>12</v>
      </c>
      <c r="E92" s="71">
        <f>+'A5_Detalle Administración'!D12*'A5_Detalle Administración'!E12</f>
        <v>18</v>
      </c>
      <c r="F92" s="71">
        <f>+'A5_Detalle Administración'!C12</f>
        <v>4</v>
      </c>
      <c r="G92" s="74">
        <f t="shared" si="21"/>
        <v>72</v>
      </c>
      <c r="H92" s="519"/>
      <c r="I92" s="519"/>
      <c r="J92" s="519"/>
      <c r="K92" s="519"/>
      <c r="L92" s="519"/>
      <c r="M92" s="519"/>
      <c r="N92" s="519"/>
      <c r="O92" s="519"/>
      <c r="P92" s="519"/>
      <c r="Q92" s="519"/>
      <c r="R92" s="519"/>
      <c r="S92" s="519"/>
    </row>
    <row r="93" spans="2:21" x14ac:dyDescent="0.25">
      <c r="B93" s="54" t="s">
        <v>11</v>
      </c>
      <c r="C93" s="56">
        <f>G93</f>
        <v>144</v>
      </c>
      <c r="D93" s="49"/>
      <c r="E93" s="71">
        <f>+'A5_Detalle Administración'!D13*'A5_Detalle Administración'!E13</f>
        <v>36</v>
      </c>
      <c r="F93" s="71">
        <f>+'A5_Detalle Administración'!C13</f>
        <v>4</v>
      </c>
      <c r="G93" s="74">
        <f t="shared" si="21"/>
        <v>144</v>
      </c>
      <c r="H93" s="519"/>
      <c r="I93" s="519"/>
      <c r="J93" s="519"/>
      <c r="K93" s="519"/>
      <c r="L93" s="519"/>
      <c r="M93" s="519"/>
      <c r="N93" s="519"/>
      <c r="O93" s="519"/>
      <c r="P93" s="519"/>
      <c r="Q93" s="519"/>
      <c r="R93" s="519"/>
      <c r="S93" s="519"/>
    </row>
    <row r="94" spans="2:21" x14ac:dyDescent="0.25">
      <c r="B94" s="54" t="s">
        <v>37</v>
      </c>
      <c r="C94" s="56">
        <f>G94</f>
        <v>576</v>
      </c>
      <c r="D94" s="49"/>
      <c r="E94" s="71">
        <f>+'A5_Detalle Administración'!D14*'A5_Detalle Administración'!E14</f>
        <v>144</v>
      </c>
      <c r="F94" s="71">
        <f>+'A5_Detalle Administración'!C14</f>
        <v>4</v>
      </c>
      <c r="G94" s="74">
        <f t="shared" si="21"/>
        <v>576</v>
      </c>
      <c r="H94" s="519"/>
      <c r="I94" s="519"/>
      <c r="J94" s="519"/>
      <c r="K94" s="519"/>
      <c r="L94" s="519"/>
      <c r="M94" s="519"/>
      <c r="N94" s="519"/>
      <c r="O94" s="519"/>
      <c r="P94" s="519"/>
      <c r="Q94" s="519"/>
      <c r="R94" s="519"/>
      <c r="S94" s="519"/>
    </row>
    <row r="95" spans="2:21" ht="30" x14ac:dyDescent="0.25">
      <c r="B95" s="54" t="s">
        <v>38</v>
      </c>
      <c r="C95" s="56">
        <f>G95</f>
        <v>576</v>
      </c>
      <c r="D95" s="49"/>
      <c r="E95" s="71">
        <f>+'A5_Detalle Administración'!D15*'A5_Detalle Administración'!E15</f>
        <v>144</v>
      </c>
      <c r="F95" s="71">
        <f>+'A5_Detalle Administración'!C15</f>
        <v>4</v>
      </c>
      <c r="G95" s="74">
        <f>E95*F95</f>
        <v>576</v>
      </c>
      <c r="H95" s="519"/>
      <c r="I95" s="519"/>
      <c r="J95" s="519"/>
      <c r="K95" s="519"/>
      <c r="L95" s="519"/>
      <c r="M95" s="519"/>
      <c r="N95" s="519"/>
      <c r="O95" s="519"/>
      <c r="P95" s="519"/>
      <c r="Q95" s="519"/>
      <c r="R95" s="519"/>
      <c r="S95" s="519"/>
    </row>
    <row r="96" spans="2:21" ht="18" customHeight="1" x14ac:dyDescent="0.25">
      <c r="B96" s="62" t="s">
        <v>91</v>
      </c>
      <c r="C96" s="56">
        <f>G96</f>
        <v>2452</v>
      </c>
      <c r="D96" s="60"/>
      <c r="E96" s="72">
        <f>+'A5_Detalle Administración'!F16</f>
        <v>2452</v>
      </c>
      <c r="F96" s="72">
        <v>1</v>
      </c>
      <c r="G96" s="75">
        <f>+E96*F96</f>
        <v>2452</v>
      </c>
      <c r="H96" s="519"/>
      <c r="I96" s="519"/>
      <c r="J96" s="519"/>
      <c r="K96" s="519"/>
      <c r="L96" s="519"/>
      <c r="M96" s="519"/>
      <c r="N96" s="519"/>
      <c r="O96" s="519"/>
      <c r="P96" s="519"/>
      <c r="Q96" s="519"/>
      <c r="R96" s="519"/>
      <c r="S96" s="519"/>
    </row>
    <row r="97" spans="2:20" ht="21" customHeight="1" x14ac:dyDescent="0.25">
      <c r="B97" s="577" t="s">
        <v>32</v>
      </c>
      <c r="C97" s="578"/>
      <c r="D97" s="36"/>
      <c r="E97" s="34"/>
      <c r="F97" s="34"/>
      <c r="G97" s="35">
        <f>SUM(G85:G96)</f>
        <v>5500</v>
      </c>
      <c r="H97" s="33"/>
      <c r="I97" s="34"/>
      <c r="J97" s="34"/>
      <c r="K97" s="35">
        <f>SUM(K85:K95)</f>
        <v>0</v>
      </c>
      <c r="L97" s="91"/>
      <c r="M97" s="89"/>
      <c r="N97" s="89"/>
      <c r="O97" s="90">
        <f>SUM(O85:O95)</f>
        <v>0</v>
      </c>
      <c r="P97" s="33"/>
      <c r="Q97" s="34"/>
      <c r="R97" s="34"/>
      <c r="S97" s="35">
        <f>SUM(S85:S95)</f>
        <v>0</v>
      </c>
      <c r="T97" s="37"/>
    </row>
    <row r="98" spans="2:20" x14ac:dyDescent="0.25">
      <c r="B98" s="38"/>
      <c r="C98" s="39"/>
      <c r="D98" s="40"/>
      <c r="E98" s="40"/>
      <c r="G98" s="41"/>
      <c r="T98" s="37"/>
    </row>
    <row r="99" spans="2:20" ht="39.75" customHeight="1" x14ac:dyDescent="0.35">
      <c r="B99" s="92" t="s">
        <v>128</v>
      </c>
      <c r="C99" s="93">
        <f>+Resumen!C15</f>
        <v>93260.851667768598</v>
      </c>
      <c r="D99" s="42"/>
      <c r="E99" s="40"/>
    </row>
    <row r="100" spans="2:20" ht="37.5" customHeight="1" x14ac:dyDescent="0.35">
      <c r="B100" s="92" t="s">
        <v>131</v>
      </c>
      <c r="C100" s="93">
        <f>+Resumen!C14</f>
        <v>17239.197332231404</v>
      </c>
      <c r="D100" s="40"/>
      <c r="E100" s="40"/>
    </row>
    <row r="101" spans="2:20" ht="27.75" customHeight="1" x14ac:dyDescent="0.25">
      <c r="B101" s="38" t="s">
        <v>129</v>
      </c>
      <c r="C101" s="39"/>
      <c r="D101" s="40"/>
      <c r="E101" s="40"/>
    </row>
    <row r="102" spans="2:20" x14ac:dyDescent="0.25">
      <c r="B102" s="40"/>
      <c r="C102" s="43"/>
      <c r="D102" s="40"/>
      <c r="E102" s="40"/>
    </row>
    <row r="103" spans="2:20" x14ac:dyDescent="0.25">
      <c r="B103" s="40"/>
      <c r="C103" s="39"/>
      <c r="D103" s="40"/>
      <c r="E103" s="40"/>
    </row>
    <row r="104" spans="2:20" x14ac:dyDescent="0.25">
      <c r="B104" s="40"/>
      <c r="C104" s="39"/>
      <c r="D104" s="40"/>
      <c r="E104" s="40"/>
    </row>
    <row r="105" spans="2:20" x14ac:dyDescent="0.25">
      <c r="B105" s="40"/>
      <c r="C105" s="39"/>
      <c r="D105" s="40"/>
      <c r="E105" s="40"/>
    </row>
    <row r="106" spans="2:20" x14ac:dyDescent="0.25">
      <c r="B106" s="40"/>
      <c r="C106" s="39"/>
      <c r="D106" s="40"/>
      <c r="E106" s="40"/>
    </row>
    <row r="107" spans="2:20" x14ac:dyDescent="0.25">
      <c r="B107" s="40"/>
      <c r="C107" s="39"/>
      <c r="D107" s="40"/>
      <c r="E107" s="40"/>
    </row>
    <row r="108" spans="2:20" x14ac:dyDescent="0.25">
      <c r="B108" s="40"/>
      <c r="C108" s="39"/>
      <c r="D108" s="40"/>
      <c r="E108" s="40"/>
    </row>
    <row r="109" spans="2:20" x14ac:dyDescent="0.25">
      <c r="B109" s="40"/>
      <c r="C109" s="39"/>
      <c r="D109" s="40"/>
      <c r="E109" s="40"/>
    </row>
    <row r="110" spans="2:20" x14ac:dyDescent="0.25">
      <c r="B110" s="40"/>
      <c r="C110" s="39"/>
      <c r="D110" s="40"/>
      <c r="E110" s="40"/>
    </row>
    <row r="111" spans="2:20" x14ac:dyDescent="0.25">
      <c r="B111" s="40"/>
      <c r="C111" s="39"/>
      <c r="D111" s="40"/>
      <c r="E111" s="40"/>
    </row>
    <row r="112" spans="2:20" x14ac:dyDescent="0.25">
      <c r="B112" s="40"/>
      <c r="C112" s="39"/>
      <c r="D112" s="40"/>
      <c r="E112" s="40"/>
    </row>
    <row r="113" spans="2:5" x14ac:dyDescent="0.25">
      <c r="B113" s="40"/>
      <c r="C113" s="39"/>
      <c r="D113" s="40"/>
      <c r="E113" s="40"/>
    </row>
    <row r="114" spans="2:5" x14ac:dyDescent="0.25">
      <c r="B114" s="40"/>
      <c r="C114" s="39"/>
      <c r="D114" s="40"/>
      <c r="E114" s="40"/>
    </row>
    <row r="115" spans="2:5" x14ac:dyDescent="0.25">
      <c r="B115" s="40"/>
      <c r="C115" s="39"/>
      <c r="D115" s="40"/>
      <c r="E115" s="40"/>
    </row>
    <row r="116" spans="2:5" x14ac:dyDescent="0.25">
      <c r="B116" s="40"/>
      <c r="C116" s="39"/>
      <c r="D116" s="40"/>
      <c r="E116" s="40"/>
    </row>
    <row r="117" spans="2:5" x14ac:dyDescent="0.25">
      <c r="B117" s="40"/>
      <c r="C117" s="39"/>
      <c r="D117" s="40"/>
      <c r="E117" s="40"/>
    </row>
  </sheetData>
  <mergeCells count="66">
    <mergeCell ref="C52:C58"/>
    <mergeCell ref="C44:C50"/>
    <mergeCell ref="B59:C59"/>
    <mergeCell ref="B5:C6"/>
    <mergeCell ref="B83:C83"/>
    <mergeCell ref="D8:S8"/>
    <mergeCell ref="D25:S25"/>
    <mergeCell ref="C9:C24"/>
    <mergeCell ref="D73:S73"/>
    <mergeCell ref="B76:C76"/>
    <mergeCell ref="D43:S43"/>
    <mergeCell ref="B14:B15"/>
    <mergeCell ref="H16:H17"/>
    <mergeCell ref="H18:H19"/>
    <mergeCell ref="B16:B21"/>
    <mergeCell ref="B22:B23"/>
    <mergeCell ref="B9:B13"/>
    <mergeCell ref="M9:M10"/>
    <mergeCell ref="O9:O10"/>
    <mergeCell ref="D4:S4"/>
    <mergeCell ref="H5:K5"/>
    <mergeCell ref="L5:O5"/>
    <mergeCell ref="D7:S7"/>
    <mergeCell ref="D5:G5"/>
    <mergeCell ref="P5:S5"/>
    <mergeCell ref="B97:C97"/>
    <mergeCell ref="B88:B92"/>
    <mergeCell ref="C88:C92"/>
    <mergeCell ref="B69:C69"/>
    <mergeCell ref="B82:C82"/>
    <mergeCell ref="B71:C71"/>
    <mergeCell ref="B73:C73"/>
    <mergeCell ref="B77:B78"/>
    <mergeCell ref="C77:C81"/>
    <mergeCell ref="B8:C8"/>
    <mergeCell ref="B25:C25"/>
    <mergeCell ref="B34:C34"/>
    <mergeCell ref="B43:C43"/>
    <mergeCell ref="P9:P13"/>
    <mergeCell ref="D34:S34"/>
    <mergeCell ref="C35:C40"/>
    <mergeCell ref="N9:N10"/>
    <mergeCell ref="M11:M12"/>
    <mergeCell ref="N11:N12"/>
    <mergeCell ref="O11:O12"/>
    <mergeCell ref="H22:H23"/>
    <mergeCell ref="H26:H27"/>
    <mergeCell ref="B26:B27"/>
    <mergeCell ref="C26:C33"/>
    <mergeCell ref="H28:H29"/>
    <mergeCell ref="H30:H31"/>
    <mergeCell ref="D84:S84"/>
    <mergeCell ref="B41:C41"/>
    <mergeCell ref="D42:S42"/>
    <mergeCell ref="D70:S70"/>
    <mergeCell ref="D76:S76"/>
    <mergeCell ref="C74:C75"/>
    <mergeCell ref="D71:S71"/>
    <mergeCell ref="H77:H78"/>
    <mergeCell ref="B44:B50"/>
    <mergeCell ref="B52:B58"/>
    <mergeCell ref="B60:B68"/>
    <mergeCell ref="D51:S51"/>
    <mergeCell ref="D59:S59"/>
    <mergeCell ref="B51:C51"/>
    <mergeCell ref="C60:C68"/>
  </mergeCells>
  <pageMargins left="0.7" right="0.7" top="0.75" bottom="0.75" header="0.3" footer="0.3"/>
  <pageSetup orientation="landscape" horizontalDpi="4294967294" verticalDpi="4294967293"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1"/>
  <sheetViews>
    <sheetView workbookViewId="0">
      <selection activeCell="F11" sqref="F11"/>
    </sheetView>
  </sheetViews>
  <sheetFormatPr baseColWidth="10" defaultRowHeight="15.75" x14ac:dyDescent="0.25"/>
  <cols>
    <col min="1" max="1" width="2.25" customWidth="1"/>
    <col min="2" max="2" width="55" customWidth="1"/>
    <col min="5" max="5" width="17.25" customWidth="1"/>
  </cols>
  <sheetData>
    <row r="1" spans="2:6" ht="18.75" x14ac:dyDescent="0.3">
      <c r="B1" s="13" t="s">
        <v>420</v>
      </c>
    </row>
    <row r="2" spans="2:6" x14ac:dyDescent="0.25">
      <c r="B2" s="2" t="s">
        <v>327</v>
      </c>
    </row>
    <row r="3" spans="2:6" x14ac:dyDescent="0.25">
      <c r="B3" s="55" t="s">
        <v>78</v>
      </c>
      <c r="C3" s="59" t="s">
        <v>77</v>
      </c>
      <c r="D3" s="59" t="s">
        <v>23</v>
      </c>
      <c r="E3" s="59" t="s">
        <v>85</v>
      </c>
      <c r="F3" s="59" t="s">
        <v>79</v>
      </c>
    </row>
    <row r="4" spans="2:6" ht="18" customHeight="1" x14ac:dyDescent="0.25">
      <c r="B4" s="57" t="s">
        <v>36</v>
      </c>
      <c r="C4" s="292">
        <v>5</v>
      </c>
      <c r="D4" s="292">
        <v>48</v>
      </c>
      <c r="E4" s="294">
        <v>3</v>
      </c>
      <c r="F4" s="295">
        <f>+C4*D4*E4</f>
        <v>720</v>
      </c>
    </row>
    <row r="5" spans="2:6" x14ac:dyDescent="0.25">
      <c r="B5" s="57" t="s">
        <v>14</v>
      </c>
      <c r="C5" s="292">
        <v>4</v>
      </c>
      <c r="D5" s="292">
        <v>48</v>
      </c>
      <c r="E5" s="294">
        <v>3</v>
      </c>
      <c r="F5" s="295">
        <f>+C5*D5*E5</f>
        <v>576</v>
      </c>
    </row>
    <row r="6" spans="2:6" x14ac:dyDescent="0.25">
      <c r="B6" s="57" t="s">
        <v>10</v>
      </c>
      <c r="C6" s="292">
        <v>4</v>
      </c>
      <c r="D6" s="292">
        <v>6</v>
      </c>
      <c r="E6" s="294">
        <v>3</v>
      </c>
      <c r="F6" s="295">
        <f>+C6*D6*E6</f>
        <v>72</v>
      </c>
    </row>
    <row r="7" spans="2:6" x14ac:dyDescent="0.25">
      <c r="B7" s="58" t="s">
        <v>82</v>
      </c>
      <c r="C7" s="292">
        <f>SUM(C8:C12)</f>
        <v>20</v>
      </c>
      <c r="D7" s="292">
        <f t="shared" ref="D7:F7" si="0">SUM(D8:D12)</f>
        <v>30</v>
      </c>
      <c r="E7" s="294">
        <f t="shared" si="0"/>
        <v>16</v>
      </c>
      <c r="F7" s="295">
        <f t="shared" si="0"/>
        <v>384</v>
      </c>
    </row>
    <row r="8" spans="2:6" x14ac:dyDescent="0.25">
      <c r="B8" s="65" t="s">
        <v>83</v>
      </c>
      <c r="C8" s="292">
        <v>4</v>
      </c>
      <c r="D8" s="292">
        <v>6</v>
      </c>
      <c r="E8" s="294">
        <v>3</v>
      </c>
      <c r="F8" s="296">
        <f t="shared" ref="F8:F15" si="1">+C8*D8*E8</f>
        <v>72</v>
      </c>
    </row>
    <row r="9" spans="2:6" x14ac:dyDescent="0.25">
      <c r="B9" s="65" t="s">
        <v>84</v>
      </c>
      <c r="C9" s="292">
        <v>4</v>
      </c>
      <c r="D9" s="292">
        <v>6</v>
      </c>
      <c r="E9" s="294">
        <v>3</v>
      </c>
      <c r="F9" s="296">
        <f t="shared" si="1"/>
        <v>72</v>
      </c>
    </row>
    <row r="10" spans="2:6" x14ac:dyDescent="0.25">
      <c r="B10" s="65" t="s">
        <v>90</v>
      </c>
      <c r="C10" s="292">
        <v>4</v>
      </c>
      <c r="D10" s="292">
        <v>6</v>
      </c>
      <c r="E10" s="294">
        <v>4</v>
      </c>
      <c r="F10" s="296">
        <f t="shared" ref="F10" si="2">+C10*D10*E10</f>
        <v>96</v>
      </c>
    </row>
    <row r="11" spans="2:6" x14ac:dyDescent="0.25">
      <c r="B11" s="65" t="s">
        <v>86</v>
      </c>
      <c r="C11" s="292">
        <v>4</v>
      </c>
      <c r="D11" s="292">
        <v>6</v>
      </c>
      <c r="E11" s="294">
        <v>3</v>
      </c>
      <c r="F11" s="296">
        <f t="shared" si="1"/>
        <v>72</v>
      </c>
    </row>
    <row r="12" spans="2:6" x14ac:dyDescent="0.25">
      <c r="B12" s="63" t="s">
        <v>12</v>
      </c>
      <c r="C12" s="292">
        <v>4</v>
      </c>
      <c r="D12" s="292">
        <v>6</v>
      </c>
      <c r="E12" s="294">
        <v>3</v>
      </c>
      <c r="F12" s="296">
        <f t="shared" si="1"/>
        <v>72</v>
      </c>
    </row>
    <row r="13" spans="2:6" x14ac:dyDescent="0.25">
      <c r="B13" s="57" t="s">
        <v>11</v>
      </c>
      <c r="C13" s="292">
        <v>4</v>
      </c>
      <c r="D13" s="292">
        <v>12</v>
      </c>
      <c r="E13" s="294">
        <v>3</v>
      </c>
      <c r="F13" s="295">
        <f t="shared" si="1"/>
        <v>144</v>
      </c>
    </row>
    <row r="14" spans="2:6" x14ac:dyDescent="0.25">
      <c r="B14" s="57" t="s">
        <v>37</v>
      </c>
      <c r="C14" s="292">
        <v>4</v>
      </c>
      <c r="D14" s="292">
        <v>48</v>
      </c>
      <c r="E14" s="294">
        <v>3</v>
      </c>
      <c r="F14" s="295">
        <f t="shared" si="1"/>
        <v>576</v>
      </c>
    </row>
    <row r="15" spans="2:6" ht="30" x14ac:dyDescent="0.25">
      <c r="B15" s="57" t="s">
        <v>38</v>
      </c>
      <c r="C15" s="292">
        <v>4</v>
      </c>
      <c r="D15" s="292">
        <v>48</v>
      </c>
      <c r="E15" s="294">
        <v>3</v>
      </c>
      <c r="F15" s="295">
        <f t="shared" si="1"/>
        <v>576</v>
      </c>
    </row>
    <row r="16" spans="2:6" x14ac:dyDescent="0.25">
      <c r="B16" s="57" t="s">
        <v>91</v>
      </c>
      <c r="C16" s="292"/>
      <c r="D16" s="292"/>
      <c r="E16" s="294"/>
      <c r="F16" s="295">
        <v>2452</v>
      </c>
    </row>
    <row r="17" spans="2:9" x14ac:dyDescent="0.25">
      <c r="B17" s="66" t="s">
        <v>92</v>
      </c>
      <c r="C17" s="293"/>
      <c r="D17" s="293"/>
      <c r="E17" s="297"/>
      <c r="F17" s="298">
        <f>+F4+F5+F6+F7+F13+F14+F15+F16</f>
        <v>5500</v>
      </c>
    </row>
    <row r="18" spans="2:9" x14ac:dyDescent="0.25">
      <c r="G18" s="61"/>
      <c r="I18" s="61"/>
    </row>
    <row r="20" spans="2:9" x14ac:dyDescent="0.25">
      <c r="F20" s="61"/>
    </row>
    <row r="21" spans="2:9" x14ac:dyDescent="0.25">
      <c r="G21" s="61"/>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16"/>
  <sheetViews>
    <sheetView workbookViewId="0"/>
  </sheetViews>
  <sheetFormatPr baseColWidth="10" defaultRowHeight="15.75" x14ac:dyDescent="0.25"/>
  <cols>
    <col min="1" max="1" width="2.875" customWidth="1"/>
    <col min="2" max="2" width="16.875" bestFit="1" customWidth="1"/>
    <col min="3" max="3" width="13" bestFit="1" customWidth="1"/>
    <col min="4" max="5" width="13" customWidth="1"/>
    <col min="6" max="6" width="2.75" customWidth="1"/>
    <col min="7" max="7" width="18.625" customWidth="1"/>
    <col min="8" max="8" width="13" bestFit="1" customWidth="1"/>
    <col min="9" max="9" width="15.125" customWidth="1"/>
    <col min="10" max="10" width="12.75" customWidth="1"/>
  </cols>
  <sheetData>
    <row r="1" spans="2:10" ht="18.75" x14ac:dyDescent="0.3">
      <c r="B1" s="13" t="s">
        <v>341</v>
      </c>
    </row>
    <row r="2" spans="2:10" x14ac:dyDescent="0.25">
      <c r="B2" s="2" t="s">
        <v>327</v>
      </c>
    </row>
    <row r="3" spans="2:10" x14ac:dyDescent="0.25">
      <c r="B3" s="2" t="s">
        <v>342</v>
      </c>
      <c r="G3" s="2" t="s">
        <v>343</v>
      </c>
    </row>
    <row r="4" spans="2:10" x14ac:dyDescent="0.25">
      <c r="B4" s="346" t="s">
        <v>351</v>
      </c>
      <c r="C4" s="346" t="s">
        <v>350</v>
      </c>
      <c r="D4" s="346" t="s">
        <v>1</v>
      </c>
      <c r="E4" s="346" t="s">
        <v>43</v>
      </c>
      <c r="G4" s="346" t="s">
        <v>351</v>
      </c>
      <c r="H4" s="346" t="s">
        <v>350</v>
      </c>
      <c r="I4" s="346" t="s">
        <v>1</v>
      </c>
      <c r="J4" s="346" t="s">
        <v>43</v>
      </c>
    </row>
    <row r="5" spans="2:10" x14ac:dyDescent="0.25">
      <c r="B5" s="344">
        <f>+'A1. Firmas Consultoras'!L155+'A1. Firmas Consultoras'!E155+'A1. Firmas Consultoras'!L143+'A1. Firmas Consultoras'!E143+'A1. Firmas Consultoras'!L129+'A1. Firmas Consultoras'!E129+'A1. Firmas Consultoras'!E117+'A1. Firmas Consultoras'!L117+'A1. Firmas Consultoras'!L105+'A1. Firmas Consultoras'!E105+'A1. Firmas Consultoras'!L63+'A1. Firmas Consultoras'!E63+'A1. Firmas Consultoras'!L48+'A1. Firmas Consultoras'!E48+'A1. Firmas Consultoras'!E32+'A1. Firmas Consultoras'!L13+'A1. Firmas Consultoras'!E13+'A1. Firmas Consultoras'!E78+'A1. Firmas Consultoras'!L78+'A1. Firmas Consultoras'!E90</f>
        <v>29287.946200000002</v>
      </c>
      <c r="C5" s="343" t="s">
        <v>338</v>
      </c>
      <c r="D5" s="345">
        <f>+B5*0.9</f>
        <v>26359.151580000002</v>
      </c>
      <c r="E5" s="345">
        <f>+B5*0.1</f>
        <v>2928.7946200000006</v>
      </c>
      <c r="G5" s="344">
        <f>+'A1. Firmas Consultoras'!E13+'A1. Firmas Consultoras'!L13+'A1. Firmas Consultoras'!E32+'A1. Firmas Consultoras'!E48+'A1. Firmas Consultoras'!L48+'A1. Firmas Consultoras'!L63+'A1. Firmas Consultoras'!E63+'A1. Firmas Consultoras'!L105+'A1. Firmas Consultoras'!E105+'A1. Firmas Consultoras'!L117+'A1. Firmas Consultoras'!E117+'A1. Firmas Consultoras'!L129+'A1. Firmas Consultoras'!E129+'A2. Consultorias Individuales'!E12+'A2. Consultorias Individuales'!J12+'A4_Detalle Soft&amp;Hard Sub 2 '!H14+'A4_Detalle Soft&amp;Hard Sub 2 '!H17+'A3_Bs-Equip-Infr Sub 1.2'!D6+'A3_Bs-Equip-Infr Sub 1.2'!D12+'A1. Firmas Consultoras'!E78+'A1. Firmas Consultoras'!L78+'A1. Firmas Consultoras'!E90</f>
        <v>48022.154199999997</v>
      </c>
      <c r="H5" s="343" t="s">
        <v>344</v>
      </c>
      <c r="I5" s="345">
        <f>+G5*0.9</f>
        <v>43219.938779999997</v>
      </c>
      <c r="J5" s="345">
        <f>+G5*0.1</f>
        <v>4802.2154199999995</v>
      </c>
    </row>
    <row r="6" spans="2:10" x14ac:dyDescent="0.25">
      <c r="B6" s="344">
        <f>+'A2. Consultorias Individuales'!E43+'A2. Consultorias Individuales'!J26+'A2. Consultorias Individuales'!E26+'A2. Consultorias Individuales'!E12+'A2. Consultorias Individuales'!J12</f>
        <v>5561.1027999999997</v>
      </c>
      <c r="C6" s="343" t="s">
        <v>339</v>
      </c>
      <c r="D6" s="345">
        <f t="shared" ref="D6:D11" si="0">+B6*0.9</f>
        <v>5004.9925199999998</v>
      </c>
      <c r="E6" s="345">
        <f t="shared" ref="E6:E11" si="1">+B6*0.1</f>
        <v>556.11027999999999</v>
      </c>
      <c r="G6" s="344">
        <f>+'A4_Detalle Soft&amp;Hard Sub 2 '!D32</f>
        <v>47600</v>
      </c>
      <c r="H6" s="343" t="s">
        <v>345</v>
      </c>
      <c r="I6" s="345">
        <f t="shared" ref="I6:I8" si="2">+G6*0.9</f>
        <v>42840</v>
      </c>
      <c r="J6" s="345">
        <f t="shared" ref="J6:J8" si="3">+G6*0.1</f>
        <v>4760</v>
      </c>
    </row>
    <row r="7" spans="2:10" x14ac:dyDescent="0.25">
      <c r="B7" s="344">
        <f>+'A4_Detalle Soft&amp;Hard Sub 2 '!H14+'A4_Detalle Soft&amp;Hard Sub 2 '!H17</f>
        <v>5291</v>
      </c>
      <c r="C7" s="343" t="s">
        <v>333</v>
      </c>
      <c r="D7" s="345">
        <f t="shared" si="0"/>
        <v>4761.9000000000005</v>
      </c>
      <c r="E7" s="345">
        <f t="shared" si="1"/>
        <v>529.1</v>
      </c>
      <c r="G7" s="344">
        <f>+'A1. Firmas Consultoras'!L143+'A1. Firmas Consultoras'!E143+'A1. Firmas Consultoras'!L155+'A1. Firmas Consultoras'!E155+'A2. Consultorias Individuales'!J26+'A2. Consultorias Individuales'!E26+'A2. Consultorias Individuales'!E43</f>
        <v>9377.8948</v>
      </c>
      <c r="H7" s="343" t="s">
        <v>346</v>
      </c>
      <c r="I7" s="345">
        <f t="shared" si="2"/>
        <v>8440.1053200000006</v>
      </c>
      <c r="J7" s="345">
        <f t="shared" si="3"/>
        <v>937.78948000000003</v>
      </c>
    </row>
    <row r="8" spans="2:10" x14ac:dyDescent="0.25">
      <c r="B8" s="344">
        <f>+'A4_Detalle Soft&amp;Hard Sub 2 '!D32</f>
        <v>47600</v>
      </c>
      <c r="C8" s="343" t="s">
        <v>335</v>
      </c>
      <c r="D8" s="345">
        <f t="shared" si="0"/>
        <v>42840</v>
      </c>
      <c r="E8" s="345">
        <f t="shared" si="1"/>
        <v>4760</v>
      </c>
      <c r="G8" s="344">
        <f>+'A5_Detalle Administración'!F17</f>
        <v>5500</v>
      </c>
      <c r="H8" s="343" t="s">
        <v>340</v>
      </c>
      <c r="I8" s="345">
        <f t="shared" si="2"/>
        <v>4950</v>
      </c>
      <c r="J8" s="345">
        <f t="shared" si="3"/>
        <v>550</v>
      </c>
    </row>
    <row r="9" spans="2:10" x14ac:dyDescent="0.25">
      <c r="B9" s="344">
        <f>+'A3_Bs-Equip-Infr Sub 1.2'!D7</f>
        <v>12260</v>
      </c>
      <c r="C9" s="343" t="s">
        <v>71</v>
      </c>
      <c r="D9" s="345">
        <f t="shared" si="0"/>
        <v>11034</v>
      </c>
      <c r="E9" s="345">
        <f t="shared" si="1"/>
        <v>1226</v>
      </c>
      <c r="G9" s="344"/>
      <c r="H9" s="343"/>
      <c r="I9" s="345"/>
      <c r="J9" s="345"/>
    </row>
    <row r="10" spans="2:10" x14ac:dyDescent="0.25">
      <c r="B10" s="344">
        <f>+'A3_Bs-Equip-Infr Sub 1.2'!D12</f>
        <v>5000</v>
      </c>
      <c r="C10" s="343" t="s">
        <v>439</v>
      </c>
      <c r="D10" s="345">
        <f t="shared" si="0"/>
        <v>4500</v>
      </c>
      <c r="E10" s="345">
        <f t="shared" si="1"/>
        <v>500</v>
      </c>
      <c r="G10" s="403">
        <f>SUM(G5:G8)</f>
        <v>110500.04899999998</v>
      </c>
      <c r="H10" s="348" t="s">
        <v>0</v>
      </c>
      <c r="I10" s="347">
        <f>SUM(I5:I8)</f>
        <v>99450.044099999999</v>
      </c>
      <c r="J10" s="347">
        <f>SUM(J5:J8)</f>
        <v>11050.0049</v>
      </c>
    </row>
    <row r="11" spans="2:10" x14ac:dyDescent="0.25">
      <c r="B11" s="344">
        <f>+'A5_Detalle Administración'!F17</f>
        <v>5500</v>
      </c>
      <c r="C11" s="343" t="s">
        <v>340</v>
      </c>
      <c r="D11" s="345">
        <f t="shared" si="0"/>
        <v>4950</v>
      </c>
      <c r="E11" s="345">
        <f t="shared" si="1"/>
        <v>550</v>
      </c>
    </row>
    <row r="12" spans="2:10" x14ac:dyDescent="0.25">
      <c r="B12" s="403">
        <f>SUM(B5:B11)</f>
        <v>110500.049</v>
      </c>
      <c r="C12" s="348" t="s">
        <v>0</v>
      </c>
      <c r="D12" s="347">
        <f>SUM(D5:D11)</f>
        <v>99450.044099999999</v>
      </c>
      <c r="E12" s="347">
        <f>SUM(E5:E11)</f>
        <v>11050.0049</v>
      </c>
    </row>
    <row r="14" spans="2:10" ht="16.5" customHeight="1" x14ac:dyDescent="0.25">
      <c r="B14" s="537" t="s">
        <v>93</v>
      </c>
      <c r="C14" s="347">
        <f>+'A1. Firmas Consultoras'!C164+'A3_Bs-Equip-Infr Sub 1.2'!C17+'A4_Detalle Soft&amp;Hard Sub 2 '!C36</f>
        <v>17239.197332231404</v>
      </c>
      <c r="D14" s="339"/>
      <c r="E14" s="339"/>
      <c r="G14" s="339"/>
      <c r="H14" s="339"/>
    </row>
    <row r="15" spans="2:10" x14ac:dyDescent="0.25">
      <c r="B15" s="537" t="s">
        <v>410</v>
      </c>
      <c r="C15" s="347">
        <f>+B12-C14</f>
        <v>93260.851667768598</v>
      </c>
      <c r="D15" s="340"/>
      <c r="E15" s="340"/>
    </row>
    <row r="16" spans="2:10" x14ac:dyDescent="0.25">
      <c r="C16" s="563"/>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78"/>
  <sheetViews>
    <sheetView workbookViewId="0">
      <selection activeCell="D5" sqref="D5"/>
    </sheetView>
  </sheetViews>
  <sheetFormatPr baseColWidth="10" defaultRowHeight="15.75" x14ac:dyDescent="0.25"/>
  <cols>
    <col min="1" max="1" width="3.5" customWidth="1"/>
    <col min="3" max="3" width="54.125" customWidth="1"/>
    <col min="4" max="4" width="11.875" bestFit="1" customWidth="1"/>
    <col min="5" max="5" width="11.125" bestFit="1" customWidth="1"/>
    <col min="6" max="6" width="11.875" bestFit="1" customWidth="1"/>
    <col min="7" max="7" width="7.5" customWidth="1"/>
    <col min="8" max="8" width="9.25" style="333" customWidth="1"/>
    <col min="9" max="9" width="15.375" style="333" hidden="1" customWidth="1"/>
    <col min="10" max="10" width="23.25" style="333" hidden="1" customWidth="1"/>
    <col min="11" max="11" width="8.5" hidden="1" customWidth="1"/>
    <col min="12" max="13" width="12.375" hidden="1" customWidth="1"/>
    <col min="14" max="14" width="13.375" hidden="1" customWidth="1"/>
    <col min="15" max="15" width="12.625" hidden="1" customWidth="1"/>
    <col min="16" max="16" width="11.375" hidden="1" customWidth="1"/>
    <col min="17" max="17" width="12.375" hidden="1" customWidth="1"/>
  </cols>
  <sheetData>
    <row r="1" spans="2:17" ht="21" x14ac:dyDescent="0.35">
      <c r="B1" s="48" t="s">
        <v>81</v>
      </c>
      <c r="C1" s="44"/>
      <c r="D1" s="44"/>
      <c r="E1" s="44"/>
      <c r="F1" s="44"/>
      <c r="G1" s="44"/>
    </row>
    <row r="2" spans="2:17" ht="19.5" thickBot="1" x14ac:dyDescent="0.35">
      <c r="B2" s="13" t="s">
        <v>327</v>
      </c>
      <c r="C2" s="44"/>
      <c r="D2" s="44"/>
      <c r="E2" s="44"/>
      <c r="F2" s="44"/>
      <c r="G2" s="44"/>
    </row>
    <row r="3" spans="2:17" ht="16.5" thickBot="1" x14ac:dyDescent="0.3">
      <c r="B3" s="680" t="s">
        <v>39</v>
      </c>
      <c r="C3" s="681"/>
      <c r="D3" s="684" t="s">
        <v>40</v>
      </c>
      <c r="E3" s="685"/>
      <c r="F3" s="681" t="s">
        <v>41</v>
      </c>
      <c r="G3" s="686" t="s">
        <v>3</v>
      </c>
    </row>
    <row r="4" spans="2:17" ht="16.5" thickBot="1" x14ac:dyDescent="0.3">
      <c r="B4" s="682"/>
      <c r="C4" s="683"/>
      <c r="D4" s="4" t="s">
        <v>42</v>
      </c>
      <c r="E4" s="5" t="s">
        <v>43</v>
      </c>
      <c r="F4" s="683"/>
      <c r="G4" s="687"/>
      <c r="I4" s="357" t="s">
        <v>352</v>
      </c>
      <c r="J4"/>
      <c r="O4" s="2" t="s">
        <v>355</v>
      </c>
    </row>
    <row r="5" spans="2:17" ht="16.5" thickBot="1" x14ac:dyDescent="0.3">
      <c r="B5" s="110">
        <v>1</v>
      </c>
      <c r="C5" s="111" t="s">
        <v>44</v>
      </c>
      <c r="D5" s="299">
        <f>+D6+D38+D43</f>
        <v>43219.798469939793</v>
      </c>
      <c r="E5" s="299">
        <f>+E6+E38+E43</f>
        <v>4802.1887188822002</v>
      </c>
      <c r="F5" s="299">
        <f>+F6+F38+F43</f>
        <v>48021.987188822</v>
      </c>
      <c r="G5" s="112">
        <f>+F5/$F$75</f>
        <v>0.43458797746500433</v>
      </c>
      <c r="I5" s="676" t="s">
        <v>327</v>
      </c>
      <c r="J5" s="676"/>
      <c r="K5" s="676"/>
      <c r="L5" s="676"/>
      <c r="M5" s="676"/>
      <c r="N5" s="676"/>
      <c r="O5" s="2" t="s">
        <v>327</v>
      </c>
    </row>
    <row r="6" spans="2:17" ht="30.75" thickBot="1" x14ac:dyDescent="0.3">
      <c r="B6" s="113" t="s">
        <v>45</v>
      </c>
      <c r="C6" s="114" t="s">
        <v>46</v>
      </c>
      <c r="D6" s="300">
        <f>+D7+D14+D24+D33+D37</f>
        <v>11096.731169939798</v>
      </c>
      <c r="E6" s="300">
        <f>+E7+E14+E24+E33+E37</f>
        <v>1232.9590188821999</v>
      </c>
      <c r="F6" s="300">
        <f>+F7+F14+F24+F33+F37</f>
        <v>12329.690188822</v>
      </c>
      <c r="G6" s="115">
        <f>+F6/$F$75</f>
        <v>0.11158087025556308</v>
      </c>
      <c r="I6" s="677" t="s">
        <v>353</v>
      </c>
      <c r="J6" s="678"/>
      <c r="K6" s="679"/>
      <c r="L6" s="405" t="s">
        <v>1</v>
      </c>
      <c r="M6" s="405" t="s">
        <v>43</v>
      </c>
      <c r="N6" s="406" t="s">
        <v>41</v>
      </c>
      <c r="O6" s="407" t="s">
        <v>1</v>
      </c>
      <c r="P6" s="405" t="s">
        <v>43</v>
      </c>
      <c r="Q6" s="406" t="s">
        <v>41</v>
      </c>
    </row>
    <row r="7" spans="2:17" x14ac:dyDescent="0.25">
      <c r="B7" s="116" t="s">
        <v>47</v>
      </c>
      <c r="C7" s="117" t="s">
        <v>147</v>
      </c>
      <c r="D7" s="301">
        <v>3412</v>
      </c>
      <c r="E7" s="301">
        <v>379.1</v>
      </c>
      <c r="F7" s="301">
        <f>+D7+E7</f>
        <v>3791.1</v>
      </c>
      <c r="G7" s="118"/>
      <c r="I7" s="408">
        <f>+'A4_Detalle Soft&amp;Hard Sub 2 '!H14</f>
        <v>3791</v>
      </c>
      <c r="J7" s="409" t="s">
        <v>364</v>
      </c>
      <c r="K7" s="410"/>
      <c r="L7" s="411">
        <f>+I7*0.9</f>
        <v>3411.9</v>
      </c>
      <c r="M7" s="411">
        <f>+I7*0.1</f>
        <v>379.1</v>
      </c>
      <c r="N7" s="412">
        <f>+L7+M7</f>
        <v>3791</v>
      </c>
      <c r="O7" s="413">
        <f>+L7*'Plan_Ejecutivo_Plurianual (PEP)'!$G$24</f>
        <v>768.85354014598545</v>
      </c>
      <c r="P7" s="411">
        <f>+M7*'Plan_Ejecutivo_Plurianual (PEP)'!$H$24</f>
        <v>85.428171127331723</v>
      </c>
      <c r="Q7" s="569">
        <f>+O7+P7</f>
        <v>854.28171127331711</v>
      </c>
    </row>
    <row r="8" spans="2:17" x14ac:dyDescent="0.25">
      <c r="B8" s="119"/>
      <c r="C8" s="120" t="s">
        <v>148</v>
      </c>
      <c r="D8" s="302">
        <f>+D7/6</f>
        <v>568.66666666666663</v>
      </c>
      <c r="E8" s="302">
        <f>+E7/7</f>
        <v>54.157142857142858</v>
      </c>
      <c r="F8" s="302">
        <f t="shared" ref="F8:F13" si="0">+D8+E8</f>
        <v>622.82380952380947</v>
      </c>
      <c r="G8" s="121"/>
      <c r="I8" s="414"/>
      <c r="J8" s="415"/>
      <c r="K8" s="416"/>
      <c r="L8" s="417"/>
      <c r="M8" s="417"/>
      <c r="N8" s="418"/>
      <c r="O8" s="419"/>
      <c r="P8" s="417"/>
      <c r="Q8" s="420"/>
    </row>
    <row r="9" spans="2:17" x14ac:dyDescent="0.25">
      <c r="B9" s="119"/>
      <c r="C9" s="120" t="s">
        <v>149</v>
      </c>
      <c r="D9" s="302">
        <f>+D8</f>
        <v>568.66666666666663</v>
      </c>
      <c r="E9" s="302">
        <f t="shared" ref="E9:E13" si="1">+E8</f>
        <v>54.157142857142858</v>
      </c>
      <c r="F9" s="302">
        <f t="shared" si="0"/>
        <v>622.82380952380947</v>
      </c>
      <c r="G9" s="121"/>
      <c r="I9" s="414"/>
      <c r="J9" s="415"/>
      <c r="K9" s="416"/>
      <c r="L9" s="417"/>
      <c r="M9" s="417"/>
      <c r="N9" s="418"/>
      <c r="O9" s="419"/>
      <c r="P9" s="417"/>
      <c r="Q9" s="420"/>
    </row>
    <row r="10" spans="2:17" x14ac:dyDescent="0.25">
      <c r="B10" s="119"/>
      <c r="C10" s="120" t="s">
        <v>150</v>
      </c>
      <c r="D10" s="302">
        <f>+D9</f>
        <v>568.66666666666663</v>
      </c>
      <c r="E10" s="302">
        <f t="shared" si="1"/>
        <v>54.157142857142858</v>
      </c>
      <c r="F10" s="302">
        <f t="shared" si="0"/>
        <v>622.82380952380947</v>
      </c>
      <c r="G10" s="121"/>
      <c r="I10" s="414"/>
      <c r="J10" s="415"/>
      <c r="K10" s="416"/>
      <c r="L10" s="417"/>
      <c r="M10" s="417"/>
      <c r="N10" s="418"/>
      <c r="O10" s="419"/>
      <c r="P10" s="417"/>
      <c r="Q10" s="420"/>
    </row>
    <row r="11" spans="2:17" x14ac:dyDescent="0.25">
      <c r="B11" s="119"/>
      <c r="C11" s="120" t="s">
        <v>151</v>
      </c>
      <c r="D11" s="302">
        <f t="shared" ref="D11:D13" si="2">+D10</f>
        <v>568.66666666666663</v>
      </c>
      <c r="E11" s="302">
        <f t="shared" si="1"/>
        <v>54.157142857142858</v>
      </c>
      <c r="F11" s="302">
        <f t="shared" si="0"/>
        <v>622.82380952380947</v>
      </c>
      <c r="G11" s="121"/>
      <c r="I11" s="414"/>
      <c r="J11" s="415"/>
      <c r="K11" s="416"/>
      <c r="L11" s="417"/>
      <c r="M11" s="417"/>
      <c r="N11" s="418"/>
      <c r="O11" s="419"/>
      <c r="P11" s="417"/>
      <c r="Q11" s="420"/>
    </row>
    <row r="12" spans="2:17" x14ac:dyDescent="0.25">
      <c r="B12" s="119"/>
      <c r="C12" s="120" t="s">
        <v>152</v>
      </c>
      <c r="D12" s="302">
        <f t="shared" si="2"/>
        <v>568.66666666666663</v>
      </c>
      <c r="E12" s="302">
        <f t="shared" si="1"/>
        <v>54.157142857142858</v>
      </c>
      <c r="F12" s="302">
        <f t="shared" si="0"/>
        <v>622.82380952380947</v>
      </c>
      <c r="G12" s="121"/>
      <c r="I12" s="414"/>
      <c r="J12" s="415"/>
      <c r="K12" s="416"/>
      <c r="L12" s="417"/>
      <c r="M12" s="417"/>
      <c r="N12" s="418"/>
      <c r="O12" s="419"/>
      <c r="P12" s="417"/>
      <c r="Q12" s="420"/>
    </row>
    <row r="13" spans="2:17" ht="16.5" thickBot="1" x14ac:dyDescent="0.3">
      <c r="B13" s="122"/>
      <c r="C13" s="123" t="s">
        <v>153</v>
      </c>
      <c r="D13" s="303">
        <f t="shared" si="2"/>
        <v>568.66666666666663</v>
      </c>
      <c r="E13" s="303">
        <f t="shared" si="1"/>
        <v>54.157142857142858</v>
      </c>
      <c r="F13" s="303">
        <f t="shared" si="0"/>
        <v>622.82380952380947</v>
      </c>
      <c r="G13" s="124"/>
      <c r="I13" s="414"/>
      <c r="J13" s="415"/>
      <c r="K13" s="416"/>
      <c r="L13" s="417"/>
      <c r="M13" s="417"/>
      <c r="N13" s="418"/>
      <c r="O13" s="419"/>
      <c r="P13" s="417"/>
      <c r="Q13" s="420"/>
    </row>
    <row r="14" spans="2:17" ht="16.5" thickBot="1" x14ac:dyDescent="0.3">
      <c r="B14" s="125" t="s">
        <v>48</v>
      </c>
      <c r="C14" s="117" t="s">
        <v>154</v>
      </c>
      <c r="D14" s="301">
        <f>+SUM(D15:D23)</f>
        <v>2047.5014999399996</v>
      </c>
      <c r="E14" s="301">
        <f>+SUM(E15:E23)</f>
        <v>227.50016666000005</v>
      </c>
      <c r="F14" s="301">
        <f>+SUM(F15:F23)</f>
        <v>2275.0016666000001</v>
      </c>
      <c r="G14" s="126"/>
      <c r="I14" s="421">
        <f>+'A1. Firmas Consultoras'!L13+'A1. Firmas Consultoras'!E13</f>
        <v>2274.9929999999999</v>
      </c>
      <c r="J14" s="422" t="s">
        <v>334</v>
      </c>
      <c r="K14" s="423">
        <v>2</v>
      </c>
      <c r="L14" s="417">
        <f t="shared" ref="L14:L71" si="3">+I14*0.9</f>
        <v>2047.4937</v>
      </c>
      <c r="M14" s="417">
        <f t="shared" ref="M14:M71" si="4">+I14*0.1</f>
        <v>227.49930000000001</v>
      </c>
      <c r="N14" s="418">
        <f t="shared" ref="N14:N71" si="5">+L14+M14</f>
        <v>2274.9929999999999</v>
      </c>
      <c r="O14" s="419">
        <f>+L14*'Plan_Ejecutivo_Plurianual (PEP)'!$G$24</f>
        <v>461.39182850364961</v>
      </c>
      <c r="P14" s="417">
        <f>+M14*'Plan_Ejecutivo_Plurianual (PEP)'!$H$24</f>
        <v>51.265758722627744</v>
      </c>
      <c r="Q14" s="568">
        <f t="shared" ref="Q14:Q71" si="6">+O14+P14</f>
        <v>512.65758722627731</v>
      </c>
    </row>
    <row r="15" spans="2:17" ht="16.5" thickBot="1" x14ac:dyDescent="0.3">
      <c r="B15" s="127"/>
      <c r="C15" s="117" t="s">
        <v>155</v>
      </c>
      <c r="D15" s="301">
        <f>+F15*0.9</f>
        <v>292.5</v>
      </c>
      <c r="E15" s="301">
        <f>+F15*0.1</f>
        <v>32.5</v>
      </c>
      <c r="F15" s="301">
        <v>325</v>
      </c>
      <c r="G15" s="128"/>
      <c r="I15" s="414"/>
      <c r="J15" s="415"/>
      <c r="K15" s="416"/>
      <c r="L15" s="417"/>
      <c r="M15" s="417"/>
      <c r="N15" s="418"/>
      <c r="O15" s="419"/>
      <c r="P15" s="417"/>
      <c r="Q15" s="420"/>
    </row>
    <row r="16" spans="2:17" ht="16.5" thickBot="1" x14ac:dyDescent="0.3">
      <c r="B16" s="127"/>
      <c r="C16" s="117" t="s">
        <v>156</v>
      </c>
      <c r="D16" s="301">
        <f t="shared" ref="D16:D23" si="7">+F16*0.9</f>
        <v>292.5</v>
      </c>
      <c r="E16" s="301">
        <f t="shared" ref="E16:E23" si="8">+F16*0.1</f>
        <v>32.5</v>
      </c>
      <c r="F16" s="301">
        <v>325</v>
      </c>
      <c r="G16" s="128"/>
      <c r="I16" s="414"/>
      <c r="J16" s="415"/>
      <c r="K16" s="416"/>
      <c r="L16" s="417"/>
      <c r="M16" s="417"/>
      <c r="N16" s="418"/>
      <c r="O16" s="419"/>
      <c r="P16" s="417"/>
      <c r="Q16" s="420"/>
    </row>
    <row r="17" spans="2:17" ht="16.5" thickBot="1" x14ac:dyDescent="0.3">
      <c r="B17" s="127"/>
      <c r="C17" s="117" t="s">
        <v>157</v>
      </c>
      <c r="D17" s="301">
        <f t="shared" si="7"/>
        <v>208.92869999999999</v>
      </c>
      <c r="E17" s="301">
        <f t="shared" si="8"/>
        <v>23.214300000000001</v>
      </c>
      <c r="F17" s="301">
        <v>232.143</v>
      </c>
      <c r="G17" s="128"/>
      <c r="I17" s="414"/>
      <c r="J17" s="415"/>
      <c r="K17" s="416"/>
      <c r="L17" s="417"/>
      <c r="M17" s="417"/>
      <c r="N17" s="418"/>
      <c r="O17" s="419"/>
      <c r="P17" s="417"/>
      <c r="Q17" s="420"/>
    </row>
    <row r="18" spans="2:17" ht="16.5" thickBot="1" x14ac:dyDescent="0.3">
      <c r="B18" s="127"/>
      <c r="C18" s="117" t="s">
        <v>158</v>
      </c>
      <c r="D18" s="301">
        <f t="shared" si="7"/>
        <v>208.92899997000001</v>
      </c>
      <c r="E18" s="301">
        <f t="shared" si="8"/>
        <v>23.214333330000002</v>
      </c>
      <c r="F18" s="301">
        <v>232.14333329999999</v>
      </c>
      <c r="G18" s="128"/>
      <c r="I18" s="414"/>
      <c r="J18" s="415"/>
      <c r="K18" s="416"/>
      <c r="L18" s="417"/>
      <c r="M18" s="417"/>
      <c r="N18" s="418"/>
      <c r="O18" s="419"/>
      <c r="P18" s="417"/>
      <c r="Q18" s="420"/>
    </row>
    <row r="19" spans="2:17" ht="16.5" thickBot="1" x14ac:dyDescent="0.3">
      <c r="B19" s="127"/>
      <c r="C19" s="117" t="s">
        <v>159</v>
      </c>
      <c r="D19" s="301">
        <f t="shared" si="7"/>
        <v>208.92869999999999</v>
      </c>
      <c r="E19" s="301">
        <f t="shared" si="8"/>
        <v>23.214300000000001</v>
      </c>
      <c r="F19" s="301">
        <v>232.143</v>
      </c>
      <c r="G19" s="128"/>
      <c r="I19" s="414"/>
      <c r="J19" s="415"/>
      <c r="K19" s="416"/>
      <c r="L19" s="417"/>
      <c r="M19" s="417"/>
      <c r="N19" s="418"/>
      <c r="O19" s="419"/>
      <c r="P19" s="417"/>
      <c r="Q19" s="420"/>
    </row>
    <row r="20" spans="2:17" ht="16.5" thickBot="1" x14ac:dyDescent="0.3">
      <c r="B20" s="127"/>
      <c r="C20" s="117" t="s">
        <v>160</v>
      </c>
      <c r="D20" s="301">
        <f t="shared" si="7"/>
        <v>208.92869999999999</v>
      </c>
      <c r="E20" s="301">
        <f t="shared" si="8"/>
        <v>23.214300000000001</v>
      </c>
      <c r="F20" s="301">
        <v>232.143</v>
      </c>
      <c r="G20" s="128"/>
      <c r="I20" s="414"/>
      <c r="J20" s="415"/>
      <c r="K20" s="416"/>
      <c r="L20" s="417"/>
      <c r="M20" s="417"/>
      <c r="N20" s="418"/>
      <c r="O20" s="419"/>
      <c r="P20" s="417"/>
      <c r="Q20" s="420"/>
    </row>
    <row r="21" spans="2:17" ht="16.5" thickBot="1" x14ac:dyDescent="0.3">
      <c r="B21" s="127"/>
      <c r="C21" s="117" t="s">
        <v>161</v>
      </c>
      <c r="D21" s="301">
        <f t="shared" si="7"/>
        <v>208.92869999999999</v>
      </c>
      <c r="E21" s="301">
        <f t="shared" si="8"/>
        <v>23.214300000000001</v>
      </c>
      <c r="F21" s="301">
        <v>232.143</v>
      </c>
      <c r="G21" s="128"/>
      <c r="I21" s="414"/>
      <c r="J21" s="415"/>
      <c r="K21" s="416"/>
      <c r="L21" s="417"/>
      <c r="M21" s="417"/>
      <c r="N21" s="418"/>
      <c r="O21" s="419"/>
      <c r="P21" s="417"/>
      <c r="Q21" s="420"/>
    </row>
    <row r="22" spans="2:17" ht="16.5" thickBot="1" x14ac:dyDescent="0.3">
      <c r="B22" s="127"/>
      <c r="C22" s="117" t="s">
        <v>162</v>
      </c>
      <c r="D22" s="301">
        <f t="shared" si="7"/>
        <v>208.92869999999999</v>
      </c>
      <c r="E22" s="301">
        <f t="shared" si="8"/>
        <v>23.214300000000001</v>
      </c>
      <c r="F22" s="301">
        <v>232.143</v>
      </c>
      <c r="G22" s="128"/>
      <c r="I22" s="414"/>
      <c r="J22" s="415"/>
      <c r="K22" s="416"/>
      <c r="L22" s="417"/>
      <c r="M22" s="417"/>
      <c r="N22" s="418"/>
      <c r="O22" s="419"/>
      <c r="P22" s="417"/>
      <c r="Q22" s="420"/>
    </row>
    <row r="23" spans="2:17" ht="16.5" thickBot="1" x14ac:dyDescent="0.3">
      <c r="B23" s="129"/>
      <c r="C23" s="117" t="s">
        <v>163</v>
      </c>
      <c r="D23" s="301">
        <f t="shared" si="7"/>
        <v>208.92899997000001</v>
      </c>
      <c r="E23" s="301">
        <f t="shared" si="8"/>
        <v>23.214333330000002</v>
      </c>
      <c r="F23" s="301">
        <v>232.14333329999999</v>
      </c>
      <c r="G23" s="130"/>
      <c r="I23" s="414"/>
      <c r="J23" s="415"/>
      <c r="K23" s="416"/>
      <c r="L23" s="417"/>
      <c r="M23" s="417"/>
      <c r="N23" s="418"/>
      <c r="O23" s="419"/>
      <c r="P23" s="417"/>
      <c r="Q23" s="420"/>
    </row>
    <row r="24" spans="2:17" x14ac:dyDescent="0.25">
      <c r="B24" s="131" t="s">
        <v>49</v>
      </c>
      <c r="C24" s="117" t="s">
        <v>164</v>
      </c>
      <c r="D24" s="301">
        <f>+SUM(D25:D32)</f>
        <v>3539.5996699997995</v>
      </c>
      <c r="E24" s="301">
        <f>+SUM(E25:E32)</f>
        <v>393.28885222219998</v>
      </c>
      <c r="F24" s="301">
        <f>+SUM(F25:F32)</f>
        <v>3932.8885222219997</v>
      </c>
      <c r="G24" s="118"/>
      <c r="I24" s="414"/>
      <c r="J24" s="415"/>
      <c r="K24" s="416"/>
      <c r="L24" s="417"/>
      <c r="M24" s="417"/>
      <c r="N24" s="418"/>
      <c r="O24" s="419"/>
      <c r="P24" s="417"/>
      <c r="Q24" s="420"/>
    </row>
    <row r="25" spans="2:17" x14ac:dyDescent="0.25">
      <c r="B25" s="127"/>
      <c r="C25" s="132" t="s">
        <v>165</v>
      </c>
      <c r="D25" s="304">
        <f>+F25*0.9</f>
        <v>64.999999999799996</v>
      </c>
      <c r="E25" s="304">
        <f>+F25*0.1</f>
        <v>7.2222222222000001</v>
      </c>
      <c r="F25" s="305">
        <v>72.222222221999999</v>
      </c>
      <c r="G25" s="133"/>
      <c r="I25" s="421">
        <f>+'A2. Consultorias Individuales'!E12</f>
        <v>72.221999999999994</v>
      </c>
      <c r="J25" s="422" t="s">
        <v>363</v>
      </c>
      <c r="K25" s="423">
        <v>1</v>
      </c>
      <c r="L25" s="417">
        <f t="shared" si="3"/>
        <v>64.999799999999993</v>
      </c>
      <c r="M25" s="417">
        <f t="shared" si="4"/>
        <v>7.2222</v>
      </c>
      <c r="N25" s="418">
        <f t="shared" si="5"/>
        <v>72.221999999999994</v>
      </c>
      <c r="O25" s="419">
        <f>+L25*'Plan_Ejecutivo_Plurianual (PEP)'!$G$24</f>
        <v>14.647359635036494</v>
      </c>
      <c r="P25" s="417">
        <f>+M25*'Plan_Ejecutivo_Plurianual (PEP)'!$H$24</f>
        <v>1.6274844038929441</v>
      </c>
      <c r="Q25" s="420">
        <f t="shared" si="6"/>
        <v>16.274844038929437</v>
      </c>
    </row>
    <row r="26" spans="2:17" ht="24" x14ac:dyDescent="0.25">
      <c r="B26" s="134"/>
      <c r="C26" s="135" t="s">
        <v>166</v>
      </c>
      <c r="D26" s="306">
        <f t="shared" ref="D26:D27" si="9">+F26*0.9</f>
        <v>900</v>
      </c>
      <c r="E26" s="306">
        <f t="shared" ref="E26:E27" si="10">+F26*0.1</f>
        <v>100</v>
      </c>
      <c r="F26" s="307">
        <v>1000</v>
      </c>
      <c r="G26" s="136"/>
      <c r="I26" s="414"/>
      <c r="J26" s="415"/>
      <c r="K26" s="416"/>
      <c r="L26" s="417">
        <f t="shared" si="3"/>
        <v>0</v>
      </c>
      <c r="M26" s="417">
        <f t="shared" si="4"/>
        <v>0</v>
      </c>
      <c r="N26" s="418">
        <f t="shared" si="5"/>
        <v>0</v>
      </c>
      <c r="O26" s="419"/>
      <c r="P26" s="417"/>
      <c r="Q26" s="420"/>
    </row>
    <row r="27" spans="2:17" x14ac:dyDescent="0.25">
      <c r="B27" s="134"/>
      <c r="C27" s="135" t="s">
        <v>167</v>
      </c>
      <c r="D27" s="306">
        <f t="shared" si="9"/>
        <v>900</v>
      </c>
      <c r="E27" s="306">
        <f t="shared" si="10"/>
        <v>100</v>
      </c>
      <c r="F27" s="307">
        <v>1000</v>
      </c>
      <c r="G27" s="136"/>
      <c r="I27" s="421">
        <f>+'A1. Firmas Consultoras'!L63</f>
        <v>1999.9949999999999</v>
      </c>
      <c r="J27" s="422" t="s">
        <v>334</v>
      </c>
      <c r="K27" s="423">
        <v>1</v>
      </c>
      <c r="L27" s="417">
        <f t="shared" si="3"/>
        <v>1799.9955</v>
      </c>
      <c r="M27" s="417">
        <f t="shared" si="4"/>
        <v>199.99950000000001</v>
      </c>
      <c r="N27" s="418">
        <f t="shared" si="5"/>
        <v>1999.9949999999999</v>
      </c>
      <c r="O27" s="419">
        <f>+L27*'Plan_Ejecutivo_Plurianual (PEP)'!$G$24</f>
        <v>405.6194239051095</v>
      </c>
      <c r="P27" s="417">
        <f>+M27*'Plan_Ejecutivo_Plurianual (PEP)'!$H$24</f>
        <v>45.068824878345509</v>
      </c>
      <c r="Q27" s="420">
        <f t="shared" si="6"/>
        <v>450.68824878345504</v>
      </c>
    </row>
    <row r="28" spans="2:17" x14ac:dyDescent="0.25">
      <c r="B28" s="127"/>
      <c r="C28" s="132" t="s">
        <v>168</v>
      </c>
      <c r="D28" s="304">
        <f>+F28*0.9</f>
        <v>389.99970000000002</v>
      </c>
      <c r="E28" s="304">
        <f>+F28*0.1</f>
        <v>43.333300000000008</v>
      </c>
      <c r="F28" s="305">
        <v>433.33300000000003</v>
      </c>
      <c r="G28" s="133"/>
      <c r="I28" s="421">
        <f>+'A1. Firmas Consultoras'!E63</f>
        <v>633.32999999999993</v>
      </c>
      <c r="J28" s="422" t="s">
        <v>334</v>
      </c>
      <c r="K28" s="423">
        <v>1</v>
      </c>
      <c r="L28" s="417">
        <f t="shared" si="3"/>
        <v>569.99699999999996</v>
      </c>
      <c r="M28" s="417">
        <f t="shared" si="4"/>
        <v>63.332999999999998</v>
      </c>
      <c r="N28" s="418">
        <f t="shared" si="5"/>
        <v>633.32999999999993</v>
      </c>
      <c r="O28" s="419">
        <f>+L28*'Plan_Ejecutivo_Plurianual (PEP)'!$G$24</f>
        <v>128.44579598540145</v>
      </c>
      <c r="P28" s="417">
        <f>+M28*'Plan_Ejecutivo_Plurianual (PEP)'!$H$24</f>
        <v>14.271755109489053</v>
      </c>
      <c r="Q28" s="420">
        <f t="shared" si="6"/>
        <v>142.7175510948905</v>
      </c>
    </row>
    <row r="29" spans="2:17" x14ac:dyDescent="0.25">
      <c r="B29" s="127"/>
      <c r="C29" s="132" t="s">
        <v>169</v>
      </c>
      <c r="D29" s="304">
        <f t="shared" ref="D29:D37" si="11">+F29*0.9</f>
        <v>180</v>
      </c>
      <c r="E29" s="304">
        <f t="shared" ref="E29:E37" si="12">+F29*0.1</f>
        <v>20</v>
      </c>
      <c r="F29" s="305">
        <v>200</v>
      </c>
      <c r="G29" s="133"/>
      <c r="I29" s="414"/>
      <c r="J29" s="415"/>
      <c r="K29" s="416"/>
      <c r="L29" s="417"/>
      <c r="M29" s="417"/>
      <c r="N29" s="418"/>
      <c r="O29" s="419"/>
      <c r="P29" s="417"/>
      <c r="Q29" s="420"/>
    </row>
    <row r="30" spans="2:17" x14ac:dyDescent="0.25">
      <c r="B30" s="127"/>
      <c r="C30" s="132" t="s">
        <v>170</v>
      </c>
      <c r="D30" s="304">
        <f t="shared" si="11"/>
        <v>585</v>
      </c>
      <c r="E30" s="304">
        <f t="shared" si="12"/>
        <v>65</v>
      </c>
      <c r="F30" s="305">
        <v>650</v>
      </c>
      <c r="G30" s="133"/>
      <c r="I30" s="421">
        <f>+'A1. Firmas Consultoras'!E48</f>
        <v>650.00040000000001</v>
      </c>
      <c r="J30" s="422" t="s">
        <v>334</v>
      </c>
      <c r="K30" s="423">
        <v>1</v>
      </c>
      <c r="L30" s="417">
        <f t="shared" si="3"/>
        <v>585.00036</v>
      </c>
      <c r="M30" s="417">
        <f t="shared" si="4"/>
        <v>65.000039999999998</v>
      </c>
      <c r="N30" s="418">
        <f t="shared" si="5"/>
        <v>650.00040000000001</v>
      </c>
      <c r="O30" s="419">
        <f>+L30*'Plan_Ejecutivo_Plurianual (PEP)'!$G$24</f>
        <v>131.82672345985401</v>
      </c>
      <c r="P30" s="417">
        <f>+M30*'Plan_Ejecutivo_Plurianual (PEP)'!$H$24</f>
        <v>14.647413717761559</v>
      </c>
      <c r="Q30" s="420">
        <f t="shared" si="6"/>
        <v>146.47413717761557</v>
      </c>
    </row>
    <row r="31" spans="2:17" x14ac:dyDescent="0.25">
      <c r="B31" s="127"/>
      <c r="C31" s="132" t="s">
        <v>171</v>
      </c>
      <c r="D31" s="304">
        <f t="shared" si="11"/>
        <v>389.99997000000002</v>
      </c>
      <c r="E31" s="304">
        <f t="shared" si="12"/>
        <v>43.333330000000004</v>
      </c>
      <c r="F31" s="305">
        <v>433.33330000000001</v>
      </c>
      <c r="G31" s="133"/>
      <c r="I31" s="421">
        <f>+'A1. Firmas Consultoras'!L48</f>
        <v>433.33199999999994</v>
      </c>
      <c r="J31" s="422" t="s">
        <v>334</v>
      </c>
      <c r="K31" s="423">
        <v>1</v>
      </c>
      <c r="L31" s="417">
        <f t="shared" si="3"/>
        <v>389.99879999999996</v>
      </c>
      <c r="M31" s="417">
        <f t="shared" si="4"/>
        <v>43.333199999999998</v>
      </c>
      <c r="N31" s="418">
        <f t="shared" si="5"/>
        <v>433.33199999999994</v>
      </c>
      <c r="O31" s="419">
        <f>+L31*'Plan_Ejecutivo_Plurianual (PEP)'!$G$24</f>
        <v>87.884157810218966</v>
      </c>
      <c r="P31" s="417">
        <f>+M31*'Plan_Ejecutivo_Plurianual (PEP)'!$H$24</f>
        <v>9.7649064233576652</v>
      </c>
      <c r="Q31" s="420">
        <f t="shared" si="6"/>
        <v>97.649064233576638</v>
      </c>
    </row>
    <row r="32" spans="2:17" ht="24.75" thickBot="1" x14ac:dyDescent="0.3">
      <c r="B32" s="137"/>
      <c r="C32" s="138" t="s">
        <v>172</v>
      </c>
      <c r="D32" s="308">
        <f t="shared" si="11"/>
        <v>129.6</v>
      </c>
      <c r="E32" s="308">
        <f t="shared" si="12"/>
        <v>14.4</v>
      </c>
      <c r="F32" s="309">
        <v>144</v>
      </c>
      <c r="G32" s="140"/>
      <c r="I32" s="421">
        <f>+'A2. Consultorias Individuales'!J12</f>
        <v>144.44399999999999</v>
      </c>
      <c r="J32" s="422" t="s">
        <v>363</v>
      </c>
      <c r="K32" s="423">
        <v>1</v>
      </c>
      <c r="L32" s="417">
        <f t="shared" si="3"/>
        <v>129.99959999999999</v>
      </c>
      <c r="M32" s="417">
        <f t="shared" si="4"/>
        <v>14.4444</v>
      </c>
      <c r="N32" s="418">
        <f t="shared" si="5"/>
        <v>144.44399999999999</v>
      </c>
      <c r="O32" s="419">
        <f>+L32*'Plan_Ejecutivo_Plurianual (PEP)'!$G$24</f>
        <v>29.294719270072989</v>
      </c>
      <c r="P32" s="417">
        <f>+M32*'Plan_Ejecutivo_Plurianual (PEP)'!$H$24</f>
        <v>3.2549688077858883</v>
      </c>
      <c r="Q32" s="420">
        <f t="shared" si="6"/>
        <v>32.549688077858875</v>
      </c>
    </row>
    <row r="33" spans="2:17" x14ac:dyDescent="0.25">
      <c r="B33" s="131" t="s">
        <v>173</v>
      </c>
      <c r="C33" s="141" t="s">
        <v>174</v>
      </c>
      <c r="D33" s="310">
        <f>+SUM(D34:D36)</f>
        <v>747.62999999999988</v>
      </c>
      <c r="E33" s="310">
        <f t="shared" ref="E33:F33" si="13">+SUM(E34:E36)</f>
        <v>83.07</v>
      </c>
      <c r="F33" s="310">
        <f t="shared" si="13"/>
        <v>830.69999999999993</v>
      </c>
      <c r="G33" s="118"/>
      <c r="I33" s="421">
        <f>+'A1. Firmas Consultoras'!E32</f>
        <v>830.55700000000002</v>
      </c>
      <c r="J33" s="422" t="s">
        <v>334</v>
      </c>
      <c r="K33" s="423">
        <v>1</v>
      </c>
      <c r="L33" s="417">
        <f t="shared" si="3"/>
        <v>747.50130000000001</v>
      </c>
      <c r="M33" s="417">
        <f t="shared" si="4"/>
        <v>83.055700000000002</v>
      </c>
      <c r="N33" s="418">
        <f t="shared" si="5"/>
        <v>830.55700000000002</v>
      </c>
      <c r="O33" s="419">
        <f>+L33*'Plan_Ejecutivo_Plurianual (PEP)'!$G$24</f>
        <v>168.44544704379561</v>
      </c>
      <c r="P33" s="417">
        <f>+M33*'Plan_Ejecutivo_Plurianual (PEP)'!$H$24</f>
        <v>18.716160782643961</v>
      </c>
      <c r="Q33" s="420">
        <f t="shared" si="6"/>
        <v>187.16160782643956</v>
      </c>
    </row>
    <row r="34" spans="2:17" x14ac:dyDescent="0.25">
      <c r="B34" s="127"/>
      <c r="C34" s="132" t="s">
        <v>175</v>
      </c>
      <c r="D34" s="304">
        <f>+F34*0.9</f>
        <v>249.20999999999998</v>
      </c>
      <c r="E34" s="304">
        <f>+F34*0.1</f>
        <v>27.689999999999998</v>
      </c>
      <c r="F34" s="304">
        <v>276.89999999999998</v>
      </c>
      <c r="G34" s="128"/>
      <c r="I34" s="414"/>
      <c r="J34" s="415"/>
      <c r="K34" s="416"/>
      <c r="L34" s="417"/>
      <c r="M34" s="417"/>
      <c r="N34" s="418"/>
      <c r="O34" s="419"/>
      <c r="P34" s="417"/>
      <c r="Q34" s="420"/>
    </row>
    <row r="35" spans="2:17" x14ac:dyDescent="0.25">
      <c r="B35" s="127"/>
      <c r="C35" s="132" t="s">
        <v>176</v>
      </c>
      <c r="D35" s="304">
        <f t="shared" ref="D35:D36" si="14">+F35*0.9</f>
        <v>249.20999999999998</v>
      </c>
      <c r="E35" s="304">
        <f>+F35*0.1</f>
        <v>27.689999999999998</v>
      </c>
      <c r="F35" s="304">
        <v>276.89999999999998</v>
      </c>
      <c r="G35" s="128"/>
      <c r="I35" s="414"/>
      <c r="J35" s="415"/>
      <c r="K35" s="416"/>
      <c r="L35" s="417"/>
      <c r="M35" s="417"/>
      <c r="N35" s="418"/>
      <c r="O35" s="419"/>
      <c r="P35" s="417"/>
      <c r="Q35" s="420"/>
    </row>
    <row r="36" spans="2:17" ht="24.75" thickBot="1" x14ac:dyDescent="0.3">
      <c r="B36" s="137"/>
      <c r="C36" s="138" t="s">
        <v>177</v>
      </c>
      <c r="D36" s="308">
        <f t="shared" si="14"/>
        <v>249.20999999999998</v>
      </c>
      <c r="E36" s="308">
        <f>+F36*0.1</f>
        <v>27.689999999999998</v>
      </c>
      <c r="F36" s="308">
        <v>276.89999999999998</v>
      </c>
      <c r="G36" s="139"/>
      <c r="I36" s="414"/>
      <c r="J36" s="415"/>
      <c r="K36" s="416"/>
      <c r="L36" s="417"/>
      <c r="M36" s="417"/>
      <c r="N36" s="418"/>
      <c r="O36" s="419"/>
      <c r="P36" s="417"/>
      <c r="Q36" s="420"/>
    </row>
    <row r="37" spans="2:17" ht="30.75" customHeight="1" thickBot="1" x14ac:dyDescent="0.3">
      <c r="B37" s="6" t="s">
        <v>178</v>
      </c>
      <c r="C37" s="142" t="s">
        <v>179</v>
      </c>
      <c r="D37" s="311">
        <f t="shared" si="11"/>
        <v>1350</v>
      </c>
      <c r="E37" s="311">
        <f t="shared" si="12"/>
        <v>150</v>
      </c>
      <c r="F37" s="312">
        <v>1500</v>
      </c>
      <c r="G37" s="143"/>
      <c r="I37" s="421">
        <v>1500</v>
      </c>
      <c r="J37" s="422" t="s">
        <v>364</v>
      </c>
      <c r="K37" s="416"/>
      <c r="L37" s="417">
        <f t="shared" si="3"/>
        <v>1350</v>
      </c>
      <c r="M37" s="417">
        <f t="shared" si="4"/>
        <v>150</v>
      </c>
      <c r="N37" s="418">
        <f t="shared" si="5"/>
        <v>1500</v>
      </c>
      <c r="O37" s="419">
        <f>+L37*'Plan_Ejecutivo_Plurianual (PEP)'!$G$24</f>
        <v>304.21532846715326</v>
      </c>
      <c r="P37" s="417">
        <f>+M37*'Plan_Ejecutivo_Plurianual (PEP)'!$H$24</f>
        <v>33.801703163017038</v>
      </c>
      <c r="Q37" s="420">
        <f t="shared" si="6"/>
        <v>338.01703163017032</v>
      </c>
    </row>
    <row r="38" spans="2:17" ht="45.75" thickBot="1" x14ac:dyDescent="0.3">
      <c r="B38" s="144" t="s">
        <v>50</v>
      </c>
      <c r="C38" s="145" t="s">
        <v>51</v>
      </c>
      <c r="D38" s="313">
        <f>SUM(D39:D42)</f>
        <v>29393.01</v>
      </c>
      <c r="E38" s="313">
        <f>SUM(E39:E42)</f>
        <v>3265.89</v>
      </c>
      <c r="F38" s="313">
        <f>SUM(F39:F42)</f>
        <v>32658.9</v>
      </c>
      <c r="G38" s="115">
        <f>+F38/$F$75</f>
        <v>0.29555555961115143</v>
      </c>
      <c r="I38" s="538"/>
      <c r="J38" s="422"/>
      <c r="K38" s="416"/>
      <c r="L38" s="417"/>
      <c r="M38" s="417"/>
      <c r="N38" s="418"/>
      <c r="O38" s="419"/>
      <c r="P38" s="417"/>
    </row>
    <row r="39" spans="2:17" ht="16.5" thickBot="1" x14ac:dyDescent="0.3">
      <c r="B39" s="146" t="s">
        <v>52</v>
      </c>
      <c r="C39" s="147" t="s">
        <v>180</v>
      </c>
      <c r="D39" s="314">
        <f>+F39*0.9</f>
        <v>5259.96</v>
      </c>
      <c r="E39" s="314">
        <f>+F39*0.1</f>
        <v>584.43999999999994</v>
      </c>
      <c r="F39" s="315">
        <v>5844.4</v>
      </c>
      <c r="G39" s="148"/>
      <c r="I39" s="421">
        <f>+F39</f>
        <v>5844.4</v>
      </c>
      <c r="J39" s="422" t="s">
        <v>334</v>
      </c>
      <c r="K39" s="416"/>
      <c r="L39" s="417">
        <f t="shared" ref="L39:L42" si="15">+I39*0.9</f>
        <v>5259.96</v>
      </c>
      <c r="M39" s="417">
        <f t="shared" ref="M39:M42" si="16">+I39*0.1</f>
        <v>584.43999999999994</v>
      </c>
      <c r="N39" s="418">
        <f t="shared" ref="N39:N42" si="17">+L39+M39</f>
        <v>5844.4</v>
      </c>
      <c r="O39" s="419">
        <f>+L39*'Plan_Ejecutivo_Plurianual (PEP)'!$G$25</f>
        <v>1722.6377053095721</v>
      </c>
      <c r="P39" s="419">
        <f>+M39*'Plan_Ejecutivo_Plurianual (PEP)'!$G$25</f>
        <v>191.40418947884132</v>
      </c>
      <c r="Q39" s="420">
        <f t="shared" si="6"/>
        <v>1914.0418947884134</v>
      </c>
    </row>
    <row r="40" spans="2:17" ht="16.5" thickBot="1" x14ac:dyDescent="0.3">
      <c r="B40" s="149" t="s">
        <v>53</v>
      </c>
      <c r="C40" s="147" t="s">
        <v>181</v>
      </c>
      <c r="D40" s="314">
        <f>+F40*0.9</f>
        <v>6390</v>
      </c>
      <c r="E40" s="314">
        <f>+F40*0.1</f>
        <v>710</v>
      </c>
      <c r="F40" s="315">
        <v>7100</v>
      </c>
      <c r="G40" s="150"/>
      <c r="I40" s="421">
        <f>+F40</f>
        <v>7100</v>
      </c>
      <c r="J40" s="422" t="s">
        <v>334</v>
      </c>
      <c r="K40" s="416"/>
      <c r="L40" s="417">
        <f t="shared" si="15"/>
        <v>6390</v>
      </c>
      <c r="M40" s="417">
        <f t="shared" si="16"/>
        <v>710</v>
      </c>
      <c r="N40" s="418">
        <f t="shared" si="17"/>
        <v>7100</v>
      </c>
      <c r="O40" s="419">
        <f>+L40*'Plan_Ejecutivo_Plurianual (PEP)'!$G$25</f>
        <v>2092.7259783207792</v>
      </c>
      <c r="P40" s="419">
        <f>+M40*'Plan_Ejecutivo_Plurianual (PEP)'!$G$25</f>
        <v>232.52510870230881</v>
      </c>
      <c r="Q40" s="420">
        <f t="shared" si="6"/>
        <v>2325.2510870230881</v>
      </c>
    </row>
    <row r="41" spans="2:17" x14ac:dyDescent="0.25">
      <c r="B41" s="149" t="s">
        <v>54</v>
      </c>
      <c r="C41" s="147" t="s">
        <v>182</v>
      </c>
      <c r="D41" s="314">
        <f>+F41*0.9</f>
        <v>15534</v>
      </c>
      <c r="E41" s="314">
        <f>+F41*0.1</f>
        <v>1726</v>
      </c>
      <c r="F41" s="315">
        <v>17260</v>
      </c>
      <c r="G41" s="150"/>
      <c r="H41" s="334"/>
      <c r="I41" s="421">
        <f>+F41</f>
        <v>17260</v>
      </c>
      <c r="J41" s="556" t="s">
        <v>440</v>
      </c>
      <c r="K41" s="416"/>
      <c r="L41" s="417">
        <f t="shared" si="15"/>
        <v>15534</v>
      </c>
      <c r="M41" s="417">
        <f t="shared" si="16"/>
        <v>1726</v>
      </c>
      <c r="N41" s="418">
        <f t="shared" si="17"/>
        <v>17260</v>
      </c>
      <c r="O41" s="419">
        <f>+L41*'Plan_Ejecutivo_Plurianual (PEP)'!$G$25</f>
        <v>5087.3873782840355</v>
      </c>
      <c r="P41" s="419">
        <f>+M41*'Plan_Ejecutivo_Plurianual (PEP)'!$G$25</f>
        <v>565.26526425378165</v>
      </c>
      <c r="Q41" s="420">
        <f t="shared" si="6"/>
        <v>5652.652642537817</v>
      </c>
    </row>
    <row r="42" spans="2:17" ht="16.5" thickBot="1" x14ac:dyDescent="0.3">
      <c r="B42" s="151" t="s">
        <v>55</v>
      </c>
      <c r="C42" s="152" t="s">
        <v>183</v>
      </c>
      <c r="D42" s="316">
        <f>+F42*0.9</f>
        <v>2209.0500000000002</v>
      </c>
      <c r="E42" s="316">
        <f>+F42*0.1</f>
        <v>245.45000000000002</v>
      </c>
      <c r="F42" s="317">
        <v>2454.5</v>
      </c>
      <c r="G42" s="153"/>
      <c r="I42" s="421">
        <f>+F42</f>
        <v>2454.5</v>
      </c>
      <c r="J42" s="422" t="s">
        <v>334</v>
      </c>
      <c r="K42" s="416"/>
      <c r="L42" s="417">
        <f t="shared" si="15"/>
        <v>2209.0500000000002</v>
      </c>
      <c r="M42" s="417">
        <f t="shared" si="16"/>
        <v>245.45000000000002</v>
      </c>
      <c r="N42" s="418">
        <f t="shared" si="17"/>
        <v>2454.5</v>
      </c>
      <c r="O42" s="419">
        <f>+L42*'Plan_Ejecutivo_Plurianual (PEP)'!$G$25</f>
        <v>723.46421320962713</v>
      </c>
      <c r="P42" s="419">
        <f>+M42*'Plan_Ejecutivo_Plurianual (PEP)'!$G$25</f>
        <v>80.384912578847462</v>
      </c>
      <c r="Q42" s="420">
        <f t="shared" si="6"/>
        <v>803.84912578847457</v>
      </c>
    </row>
    <row r="43" spans="2:17" ht="30.75" thickBot="1" x14ac:dyDescent="0.3">
      <c r="B43" s="144" t="s">
        <v>56</v>
      </c>
      <c r="C43" s="145" t="s">
        <v>57</v>
      </c>
      <c r="D43" s="313">
        <f>SUM(D44:D49)</f>
        <v>2730.0573000000004</v>
      </c>
      <c r="E43" s="313">
        <f>SUM(E44:E49)</f>
        <v>303.33970000000005</v>
      </c>
      <c r="F43" s="313">
        <f>SUM(F44:F49)</f>
        <v>3033.3969999999999</v>
      </c>
      <c r="G43" s="115">
        <f>+F43/$F$75</f>
        <v>2.7451547598289834E-2</v>
      </c>
      <c r="I43" s="414"/>
      <c r="J43" s="415"/>
      <c r="K43" s="416"/>
      <c r="L43" s="417"/>
      <c r="M43" s="417"/>
      <c r="N43" s="418"/>
      <c r="O43" s="419"/>
      <c r="P43" s="417"/>
      <c r="Q43" s="420"/>
    </row>
    <row r="44" spans="2:17" x14ac:dyDescent="0.25">
      <c r="B44" s="154"/>
      <c r="C44" s="155" t="s">
        <v>184</v>
      </c>
      <c r="D44" s="301">
        <f>+F44*0.9</f>
        <v>585</v>
      </c>
      <c r="E44" s="301">
        <f>+F44*0.1</f>
        <v>65</v>
      </c>
      <c r="F44" s="301">
        <v>650</v>
      </c>
      <c r="G44" s="156"/>
      <c r="I44" s="421">
        <f>+'A1. Firmas Consultoras'!E105</f>
        <v>649.99799999999993</v>
      </c>
      <c r="J44" s="422" t="s">
        <v>334</v>
      </c>
      <c r="K44" s="490">
        <v>1</v>
      </c>
      <c r="L44" s="417">
        <f t="shared" si="3"/>
        <v>584.9982</v>
      </c>
      <c r="M44" s="417">
        <f t="shared" si="4"/>
        <v>64.999799999999993</v>
      </c>
      <c r="N44" s="418">
        <f t="shared" si="5"/>
        <v>649.99800000000005</v>
      </c>
      <c r="O44" s="419">
        <f>+L44*'Plan_Ejecutivo_Plurianual (PEP)'!$G$26+0.4</f>
        <v>407.81634693473956</v>
      </c>
      <c r="P44" s="417">
        <f>+M44*'Plan_Ejecutivo_Plurianual (PEP)'!$H$26</f>
        <v>45.268482992748837</v>
      </c>
      <c r="Q44" s="420">
        <f t="shared" si="6"/>
        <v>453.08482992748839</v>
      </c>
    </row>
    <row r="45" spans="2:17" x14ac:dyDescent="0.25">
      <c r="B45" s="157"/>
      <c r="C45" s="158" t="s">
        <v>185</v>
      </c>
      <c r="D45" s="318">
        <f t="shared" ref="D45:D49" si="18">+F45*0.9</f>
        <v>487.50030000000004</v>
      </c>
      <c r="E45" s="318">
        <f t="shared" ref="E45:E49" si="19">+F45*0.1</f>
        <v>54.166700000000006</v>
      </c>
      <c r="F45" s="319">
        <v>541.66700000000003</v>
      </c>
      <c r="G45" s="160"/>
      <c r="I45" s="421">
        <f>+'A1. Firmas Consultoras'!L105</f>
        <v>541.66499999999996</v>
      </c>
      <c r="J45" s="422" t="s">
        <v>334</v>
      </c>
      <c r="K45" s="490">
        <v>1</v>
      </c>
      <c r="L45" s="417">
        <f t="shared" si="3"/>
        <v>487.49849999999998</v>
      </c>
      <c r="M45" s="417">
        <f t="shared" si="4"/>
        <v>54.166499999999999</v>
      </c>
      <c r="N45" s="418">
        <f t="shared" si="5"/>
        <v>541.66499999999996</v>
      </c>
      <c r="O45" s="419">
        <f>+L45*'Plan_Ejecutivo_Plurianual (PEP)'!$G$26</f>
        <v>339.51362244561631</v>
      </c>
      <c r="P45" s="417">
        <f>+M45*'Plan_Ejecutivo_Plurianual (PEP)'!$H$26</f>
        <v>37.723735827290703</v>
      </c>
      <c r="Q45" s="420">
        <f t="shared" si="6"/>
        <v>377.23735827290699</v>
      </c>
    </row>
    <row r="46" spans="2:17" x14ac:dyDescent="0.25">
      <c r="B46" s="157"/>
      <c r="C46" s="158" t="s">
        <v>186</v>
      </c>
      <c r="D46" s="318">
        <f t="shared" si="18"/>
        <v>389.99700000000001</v>
      </c>
      <c r="E46" s="318">
        <f t="shared" si="19"/>
        <v>43.332999999999998</v>
      </c>
      <c r="F46" s="319">
        <v>433.33</v>
      </c>
      <c r="G46" s="160"/>
      <c r="I46" s="421">
        <f>+'A1. Firmas Consultoras'!E117</f>
        <v>433.33359999999999</v>
      </c>
      <c r="J46" s="422" t="s">
        <v>334</v>
      </c>
      <c r="K46" s="490">
        <v>1</v>
      </c>
      <c r="L46" s="417">
        <f t="shared" si="3"/>
        <v>390.00024000000002</v>
      </c>
      <c r="M46" s="417">
        <f t="shared" si="4"/>
        <v>43.333359999999999</v>
      </c>
      <c r="N46" s="418">
        <f t="shared" si="5"/>
        <v>433.33360000000005</v>
      </c>
      <c r="O46" s="419">
        <f>+L46*'Plan_Ejecutivo_Plurianual (PEP)'!$G$26</f>
        <v>271.61190083058665</v>
      </c>
      <c r="P46" s="417">
        <f>+M46*'Plan_Ejecutivo_Plurianual (PEP)'!$H$26</f>
        <v>30.179100092287406</v>
      </c>
      <c r="Q46" s="420">
        <f t="shared" si="6"/>
        <v>301.79100092287405</v>
      </c>
    </row>
    <row r="47" spans="2:17" x14ac:dyDescent="0.25">
      <c r="B47" s="157"/>
      <c r="C47" s="158" t="s">
        <v>187</v>
      </c>
      <c r="D47" s="318">
        <f t="shared" si="18"/>
        <v>487.53000000000003</v>
      </c>
      <c r="E47" s="318">
        <f t="shared" si="19"/>
        <v>54.170000000000009</v>
      </c>
      <c r="F47" s="319">
        <v>541.70000000000005</v>
      </c>
      <c r="G47" s="160"/>
      <c r="I47" s="421">
        <f>+'A1. Firmas Consultoras'!L117</f>
        <v>541.66700000000003</v>
      </c>
      <c r="J47" s="422" t="s">
        <v>334</v>
      </c>
      <c r="K47" s="490">
        <v>1</v>
      </c>
      <c r="L47" s="417">
        <f t="shared" si="3"/>
        <v>487.50030000000004</v>
      </c>
      <c r="M47" s="417">
        <f t="shared" si="4"/>
        <v>54.166700000000006</v>
      </c>
      <c r="N47" s="418">
        <f t="shared" si="5"/>
        <v>541.66700000000003</v>
      </c>
      <c r="O47" s="419">
        <f>+L47*'Plan_Ejecutivo_Plurianual (PEP)'!$G$26</f>
        <v>339.51487603823335</v>
      </c>
      <c r="P47" s="417">
        <f>+M47*'Plan_Ejecutivo_Plurianual (PEP)'!$H$26</f>
        <v>37.723875115359263</v>
      </c>
      <c r="Q47" s="420">
        <f t="shared" si="6"/>
        <v>377.2387511535926</v>
      </c>
    </row>
    <row r="48" spans="2:17" x14ac:dyDescent="0.25">
      <c r="B48" s="157"/>
      <c r="C48" s="158" t="s">
        <v>188</v>
      </c>
      <c r="D48" s="318">
        <f t="shared" si="18"/>
        <v>487.53000000000003</v>
      </c>
      <c r="E48" s="318">
        <f t="shared" si="19"/>
        <v>54.170000000000009</v>
      </c>
      <c r="F48" s="319">
        <v>541.70000000000005</v>
      </c>
      <c r="G48" s="160"/>
      <c r="I48" s="421">
        <f>+'A1. Firmas Consultoras'!E129</f>
        <v>541.66700000000003</v>
      </c>
      <c r="J48" s="422" t="s">
        <v>334</v>
      </c>
      <c r="K48" s="490">
        <v>1</v>
      </c>
      <c r="L48" s="417">
        <f t="shared" si="3"/>
        <v>487.50030000000004</v>
      </c>
      <c r="M48" s="417">
        <f t="shared" si="4"/>
        <v>54.166700000000006</v>
      </c>
      <c r="N48" s="418">
        <f t="shared" si="5"/>
        <v>541.66700000000003</v>
      </c>
      <c r="O48" s="419">
        <f>+L48*'Plan_Ejecutivo_Plurianual (PEP)'!$G$26</f>
        <v>339.51487603823335</v>
      </c>
      <c r="P48" s="417">
        <f>+M48*'Plan_Ejecutivo_Plurianual (PEP)'!$H$26</f>
        <v>37.723875115359263</v>
      </c>
      <c r="Q48" s="420">
        <f t="shared" si="6"/>
        <v>377.2387511535926</v>
      </c>
    </row>
    <row r="49" spans="2:17" ht="16.5" thickBot="1" x14ac:dyDescent="0.3">
      <c r="B49" s="6"/>
      <c r="C49" s="161" t="s">
        <v>189</v>
      </c>
      <c r="D49" s="317">
        <f t="shared" si="18"/>
        <v>292.5</v>
      </c>
      <c r="E49" s="317">
        <f t="shared" si="19"/>
        <v>32.5</v>
      </c>
      <c r="F49" s="320">
        <v>325</v>
      </c>
      <c r="G49" s="163"/>
      <c r="I49" s="421">
        <f>+'A1. Firmas Consultoras'!L129</f>
        <v>325.00020000000001</v>
      </c>
      <c r="J49" s="422" t="s">
        <v>334</v>
      </c>
      <c r="K49" s="490">
        <v>1</v>
      </c>
      <c r="L49" s="417">
        <f t="shared" si="3"/>
        <v>292.50018</v>
      </c>
      <c r="M49" s="417">
        <f t="shared" si="4"/>
        <v>32.500019999999999</v>
      </c>
      <c r="N49" s="418">
        <f t="shared" si="5"/>
        <v>325.00020000000001</v>
      </c>
      <c r="O49" s="419">
        <f>+L49*'Plan_Ejecutivo_Plurianual (PEP)'!$G$26</f>
        <v>203.70892562294</v>
      </c>
      <c r="P49" s="417">
        <f>+M49*'Plan_Ejecutivo_Plurianual (PEP)'!$H$26</f>
        <v>22.634325069215553</v>
      </c>
      <c r="Q49" s="420">
        <f t="shared" si="6"/>
        <v>226.34325069215555</v>
      </c>
    </row>
    <row r="50" spans="2:17" ht="16.5" thickBot="1" x14ac:dyDescent="0.3">
      <c r="B50" s="110">
        <v>2</v>
      </c>
      <c r="C50" s="111" t="s">
        <v>58</v>
      </c>
      <c r="D50" s="299">
        <f>+D51+D52+D53</f>
        <v>42840</v>
      </c>
      <c r="E50" s="299">
        <f t="shared" ref="E50:F50" si="20">+E51+E52+E53</f>
        <v>4760</v>
      </c>
      <c r="F50" s="299">
        <f t="shared" si="20"/>
        <v>47600</v>
      </c>
      <c r="G50" s="112">
        <f>+F50/$F$75</f>
        <v>0.43076909012522796</v>
      </c>
      <c r="I50" s="414"/>
      <c r="J50" s="415"/>
      <c r="K50" s="416"/>
      <c r="L50" s="417"/>
      <c r="M50" s="417"/>
      <c r="N50" s="418"/>
      <c r="O50" s="419"/>
      <c r="P50" s="419"/>
      <c r="Q50" s="419"/>
    </row>
    <row r="51" spans="2:17" ht="16.5" thickBot="1" x14ac:dyDescent="0.3">
      <c r="B51" s="164" t="s">
        <v>59</v>
      </c>
      <c r="C51" s="152" t="s">
        <v>190</v>
      </c>
      <c r="D51" s="316">
        <f>+F51*0.9</f>
        <v>18900</v>
      </c>
      <c r="E51" s="316">
        <f>+F51*0.1</f>
        <v>2100</v>
      </c>
      <c r="F51" s="317">
        <v>21000</v>
      </c>
      <c r="G51" s="148"/>
      <c r="I51" s="421">
        <f>+F51</f>
        <v>21000</v>
      </c>
      <c r="J51" s="422" t="s">
        <v>365</v>
      </c>
      <c r="K51" s="416"/>
      <c r="L51" s="417">
        <f t="shared" si="3"/>
        <v>18900</v>
      </c>
      <c r="M51" s="417">
        <f t="shared" ref="M51:M53" si="21">+I51*0.1</f>
        <v>2100</v>
      </c>
      <c r="N51" s="418">
        <f t="shared" ref="N51:N53" si="22">+L51+M51</f>
        <v>21000</v>
      </c>
      <c r="O51" s="419">
        <f>+L51*'Plan_Ejecutivo_Plurianual (PEP)'!$G$28</f>
        <v>10829.250000000002</v>
      </c>
      <c r="P51" s="417">
        <f>+M51*'Plan_Ejecutivo_Plurianual (PEP)'!$H$28</f>
        <v>1203.25</v>
      </c>
      <c r="Q51" s="548">
        <f t="shared" si="6"/>
        <v>12032.500000000002</v>
      </c>
    </row>
    <row r="52" spans="2:17" ht="16.5" thickBot="1" x14ac:dyDescent="0.3">
      <c r="B52" s="165" t="s">
        <v>60</v>
      </c>
      <c r="C52" s="152" t="s">
        <v>191</v>
      </c>
      <c r="D52" s="316">
        <f t="shared" ref="D52:D53" si="23">+F52*0.9</f>
        <v>11160</v>
      </c>
      <c r="E52" s="316">
        <f t="shared" ref="E52:E53" si="24">+F52*0.1</f>
        <v>1240</v>
      </c>
      <c r="F52" s="317">
        <v>12400</v>
      </c>
      <c r="G52" s="160"/>
      <c r="I52" s="421">
        <f>+F52</f>
        <v>12400</v>
      </c>
      <c r="J52" s="422" t="s">
        <v>365</v>
      </c>
      <c r="K52" s="416"/>
      <c r="L52" s="417">
        <f t="shared" ref="L52:L53" si="25">+I52*0.9</f>
        <v>11160</v>
      </c>
      <c r="M52" s="417">
        <f t="shared" si="21"/>
        <v>1240</v>
      </c>
      <c r="N52" s="418">
        <f t="shared" si="22"/>
        <v>12400</v>
      </c>
      <c r="O52" s="419">
        <f>+L52*'Plan_Ejecutivo_Plurianual (PEP)'!$G$29</f>
        <v>5022</v>
      </c>
      <c r="P52" s="417">
        <f>+M52*'Plan_Ejecutivo_Plurianual (PEP)'!$H$29</f>
        <v>558</v>
      </c>
      <c r="Q52" s="548">
        <f t="shared" si="6"/>
        <v>5580</v>
      </c>
    </row>
    <row r="53" spans="2:17" ht="16.5" thickBot="1" x14ac:dyDescent="0.3">
      <c r="B53" s="166" t="s">
        <v>61</v>
      </c>
      <c r="C53" s="152" t="s">
        <v>192</v>
      </c>
      <c r="D53" s="316">
        <f t="shared" si="23"/>
        <v>12780</v>
      </c>
      <c r="E53" s="316">
        <f t="shared" si="24"/>
        <v>1420</v>
      </c>
      <c r="F53" s="317">
        <v>14200</v>
      </c>
      <c r="G53" s="163"/>
      <c r="I53" s="421">
        <f>+F53</f>
        <v>14200</v>
      </c>
      <c r="J53" s="422" t="s">
        <v>365</v>
      </c>
      <c r="K53" s="416"/>
      <c r="L53" s="417">
        <f t="shared" si="25"/>
        <v>12780</v>
      </c>
      <c r="M53" s="417">
        <f t="shared" si="21"/>
        <v>1420</v>
      </c>
      <c r="N53" s="418">
        <f t="shared" si="22"/>
        <v>14200</v>
      </c>
      <c r="O53" s="419">
        <f>+L53*'Plan_Ejecutivo_Plurianual (PEP)'!$G$30</f>
        <v>4680</v>
      </c>
      <c r="P53" s="417">
        <f>+M53*'Plan_Ejecutivo_Plurianual (PEP)'!$H$30</f>
        <v>520</v>
      </c>
      <c r="Q53" s="548">
        <f t="shared" si="6"/>
        <v>5200</v>
      </c>
    </row>
    <row r="54" spans="2:17" ht="48" thickBot="1" x14ac:dyDescent="0.3">
      <c r="B54" s="110">
        <v>3</v>
      </c>
      <c r="C54" s="167" t="s">
        <v>62</v>
      </c>
      <c r="D54" s="299">
        <f>+D55+D63+D68</f>
        <v>8440.2439999992002</v>
      </c>
      <c r="E54" s="299">
        <f>+E55+E63+E68</f>
        <v>937.80488888880006</v>
      </c>
      <c r="F54" s="299">
        <f>+D54+E54</f>
        <v>9378.0488888880009</v>
      </c>
      <c r="G54" s="112">
        <f>+F54/$F$75</f>
        <v>8.4869193004541793E-2</v>
      </c>
      <c r="I54" s="414"/>
      <c r="J54" s="415"/>
      <c r="K54" s="416"/>
      <c r="L54" s="417"/>
      <c r="M54" s="417"/>
      <c r="N54" s="418"/>
      <c r="O54" s="419"/>
      <c r="P54" s="419"/>
      <c r="Q54" s="419"/>
    </row>
    <row r="55" spans="2:17" ht="25.5" x14ac:dyDescent="0.25">
      <c r="B55" s="164" t="s">
        <v>63</v>
      </c>
      <c r="C55" s="168" t="s">
        <v>193</v>
      </c>
      <c r="D55" s="315">
        <f>SUM(D56:D62)</f>
        <v>4095</v>
      </c>
      <c r="E55" s="315">
        <f t="shared" ref="E55:F55" si="26">SUM(E56:E62)</f>
        <v>455</v>
      </c>
      <c r="F55" s="315">
        <f t="shared" si="26"/>
        <v>4550</v>
      </c>
      <c r="G55" s="169">
        <f>+F55/$F$75</f>
        <v>4.1176457144323261E-2</v>
      </c>
      <c r="I55" s="421">
        <f>+'A2. Consultorias Individuales'!E26</f>
        <v>4549.9943999999996</v>
      </c>
      <c r="J55" s="422" t="s">
        <v>363</v>
      </c>
      <c r="K55" s="423">
        <v>1</v>
      </c>
      <c r="L55" s="417">
        <f t="shared" si="3"/>
        <v>4094.9949599999995</v>
      </c>
      <c r="M55" s="417">
        <f t="shared" si="4"/>
        <v>454.99943999999999</v>
      </c>
      <c r="N55" s="418">
        <f t="shared" si="5"/>
        <v>4549.9943999999996</v>
      </c>
      <c r="O55" s="419">
        <f>+L55*'Plan_Ejecutivo_Plurianual (PEP)'!$G$32</f>
        <v>2047.4974799999998</v>
      </c>
      <c r="P55" s="417">
        <f>+M55*'Plan_Ejecutivo_Plurianual (PEP)'!$H$32</f>
        <v>227.49972</v>
      </c>
      <c r="Q55" s="548">
        <f t="shared" si="6"/>
        <v>2274.9971999999998</v>
      </c>
    </row>
    <row r="56" spans="2:17" x14ac:dyDescent="0.25">
      <c r="B56" s="165"/>
      <c r="C56" s="158" t="s">
        <v>194</v>
      </c>
      <c r="D56" s="321">
        <f t="shared" ref="D56:D62" si="27">+F56*0.9</f>
        <v>585</v>
      </c>
      <c r="E56" s="321">
        <f t="shared" ref="E56:E62" si="28">+F56*0.1</f>
        <v>65</v>
      </c>
      <c r="F56" s="319">
        <v>650</v>
      </c>
      <c r="G56" s="159"/>
      <c r="I56" s="414"/>
      <c r="J56" s="415"/>
      <c r="K56" s="416"/>
      <c r="L56" s="417"/>
      <c r="M56" s="417"/>
      <c r="N56" s="418"/>
      <c r="O56" s="419"/>
      <c r="P56" s="417"/>
      <c r="Q56" s="420"/>
    </row>
    <row r="57" spans="2:17" x14ac:dyDescent="0.25">
      <c r="B57" s="165"/>
      <c r="C57" s="158" t="s">
        <v>195</v>
      </c>
      <c r="D57" s="321">
        <f t="shared" si="27"/>
        <v>585</v>
      </c>
      <c r="E57" s="321">
        <f t="shared" si="28"/>
        <v>65</v>
      </c>
      <c r="F57" s="319">
        <v>650</v>
      </c>
      <c r="G57" s="159"/>
      <c r="I57" s="414"/>
      <c r="J57" s="415"/>
      <c r="K57" s="416"/>
      <c r="L57" s="417"/>
      <c r="M57" s="417"/>
      <c r="N57" s="418"/>
      <c r="O57" s="419"/>
      <c r="P57" s="417"/>
      <c r="Q57" s="420"/>
    </row>
    <row r="58" spans="2:17" x14ac:dyDescent="0.25">
      <c r="B58" s="165"/>
      <c r="C58" s="158" t="s">
        <v>196</v>
      </c>
      <c r="D58" s="321">
        <f t="shared" si="27"/>
        <v>585</v>
      </c>
      <c r="E58" s="321">
        <f t="shared" si="28"/>
        <v>65</v>
      </c>
      <c r="F58" s="319">
        <v>650</v>
      </c>
      <c r="G58" s="159"/>
      <c r="I58" s="414"/>
      <c r="J58" s="415"/>
      <c r="K58" s="416"/>
      <c r="L58" s="417"/>
      <c r="M58" s="417"/>
      <c r="N58" s="418"/>
      <c r="O58" s="419"/>
      <c r="P58" s="417"/>
      <c r="Q58" s="420"/>
    </row>
    <row r="59" spans="2:17" x14ac:dyDescent="0.25">
      <c r="B59" s="165"/>
      <c r="C59" s="158" t="s">
        <v>197</v>
      </c>
      <c r="D59" s="321">
        <f t="shared" si="27"/>
        <v>585</v>
      </c>
      <c r="E59" s="321">
        <f t="shared" si="28"/>
        <v>65</v>
      </c>
      <c r="F59" s="319">
        <v>650</v>
      </c>
      <c r="G59" s="159"/>
      <c r="I59" s="414"/>
      <c r="J59" s="415"/>
      <c r="K59" s="416"/>
      <c r="L59" s="417"/>
      <c r="M59" s="417"/>
      <c r="N59" s="418"/>
      <c r="O59" s="419"/>
      <c r="P59" s="417"/>
      <c r="Q59" s="420"/>
    </row>
    <row r="60" spans="2:17" x14ac:dyDescent="0.25">
      <c r="B60" s="165"/>
      <c r="C60" s="158" t="s">
        <v>198</v>
      </c>
      <c r="D60" s="321">
        <f t="shared" si="27"/>
        <v>585</v>
      </c>
      <c r="E60" s="321">
        <f t="shared" si="28"/>
        <v>65</v>
      </c>
      <c r="F60" s="319">
        <v>650</v>
      </c>
      <c r="G60" s="159"/>
      <c r="I60" s="414"/>
      <c r="J60" s="415"/>
      <c r="K60" s="416"/>
      <c r="L60" s="417"/>
      <c r="M60" s="417"/>
      <c r="N60" s="418"/>
      <c r="O60" s="419"/>
      <c r="P60" s="417"/>
      <c r="Q60" s="420"/>
    </row>
    <row r="61" spans="2:17" x14ac:dyDescent="0.25">
      <c r="B61" s="165"/>
      <c r="C61" s="158" t="s">
        <v>199</v>
      </c>
      <c r="D61" s="321">
        <f t="shared" si="27"/>
        <v>585</v>
      </c>
      <c r="E61" s="321">
        <f t="shared" si="28"/>
        <v>65</v>
      </c>
      <c r="F61" s="319">
        <v>650</v>
      </c>
      <c r="G61" s="159"/>
      <c r="I61" s="414"/>
      <c r="J61" s="415"/>
      <c r="K61" s="416"/>
      <c r="L61" s="417"/>
      <c r="M61" s="417"/>
      <c r="N61" s="418"/>
      <c r="O61" s="419"/>
      <c r="P61" s="417"/>
      <c r="Q61" s="420"/>
    </row>
    <row r="62" spans="2:17" ht="16.5" thickBot="1" x14ac:dyDescent="0.3">
      <c r="B62" s="166"/>
      <c r="C62" s="170" t="s">
        <v>200</v>
      </c>
      <c r="D62" s="322">
        <f t="shared" si="27"/>
        <v>585</v>
      </c>
      <c r="E62" s="322">
        <f t="shared" si="28"/>
        <v>65</v>
      </c>
      <c r="F62" s="320">
        <v>650</v>
      </c>
      <c r="G62" s="162"/>
      <c r="I62" s="414"/>
      <c r="J62" s="415"/>
      <c r="K62" s="416"/>
      <c r="L62" s="417"/>
      <c r="M62" s="417"/>
      <c r="N62" s="418"/>
      <c r="O62" s="419"/>
      <c r="P62" s="417"/>
      <c r="Q62" s="420"/>
    </row>
    <row r="63" spans="2:17" ht="25.5" x14ac:dyDescent="0.25">
      <c r="B63" s="164" t="s">
        <v>64</v>
      </c>
      <c r="C63" s="171" t="s">
        <v>65</v>
      </c>
      <c r="D63" s="323">
        <f>SUM(D64:D67)</f>
        <v>1950.0029999999999</v>
      </c>
      <c r="E63" s="323">
        <f t="shared" ref="E63:F63" si="29">SUM(E64:E67)</f>
        <v>216.667</v>
      </c>
      <c r="F63" s="323">
        <f t="shared" si="29"/>
        <v>2166.67</v>
      </c>
      <c r="G63" s="169">
        <f>+F63/$F$75</f>
        <v>1.96078669012947E-2</v>
      </c>
      <c r="H63" s="334"/>
      <c r="I63" s="414"/>
      <c r="J63" s="415"/>
      <c r="K63" s="416"/>
      <c r="L63" s="417"/>
      <c r="M63" s="417"/>
      <c r="N63" s="418"/>
      <c r="O63" s="419"/>
      <c r="P63" s="417"/>
      <c r="Q63" s="420"/>
    </row>
    <row r="64" spans="2:17" x14ac:dyDescent="0.25">
      <c r="B64" s="165"/>
      <c r="C64" s="172" t="s">
        <v>201</v>
      </c>
      <c r="D64" s="321">
        <f t="shared" ref="D64:D67" si="30">+F64*0.9</f>
        <v>97.497</v>
      </c>
      <c r="E64" s="321">
        <f t="shared" ref="E64:E73" si="31">+F64*0.1</f>
        <v>10.833</v>
      </c>
      <c r="F64" s="319">
        <v>108.33</v>
      </c>
      <c r="G64" s="160"/>
      <c r="H64" s="334"/>
      <c r="I64" s="421">
        <f>+'A2. Consultorias Individuales'!E43</f>
        <v>216.66639999999998</v>
      </c>
      <c r="J64" s="422" t="s">
        <v>363</v>
      </c>
      <c r="K64" s="423">
        <v>1</v>
      </c>
      <c r="L64" s="417">
        <f t="shared" si="3"/>
        <v>194.99975999999998</v>
      </c>
      <c r="M64" s="417">
        <f t="shared" si="4"/>
        <v>21.666640000000001</v>
      </c>
      <c r="N64" s="418">
        <f t="shared" si="5"/>
        <v>216.66639999999998</v>
      </c>
      <c r="O64" s="419">
        <f>+L64*'Plan_Ejecutivo_Plurianual (PEP)'!$G$33</f>
        <v>194.99975999999998</v>
      </c>
      <c r="P64" s="417">
        <f>+M64*'Plan_Ejecutivo_Plurianual (PEP)'!$H$33</f>
        <v>21.666640000000001</v>
      </c>
      <c r="Q64" s="420">
        <f t="shared" si="6"/>
        <v>216.66639999999998</v>
      </c>
    </row>
    <row r="65" spans="2:17" x14ac:dyDescent="0.25">
      <c r="B65" s="165"/>
      <c r="C65" s="172" t="s">
        <v>202</v>
      </c>
      <c r="D65" s="321">
        <f t="shared" si="30"/>
        <v>97.506</v>
      </c>
      <c r="E65" s="321">
        <f t="shared" si="31"/>
        <v>10.834000000000001</v>
      </c>
      <c r="F65" s="319">
        <v>108.34</v>
      </c>
      <c r="G65" s="160"/>
      <c r="I65" s="414"/>
      <c r="J65" s="415"/>
      <c r="K65" s="416"/>
      <c r="L65" s="417"/>
      <c r="M65" s="417"/>
      <c r="N65" s="418"/>
      <c r="O65" s="419"/>
      <c r="P65" s="417"/>
      <c r="Q65" s="420"/>
    </row>
    <row r="66" spans="2:17" x14ac:dyDescent="0.25">
      <c r="B66" s="173"/>
      <c r="C66" s="174" t="s">
        <v>203</v>
      </c>
      <c r="D66" s="324">
        <f t="shared" si="30"/>
        <v>877.5</v>
      </c>
      <c r="E66" s="324">
        <f t="shared" si="31"/>
        <v>97.5</v>
      </c>
      <c r="F66" s="325">
        <v>975</v>
      </c>
      <c r="G66" s="175"/>
      <c r="I66" s="421">
        <f>+'A1. Firmas Consultoras'!E155</f>
        <v>1949.9939999999999</v>
      </c>
      <c r="J66" s="422" t="s">
        <v>334</v>
      </c>
      <c r="K66" s="423">
        <v>1</v>
      </c>
      <c r="L66" s="417">
        <f t="shared" si="3"/>
        <v>1754.9946</v>
      </c>
      <c r="M66" s="417">
        <f t="shared" si="4"/>
        <v>194.99940000000001</v>
      </c>
      <c r="N66" s="418">
        <f t="shared" si="5"/>
        <v>1949.9939999999999</v>
      </c>
      <c r="O66" s="419">
        <f>+L66*'Plan_Ejecutivo_Plurianual (PEP)'!$G$33</f>
        <v>1754.9946</v>
      </c>
      <c r="P66" s="417">
        <f>+M66*'Plan_Ejecutivo_Plurianual (PEP)'!$H$33</f>
        <v>194.99940000000001</v>
      </c>
      <c r="Q66" s="548">
        <f t="shared" si="6"/>
        <v>1949.9939999999999</v>
      </c>
    </row>
    <row r="67" spans="2:17" ht="16.5" thickBot="1" x14ac:dyDescent="0.3">
      <c r="B67" s="176"/>
      <c r="C67" s="177" t="s">
        <v>204</v>
      </c>
      <c r="D67" s="326">
        <f t="shared" si="30"/>
        <v>877.5</v>
      </c>
      <c r="E67" s="326">
        <f t="shared" si="31"/>
        <v>97.5</v>
      </c>
      <c r="F67" s="327">
        <v>975</v>
      </c>
      <c r="G67" s="178"/>
      <c r="I67" s="414"/>
      <c r="J67" s="415"/>
      <c r="K67" s="416"/>
      <c r="L67" s="417"/>
      <c r="M67" s="417"/>
      <c r="N67" s="418"/>
      <c r="O67" s="419"/>
      <c r="P67" s="417"/>
      <c r="Q67" s="420"/>
    </row>
    <row r="68" spans="2:17" ht="16.5" thickBot="1" x14ac:dyDescent="0.3">
      <c r="B68" s="179" t="s">
        <v>66</v>
      </c>
      <c r="C68" s="180" t="s">
        <v>67</v>
      </c>
      <c r="D68" s="323">
        <f>SUM(D69:D73)</f>
        <v>2395.2409999992001</v>
      </c>
      <c r="E68" s="323">
        <f>SUM(E69:E73)</f>
        <v>266.13788888880003</v>
      </c>
      <c r="F68" s="323">
        <f>+D68+E68</f>
        <v>2661.3788888879999</v>
      </c>
      <c r="G68" s="181">
        <f>+F68/$F$75</f>
        <v>2.4084868958923821E-2</v>
      </c>
      <c r="I68" s="414"/>
      <c r="J68" s="415"/>
      <c r="K68" s="416"/>
      <c r="L68" s="417"/>
      <c r="M68" s="417"/>
      <c r="N68" s="418"/>
      <c r="O68" s="419"/>
      <c r="P68" s="417"/>
      <c r="Q68" s="420"/>
    </row>
    <row r="69" spans="2:17" x14ac:dyDescent="0.25">
      <c r="B69" s="164"/>
      <c r="C69" s="182" t="s">
        <v>68</v>
      </c>
      <c r="D69" s="321">
        <f t="shared" ref="D69:D73" si="32">+F69*0.9</f>
        <v>547.65</v>
      </c>
      <c r="E69" s="321">
        <f t="shared" si="31"/>
        <v>60.85</v>
      </c>
      <c r="F69" s="319">
        <v>608.5</v>
      </c>
      <c r="G69" s="182"/>
      <c r="I69" s="421">
        <f>+'A1. Firmas Consultoras'!L155</f>
        <v>1216.8</v>
      </c>
      <c r="J69" s="422" t="s">
        <v>334</v>
      </c>
      <c r="K69" s="423">
        <v>1</v>
      </c>
      <c r="L69" s="417">
        <f t="shared" si="3"/>
        <v>1095.1199999999999</v>
      </c>
      <c r="M69" s="417">
        <f t="shared" si="4"/>
        <v>121.68</v>
      </c>
      <c r="N69" s="418">
        <f t="shared" si="5"/>
        <v>1216.8</v>
      </c>
      <c r="O69" s="419">
        <f>+L69*'Plan_Ejecutivo_Plurianual (PEP)'!$G$34</f>
        <v>547.55999999999995</v>
      </c>
      <c r="P69" s="417">
        <f>+M69*'Plan_Ejecutivo_Plurianual (PEP)'!$H$34</f>
        <v>60.84</v>
      </c>
      <c r="Q69" s="548">
        <f t="shared" si="6"/>
        <v>608.4</v>
      </c>
    </row>
    <row r="70" spans="2:17" x14ac:dyDescent="0.25">
      <c r="B70" s="173"/>
      <c r="C70" s="174" t="s">
        <v>205</v>
      </c>
      <c r="D70" s="321">
        <f t="shared" si="32"/>
        <v>547.65</v>
      </c>
      <c r="E70" s="321">
        <f t="shared" si="31"/>
        <v>60.85</v>
      </c>
      <c r="F70" s="319">
        <v>608.5</v>
      </c>
      <c r="G70" s="174"/>
      <c r="I70" s="414"/>
      <c r="J70" s="415"/>
      <c r="K70" s="416"/>
      <c r="L70" s="417"/>
      <c r="M70" s="417"/>
      <c r="N70" s="418"/>
      <c r="O70" s="419"/>
      <c r="P70" s="417"/>
      <c r="Q70" s="420"/>
    </row>
    <row r="71" spans="2:17" x14ac:dyDescent="0.25">
      <c r="B71" s="173"/>
      <c r="C71" s="183" t="s">
        <v>206</v>
      </c>
      <c r="D71" s="324">
        <f t="shared" si="32"/>
        <v>520.00099999919996</v>
      </c>
      <c r="E71" s="324">
        <f t="shared" si="31"/>
        <v>57.7778888888</v>
      </c>
      <c r="F71" s="325">
        <v>577.77888888799998</v>
      </c>
      <c r="G71" s="174"/>
      <c r="I71" s="421">
        <f>+'A2. Consultorias Individuales'!J26</f>
        <v>577.77599999999995</v>
      </c>
      <c r="J71" s="422" t="s">
        <v>363</v>
      </c>
      <c r="K71" s="423">
        <v>1</v>
      </c>
      <c r="L71" s="417">
        <f t="shared" si="3"/>
        <v>519.99839999999995</v>
      </c>
      <c r="M71" s="417">
        <f t="shared" si="4"/>
        <v>57.7776</v>
      </c>
      <c r="N71" s="418">
        <f t="shared" si="5"/>
        <v>577.77599999999995</v>
      </c>
      <c r="O71" s="419">
        <f>+L71*'Plan_Ejecutivo_Plurianual (PEP)'!$G$34</f>
        <v>259.99919999999997</v>
      </c>
      <c r="P71" s="417">
        <f>+M71*'Plan_Ejecutivo_Plurianual (PEP)'!$H$34</f>
        <v>28.8888</v>
      </c>
      <c r="Q71" s="420">
        <f t="shared" si="6"/>
        <v>288.88799999999998</v>
      </c>
    </row>
    <row r="72" spans="2:17" ht="16.5" thickBot="1" x14ac:dyDescent="0.3">
      <c r="B72" s="165"/>
      <c r="C72" s="184" t="s">
        <v>207</v>
      </c>
      <c r="D72" s="326">
        <f t="shared" si="32"/>
        <v>389.97</v>
      </c>
      <c r="E72" s="326">
        <f t="shared" si="31"/>
        <v>43.330000000000005</v>
      </c>
      <c r="F72" s="327">
        <v>433.3</v>
      </c>
      <c r="G72" s="172"/>
      <c r="I72" s="421">
        <f>+'A1. Firmas Consultoras'!E143</f>
        <v>433.33199999999999</v>
      </c>
      <c r="J72" s="422" t="s">
        <v>334</v>
      </c>
      <c r="K72" s="423">
        <v>1</v>
      </c>
      <c r="L72" s="417">
        <f t="shared" ref="L72:L74" si="33">+I72*0.9</f>
        <v>389.99880000000002</v>
      </c>
      <c r="M72" s="417">
        <f t="shared" ref="M72:M74" si="34">+I72*0.1</f>
        <v>43.333200000000005</v>
      </c>
      <c r="N72" s="418">
        <f t="shared" ref="N72:N75" si="35">+L72+M72</f>
        <v>433.33199999999999</v>
      </c>
      <c r="O72" s="419">
        <f>+L72*'Plan_Ejecutivo_Plurianual (PEP)'!$G$34</f>
        <v>194.99940000000001</v>
      </c>
      <c r="P72" s="417">
        <f>+M72*'Plan_Ejecutivo_Plurianual (PEP)'!$H$34</f>
        <v>21.666600000000003</v>
      </c>
      <c r="Q72" s="420">
        <f t="shared" ref="Q72:Q75" si="36">+O72+P72</f>
        <v>216.666</v>
      </c>
    </row>
    <row r="73" spans="2:17" ht="16.5" thickBot="1" x14ac:dyDescent="0.3">
      <c r="B73" s="166"/>
      <c r="C73" s="185" t="s">
        <v>208</v>
      </c>
      <c r="D73" s="323">
        <f t="shared" si="32"/>
        <v>389.97</v>
      </c>
      <c r="E73" s="323">
        <f t="shared" si="31"/>
        <v>43.330000000000005</v>
      </c>
      <c r="F73" s="323">
        <v>433.3</v>
      </c>
      <c r="G73" s="170"/>
      <c r="I73" s="421">
        <f>+'A1. Firmas Consultoras'!L143</f>
        <v>433.33199999999999</v>
      </c>
      <c r="J73" s="422" t="s">
        <v>334</v>
      </c>
      <c r="K73" s="423">
        <v>1</v>
      </c>
      <c r="L73" s="417">
        <f t="shared" si="33"/>
        <v>389.99880000000002</v>
      </c>
      <c r="M73" s="417">
        <f t="shared" si="34"/>
        <v>43.333200000000005</v>
      </c>
      <c r="N73" s="418">
        <f t="shared" si="35"/>
        <v>433.33199999999999</v>
      </c>
      <c r="O73" s="419">
        <f>+L73*'Plan_Ejecutivo_Plurianual (PEP)'!$G$34</f>
        <v>194.99940000000001</v>
      </c>
      <c r="P73" s="417">
        <f>+M73*'Plan_Ejecutivo_Plurianual (PEP)'!$H$34</f>
        <v>21.666600000000003</v>
      </c>
      <c r="Q73" s="420">
        <f t="shared" si="36"/>
        <v>216.666</v>
      </c>
    </row>
    <row r="74" spans="2:17" ht="16.5" thickBot="1" x14ac:dyDescent="0.3">
      <c r="B74" s="186">
        <v>4</v>
      </c>
      <c r="C74" s="187" t="s">
        <v>69</v>
      </c>
      <c r="D74" s="328">
        <v>5500</v>
      </c>
      <c r="E74" s="328">
        <v>0</v>
      </c>
      <c r="F74" s="328">
        <f>+E74+D74</f>
        <v>5500</v>
      </c>
      <c r="G74" s="188">
        <f>+F74/$F$75</f>
        <v>4.977373940522592E-2</v>
      </c>
      <c r="I74" s="539">
        <v>5500</v>
      </c>
      <c r="J74" s="540" t="s">
        <v>354</v>
      </c>
      <c r="K74" s="424"/>
      <c r="L74" s="425">
        <f t="shared" si="33"/>
        <v>4950</v>
      </c>
      <c r="M74" s="425">
        <f t="shared" si="34"/>
        <v>550</v>
      </c>
      <c r="N74" s="426">
        <f t="shared" si="35"/>
        <v>5500</v>
      </c>
      <c r="O74" s="419">
        <f>+L74*'Plan_Ejecutivo_Plurianual (PEP)'!$G$35</f>
        <v>1485</v>
      </c>
      <c r="P74" s="417">
        <f>+M74*'Plan_Ejecutivo_Plurianual (PEP)'!$H$35</f>
        <v>165</v>
      </c>
      <c r="Q74" s="427">
        <f t="shared" si="36"/>
        <v>1650</v>
      </c>
    </row>
    <row r="75" spans="2:17" ht="16.5" thickBot="1" x14ac:dyDescent="0.3">
      <c r="B75" s="674" t="s">
        <v>70</v>
      </c>
      <c r="C75" s="675"/>
      <c r="D75" s="329">
        <f>+D74+D54+D50+D5</f>
        <v>100000.04246993898</v>
      </c>
      <c r="E75" s="329">
        <f>+E74+E54+E50+E5</f>
        <v>10499.993607771001</v>
      </c>
      <c r="F75" s="329">
        <f>+F74+F54+F50+F5</f>
        <v>110500.03607771</v>
      </c>
      <c r="G75" s="7">
        <f>+G74+G54+G50+G5</f>
        <v>1</v>
      </c>
      <c r="I75" s="428">
        <f>SUM(I7:I74)</f>
        <v>110499.999</v>
      </c>
      <c r="J75" s="429" t="s">
        <v>0</v>
      </c>
      <c r="K75" s="429" t="s">
        <v>6</v>
      </c>
      <c r="L75" s="430">
        <f>SUM(L7:L74)</f>
        <v>99449.999100000015</v>
      </c>
      <c r="M75" s="430">
        <f>SUM(M7:M74)</f>
        <v>11049.999899999997</v>
      </c>
      <c r="N75" s="431">
        <f t="shared" si="35"/>
        <v>110499.99900000001</v>
      </c>
      <c r="O75" s="430">
        <f>SUM(O7:O74)</f>
        <v>41239.819987260635</v>
      </c>
      <c r="P75" s="430">
        <f>SUM(P7:P74)</f>
        <v>4582.1577763622918</v>
      </c>
      <c r="Q75" s="431">
        <f t="shared" si="36"/>
        <v>45821.977763622926</v>
      </c>
    </row>
    <row r="76" spans="2:17" x14ac:dyDescent="0.25">
      <c r="I76" s="337"/>
    </row>
    <row r="78" spans="2:17" x14ac:dyDescent="0.25">
      <c r="F78" s="331"/>
    </row>
  </sheetData>
  <mergeCells count="7">
    <mergeCell ref="B75:C75"/>
    <mergeCell ref="I5:N5"/>
    <mergeCell ref="I6:K6"/>
    <mergeCell ref="B3:C4"/>
    <mergeCell ref="D3:E3"/>
    <mergeCell ref="F3:F4"/>
    <mergeCell ref="G3:G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A72"/>
  <sheetViews>
    <sheetView topLeftCell="A14" zoomScale="80" zoomScaleNormal="80" workbookViewId="0">
      <selection activeCell="C44" sqref="C44"/>
    </sheetView>
  </sheetViews>
  <sheetFormatPr baseColWidth="10" defaultRowHeight="15.75" x14ac:dyDescent="0.25"/>
  <cols>
    <col min="1" max="1" width="3" customWidth="1"/>
    <col min="2" max="2" width="4.5" customWidth="1"/>
    <col min="3" max="3" width="73.5" customWidth="1"/>
    <col min="4" max="4" width="13.625" bestFit="1" customWidth="1"/>
    <col min="5" max="5" width="12.5" bestFit="1" customWidth="1"/>
    <col min="6" max="6" width="13.625" bestFit="1" customWidth="1"/>
    <col min="7" max="7" width="12.5" bestFit="1" customWidth="1"/>
    <col min="8" max="8" width="11.375" bestFit="1" customWidth="1"/>
    <col min="9" max="10" width="12.5" bestFit="1" customWidth="1"/>
    <col min="11" max="11" width="11.375" bestFit="1" customWidth="1"/>
    <col min="12" max="13" width="12.5" bestFit="1" customWidth="1"/>
    <col min="14" max="14" width="11.375" bestFit="1" customWidth="1"/>
    <col min="15" max="16" width="12.5" bestFit="1" customWidth="1"/>
    <col min="17" max="17" width="11.375" bestFit="1" customWidth="1"/>
    <col min="18" max="18" width="12.5" bestFit="1" customWidth="1"/>
    <col min="19" max="19" width="11.375" bestFit="1" customWidth="1"/>
    <col min="20" max="20" width="9.875" bestFit="1" customWidth="1"/>
    <col min="21" max="21" width="11.375" bestFit="1" customWidth="1"/>
    <col min="22" max="22" width="19" customWidth="1"/>
    <col min="23" max="23" width="12.5" bestFit="1" customWidth="1"/>
    <col min="24" max="25" width="11" customWidth="1"/>
  </cols>
  <sheetData>
    <row r="1" spans="2:27" ht="21" x14ac:dyDescent="0.35">
      <c r="B1" s="46" t="s">
        <v>144</v>
      </c>
      <c r="C1" s="9"/>
    </row>
    <row r="2" spans="2:27" ht="18.75" customHeight="1" thickBot="1" x14ac:dyDescent="0.4">
      <c r="B2" s="251" t="s">
        <v>327</v>
      </c>
      <c r="C2" s="9"/>
      <c r="F2" s="61"/>
    </row>
    <row r="3" spans="2:27" ht="16.5" thickBot="1" x14ac:dyDescent="0.3">
      <c r="B3" s="663" t="s">
        <v>132</v>
      </c>
      <c r="C3" s="664"/>
      <c r="D3" s="658" t="s">
        <v>145</v>
      </c>
      <c r="E3" s="658"/>
      <c r="F3" s="658"/>
      <c r="G3" s="657" t="s">
        <v>16</v>
      </c>
      <c r="H3" s="658"/>
      <c r="I3" s="659"/>
      <c r="J3" s="658" t="s">
        <v>17</v>
      </c>
      <c r="K3" s="658"/>
      <c r="L3" s="659"/>
      <c r="M3" s="654" t="s">
        <v>18</v>
      </c>
      <c r="N3" s="655"/>
      <c r="O3" s="656"/>
      <c r="P3" s="657" t="s">
        <v>19</v>
      </c>
      <c r="Q3" s="658"/>
      <c r="R3" s="659"/>
      <c r="S3" s="654" t="s">
        <v>133</v>
      </c>
      <c r="T3" s="655"/>
      <c r="U3" s="656"/>
    </row>
    <row r="4" spans="2:27" ht="16.5" thickBot="1" x14ac:dyDescent="0.3">
      <c r="B4" s="665"/>
      <c r="C4" s="666"/>
      <c r="D4" s="106" t="s">
        <v>1</v>
      </c>
      <c r="E4" s="107" t="s">
        <v>2</v>
      </c>
      <c r="F4" s="108" t="s">
        <v>0</v>
      </c>
      <c r="G4" s="109" t="s">
        <v>1</v>
      </c>
      <c r="H4" s="107" t="s">
        <v>2</v>
      </c>
      <c r="I4" s="108" t="s">
        <v>0</v>
      </c>
      <c r="J4" s="106" t="s">
        <v>1</v>
      </c>
      <c r="K4" s="107" t="s">
        <v>2</v>
      </c>
      <c r="L4" s="108" t="s">
        <v>0</v>
      </c>
      <c r="M4" s="102" t="s">
        <v>1</v>
      </c>
      <c r="N4" s="103" t="s">
        <v>2</v>
      </c>
      <c r="O4" s="105" t="s">
        <v>0</v>
      </c>
      <c r="P4" s="106" t="s">
        <v>1</v>
      </c>
      <c r="Q4" s="107" t="s">
        <v>2</v>
      </c>
      <c r="R4" s="108" t="s">
        <v>0</v>
      </c>
      <c r="S4" s="102" t="s">
        <v>1</v>
      </c>
      <c r="T4" s="103" t="s">
        <v>2</v>
      </c>
      <c r="U4" s="104" t="s">
        <v>0</v>
      </c>
    </row>
    <row r="5" spans="2:27" x14ac:dyDescent="0.25">
      <c r="B5" s="189">
        <v>1</v>
      </c>
      <c r="C5" s="193" t="str">
        <f>+'[1]Perfil Modificado'!C5</f>
        <v>Fortalecimiento de la gestión de riesgo de la AFIP</v>
      </c>
      <c r="D5" s="263">
        <f>SUM(D6:D8)</f>
        <v>43219.799999999996</v>
      </c>
      <c r="E5" s="263">
        <f>SUM(E6:E8)</f>
        <v>4802.2</v>
      </c>
      <c r="F5" s="264">
        <f>+E5+D5</f>
        <v>48021.999999999993</v>
      </c>
      <c r="G5" s="265">
        <f t="shared" ref="G5:U5" si="0">SUM(G6:G8)</f>
        <v>6331.5</v>
      </c>
      <c r="H5" s="266">
        <f t="shared" si="0"/>
        <v>703.50000000000011</v>
      </c>
      <c r="I5" s="267">
        <f t="shared" si="0"/>
        <v>7035</v>
      </c>
      <c r="J5" s="263">
        <f t="shared" si="0"/>
        <v>15393.599999999999</v>
      </c>
      <c r="K5" s="266">
        <f t="shared" si="0"/>
        <v>1710.4</v>
      </c>
      <c r="L5" s="268">
        <f t="shared" si="0"/>
        <v>17104</v>
      </c>
      <c r="M5" s="265">
        <f t="shared" si="0"/>
        <v>17232.3</v>
      </c>
      <c r="N5" s="266">
        <f t="shared" si="0"/>
        <v>1914.7</v>
      </c>
      <c r="O5" s="267">
        <f t="shared" si="0"/>
        <v>19147</v>
      </c>
      <c r="P5" s="265">
        <f t="shared" si="0"/>
        <v>3587.4</v>
      </c>
      <c r="Q5" s="266">
        <f t="shared" si="0"/>
        <v>398.6</v>
      </c>
      <c r="R5" s="267">
        <f t="shared" si="0"/>
        <v>3986</v>
      </c>
      <c r="S5" s="265">
        <f t="shared" si="0"/>
        <v>675</v>
      </c>
      <c r="T5" s="266">
        <f t="shared" si="0"/>
        <v>75</v>
      </c>
      <c r="U5" s="267">
        <f t="shared" si="0"/>
        <v>750</v>
      </c>
      <c r="V5" s="61"/>
      <c r="W5" s="61"/>
      <c r="X5" s="61"/>
      <c r="Y5" s="61"/>
    </row>
    <row r="6" spans="2:27" ht="30" customHeight="1" x14ac:dyDescent="0.25">
      <c r="B6" s="190" t="s">
        <v>45</v>
      </c>
      <c r="C6" s="564" t="str">
        <f>+'[1]Perfil Modificado'!C6</f>
        <v xml:space="preserve">Fortalecimiento del control y fiscalización en la administración de tributos internos </v>
      </c>
      <c r="D6" s="565">
        <f>+F6*0.9</f>
        <v>11097</v>
      </c>
      <c r="E6" s="566">
        <f>+F6*0.1</f>
        <v>1233</v>
      </c>
      <c r="F6" s="567">
        <f>+'Presupuesto_Productos (POD)'!C7</f>
        <v>12330</v>
      </c>
      <c r="G6" s="269">
        <f>+I6*0.9</f>
        <v>0</v>
      </c>
      <c r="H6" s="270">
        <f>+I6*0.1</f>
        <v>0</v>
      </c>
      <c r="I6" s="271">
        <v>0</v>
      </c>
      <c r="J6" s="272">
        <f>+L6*0.9</f>
        <v>5001.3</v>
      </c>
      <c r="K6" s="270">
        <f>+L6*0.1</f>
        <v>555.70000000000005</v>
      </c>
      <c r="L6" s="273">
        <v>5557</v>
      </c>
      <c r="M6" s="269">
        <f>+O6*0.9</f>
        <v>2508.3000000000002</v>
      </c>
      <c r="N6" s="270">
        <f>+O6*0.1</f>
        <v>278.7</v>
      </c>
      <c r="O6" s="271">
        <v>2787</v>
      </c>
      <c r="P6" s="269">
        <f>+R6*0.9</f>
        <v>2912.4</v>
      </c>
      <c r="Q6" s="270">
        <f>+R6*0.1</f>
        <v>323.60000000000002</v>
      </c>
      <c r="R6" s="271">
        <v>3236</v>
      </c>
      <c r="S6" s="269">
        <f>+U6*0.9</f>
        <v>675</v>
      </c>
      <c r="T6" s="270">
        <f>+U6*0.1</f>
        <v>75</v>
      </c>
      <c r="U6" s="271">
        <v>750</v>
      </c>
      <c r="V6" s="61"/>
      <c r="W6" s="61"/>
      <c r="X6" s="61"/>
      <c r="Y6" s="61"/>
    </row>
    <row r="7" spans="2:27" ht="45.75" customHeight="1" x14ac:dyDescent="0.25">
      <c r="B7" s="190" t="s">
        <v>50</v>
      </c>
      <c r="C7" s="194" t="str">
        <f>+'[1]Perfil Modificado'!C38</f>
        <v>Fortalecimiento de los controles aduaneros y nueva estrategia de control mediante el uso de medios no intrusivos y una gestión de riesgo integral</v>
      </c>
      <c r="D7" s="274">
        <f>+F7*0.9</f>
        <v>29392.2</v>
      </c>
      <c r="E7" s="275">
        <f>+F7*0.1</f>
        <v>3265.8</v>
      </c>
      <c r="F7" s="273">
        <f>+'Presupuesto_Productos (POD)'!C13</f>
        <v>32658</v>
      </c>
      <c r="G7" s="269">
        <f>+I7*0.9</f>
        <v>5258.7</v>
      </c>
      <c r="H7" s="270">
        <f>+I7*0.1</f>
        <v>584.30000000000007</v>
      </c>
      <c r="I7" s="271">
        <v>5843</v>
      </c>
      <c r="J7" s="272">
        <f>+L7*0.9</f>
        <v>8734.5</v>
      </c>
      <c r="K7" s="270">
        <f>+L7*0.1</f>
        <v>970.5</v>
      </c>
      <c r="L7" s="273">
        <v>9705</v>
      </c>
      <c r="M7" s="269">
        <f>+O7*0.9</f>
        <v>14724</v>
      </c>
      <c r="N7" s="270">
        <f>+O7*0.1</f>
        <v>1636</v>
      </c>
      <c r="O7" s="271">
        <v>16360</v>
      </c>
      <c r="P7" s="269">
        <f>+R7*0.9</f>
        <v>675</v>
      </c>
      <c r="Q7" s="270">
        <f>+R7*0.1</f>
        <v>75</v>
      </c>
      <c r="R7" s="271">
        <v>750</v>
      </c>
      <c r="S7" s="269">
        <f>+U7*0.9</f>
        <v>0</v>
      </c>
      <c r="T7" s="270">
        <f>+U7*0.1</f>
        <v>0</v>
      </c>
      <c r="U7" s="271">
        <v>0</v>
      </c>
      <c r="V7" s="61"/>
      <c r="W7" s="61"/>
      <c r="X7" s="61"/>
      <c r="Y7" s="61"/>
      <c r="Z7" s="61"/>
      <c r="AA7" s="61"/>
    </row>
    <row r="8" spans="2:27" ht="42" customHeight="1" x14ac:dyDescent="0.25">
      <c r="B8" s="190" t="s">
        <v>56</v>
      </c>
      <c r="C8" s="194" t="str">
        <f>+'[1]Perfil Modificado'!C43</f>
        <v>Fortalecimiento del control y fiscalización de los recursos de la seguridad social y mejora de la formalización del sector laboral</v>
      </c>
      <c r="D8" s="274">
        <f>+F8*0.9</f>
        <v>2730.6</v>
      </c>
      <c r="E8" s="275">
        <f>+F8*0.1</f>
        <v>303.40000000000003</v>
      </c>
      <c r="F8" s="273">
        <f>+'Presupuesto_Productos (POD)'!C20</f>
        <v>3034</v>
      </c>
      <c r="G8" s="269">
        <f>+I8*0.9</f>
        <v>1072.8</v>
      </c>
      <c r="H8" s="270">
        <f>+I8*0.1</f>
        <v>119.2</v>
      </c>
      <c r="I8" s="271">
        <v>1192</v>
      </c>
      <c r="J8" s="272">
        <f>+L8*0.9</f>
        <v>1657.8</v>
      </c>
      <c r="K8" s="270">
        <f>+L8*0.1</f>
        <v>184.20000000000002</v>
      </c>
      <c r="L8" s="273">
        <v>1842</v>
      </c>
      <c r="M8" s="269">
        <f>+O8*0.9</f>
        <v>0</v>
      </c>
      <c r="N8" s="270">
        <f>+O8*0.1</f>
        <v>0</v>
      </c>
      <c r="O8" s="271">
        <v>0</v>
      </c>
      <c r="P8" s="269">
        <f>+R8*0.9</f>
        <v>0</v>
      </c>
      <c r="Q8" s="270">
        <f>+R8*0.1</f>
        <v>0</v>
      </c>
      <c r="R8" s="271">
        <v>0</v>
      </c>
      <c r="S8" s="269">
        <f>+U8*0.9</f>
        <v>0</v>
      </c>
      <c r="T8" s="270">
        <f>+U8*0.1</f>
        <v>0</v>
      </c>
      <c r="U8" s="271">
        <v>0</v>
      </c>
      <c r="V8" s="61"/>
      <c r="W8" s="61"/>
      <c r="X8" s="61"/>
      <c r="Y8" s="61"/>
    </row>
    <row r="9" spans="2:27" x14ac:dyDescent="0.25">
      <c r="B9" s="191">
        <v>2</v>
      </c>
      <c r="C9" s="195" t="str">
        <f>+'[1]Perfil Modificado'!C50</f>
        <v>Fortalecimiento de los sistemas de información de la AFIP</v>
      </c>
      <c r="D9" s="276">
        <f>SUM(D10:D12)</f>
        <v>42840</v>
      </c>
      <c r="E9" s="276">
        <f>SUM(E10:E12)</f>
        <v>4760</v>
      </c>
      <c r="F9" s="264">
        <f>+E9+D9</f>
        <v>47600</v>
      </c>
      <c r="G9" s="277">
        <f t="shared" ref="G9:U9" si="1">SUM(G10:G12)</f>
        <v>11844</v>
      </c>
      <c r="H9" s="278">
        <f t="shared" si="1"/>
        <v>1316</v>
      </c>
      <c r="I9" s="279">
        <f t="shared" si="1"/>
        <v>13160</v>
      </c>
      <c r="J9" s="280">
        <f t="shared" si="1"/>
        <v>17374.5</v>
      </c>
      <c r="K9" s="278">
        <f t="shared" si="1"/>
        <v>1930.5</v>
      </c>
      <c r="L9" s="281">
        <f t="shared" si="1"/>
        <v>19305</v>
      </c>
      <c r="M9" s="277">
        <f t="shared" si="1"/>
        <v>7416</v>
      </c>
      <c r="N9" s="278">
        <f t="shared" si="1"/>
        <v>824</v>
      </c>
      <c r="O9" s="279">
        <f t="shared" si="1"/>
        <v>8240</v>
      </c>
      <c r="P9" s="277">
        <f t="shared" si="1"/>
        <v>6205.5</v>
      </c>
      <c r="Q9" s="278">
        <f t="shared" si="1"/>
        <v>689.5</v>
      </c>
      <c r="R9" s="279">
        <f t="shared" si="1"/>
        <v>6895</v>
      </c>
      <c r="S9" s="277">
        <f t="shared" si="1"/>
        <v>0</v>
      </c>
      <c r="T9" s="278">
        <f t="shared" si="1"/>
        <v>0</v>
      </c>
      <c r="U9" s="279">
        <f t="shared" si="1"/>
        <v>0</v>
      </c>
      <c r="V9" s="61"/>
      <c r="W9" s="61"/>
      <c r="X9" s="61"/>
      <c r="Y9" s="61"/>
    </row>
    <row r="10" spans="2:27" x14ac:dyDescent="0.25">
      <c r="B10" s="190" t="s">
        <v>59</v>
      </c>
      <c r="C10" s="564" t="str">
        <f>+'[1]Perfil Modificado'!C51</f>
        <v>Data Center (Software&amp;Hardware y Capacitación)</v>
      </c>
      <c r="D10" s="565">
        <f>+F10*0.9</f>
        <v>18900</v>
      </c>
      <c r="E10" s="566">
        <f>+F10*0.1</f>
        <v>2100</v>
      </c>
      <c r="F10" s="567">
        <f>+'Presupuesto_Productos (POD)'!C28+'Presupuesto_Productos (POD)'!C29+'Presupuesto_Productos (POD)'!C30+'Presupuesto_Productos (POD)'!C31+'Presupuesto_Productos (POD)'!C32+'Presupuesto_Productos (POD)'!C33+'Presupuesto_Productos (POD)'!C34</f>
        <v>21000</v>
      </c>
      <c r="G10" s="269">
        <f>+I10*0.9</f>
        <v>6606</v>
      </c>
      <c r="H10" s="270">
        <f>+I10*0.1</f>
        <v>734</v>
      </c>
      <c r="I10" s="271">
        <v>7340</v>
      </c>
      <c r="J10" s="272">
        <f>+L10*0.9</f>
        <v>8446.5</v>
      </c>
      <c r="K10" s="270">
        <f>+L10*0.1</f>
        <v>938.5</v>
      </c>
      <c r="L10" s="273">
        <v>9385</v>
      </c>
      <c r="M10" s="269">
        <f>+O10*0.9</f>
        <v>1854</v>
      </c>
      <c r="N10" s="270">
        <f>+O10*0.1</f>
        <v>206</v>
      </c>
      <c r="O10" s="271">
        <v>2060</v>
      </c>
      <c r="P10" s="269">
        <f>+R10*0.9</f>
        <v>1993.5</v>
      </c>
      <c r="Q10" s="270">
        <f>+R10*0.1</f>
        <v>221.5</v>
      </c>
      <c r="R10" s="271">
        <v>2215</v>
      </c>
      <c r="S10" s="269">
        <f>+U10*0.9</f>
        <v>0</v>
      </c>
      <c r="T10" s="270">
        <f>+U10*0.1</f>
        <v>0</v>
      </c>
      <c r="U10" s="271">
        <v>0</v>
      </c>
      <c r="V10" s="61"/>
      <c r="W10" s="61"/>
      <c r="X10" s="61"/>
      <c r="Y10" s="61"/>
    </row>
    <row r="11" spans="2:27" x14ac:dyDescent="0.25">
      <c r="B11" s="190" t="s">
        <v>60</v>
      </c>
      <c r="C11" s="564" t="str">
        <f>+'[1]Perfil Modificado'!C52</f>
        <v>Comunicaciones (adquisión de equipos y actualizacion de sistemas)</v>
      </c>
      <c r="D11" s="565">
        <f>+F11*0.9</f>
        <v>11160</v>
      </c>
      <c r="E11" s="566">
        <f>+F11*0.1</f>
        <v>1240</v>
      </c>
      <c r="F11" s="567">
        <f>+'Presupuesto_Productos (POD)'!C35+'Presupuesto_Productos (POD)'!C36+'Presupuesto_Productos (POD)'!C37+'Presupuesto_Productos (POD)'!C38+'Presupuesto_Productos (POD)'!C39+'Presupuesto_Productos (POD)'!C40+'Presupuesto_Productos (POD)'!C41</f>
        <v>12400</v>
      </c>
      <c r="G11" s="269">
        <f>+I11*0.9</f>
        <v>2808</v>
      </c>
      <c r="H11" s="270">
        <f>+I11*0.1</f>
        <v>312</v>
      </c>
      <c r="I11" s="271">
        <v>3120</v>
      </c>
      <c r="J11" s="272">
        <f>+L11*0.9</f>
        <v>4428</v>
      </c>
      <c r="K11" s="270">
        <f>+L11*0.1</f>
        <v>492</v>
      </c>
      <c r="L11" s="273">
        <v>4920</v>
      </c>
      <c r="M11" s="269">
        <f>+O11*0.9</f>
        <v>1962</v>
      </c>
      <c r="N11" s="270">
        <f>+O11*0.1</f>
        <v>218</v>
      </c>
      <c r="O11" s="271">
        <v>2180</v>
      </c>
      <c r="P11" s="269">
        <f>+R11*0.9</f>
        <v>1962</v>
      </c>
      <c r="Q11" s="270">
        <f>+R11*0.1</f>
        <v>218</v>
      </c>
      <c r="R11" s="271">
        <v>2180</v>
      </c>
      <c r="S11" s="269">
        <f>+U11*0.9</f>
        <v>0</v>
      </c>
      <c r="T11" s="270">
        <f>+U11*0.1</f>
        <v>0</v>
      </c>
      <c r="U11" s="271">
        <v>0</v>
      </c>
      <c r="V11" s="61"/>
      <c r="W11" s="61"/>
      <c r="X11" s="61"/>
      <c r="Y11" s="61"/>
    </row>
    <row r="12" spans="2:27" x14ac:dyDescent="0.25">
      <c r="B12" s="190" t="s">
        <v>61</v>
      </c>
      <c r="C12" s="564" t="str">
        <f>+'[1]Perfil Modificado'!C53</f>
        <v>Seguridad Informática (adquisión de equipos y actualización de sistemas)</v>
      </c>
      <c r="D12" s="565">
        <f>+F12*0.9</f>
        <v>12780</v>
      </c>
      <c r="E12" s="566">
        <f>+F12*0.1</f>
        <v>1420</v>
      </c>
      <c r="F12" s="567">
        <f>+'Presupuesto_Productos (POD)'!C42+'Presupuesto_Productos (POD)'!C43+'Presupuesto_Productos (POD)'!C44+'Presupuesto_Productos (POD)'!C45+'Presupuesto_Productos (POD)'!C46+'Presupuesto_Productos (POD)'!C47+'Presupuesto_Productos (POD)'!C48+'Presupuesto_Productos (POD)'!C49</f>
        <v>14200</v>
      </c>
      <c r="G12" s="269">
        <f>+I12*0.9</f>
        <v>2430</v>
      </c>
      <c r="H12" s="270">
        <f>+I12*0.1</f>
        <v>270</v>
      </c>
      <c r="I12" s="271">
        <v>2700</v>
      </c>
      <c r="J12" s="272">
        <f>+L12*0.9</f>
        <v>4500</v>
      </c>
      <c r="K12" s="270">
        <f>+L12*0.1</f>
        <v>500</v>
      </c>
      <c r="L12" s="273">
        <v>5000</v>
      </c>
      <c r="M12" s="269">
        <f>+O12*0.9</f>
        <v>3600</v>
      </c>
      <c r="N12" s="270">
        <f>+O12*0.1</f>
        <v>400</v>
      </c>
      <c r="O12" s="271">
        <v>4000</v>
      </c>
      <c r="P12" s="269">
        <f>+R12*0.9</f>
        <v>2250</v>
      </c>
      <c r="Q12" s="270">
        <f>+R12*0.1</f>
        <v>250</v>
      </c>
      <c r="R12" s="271">
        <v>2500</v>
      </c>
      <c r="S12" s="269">
        <f>+U12*0.9</f>
        <v>0</v>
      </c>
      <c r="T12" s="270">
        <f>+U12*0.1</f>
        <v>0</v>
      </c>
      <c r="U12" s="271">
        <v>0</v>
      </c>
      <c r="V12" s="61"/>
      <c r="W12" s="61"/>
      <c r="X12" s="61"/>
      <c r="Y12" s="61"/>
    </row>
    <row r="13" spans="2:27" ht="31.5" x14ac:dyDescent="0.25">
      <c r="B13" s="191">
        <v>3</v>
      </c>
      <c r="C13" s="195" t="str">
        <f>+'[1]Perfil Modificado'!C54</f>
        <v>Mejora de los servicios de atención al contribuyente y del modelo de gestión, de planificación y desarrollo de servicios de las áreas centrales de la AFIP</v>
      </c>
      <c r="D13" s="276">
        <f>SUM(D14:D16)</f>
        <v>8440.2000000000007</v>
      </c>
      <c r="E13" s="276">
        <f>SUM(E14:E16)</f>
        <v>937.80000000000007</v>
      </c>
      <c r="F13" s="264">
        <f>+E13+D13</f>
        <v>9378</v>
      </c>
      <c r="G13" s="277">
        <f t="shared" ref="G13:N13" si="2">SUM(G14:G16)</f>
        <v>1950.3</v>
      </c>
      <c r="H13" s="278">
        <f t="shared" si="2"/>
        <v>216.70000000000002</v>
      </c>
      <c r="I13" s="279">
        <f t="shared" si="2"/>
        <v>2167</v>
      </c>
      <c r="J13" s="280">
        <f t="shared" si="2"/>
        <v>6489.9</v>
      </c>
      <c r="K13" s="278">
        <f t="shared" si="2"/>
        <v>721.1</v>
      </c>
      <c r="L13" s="281">
        <f t="shared" si="2"/>
        <v>7211</v>
      </c>
      <c r="M13" s="277">
        <f t="shared" si="2"/>
        <v>0</v>
      </c>
      <c r="N13" s="278">
        <f t="shared" si="2"/>
        <v>0</v>
      </c>
      <c r="O13" s="279">
        <v>0</v>
      </c>
      <c r="P13" s="277">
        <f>SUM(P14:P16)</f>
        <v>0</v>
      </c>
      <c r="Q13" s="278">
        <f>SUM(Q14:Q16)</f>
        <v>0</v>
      </c>
      <c r="R13" s="279">
        <v>0</v>
      </c>
      <c r="S13" s="277">
        <f>SUM(S14:S16)</f>
        <v>0</v>
      </c>
      <c r="T13" s="278">
        <f>SUM(T14:T16)</f>
        <v>0</v>
      </c>
      <c r="U13" s="279">
        <v>0</v>
      </c>
      <c r="V13" s="61"/>
      <c r="W13" s="61"/>
      <c r="X13" s="61"/>
      <c r="Y13" s="61"/>
    </row>
    <row r="14" spans="2:27" ht="32.25" customHeight="1" x14ac:dyDescent="0.25">
      <c r="B14" s="190" t="s">
        <v>63</v>
      </c>
      <c r="C14" s="194" t="str">
        <f>+'[1]Perfil Modificado'!C55</f>
        <v>Mejora normativa, simplificación de procedimientos y cambio de enfoque en la atención (CRM)</v>
      </c>
      <c r="D14" s="274">
        <f>+F14*0.9</f>
        <v>4095</v>
      </c>
      <c r="E14" s="275">
        <f>+F14*0.1</f>
        <v>455</v>
      </c>
      <c r="F14" s="273">
        <f>+'Presupuesto_Productos (POD)'!C51</f>
        <v>4550</v>
      </c>
      <c r="G14" s="269">
        <f>+I14*0.9</f>
        <v>0</v>
      </c>
      <c r="H14" s="270">
        <f>+I14*0.1</f>
        <v>0</v>
      </c>
      <c r="I14" s="271">
        <v>0</v>
      </c>
      <c r="J14" s="272">
        <f>+L14*0.9</f>
        <v>4095</v>
      </c>
      <c r="K14" s="270">
        <f>+L14*0.1</f>
        <v>455</v>
      </c>
      <c r="L14" s="273">
        <v>4550</v>
      </c>
      <c r="M14" s="269">
        <f>+O14*0.9</f>
        <v>0</v>
      </c>
      <c r="N14" s="270">
        <f>+O14*0.1</f>
        <v>0</v>
      </c>
      <c r="O14" s="271">
        <v>0</v>
      </c>
      <c r="P14" s="269">
        <f>+R14*0.9</f>
        <v>0</v>
      </c>
      <c r="Q14" s="270">
        <f>+R14*0.1</f>
        <v>0</v>
      </c>
      <c r="R14" s="271">
        <v>0</v>
      </c>
      <c r="S14" s="269">
        <f>+U14*0.9</f>
        <v>0</v>
      </c>
      <c r="T14" s="270">
        <f>+U14*0.1</f>
        <v>0</v>
      </c>
      <c r="U14" s="271">
        <v>0</v>
      </c>
      <c r="V14" s="61"/>
      <c r="W14" s="61"/>
      <c r="X14" s="61"/>
      <c r="Y14" s="61"/>
    </row>
    <row r="15" spans="2:27" ht="31.5" x14ac:dyDescent="0.25">
      <c r="B15" s="190" t="s">
        <v>64</v>
      </c>
      <c r="C15" s="194" t="str">
        <f>+'[1]Perfil Modificado'!C63</f>
        <v>Incorporación de nuevos medios y tecnologías y reorientación del rol de las sucursales/agencias que constituyen el despliegue territorial de la AFIP</v>
      </c>
      <c r="D15" s="274">
        <f>+F15*0.9</f>
        <v>1950.3</v>
      </c>
      <c r="E15" s="275">
        <f>+F15*0.1</f>
        <v>216.70000000000002</v>
      </c>
      <c r="F15" s="273">
        <f>+'Presupuesto_Productos (POD)'!C52</f>
        <v>2167</v>
      </c>
      <c r="G15" s="269">
        <f>+I15*0.9</f>
        <v>1950.3</v>
      </c>
      <c r="H15" s="270">
        <f>+I15*0.1</f>
        <v>216.70000000000002</v>
      </c>
      <c r="I15" s="271">
        <v>2167</v>
      </c>
      <c r="J15" s="272">
        <f>+L15*0.9</f>
        <v>0</v>
      </c>
      <c r="K15" s="270">
        <f>+L15*0.1</f>
        <v>0</v>
      </c>
      <c r="L15" s="273">
        <v>0</v>
      </c>
      <c r="M15" s="269">
        <f>+O15*0.9</f>
        <v>0</v>
      </c>
      <c r="N15" s="270">
        <f>+O15*0.1</f>
        <v>0</v>
      </c>
      <c r="O15" s="271">
        <v>0</v>
      </c>
      <c r="P15" s="269">
        <f>+R15*0.9</f>
        <v>0</v>
      </c>
      <c r="Q15" s="270">
        <f>+R15*0.1</f>
        <v>0</v>
      </c>
      <c r="R15" s="271">
        <v>0</v>
      </c>
      <c r="S15" s="269">
        <f>+U15*0.9</f>
        <v>0</v>
      </c>
      <c r="T15" s="270">
        <f>+U15*0.1</f>
        <v>0</v>
      </c>
      <c r="U15" s="271">
        <v>0</v>
      </c>
      <c r="V15" s="61"/>
      <c r="W15" s="61"/>
      <c r="X15" s="61"/>
      <c r="Y15" s="61"/>
    </row>
    <row r="16" spans="2:27" x14ac:dyDescent="0.25">
      <c r="B16" s="190" t="s">
        <v>66</v>
      </c>
      <c r="C16" s="194" t="str">
        <f>+'[1]Perfil Modificado'!C68</f>
        <v>Nuevo modelo de gestión, planificación y organización</v>
      </c>
      <c r="D16" s="274">
        <f>+F16*0.9</f>
        <v>2394.9</v>
      </c>
      <c r="E16" s="275">
        <f>+F16*0.1</f>
        <v>266.10000000000002</v>
      </c>
      <c r="F16" s="282">
        <f>+'Presupuesto_Productos (POD)'!C53</f>
        <v>2661</v>
      </c>
      <c r="G16" s="269">
        <f>+I16*0.9</f>
        <v>0</v>
      </c>
      <c r="H16" s="270">
        <f>+I16*0.1</f>
        <v>0</v>
      </c>
      <c r="I16" s="271">
        <v>0</v>
      </c>
      <c r="J16" s="272">
        <f>+L16*0.9</f>
        <v>2394.9</v>
      </c>
      <c r="K16" s="270">
        <f>+L16*0.1</f>
        <v>266.10000000000002</v>
      </c>
      <c r="L16" s="273">
        <v>2661</v>
      </c>
      <c r="M16" s="269">
        <f>+O16*0.9</f>
        <v>0</v>
      </c>
      <c r="N16" s="270">
        <f>+O16*0.1</f>
        <v>0</v>
      </c>
      <c r="O16" s="271">
        <v>0</v>
      </c>
      <c r="P16" s="269">
        <f>+R16*0.9</f>
        <v>0</v>
      </c>
      <c r="Q16" s="270">
        <f>+R16*0.1</f>
        <v>0</v>
      </c>
      <c r="R16" s="271">
        <v>0</v>
      </c>
      <c r="S16" s="269">
        <f>+U16*0.9</f>
        <v>0</v>
      </c>
      <c r="T16" s="270">
        <f>+U16*0.1</f>
        <v>0</v>
      </c>
      <c r="U16" s="271">
        <v>0</v>
      </c>
      <c r="V16" s="61"/>
      <c r="W16" s="61"/>
      <c r="X16" s="61"/>
      <c r="Y16" s="61"/>
    </row>
    <row r="17" spans="2:25" ht="16.5" thickBot="1" x14ac:dyDescent="0.3">
      <c r="B17" s="192">
        <v>4</v>
      </c>
      <c r="C17" s="196" t="str">
        <f>+'[1]Perfil Modificado'!C74</f>
        <v>Administración y gestión del programa</v>
      </c>
      <c r="D17" s="274">
        <f>+F17*0.9</f>
        <v>4950</v>
      </c>
      <c r="E17" s="274">
        <f>+F17*0.1</f>
        <v>550</v>
      </c>
      <c r="F17" s="358">
        <f>+'Presupuesto_Productos (POD)'!C54</f>
        <v>5500</v>
      </c>
      <c r="G17" s="269">
        <f>+I17*0.9</f>
        <v>990</v>
      </c>
      <c r="H17" s="270">
        <f>+I17*0.1</f>
        <v>110</v>
      </c>
      <c r="I17" s="271">
        <v>1100</v>
      </c>
      <c r="J17" s="272">
        <f>+L17*0.9</f>
        <v>990</v>
      </c>
      <c r="K17" s="270">
        <f>+L17*0.1</f>
        <v>110</v>
      </c>
      <c r="L17" s="273">
        <f>+F17/5</f>
        <v>1100</v>
      </c>
      <c r="M17" s="269">
        <f>+O17*0.9</f>
        <v>990</v>
      </c>
      <c r="N17" s="270">
        <f>+O17*0.1</f>
        <v>110</v>
      </c>
      <c r="O17" s="271">
        <v>1100</v>
      </c>
      <c r="P17" s="269">
        <f>+R17*0.9</f>
        <v>990</v>
      </c>
      <c r="Q17" s="270">
        <f>+R17*0.1</f>
        <v>110</v>
      </c>
      <c r="R17" s="271">
        <v>1100</v>
      </c>
      <c r="S17" s="269">
        <f>+U17*0.9</f>
        <v>990</v>
      </c>
      <c r="T17" s="270">
        <f>+U17*0.1</f>
        <v>110</v>
      </c>
      <c r="U17" s="271">
        <v>1100</v>
      </c>
      <c r="V17" s="61"/>
      <c r="W17" s="61"/>
      <c r="X17" s="61"/>
      <c r="Y17" s="61"/>
    </row>
    <row r="18" spans="2:25" ht="16.5" customHeight="1" thickBot="1" x14ac:dyDescent="0.3">
      <c r="B18" s="661" t="s">
        <v>79</v>
      </c>
      <c r="C18" s="662"/>
      <c r="D18" s="283">
        <f t="shared" ref="D18:U18" si="3">+D17+D13+D9+D5</f>
        <v>99450</v>
      </c>
      <c r="E18" s="283">
        <f t="shared" si="3"/>
        <v>11050</v>
      </c>
      <c r="F18" s="283">
        <f t="shared" si="3"/>
        <v>110500</v>
      </c>
      <c r="G18" s="284">
        <f t="shared" si="3"/>
        <v>21115.8</v>
      </c>
      <c r="H18" s="285">
        <f t="shared" si="3"/>
        <v>2346.2000000000003</v>
      </c>
      <c r="I18" s="286">
        <f t="shared" si="3"/>
        <v>23462</v>
      </c>
      <c r="J18" s="287">
        <f t="shared" si="3"/>
        <v>40248</v>
      </c>
      <c r="K18" s="285">
        <f t="shared" si="3"/>
        <v>4472</v>
      </c>
      <c r="L18" s="288">
        <f t="shared" si="3"/>
        <v>44720</v>
      </c>
      <c r="M18" s="284">
        <f t="shared" si="3"/>
        <v>25638.3</v>
      </c>
      <c r="N18" s="285">
        <f t="shared" si="3"/>
        <v>2848.7</v>
      </c>
      <c r="O18" s="286">
        <f t="shared" si="3"/>
        <v>28487</v>
      </c>
      <c r="P18" s="284">
        <f t="shared" si="3"/>
        <v>10782.9</v>
      </c>
      <c r="Q18" s="285">
        <f t="shared" si="3"/>
        <v>1198.0999999999999</v>
      </c>
      <c r="R18" s="286">
        <f t="shared" si="3"/>
        <v>11981</v>
      </c>
      <c r="S18" s="284">
        <f t="shared" si="3"/>
        <v>1665</v>
      </c>
      <c r="T18" s="285">
        <f t="shared" si="3"/>
        <v>185</v>
      </c>
      <c r="U18" s="286">
        <f t="shared" si="3"/>
        <v>1850</v>
      </c>
      <c r="V18" s="61"/>
      <c r="W18" s="61"/>
      <c r="X18" s="61"/>
      <c r="Y18" s="61"/>
    </row>
    <row r="19" spans="2:25" ht="16.5" customHeight="1" x14ac:dyDescent="0.25">
      <c r="W19" s="61"/>
      <c r="X19" s="61"/>
      <c r="Y19" s="61"/>
    </row>
    <row r="20" spans="2:25" ht="24" hidden="1" customHeight="1" x14ac:dyDescent="0.3">
      <c r="B20" s="660" t="s">
        <v>356</v>
      </c>
      <c r="C20" s="660"/>
      <c r="W20" s="61"/>
      <c r="X20" s="61"/>
      <c r="Y20" s="61"/>
    </row>
    <row r="21" spans="2:25" hidden="1" x14ac:dyDescent="0.25">
      <c r="B21" s="251" t="s">
        <v>327</v>
      </c>
      <c r="C21" s="95"/>
      <c r="D21" s="97"/>
      <c r="E21" s="199"/>
      <c r="F21" s="198"/>
      <c r="G21" s="97"/>
      <c r="V21" s="61"/>
      <c r="W21" s="61"/>
      <c r="X21" s="61"/>
    </row>
    <row r="22" spans="2:25" hidden="1" x14ac:dyDescent="0.25">
      <c r="B22" s="348" t="s">
        <v>132</v>
      </c>
      <c r="C22" s="353"/>
      <c r="D22" s="359" t="s">
        <v>1</v>
      </c>
      <c r="E22" s="360" t="s">
        <v>43</v>
      </c>
      <c r="F22" s="361" t="s">
        <v>41</v>
      </c>
      <c r="G22" s="359" t="s">
        <v>1</v>
      </c>
      <c r="H22" s="360" t="s">
        <v>43</v>
      </c>
      <c r="I22" s="361" t="s">
        <v>41</v>
      </c>
      <c r="V22" s="61"/>
      <c r="W22" s="61"/>
      <c r="X22" s="61"/>
    </row>
    <row r="23" spans="2:25" hidden="1" x14ac:dyDescent="0.25">
      <c r="B23" s="349">
        <v>1</v>
      </c>
      <c r="C23" s="351" t="s">
        <v>44</v>
      </c>
      <c r="D23" s="352">
        <f>SUM(D24:D26)</f>
        <v>14028.3</v>
      </c>
      <c r="E23" s="352">
        <f>SUM(E24:E26)</f>
        <v>1558.7</v>
      </c>
      <c r="F23" s="354">
        <f>+D23+E23</f>
        <v>15587</v>
      </c>
      <c r="G23" s="356">
        <f t="shared" ref="G23:G36" si="4">+D23/D5</f>
        <v>0.32458040064970223</v>
      </c>
      <c r="H23" s="356">
        <f t="shared" ref="H23:H36" si="5">+E23/E5</f>
        <v>0.32458040064970223</v>
      </c>
      <c r="I23" s="356">
        <f t="shared" ref="I23:I36" si="6">+F23/F5</f>
        <v>0.32458040064970228</v>
      </c>
      <c r="K23" s="331"/>
      <c r="V23" s="61"/>
      <c r="W23" s="61"/>
    </row>
    <row r="24" spans="2:25" hidden="1" x14ac:dyDescent="0.25">
      <c r="B24" s="350" t="s">
        <v>45</v>
      </c>
      <c r="C24" s="351" t="s">
        <v>46</v>
      </c>
      <c r="D24" s="352">
        <f t="shared" ref="D24:F26" si="7">G6+(J6/2)</f>
        <v>2500.65</v>
      </c>
      <c r="E24" s="352">
        <f t="shared" si="7"/>
        <v>277.85000000000002</v>
      </c>
      <c r="F24" s="352">
        <f t="shared" si="7"/>
        <v>2778.5</v>
      </c>
      <c r="G24" s="355">
        <f t="shared" si="4"/>
        <v>0.22534468775344688</v>
      </c>
      <c r="H24" s="355">
        <f t="shared" si="5"/>
        <v>0.2253446877534469</v>
      </c>
      <c r="I24" s="355">
        <f t="shared" si="6"/>
        <v>0.22534468775344688</v>
      </c>
      <c r="K24" s="100"/>
      <c r="V24" s="96"/>
    </row>
    <row r="25" spans="2:25" ht="31.5" hidden="1" x14ac:dyDescent="0.25">
      <c r="B25" s="350" t="s">
        <v>50</v>
      </c>
      <c r="C25" s="351" t="s">
        <v>51</v>
      </c>
      <c r="D25" s="352">
        <f t="shared" si="7"/>
        <v>9625.9500000000007</v>
      </c>
      <c r="E25" s="352">
        <f t="shared" si="7"/>
        <v>1069.5500000000002</v>
      </c>
      <c r="F25" s="352">
        <f t="shared" si="7"/>
        <v>10695.5</v>
      </c>
      <c r="G25" s="355">
        <f t="shared" si="4"/>
        <v>0.32750015310184338</v>
      </c>
      <c r="H25" s="355">
        <f t="shared" si="5"/>
        <v>0.32750015310184338</v>
      </c>
      <c r="I25" s="355">
        <f t="shared" si="6"/>
        <v>0.32750015310184333</v>
      </c>
      <c r="L25" s="330"/>
      <c r="V25" s="96"/>
    </row>
    <row r="26" spans="2:25" ht="31.5" hidden="1" x14ac:dyDescent="0.25">
      <c r="B26" s="350" t="s">
        <v>56</v>
      </c>
      <c r="C26" s="351" t="s">
        <v>57</v>
      </c>
      <c r="D26" s="352">
        <f t="shared" si="7"/>
        <v>1901.6999999999998</v>
      </c>
      <c r="E26" s="352">
        <f t="shared" si="7"/>
        <v>211.3</v>
      </c>
      <c r="F26" s="352">
        <f t="shared" si="7"/>
        <v>2113</v>
      </c>
      <c r="G26" s="355">
        <f t="shared" si="4"/>
        <v>0.69644034278180611</v>
      </c>
      <c r="H26" s="355">
        <f t="shared" si="5"/>
        <v>0.69644034278180611</v>
      </c>
      <c r="I26" s="355">
        <f t="shared" si="6"/>
        <v>0.69644034278180622</v>
      </c>
      <c r="V26" s="96"/>
    </row>
    <row r="27" spans="2:25" hidden="1" x14ac:dyDescent="0.25">
      <c r="B27" s="349">
        <v>2</v>
      </c>
      <c r="C27" s="351" t="s">
        <v>58</v>
      </c>
      <c r="D27" s="352">
        <f>SUM(D28:D30)</f>
        <v>20531.25</v>
      </c>
      <c r="E27" s="352">
        <f>SUM(E28:E30)</f>
        <v>2281.25</v>
      </c>
      <c r="F27" s="354">
        <f>+E27+D27</f>
        <v>22812.5</v>
      </c>
      <c r="G27" s="356">
        <f t="shared" si="4"/>
        <v>0.47925420168067229</v>
      </c>
      <c r="H27" s="356">
        <f t="shared" si="5"/>
        <v>0.47925420168067229</v>
      </c>
      <c r="I27" s="356">
        <f t="shared" si="6"/>
        <v>0.47925420168067229</v>
      </c>
    </row>
    <row r="28" spans="2:25" hidden="1" x14ac:dyDescent="0.25">
      <c r="B28" s="350" t="s">
        <v>59</v>
      </c>
      <c r="C28" s="351" t="s">
        <v>190</v>
      </c>
      <c r="D28" s="352">
        <f t="shared" ref="D28:F30" si="8">G10+(J10/2)</f>
        <v>10829.25</v>
      </c>
      <c r="E28" s="352">
        <f t="shared" si="8"/>
        <v>1203.25</v>
      </c>
      <c r="F28" s="352">
        <f t="shared" si="8"/>
        <v>12032.5</v>
      </c>
      <c r="G28" s="355">
        <f>+D28/D10</f>
        <v>0.57297619047619053</v>
      </c>
      <c r="H28" s="355">
        <f t="shared" si="5"/>
        <v>0.57297619047619053</v>
      </c>
      <c r="I28" s="355">
        <f t="shared" si="6"/>
        <v>0.57297619047619053</v>
      </c>
    </row>
    <row r="29" spans="2:25" hidden="1" x14ac:dyDescent="0.25">
      <c r="B29" s="350" t="s">
        <v>60</v>
      </c>
      <c r="C29" s="351" t="s">
        <v>191</v>
      </c>
      <c r="D29" s="352">
        <f t="shared" si="8"/>
        <v>5022</v>
      </c>
      <c r="E29" s="352">
        <f t="shared" si="8"/>
        <v>558</v>
      </c>
      <c r="F29" s="352">
        <f t="shared" si="8"/>
        <v>5580</v>
      </c>
      <c r="G29" s="355">
        <f t="shared" si="4"/>
        <v>0.45</v>
      </c>
      <c r="H29" s="355">
        <f t="shared" si="5"/>
        <v>0.45</v>
      </c>
      <c r="I29" s="355">
        <f t="shared" si="6"/>
        <v>0.45</v>
      </c>
    </row>
    <row r="30" spans="2:25" hidden="1" x14ac:dyDescent="0.25">
      <c r="B30" s="350" t="s">
        <v>61</v>
      </c>
      <c r="C30" s="351" t="s">
        <v>192</v>
      </c>
      <c r="D30" s="352">
        <f t="shared" si="8"/>
        <v>4680</v>
      </c>
      <c r="E30" s="352">
        <f t="shared" si="8"/>
        <v>520</v>
      </c>
      <c r="F30" s="352">
        <f t="shared" si="8"/>
        <v>5200</v>
      </c>
      <c r="G30" s="355">
        <f t="shared" si="4"/>
        <v>0.36619718309859156</v>
      </c>
      <c r="H30" s="355">
        <f t="shared" si="5"/>
        <v>0.36619718309859156</v>
      </c>
      <c r="I30" s="355">
        <f t="shared" si="6"/>
        <v>0.36619718309859156</v>
      </c>
    </row>
    <row r="31" spans="2:25" ht="31.5" hidden="1" x14ac:dyDescent="0.25">
      <c r="B31" s="349">
        <v>3</v>
      </c>
      <c r="C31" s="351" t="s">
        <v>62</v>
      </c>
      <c r="D31" s="352">
        <f>SUM(D32:D34)</f>
        <v>5195.25</v>
      </c>
      <c r="E31" s="352">
        <f>SUM(E32:E34)</f>
        <v>577.25</v>
      </c>
      <c r="F31" s="354">
        <f>+D31+E31</f>
        <v>5772.5</v>
      </c>
      <c r="G31" s="356">
        <f t="shared" si="4"/>
        <v>0.61553636169759007</v>
      </c>
      <c r="H31" s="356">
        <f t="shared" si="5"/>
        <v>0.61553636169759007</v>
      </c>
      <c r="I31" s="356">
        <f t="shared" si="6"/>
        <v>0.61553636169759007</v>
      </c>
    </row>
    <row r="32" spans="2:25" ht="31.5" hidden="1" x14ac:dyDescent="0.25">
      <c r="B32" s="350" t="s">
        <v>63</v>
      </c>
      <c r="C32" s="351" t="s">
        <v>193</v>
      </c>
      <c r="D32" s="352">
        <f t="shared" ref="D32:F35" si="9">G14+(J14/2)</f>
        <v>2047.5</v>
      </c>
      <c r="E32" s="352">
        <f t="shared" si="9"/>
        <v>227.5</v>
      </c>
      <c r="F32" s="352">
        <f t="shared" si="9"/>
        <v>2275</v>
      </c>
      <c r="G32" s="355">
        <f t="shared" si="4"/>
        <v>0.5</v>
      </c>
      <c r="H32" s="355">
        <f t="shared" si="5"/>
        <v>0.5</v>
      </c>
      <c r="I32" s="355">
        <f t="shared" si="6"/>
        <v>0.5</v>
      </c>
    </row>
    <row r="33" spans="2:9" ht="31.5" hidden="1" x14ac:dyDescent="0.25">
      <c r="B33" s="350" t="s">
        <v>64</v>
      </c>
      <c r="C33" s="351" t="s">
        <v>65</v>
      </c>
      <c r="D33" s="352">
        <f t="shared" si="9"/>
        <v>1950.3</v>
      </c>
      <c r="E33" s="352">
        <f t="shared" si="9"/>
        <v>216.70000000000002</v>
      </c>
      <c r="F33" s="352">
        <f t="shared" si="9"/>
        <v>2167</v>
      </c>
      <c r="G33" s="355">
        <f t="shared" si="4"/>
        <v>1</v>
      </c>
      <c r="H33" s="355">
        <f t="shared" si="5"/>
        <v>1</v>
      </c>
      <c r="I33" s="355">
        <f t="shared" si="6"/>
        <v>1</v>
      </c>
    </row>
    <row r="34" spans="2:9" hidden="1" x14ac:dyDescent="0.25">
      <c r="B34" s="350" t="s">
        <v>66</v>
      </c>
      <c r="C34" s="351" t="s">
        <v>67</v>
      </c>
      <c r="D34" s="352">
        <f t="shared" si="9"/>
        <v>1197.45</v>
      </c>
      <c r="E34" s="352">
        <f t="shared" si="9"/>
        <v>133.05000000000001</v>
      </c>
      <c r="F34" s="352">
        <f t="shared" si="9"/>
        <v>1330.5</v>
      </c>
      <c r="G34" s="355">
        <f t="shared" si="4"/>
        <v>0.5</v>
      </c>
      <c r="H34" s="355">
        <f t="shared" si="5"/>
        <v>0.5</v>
      </c>
      <c r="I34" s="355">
        <f t="shared" si="6"/>
        <v>0.5</v>
      </c>
    </row>
    <row r="35" spans="2:9" ht="16.5" hidden="1" thickBot="1" x14ac:dyDescent="0.3">
      <c r="B35" s="362">
        <v>4</v>
      </c>
      <c r="C35" s="363" t="s">
        <v>69</v>
      </c>
      <c r="D35" s="364">
        <f t="shared" si="9"/>
        <v>1485</v>
      </c>
      <c r="E35" s="364">
        <f t="shared" si="9"/>
        <v>165</v>
      </c>
      <c r="F35" s="365">
        <f t="shared" si="9"/>
        <v>1650</v>
      </c>
      <c r="G35" s="366">
        <f t="shared" si="4"/>
        <v>0.3</v>
      </c>
      <c r="H35" s="366">
        <f t="shared" si="5"/>
        <v>0.3</v>
      </c>
      <c r="I35" s="366">
        <f t="shared" si="6"/>
        <v>0.3</v>
      </c>
    </row>
    <row r="36" spans="2:9" ht="16.5" hidden="1" thickBot="1" x14ac:dyDescent="0.3">
      <c r="B36" s="367"/>
      <c r="C36" s="368" t="s">
        <v>79</v>
      </c>
      <c r="D36" s="369">
        <f>+D35+D31+D27+D23</f>
        <v>41239.800000000003</v>
      </c>
      <c r="E36" s="369">
        <f>+E35+E31+E27+E23</f>
        <v>4582.2</v>
      </c>
      <c r="F36" s="369">
        <f>+F35+F31+F27+F23</f>
        <v>45822</v>
      </c>
      <c r="G36" s="370">
        <f t="shared" si="4"/>
        <v>0.41467873303167424</v>
      </c>
      <c r="H36" s="370">
        <f t="shared" si="5"/>
        <v>0.41467873303167418</v>
      </c>
      <c r="I36" s="371">
        <f t="shared" si="6"/>
        <v>0.41467873303167418</v>
      </c>
    </row>
    <row r="37" spans="2:9" x14ac:dyDescent="0.25">
      <c r="C37" s="95"/>
      <c r="F37" s="330"/>
    </row>
    <row r="38" spans="2:9" x14ac:dyDescent="0.25">
      <c r="C38" s="95"/>
      <c r="D38" s="95"/>
      <c r="E38" s="95"/>
      <c r="F38" s="95"/>
      <c r="G38" s="95"/>
    </row>
    <row r="39" spans="2:9" x14ac:dyDescent="0.25">
      <c r="C39" s="95"/>
      <c r="D39" s="95"/>
      <c r="E39" s="95"/>
      <c r="F39" s="95"/>
      <c r="G39" s="95"/>
    </row>
    <row r="40" spans="2:9" x14ac:dyDescent="0.25">
      <c r="C40" s="95"/>
    </row>
    <row r="41" spans="2:9" x14ac:dyDescent="0.25">
      <c r="C41" s="95"/>
    </row>
    <row r="42" spans="2:9" x14ac:dyDescent="0.25">
      <c r="C42" s="95"/>
    </row>
    <row r="43" spans="2:9" x14ac:dyDescent="0.25">
      <c r="C43" s="95"/>
    </row>
    <row r="44" spans="2:9" x14ac:dyDescent="0.25">
      <c r="C44" s="95"/>
    </row>
    <row r="45" spans="2:9" x14ac:dyDescent="0.25">
      <c r="C45" s="95"/>
    </row>
    <row r="46" spans="2:9" x14ac:dyDescent="0.25">
      <c r="C46" s="95"/>
    </row>
    <row r="47" spans="2:9" x14ac:dyDescent="0.25">
      <c r="C47" s="95"/>
    </row>
    <row r="48" spans="2:9" x14ac:dyDescent="0.25">
      <c r="C48" s="95"/>
    </row>
    <row r="49" spans="3:3" x14ac:dyDescent="0.25">
      <c r="C49" s="95"/>
    </row>
    <row r="50" spans="3:3" x14ac:dyDescent="0.25">
      <c r="C50" s="95"/>
    </row>
    <row r="51" spans="3:3" x14ac:dyDescent="0.25">
      <c r="C51" s="95"/>
    </row>
    <row r="52" spans="3:3" x14ac:dyDescent="0.25">
      <c r="C52" s="95"/>
    </row>
    <row r="53" spans="3:3" x14ac:dyDescent="0.25">
      <c r="C53" s="95"/>
    </row>
    <row r="54" spans="3:3" x14ac:dyDescent="0.25">
      <c r="C54" s="95"/>
    </row>
    <row r="55" spans="3:3" x14ac:dyDescent="0.25">
      <c r="C55" s="95"/>
    </row>
    <row r="56" spans="3:3" x14ac:dyDescent="0.25">
      <c r="C56" s="95"/>
    </row>
    <row r="57" spans="3:3" x14ac:dyDescent="0.25">
      <c r="C57" s="95"/>
    </row>
    <row r="58" spans="3:3" x14ac:dyDescent="0.25">
      <c r="C58" s="95"/>
    </row>
    <row r="59" spans="3:3" x14ac:dyDescent="0.25">
      <c r="C59" s="95"/>
    </row>
    <row r="60" spans="3:3" x14ac:dyDescent="0.25">
      <c r="C60" s="95"/>
    </row>
    <row r="61" spans="3:3" x14ac:dyDescent="0.25">
      <c r="C61" s="95"/>
    </row>
    <row r="62" spans="3:3" x14ac:dyDescent="0.25">
      <c r="C62" s="95"/>
    </row>
    <row r="63" spans="3:3" x14ac:dyDescent="0.25">
      <c r="C63" s="95"/>
    </row>
    <row r="64" spans="3:3" x14ac:dyDescent="0.25">
      <c r="C64" s="95"/>
    </row>
    <row r="65" spans="3:3" x14ac:dyDescent="0.25">
      <c r="C65" s="95"/>
    </row>
    <row r="66" spans="3:3" x14ac:dyDescent="0.25">
      <c r="C66" s="95"/>
    </row>
    <row r="67" spans="3:3" x14ac:dyDescent="0.25">
      <c r="C67" s="95"/>
    </row>
    <row r="68" spans="3:3" x14ac:dyDescent="0.25">
      <c r="C68" s="95"/>
    </row>
    <row r="69" spans="3:3" x14ac:dyDescent="0.25">
      <c r="C69" s="95"/>
    </row>
    <row r="70" spans="3:3" x14ac:dyDescent="0.25">
      <c r="C70" s="95"/>
    </row>
    <row r="71" spans="3:3" x14ac:dyDescent="0.25">
      <c r="C71" s="95"/>
    </row>
    <row r="72" spans="3:3" x14ac:dyDescent="0.25">
      <c r="C72" s="95"/>
    </row>
  </sheetData>
  <mergeCells count="9">
    <mergeCell ref="M3:O3"/>
    <mergeCell ref="P3:R3"/>
    <mergeCell ref="S3:U3"/>
    <mergeCell ref="B20:C20"/>
    <mergeCell ref="B18:C18"/>
    <mergeCell ref="D3:F3"/>
    <mergeCell ref="G3:I3"/>
    <mergeCell ref="B3:C4"/>
    <mergeCell ref="J3:L3"/>
  </mergeCells>
  <pageMargins left="0.7" right="0.7" top="0.75" bottom="0.75" header="0.3" footer="0.3"/>
  <pageSetup paperSize="9"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
  <sheetViews>
    <sheetView zoomScale="90" zoomScaleNormal="90" workbookViewId="0">
      <selection activeCell="G4" sqref="G4"/>
    </sheetView>
  </sheetViews>
  <sheetFormatPr baseColWidth="10" defaultRowHeight="15.75" x14ac:dyDescent="0.25"/>
  <cols>
    <col min="1" max="1" width="2.5" style="250" customWidth="1"/>
    <col min="2" max="2" width="26" style="250" customWidth="1"/>
    <col min="3" max="16384" width="11" style="250"/>
  </cols>
  <sheetData>
    <row r="1" spans="2:8" ht="18.75" x14ac:dyDescent="0.3">
      <c r="B1" s="249" t="s">
        <v>146</v>
      </c>
    </row>
    <row r="2" spans="2:8" ht="15" customHeight="1" thickBot="1" x14ac:dyDescent="0.3">
      <c r="B2" s="251" t="s">
        <v>327</v>
      </c>
    </row>
    <row r="3" spans="2:8" ht="16.5" thickBot="1" x14ac:dyDescent="0.3">
      <c r="B3" s="252" t="s">
        <v>134</v>
      </c>
      <c r="C3" s="253" t="s">
        <v>16</v>
      </c>
      <c r="D3" s="253" t="s">
        <v>17</v>
      </c>
      <c r="E3" s="253" t="s">
        <v>18</v>
      </c>
      <c r="F3" s="253" t="s">
        <v>19</v>
      </c>
      <c r="G3" s="253" t="s">
        <v>133</v>
      </c>
      <c r="H3" s="253" t="s">
        <v>0</v>
      </c>
    </row>
    <row r="4" spans="2:8" ht="16.5" thickBot="1" x14ac:dyDescent="0.3">
      <c r="B4" s="254" t="s">
        <v>1</v>
      </c>
      <c r="C4" s="255">
        <f>+'Plan_Ejecutivo_Plurianual (PEP)'!G18</f>
        <v>21115.8</v>
      </c>
      <c r="D4" s="255">
        <f>+'Plan_Ejecutivo_Plurianual (PEP)'!J18</f>
        <v>40248</v>
      </c>
      <c r="E4" s="256">
        <f>+'Plan_Ejecutivo_Plurianual (PEP)'!M18</f>
        <v>25638.3</v>
      </c>
      <c r="F4" s="257">
        <f>+'Plan_Ejecutivo_Plurianual (PEP)'!P18</f>
        <v>10782.9</v>
      </c>
      <c r="G4" s="257">
        <f>+'Plan_Ejecutivo_Plurianual (PEP)'!S18</f>
        <v>1665</v>
      </c>
      <c r="H4" s="258">
        <f>SUM(C4:G4)</f>
        <v>99450</v>
      </c>
    </row>
    <row r="5" spans="2:8" ht="16.5" thickBot="1" x14ac:dyDescent="0.3">
      <c r="B5" s="254" t="s">
        <v>2</v>
      </c>
      <c r="C5" s="255">
        <f>+'Plan_Ejecutivo_Plurianual (PEP)'!H18</f>
        <v>2346.2000000000003</v>
      </c>
      <c r="D5" s="255">
        <f>+'Plan_Ejecutivo_Plurianual (PEP)'!K18</f>
        <v>4472</v>
      </c>
      <c r="E5" s="256">
        <f>+'Plan_Ejecutivo_Plurianual (PEP)'!N18</f>
        <v>2848.7</v>
      </c>
      <c r="F5" s="257">
        <f>+'Plan_Ejecutivo_Plurianual (PEP)'!Q18</f>
        <v>1198.0999999999999</v>
      </c>
      <c r="G5" s="257">
        <f>+'Plan_Ejecutivo_Plurianual (PEP)'!T18</f>
        <v>185</v>
      </c>
      <c r="H5" s="258">
        <f>SUM(C5:G5)</f>
        <v>11050.000000000002</v>
      </c>
    </row>
    <row r="6" spans="2:8" ht="16.5" thickBot="1" x14ac:dyDescent="0.3">
      <c r="B6" s="259" t="s">
        <v>0</v>
      </c>
      <c r="C6" s="260">
        <f>SUM(C4:C5)</f>
        <v>23462</v>
      </c>
      <c r="D6" s="260">
        <f t="shared" ref="D6:G6" si="0">SUM(D4:D5)</f>
        <v>44720</v>
      </c>
      <c r="E6" s="260">
        <f t="shared" si="0"/>
        <v>28487</v>
      </c>
      <c r="F6" s="260">
        <f t="shared" si="0"/>
        <v>11981</v>
      </c>
      <c r="G6" s="260">
        <f t="shared" si="0"/>
        <v>1850</v>
      </c>
      <c r="H6" s="260">
        <f>SUM(C6:G6)</f>
        <v>110500</v>
      </c>
    </row>
    <row r="7" spans="2:8" ht="16.5" thickBot="1" x14ac:dyDescent="0.3">
      <c r="B7" s="261" t="s">
        <v>3</v>
      </c>
      <c r="C7" s="262">
        <f>+C6/H6</f>
        <v>0.21232579185520362</v>
      </c>
      <c r="D7" s="262">
        <f>+D6/H6</f>
        <v>0.40470588235294119</v>
      </c>
      <c r="E7" s="262">
        <f>+E6/H6</f>
        <v>0.25780090497737557</v>
      </c>
      <c r="F7" s="262">
        <f>+F6/H6</f>
        <v>0.10842533936651584</v>
      </c>
      <c r="G7" s="262">
        <f>+G6/H6</f>
        <v>1.67420814479638E-2</v>
      </c>
      <c r="H7" s="262">
        <f>+H6/$H$6</f>
        <v>1</v>
      </c>
    </row>
    <row r="10" spans="2:8" ht="15.75" customHeight="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zoomScale="90" zoomScaleNormal="90" workbookViewId="0"/>
  </sheetViews>
  <sheetFormatPr baseColWidth="10" defaultColWidth="9" defaultRowHeight="15" x14ac:dyDescent="0.25"/>
  <cols>
    <col min="1" max="1" width="52.5" style="15" customWidth="1"/>
    <col min="2" max="2" width="13.875" style="15" customWidth="1"/>
    <col min="3" max="3" width="12.25" style="15" customWidth="1"/>
    <col min="4" max="4" width="11.75" style="15" customWidth="1"/>
    <col min="5" max="5" width="7" style="15" customWidth="1"/>
    <col min="6" max="6" width="3" style="15" customWidth="1"/>
    <col min="7" max="7" width="12.125" style="15" customWidth="1"/>
    <col min="8" max="8" width="8.625" style="15" customWidth="1"/>
    <col min="9" max="10" width="9.75" style="15" customWidth="1"/>
    <col min="11" max="12" width="9.625" style="15" customWidth="1"/>
    <col min="13" max="13" width="9.875" style="15" customWidth="1"/>
    <col min="14" max="14" width="13.875" style="15" customWidth="1"/>
    <col min="15" max="15" width="9" style="15"/>
    <col min="16" max="19" width="9.125" style="15" bestFit="1" customWidth="1"/>
    <col min="20" max="16384" width="9" style="15"/>
  </cols>
  <sheetData>
    <row r="1" spans="1:7" ht="21.75" customHeight="1" x14ac:dyDescent="0.3">
      <c r="A1" s="46" t="s">
        <v>80</v>
      </c>
      <c r="B1" s="46"/>
      <c r="C1" s="46"/>
      <c r="D1" s="46"/>
      <c r="E1" s="46"/>
      <c r="F1" s="47"/>
    </row>
    <row r="2" spans="1:7" ht="21.75" thickBot="1" x14ac:dyDescent="0.4">
      <c r="A2" s="45" t="s">
        <v>327</v>
      </c>
      <c r="B2" s="9"/>
      <c r="C2" s="9"/>
      <c r="D2" s="9"/>
      <c r="E2" s="9"/>
    </row>
    <row r="3" spans="1:7" ht="16.5" customHeight="1" thickBot="1" x14ac:dyDescent="0.3">
      <c r="A3" s="17" t="s">
        <v>34</v>
      </c>
      <c r="B3" s="18" t="s">
        <v>1</v>
      </c>
      <c r="C3" s="18" t="s">
        <v>2</v>
      </c>
      <c r="D3" s="18" t="s">
        <v>0</v>
      </c>
      <c r="E3" s="18" t="s">
        <v>3</v>
      </c>
    </row>
    <row r="4" spans="1:7" ht="15.6" customHeight="1" thickBot="1" x14ac:dyDescent="0.3">
      <c r="A4" s="19" t="s">
        <v>21</v>
      </c>
      <c r="B4" s="245">
        <f t="shared" ref="B4:C4" si="0">SUM(B5:B7)</f>
        <v>94500</v>
      </c>
      <c r="C4" s="245">
        <f t="shared" si="0"/>
        <v>10500</v>
      </c>
      <c r="D4" s="245">
        <f>SUM(D5:D7)</f>
        <v>105000</v>
      </c>
      <c r="E4" s="20">
        <f t="shared" ref="E4:E12" si="1">D4/$D$15*100</f>
        <v>95.02262443438913</v>
      </c>
    </row>
    <row r="5" spans="1:7" ht="30.75" thickBot="1" x14ac:dyDescent="0.3">
      <c r="A5" s="21" t="str">
        <f>+'Presupuesto_Productos (POD)'!B6</f>
        <v>Componente 1: Fortalecimiento de la gestión de riesgo de la AFIP</v>
      </c>
      <c r="B5" s="216">
        <f>+D5*0.9</f>
        <v>43219.8</v>
      </c>
      <c r="C5" s="216">
        <f>+D5*0.1</f>
        <v>4802.2</v>
      </c>
      <c r="D5" s="216">
        <f>+'Presupuesto_Productos (POD)'!C6</f>
        <v>48022</v>
      </c>
      <c r="E5" s="20">
        <f t="shared" si="1"/>
        <v>43.458823529411767</v>
      </c>
    </row>
    <row r="6" spans="1:7" ht="30.75" thickBot="1" x14ac:dyDescent="0.3">
      <c r="A6" s="21" t="str">
        <f>+'Presupuesto_Productos (POD)'!B27</f>
        <v>Componente 2: Fortalecimiento de los sistemas de información de la AFIP</v>
      </c>
      <c r="B6" s="216">
        <f t="shared" ref="B6:B7" si="2">+D6*0.9</f>
        <v>42840</v>
      </c>
      <c r="C6" s="216">
        <f t="shared" ref="C6:C7" si="3">+D6*0.1</f>
        <v>4760</v>
      </c>
      <c r="D6" s="216">
        <f>+'Presupuesto_Productos (POD)'!C27</f>
        <v>47600</v>
      </c>
      <c r="E6" s="20">
        <f t="shared" si="1"/>
        <v>43.07692307692308</v>
      </c>
    </row>
    <row r="7" spans="1:7" ht="45.75" thickBot="1" x14ac:dyDescent="0.3">
      <c r="A7" s="21" t="str">
        <f>+'Presupuesto_Productos (POD)'!B50</f>
        <v>Componente 3: Mejora de los servicios de atención al contribuyente y del modelo de gestión, de planificación y desarrollo de servicios de las áreas centrales de la AFIP</v>
      </c>
      <c r="B7" s="216">
        <f t="shared" si="2"/>
        <v>8440.2000000000007</v>
      </c>
      <c r="C7" s="216">
        <f t="shared" si="3"/>
        <v>937.80000000000007</v>
      </c>
      <c r="D7" s="216">
        <f>+'Presupuesto_Productos (POD)'!C50</f>
        <v>9378</v>
      </c>
      <c r="E7" s="20">
        <f t="shared" si="1"/>
        <v>8.4868778280542987</v>
      </c>
    </row>
    <row r="8" spans="1:7" ht="15.95" customHeight="1" thickBot="1" x14ac:dyDescent="0.3">
      <c r="A8" s="19" t="s">
        <v>20</v>
      </c>
      <c r="B8" s="245">
        <f>SUM(B9:B13)</f>
        <v>4950</v>
      </c>
      <c r="C8" s="245">
        <f>SUM(C9:C13)</f>
        <v>550</v>
      </c>
      <c r="D8" s="245">
        <f>SUM(D9:D13)</f>
        <v>5500</v>
      </c>
      <c r="E8" s="20">
        <f t="shared" si="1"/>
        <v>4.9773755656108598</v>
      </c>
    </row>
    <row r="9" spans="1:7" ht="15.75" thickBot="1" x14ac:dyDescent="0.3">
      <c r="A9" s="21" t="str">
        <f>+'Presupuesto_Productos (POD)'!B55</f>
        <v>Coordinación técnico de la ejecución</v>
      </c>
      <c r="B9" s="216">
        <f>+D9*0.9</f>
        <v>1800</v>
      </c>
      <c r="C9" s="216">
        <f>+D9*0.1</f>
        <v>200</v>
      </c>
      <c r="D9" s="216">
        <f>+'Presupuesto_Productos (POD)'!C55</f>
        <v>2000</v>
      </c>
      <c r="E9" s="20">
        <f t="shared" si="1"/>
        <v>1.809954751131222</v>
      </c>
    </row>
    <row r="10" spans="1:7" ht="17.850000000000001" customHeight="1" thickBot="1" x14ac:dyDescent="0.3">
      <c r="A10" s="21" t="str">
        <f>+'Presupuesto_Productos (POD)'!B56</f>
        <v>Monitoreo y Evaluación</v>
      </c>
      <c r="B10" s="216">
        <f t="shared" ref="B10:B13" si="4">+D10*0.9</f>
        <v>1800</v>
      </c>
      <c r="C10" s="216">
        <f t="shared" ref="C10:C13" si="5">+D10*0.1</f>
        <v>200</v>
      </c>
      <c r="D10" s="216">
        <f>+'Presupuesto_Productos (POD)'!C56</f>
        <v>2000</v>
      </c>
      <c r="E10" s="20">
        <f t="shared" si="1"/>
        <v>1.809954751131222</v>
      </c>
    </row>
    <row r="11" spans="1:7" ht="17.850000000000001" customHeight="1" thickBot="1" x14ac:dyDescent="0.3">
      <c r="A11" s="21" t="str">
        <f>+'Presupuesto_Productos (POD)'!B57</f>
        <v>Especialistas</v>
      </c>
      <c r="B11" s="216">
        <f t="shared" si="4"/>
        <v>450</v>
      </c>
      <c r="C11" s="216">
        <f t="shared" si="5"/>
        <v>50</v>
      </c>
      <c r="D11" s="216">
        <f>+'Presupuesto_Productos (POD)'!C57</f>
        <v>500</v>
      </c>
      <c r="E11" s="20">
        <f t="shared" si="1"/>
        <v>0.45248868778280549</v>
      </c>
    </row>
    <row r="12" spans="1:7" ht="14.1" customHeight="1" thickBot="1" x14ac:dyDescent="0.3">
      <c r="A12" s="21" t="str">
        <f>+'Presupuesto_Productos (POD)'!B58</f>
        <v>Auditoria</v>
      </c>
      <c r="B12" s="216">
        <f t="shared" si="4"/>
        <v>450</v>
      </c>
      <c r="C12" s="216">
        <f t="shared" si="5"/>
        <v>50</v>
      </c>
      <c r="D12" s="216">
        <f>+'Presupuesto_Productos (POD)'!C58</f>
        <v>500</v>
      </c>
      <c r="E12" s="20">
        <f t="shared" si="1"/>
        <v>0.45248868778280549</v>
      </c>
    </row>
    <row r="13" spans="1:7" ht="14.1" customHeight="1" thickBot="1" x14ac:dyDescent="0.3">
      <c r="A13" s="21" t="str">
        <f>+'Presupuesto_Productos (POD)'!B59</f>
        <v>Consultorías Técnicas</v>
      </c>
      <c r="B13" s="216">
        <f t="shared" si="4"/>
        <v>450</v>
      </c>
      <c r="C13" s="216">
        <f t="shared" si="5"/>
        <v>50</v>
      </c>
      <c r="D13" s="216">
        <f>+'Presupuesto_Productos (POD)'!C59</f>
        <v>500</v>
      </c>
      <c r="E13" s="20"/>
    </row>
    <row r="14" spans="1:7" ht="14.1" customHeight="1" thickBot="1" x14ac:dyDescent="0.3">
      <c r="A14" s="19" t="str">
        <f>+'Presupuesto_Productos (POD)'!B60</f>
        <v>3. Imprevistos</v>
      </c>
      <c r="B14" s="216">
        <v>0</v>
      </c>
      <c r="C14" s="216">
        <v>0</v>
      </c>
      <c r="D14" s="216">
        <f>+'Presupuesto_Productos (POD)'!C60</f>
        <v>0</v>
      </c>
      <c r="E14" s="20">
        <f>D14/$D$15*100</f>
        <v>0</v>
      </c>
    </row>
    <row r="15" spans="1:7" ht="15.75" thickBot="1" x14ac:dyDescent="0.3">
      <c r="A15" s="22" t="s">
        <v>0</v>
      </c>
      <c r="B15" s="246">
        <f>+B14+B8+B4</f>
        <v>99450</v>
      </c>
      <c r="C15" s="246">
        <f t="shared" ref="C15:D15" si="6">+C14+C8+C4</f>
        <v>11050</v>
      </c>
      <c r="D15" s="246">
        <f t="shared" si="6"/>
        <v>110500</v>
      </c>
      <c r="E15" s="23">
        <f>D15/$D$15*100</f>
        <v>100</v>
      </c>
    </row>
    <row r="16" spans="1:7" ht="15.75" thickBot="1" x14ac:dyDescent="0.3">
      <c r="A16" s="22" t="s">
        <v>3</v>
      </c>
      <c r="B16" s="247">
        <f>+B15/D15*100</f>
        <v>90</v>
      </c>
      <c r="C16" s="247">
        <f>+C15/D15*100</f>
        <v>10</v>
      </c>
      <c r="D16" s="247">
        <f>+D15/D15*100</f>
        <v>100</v>
      </c>
      <c r="E16" s="248"/>
      <c r="G16" s="16"/>
    </row>
    <row r="17" spans="2:2" ht="15.75" customHeight="1" x14ac:dyDescent="0.25"/>
    <row r="18" spans="2:2" ht="12.75" customHeight="1" x14ac:dyDescent="0.25"/>
    <row r="20" spans="2:2" x14ac:dyDescent="0.25">
      <c r="B20" s="197"/>
    </row>
  </sheetData>
  <pageMargins left="0.7" right="0.7" top="0.75" bottom="0.75" header="0.3" footer="0.3"/>
  <pageSetup paperSize="9" orientation="landscape" horizontalDpi="4294967294"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64"/>
  <sheetViews>
    <sheetView zoomScaleNormal="100" workbookViewId="0">
      <selection activeCell="B1" sqref="B1"/>
    </sheetView>
  </sheetViews>
  <sheetFormatPr baseColWidth="10" defaultRowHeight="15.75" x14ac:dyDescent="0.25"/>
  <cols>
    <col min="1" max="1" width="1.75" style="11" customWidth="1"/>
    <col min="2" max="2" width="85.25" style="11" bestFit="1" customWidth="1"/>
    <col min="3" max="3" width="14.375" style="11" customWidth="1"/>
    <col min="4" max="4" width="12.5" style="100" customWidth="1"/>
    <col min="5" max="5" width="11" style="11"/>
    <col min="6" max="6" width="12.25" style="11" bestFit="1" customWidth="1"/>
    <col min="7" max="7" width="16" style="11" customWidth="1"/>
    <col min="8" max="8" width="11.75" style="11" bestFit="1" customWidth="1"/>
    <col min="9" max="16384" width="11" style="11"/>
  </cols>
  <sheetData>
    <row r="1" spans="2:6" ht="19.5" customHeight="1" x14ac:dyDescent="0.3">
      <c r="B1" s="13" t="s">
        <v>80</v>
      </c>
      <c r="C1" s="13"/>
      <c r="D1" s="99"/>
    </row>
    <row r="2" spans="2:6" ht="18.75" customHeight="1" thickBot="1" x14ac:dyDescent="0.3">
      <c r="B2" s="2" t="s">
        <v>327</v>
      </c>
    </row>
    <row r="3" spans="2:6" ht="16.5" thickBot="1" x14ac:dyDescent="0.3">
      <c r="B3" s="217" t="s">
        <v>34</v>
      </c>
      <c r="C3" s="218" t="s">
        <v>0</v>
      </c>
      <c r="D3" s="219" t="s">
        <v>3</v>
      </c>
    </row>
    <row r="4" spans="2:6" ht="16.5" thickBot="1" x14ac:dyDescent="0.3">
      <c r="B4" s="220" t="s">
        <v>29</v>
      </c>
      <c r="C4" s="221">
        <f>+C5+C54</f>
        <v>110500</v>
      </c>
      <c r="D4" s="222">
        <f>+C4/C4</f>
        <v>1</v>
      </c>
    </row>
    <row r="5" spans="2:6" ht="16.5" thickBot="1" x14ac:dyDescent="0.3">
      <c r="B5" s="220" t="s">
        <v>137</v>
      </c>
      <c r="C5" s="223">
        <f>+C6+C27+C50</f>
        <v>105000</v>
      </c>
      <c r="D5" s="224">
        <f>+C5/C4</f>
        <v>0.95022624434389136</v>
      </c>
    </row>
    <row r="6" spans="2:6" ht="16.5" thickBot="1" x14ac:dyDescent="0.3">
      <c r="B6" s="225" t="s">
        <v>285</v>
      </c>
      <c r="C6" s="226">
        <f>+C7+C13+C20</f>
        <v>48022</v>
      </c>
      <c r="D6" s="227">
        <f>+C6/C4</f>
        <v>0.43458823529411766</v>
      </c>
    </row>
    <row r="7" spans="2:6" ht="16.5" customHeight="1" thickBot="1" x14ac:dyDescent="0.3">
      <c r="B7" s="228" t="s">
        <v>136</v>
      </c>
      <c r="C7" s="229">
        <f>SUM(C8:C12)</f>
        <v>12330</v>
      </c>
      <c r="D7" s="230">
        <f>+C7/C4</f>
        <v>0.11158371040723981</v>
      </c>
    </row>
    <row r="8" spans="2:6" ht="16.5" thickBot="1" x14ac:dyDescent="0.3">
      <c r="B8" s="231" t="s">
        <v>286</v>
      </c>
      <c r="C8" s="216">
        <f>3791000/1000</f>
        <v>3791</v>
      </c>
      <c r="D8" s="232"/>
    </row>
    <row r="9" spans="2:6" ht="16.5" thickBot="1" x14ac:dyDescent="0.3">
      <c r="B9" s="233" t="s">
        <v>287</v>
      </c>
      <c r="C9" s="216">
        <v>2275</v>
      </c>
      <c r="D9" s="232"/>
      <c r="E9" s="234"/>
    </row>
    <row r="10" spans="2:6" ht="16.5" thickBot="1" x14ac:dyDescent="0.3">
      <c r="B10" s="233" t="s">
        <v>288</v>
      </c>
      <c r="C10" s="216">
        <v>3933</v>
      </c>
      <c r="D10" s="232"/>
      <c r="E10" s="234"/>
      <c r="F10" s="234"/>
    </row>
    <row r="11" spans="2:6" ht="16.5" thickBot="1" x14ac:dyDescent="0.3">
      <c r="B11" s="233" t="s">
        <v>289</v>
      </c>
      <c r="C11" s="216">
        <v>831</v>
      </c>
      <c r="D11" s="232"/>
      <c r="E11" s="234"/>
      <c r="F11" s="234"/>
    </row>
    <row r="12" spans="2:6" ht="16.5" thickBot="1" x14ac:dyDescent="0.3">
      <c r="B12" s="233" t="s">
        <v>438</v>
      </c>
      <c r="C12" s="216">
        <v>1500</v>
      </c>
      <c r="D12" s="232"/>
      <c r="F12" s="234"/>
    </row>
    <row r="13" spans="2:6" ht="30.75" customHeight="1" thickBot="1" x14ac:dyDescent="0.3">
      <c r="B13" s="235" t="s">
        <v>290</v>
      </c>
      <c r="C13" s="229">
        <f>SUM(C14:C19)</f>
        <v>32658</v>
      </c>
      <c r="D13" s="230">
        <f>+C13/C4</f>
        <v>0.29554751131221718</v>
      </c>
      <c r="E13" s="234"/>
    </row>
    <row r="14" spans="2:6" ht="16.5" thickBot="1" x14ac:dyDescent="0.3">
      <c r="B14" s="237" t="s">
        <v>291</v>
      </c>
      <c r="C14" s="216">
        <v>5844</v>
      </c>
      <c r="D14" s="232"/>
      <c r="F14" s="234"/>
    </row>
    <row r="15" spans="2:6" ht="16.5" thickBot="1" x14ac:dyDescent="0.3">
      <c r="B15" s="233" t="s">
        <v>292</v>
      </c>
      <c r="C15" s="216">
        <v>7100</v>
      </c>
      <c r="D15" s="232"/>
      <c r="F15" s="236"/>
    </row>
    <row r="16" spans="2:6" ht="16.5" thickBot="1" x14ac:dyDescent="0.3">
      <c r="B16" s="233" t="s">
        <v>293</v>
      </c>
      <c r="C16" s="216">
        <v>1120</v>
      </c>
      <c r="D16" s="232"/>
      <c r="F16" s="238"/>
    </row>
    <row r="17" spans="2:6" ht="15.75" customHeight="1" thickBot="1" x14ac:dyDescent="0.3">
      <c r="B17" s="233" t="s">
        <v>294</v>
      </c>
      <c r="C17" s="216">
        <v>11139</v>
      </c>
      <c r="D17" s="232"/>
    </row>
    <row r="18" spans="2:6" ht="16.5" thickBot="1" x14ac:dyDescent="0.3">
      <c r="B18" s="233" t="s">
        <v>295</v>
      </c>
      <c r="C18" s="216">
        <v>5000</v>
      </c>
      <c r="D18" s="232"/>
    </row>
    <row r="19" spans="2:6" ht="16.5" thickBot="1" x14ac:dyDescent="0.3">
      <c r="B19" s="233" t="s">
        <v>296</v>
      </c>
      <c r="C19" s="216">
        <v>2455</v>
      </c>
      <c r="D19" s="232"/>
    </row>
    <row r="20" spans="2:6" ht="26.25" thickBot="1" x14ac:dyDescent="0.3">
      <c r="B20" s="235" t="s">
        <v>143</v>
      </c>
      <c r="C20" s="229">
        <f>SUM(C21:C26)</f>
        <v>3034</v>
      </c>
      <c r="D20" s="230">
        <f>+C20/C4</f>
        <v>2.7457013574660634E-2</v>
      </c>
      <c r="E20" s="234"/>
    </row>
    <row r="21" spans="2:6" ht="16.5" thickBot="1" x14ac:dyDescent="0.3">
      <c r="B21" s="239" t="s">
        <v>297</v>
      </c>
      <c r="C21" s="216">
        <v>650</v>
      </c>
      <c r="D21" s="232"/>
    </row>
    <row r="22" spans="2:6" ht="16.5" thickBot="1" x14ac:dyDescent="0.3">
      <c r="B22" s="240" t="s">
        <v>298</v>
      </c>
      <c r="C22" s="216">
        <v>542</v>
      </c>
      <c r="D22" s="232"/>
    </row>
    <row r="23" spans="2:6" ht="16.5" thickBot="1" x14ac:dyDescent="0.3">
      <c r="B23" s="240" t="s">
        <v>299</v>
      </c>
      <c r="C23" s="216">
        <v>433</v>
      </c>
      <c r="D23" s="232"/>
    </row>
    <row r="24" spans="2:6" ht="16.5" thickBot="1" x14ac:dyDescent="0.3">
      <c r="B24" s="240" t="s">
        <v>300</v>
      </c>
      <c r="C24" s="216">
        <v>542</v>
      </c>
      <c r="D24" s="232"/>
    </row>
    <row r="25" spans="2:6" ht="16.5" thickBot="1" x14ac:dyDescent="0.3">
      <c r="B25" s="240" t="s">
        <v>301</v>
      </c>
      <c r="C25" s="216">
        <v>542</v>
      </c>
      <c r="D25" s="232"/>
    </row>
    <row r="26" spans="2:6" ht="16.5" thickBot="1" x14ac:dyDescent="0.3">
      <c r="B26" s="240" t="s">
        <v>302</v>
      </c>
      <c r="C26" s="216">
        <v>325</v>
      </c>
      <c r="D26" s="232"/>
    </row>
    <row r="27" spans="2:6" ht="16.5" thickBot="1" x14ac:dyDescent="0.3">
      <c r="B27" s="225" t="s">
        <v>135</v>
      </c>
      <c r="C27" s="226">
        <f>SUM(C28:C49)</f>
        <v>47600</v>
      </c>
      <c r="D27" s="227">
        <f>+C27/C4</f>
        <v>0.43076923076923079</v>
      </c>
      <c r="E27" s="234"/>
    </row>
    <row r="28" spans="2:6" ht="16.5" thickBot="1" x14ac:dyDescent="0.3">
      <c r="B28" s="240" t="s">
        <v>303</v>
      </c>
      <c r="C28" s="216">
        <v>3000</v>
      </c>
      <c r="D28" s="232"/>
      <c r="F28" s="332"/>
    </row>
    <row r="29" spans="2:6" ht="16.5" thickBot="1" x14ac:dyDescent="0.3">
      <c r="B29" s="240" t="s">
        <v>304</v>
      </c>
      <c r="C29" s="216">
        <v>8200</v>
      </c>
      <c r="D29" s="232"/>
    </row>
    <row r="30" spans="2:6" ht="16.5" thickBot="1" x14ac:dyDescent="0.3">
      <c r="B30" s="240" t="s">
        <v>305</v>
      </c>
      <c r="C30" s="216">
        <v>3000</v>
      </c>
      <c r="D30" s="232"/>
    </row>
    <row r="31" spans="2:6" ht="16.5" thickBot="1" x14ac:dyDescent="0.3">
      <c r="B31" s="240" t="s">
        <v>306</v>
      </c>
      <c r="C31" s="216">
        <v>1000</v>
      </c>
      <c r="D31" s="232"/>
      <c r="E31" s="234"/>
    </row>
    <row r="32" spans="2:6" ht="16.5" thickBot="1" x14ac:dyDescent="0.3">
      <c r="B32" s="240" t="s">
        <v>307</v>
      </c>
      <c r="C32" s="216">
        <v>1100</v>
      </c>
      <c r="D32" s="232"/>
    </row>
    <row r="33" spans="2:7" ht="16.5" thickBot="1" x14ac:dyDescent="0.3">
      <c r="B33" s="240" t="s">
        <v>308</v>
      </c>
      <c r="C33" s="216">
        <v>3500</v>
      </c>
      <c r="D33" s="232"/>
    </row>
    <row r="34" spans="2:7" ht="16.5" thickBot="1" x14ac:dyDescent="0.3">
      <c r="B34" s="240" t="s">
        <v>309</v>
      </c>
      <c r="C34" s="216">
        <v>1200</v>
      </c>
      <c r="D34" s="232"/>
    </row>
    <row r="35" spans="2:7" ht="16.5" thickBot="1" x14ac:dyDescent="0.3">
      <c r="B35" s="240" t="s">
        <v>310</v>
      </c>
      <c r="C35" s="216">
        <v>6000</v>
      </c>
      <c r="D35" s="232"/>
      <c r="F35" s="332"/>
    </row>
    <row r="36" spans="2:7" ht="16.5" thickBot="1" x14ac:dyDescent="0.3">
      <c r="B36" s="240" t="s">
        <v>311</v>
      </c>
      <c r="C36" s="216">
        <v>700</v>
      </c>
      <c r="D36" s="232"/>
    </row>
    <row r="37" spans="2:7" ht="16.5" thickBot="1" x14ac:dyDescent="0.3">
      <c r="B37" s="240" t="s">
        <v>312</v>
      </c>
      <c r="C37" s="216">
        <v>750</v>
      </c>
      <c r="D37" s="232"/>
    </row>
    <row r="38" spans="2:7" ht="16.5" thickBot="1" x14ac:dyDescent="0.3">
      <c r="B38" s="240" t="s">
        <v>313</v>
      </c>
      <c r="C38" s="216">
        <v>400</v>
      </c>
      <c r="D38" s="232"/>
    </row>
    <row r="39" spans="2:7" ht="16.5" thickBot="1" x14ac:dyDescent="0.3">
      <c r="B39" s="240" t="s">
        <v>314</v>
      </c>
      <c r="C39" s="216">
        <v>350</v>
      </c>
      <c r="D39" s="232"/>
    </row>
    <row r="40" spans="2:7" ht="16.5" thickBot="1" x14ac:dyDescent="0.3">
      <c r="B40" s="240" t="s">
        <v>315</v>
      </c>
      <c r="C40" s="216">
        <v>3600</v>
      </c>
      <c r="D40" s="232"/>
    </row>
    <row r="41" spans="2:7" ht="16.5" thickBot="1" x14ac:dyDescent="0.3">
      <c r="B41" s="240" t="s">
        <v>316</v>
      </c>
      <c r="C41" s="216">
        <v>600</v>
      </c>
      <c r="D41" s="232"/>
    </row>
    <row r="42" spans="2:7" ht="16.5" thickBot="1" x14ac:dyDescent="0.3">
      <c r="B42" s="240" t="s">
        <v>317</v>
      </c>
      <c r="C42" s="216">
        <v>2000</v>
      </c>
      <c r="D42" s="232"/>
      <c r="F42" s="332"/>
      <c r="G42" s="332"/>
    </row>
    <row r="43" spans="2:7" ht="16.5" thickBot="1" x14ac:dyDescent="0.3">
      <c r="B43" s="240" t="s">
        <v>318</v>
      </c>
      <c r="C43" s="216">
        <v>1500</v>
      </c>
      <c r="D43" s="232"/>
    </row>
    <row r="44" spans="2:7" ht="16.5" thickBot="1" x14ac:dyDescent="0.3">
      <c r="B44" s="240" t="s">
        <v>319</v>
      </c>
      <c r="C44" s="216">
        <v>3500</v>
      </c>
      <c r="D44" s="232"/>
    </row>
    <row r="45" spans="2:7" ht="16.5" thickBot="1" x14ac:dyDescent="0.3">
      <c r="B45" s="240" t="s">
        <v>320</v>
      </c>
      <c r="C45" s="216">
        <v>1700</v>
      </c>
      <c r="D45" s="232"/>
    </row>
    <row r="46" spans="2:7" ht="16.5" thickBot="1" x14ac:dyDescent="0.3">
      <c r="B46" s="240" t="s">
        <v>321</v>
      </c>
      <c r="C46" s="216">
        <v>3000</v>
      </c>
      <c r="D46" s="232"/>
    </row>
    <row r="47" spans="2:7" ht="16.5" thickBot="1" x14ac:dyDescent="0.3">
      <c r="B47" s="240" t="s">
        <v>322</v>
      </c>
      <c r="C47" s="216">
        <v>500</v>
      </c>
      <c r="D47" s="232"/>
      <c r="F47" s="241"/>
    </row>
    <row r="48" spans="2:7" ht="16.5" thickBot="1" x14ac:dyDescent="0.3">
      <c r="B48" s="242" t="s">
        <v>323</v>
      </c>
      <c r="C48" s="216">
        <v>800</v>
      </c>
      <c r="D48" s="232"/>
      <c r="F48" s="241"/>
    </row>
    <row r="49" spans="2:6" ht="16.5" thickBot="1" x14ac:dyDescent="0.3">
      <c r="B49" s="549" t="s">
        <v>422</v>
      </c>
      <c r="C49" s="216">
        <v>1200</v>
      </c>
      <c r="D49" s="232"/>
      <c r="F49" s="241"/>
    </row>
    <row r="50" spans="2:6" ht="26.25" thickBot="1" x14ac:dyDescent="0.3">
      <c r="B50" s="225" t="s">
        <v>138</v>
      </c>
      <c r="C50" s="226">
        <f>SUM(C51:C53)</f>
        <v>9378</v>
      </c>
      <c r="D50" s="227">
        <f>+C50/C4</f>
        <v>8.4868778280542984E-2</v>
      </c>
      <c r="E50" s="234"/>
      <c r="F50" s="241"/>
    </row>
    <row r="51" spans="2:6" ht="16.5" thickBot="1" x14ac:dyDescent="0.3">
      <c r="B51" s="240" t="s">
        <v>324</v>
      </c>
      <c r="C51" s="216">
        <v>4550</v>
      </c>
      <c r="D51" s="243"/>
      <c r="F51" s="241"/>
    </row>
    <row r="52" spans="2:6" ht="16.5" thickBot="1" x14ac:dyDescent="0.3">
      <c r="B52" s="240" t="s">
        <v>325</v>
      </c>
      <c r="C52" s="216">
        <v>2167</v>
      </c>
      <c r="D52" s="243"/>
      <c r="F52" s="241"/>
    </row>
    <row r="53" spans="2:6" ht="16.5" thickBot="1" x14ac:dyDescent="0.3">
      <c r="B53" s="240" t="s">
        <v>326</v>
      </c>
      <c r="C53" s="216">
        <v>2661</v>
      </c>
      <c r="D53" s="243"/>
      <c r="F53" s="241"/>
    </row>
    <row r="54" spans="2:6" ht="16.5" thickBot="1" x14ac:dyDescent="0.3">
      <c r="B54" s="220" t="s">
        <v>20</v>
      </c>
      <c r="C54" s="221">
        <f>SUM(C55:C59)</f>
        <v>5500</v>
      </c>
      <c r="D54" s="224">
        <f>+C54/C4</f>
        <v>4.9773755656108594E-2</v>
      </c>
    </row>
    <row r="55" spans="2:6" ht="16.5" thickBot="1" x14ac:dyDescent="0.3">
      <c r="B55" s="240" t="s">
        <v>141</v>
      </c>
      <c r="C55" s="216">
        <v>2000</v>
      </c>
      <c r="D55" s="243"/>
      <c r="F55" s="241"/>
    </row>
    <row r="56" spans="2:6" ht="16.5" thickBot="1" x14ac:dyDescent="0.3">
      <c r="B56" s="240" t="s">
        <v>72</v>
      </c>
      <c r="C56" s="216">
        <v>2000</v>
      </c>
      <c r="D56" s="243"/>
    </row>
    <row r="57" spans="2:6" ht="16.5" thickBot="1" x14ac:dyDescent="0.3">
      <c r="B57" s="240" t="s">
        <v>73</v>
      </c>
      <c r="C57" s="216">
        <v>500</v>
      </c>
      <c r="D57" s="243"/>
    </row>
    <row r="58" spans="2:6" ht="16.5" thickBot="1" x14ac:dyDescent="0.3">
      <c r="B58" s="240" t="s">
        <v>11</v>
      </c>
      <c r="C58" s="216">
        <v>500</v>
      </c>
      <c r="D58" s="243"/>
    </row>
    <row r="59" spans="2:6" ht="16.5" thickBot="1" x14ac:dyDescent="0.3">
      <c r="B59" s="240" t="s">
        <v>142</v>
      </c>
      <c r="C59" s="216">
        <v>500</v>
      </c>
      <c r="D59" s="243"/>
    </row>
    <row r="60" spans="2:6" ht="16.5" thickBot="1" x14ac:dyDescent="0.3">
      <c r="B60" s="220" t="s">
        <v>30</v>
      </c>
      <c r="C60" s="221">
        <v>0</v>
      </c>
      <c r="D60" s="224">
        <f>+C60/C4</f>
        <v>0</v>
      </c>
    </row>
    <row r="61" spans="2:6" ht="16.5" thickBot="1" x14ac:dyDescent="0.3">
      <c r="B61" s="98"/>
      <c r="C61" s="215"/>
      <c r="D61" s="101"/>
    </row>
    <row r="62" spans="2:6" ht="16.5" thickBot="1" x14ac:dyDescent="0.3">
      <c r="B62" s="220" t="s">
        <v>139</v>
      </c>
      <c r="C62" s="221">
        <f>+Resumen!C15</f>
        <v>93260.851667768598</v>
      </c>
      <c r="D62" s="101"/>
    </row>
    <row r="63" spans="2:6" ht="16.5" thickBot="1" x14ac:dyDescent="0.3">
      <c r="B63" s="220" t="s">
        <v>140</v>
      </c>
      <c r="C63" s="221">
        <f>+C62+Resumen!C14</f>
        <v>110500.049</v>
      </c>
      <c r="D63" s="101"/>
    </row>
    <row r="64" spans="2:6" ht="16.5" thickBot="1" x14ac:dyDescent="0.3">
      <c r="B64" s="244" t="s">
        <v>93</v>
      </c>
      <c r="C64" s="221">
        <f>+Resumen!C14</f>
        <v>17239.197332231404</v>
      </c>
    </row>
  </sheetData>
  <pageMargins left="0.7" right="0.7" top="0.75" bottom="0.75" header="0.3" footer="0.3"/>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69"/>
  <sheetViews>
    <sheetView workbookViewId="0"/>
  </sheetViews>
  <sheetFormatPr baseColWidth="10" defaultRowHeight="15.75" x14ac:dyDescent="0.25"/>
  <cols>
    <col min="1" max="1" width="2.75" customWidth="1"/>
    <col min="2" max="2" width="18.5" customWidth="1"/>
    <col min="3" max="3" width="11.25" customWidth="1"/>
    <col min="4" max="4" width="12.125" customWidth="1"/>
    <col min="5" max="5" width="12.375" customWidth="1"/>
    <col min="6" max="6" width="12.25" style="12" customWidth="1"/>
    <col min="7" max="7" width="11.25" bestFit="1" customWidth="1"/>
    <col min="8" max="8" width="3.625" customWidth="1"/>
    <col min="9" max="9" width="23.875" customWidth="1"/>
    <col min="10" max="10" width="7.75" bestFit="1" customWidth="1"/>
    <col min="12" max="13" width="11.25" bestFit="1" customWidth="1"/>
  </cols>
  <sheetData>
    <row r="1" spans="1:14" x14ac:dyDescent="0.25">
      <c r="B1" s="2" t="s">
        <v>239</v>
      </c>
    </row>
    <row r="2" spans="1:14" x14ac:dyDescent="0.25">
      <c r="B2" s="2" t="str">
        <f>+'Presupuesto_Productos (POD)'!B6</f>
        <v>Componente 1: Fortalecimiento de la gestión de riesgo de la AFIP</v>
      </c>
    </row>
    <row r="3" spans="1:14" x14ac:dyDescent="0.25">
      <c r="B3" s="2" t="str">
        <f>+'Presupuesto_Productos (POD)'!B7</f>
        <v>Subcomponente 1.1: Fortalecimiento del control y fiscalización en la administración de tributos internos</v>
      </c>
    </row>
    <row r="4" spans="1:14" ht="8.25" customHeight="1" x14ac:dyDescent="0.25"/>
    <row r="5" spans="1:14" x14ac:dyDescent="0.25">
      <c r="B5" s="667" t="s">
        <v>221</v>
      </c>
      <c r="C5" s="667"/>
      <c r="D5" s="667"/>
      <c r="E5" s="667"/>
      <c r="F5" s="667"/>
      <c r="G5" s="667"/>
      <c r="H5" s="667"/>
      <c r="I5" s="667"/>
      <c r="J5" s="667"/>
      <c r="K5" s="667"/>
      <c r="L5" s="667"/>
      <c r="M5" s="667"/>
      <c r="N5" s="667"/>
    </row>
    <row r="6" spans="1:14" x14ac:dyDescent="0.25">
      <c r="B6" s="2" t="s">
        <v>223</v>
      </c>
      <c r="I6" s="2" t="s">
        <v>222</v>
      </c>
      <c r="J6" s="12"/>
      <c r="K6" s="12"/>
      <c r="L6" s="12"/>
      <c r="M6" s="12"/>
    </row>
    <row r="7" spans="1:14" x14ac:dyDescent="0.25">
      <c r="B7" s="201" t="s">
        <v>218</v>
      </c>
      <c r="C7" s="12"/>
      <c r="D7" s="12"/>
      <c r="E7" s="12"/>
      <c r="G7" s="12"/>
      <c r="H7" s="12"/>
      <c r="I7" s="201" t="s">
        <v>218</v>
      </c>
      <c r="J7" s="12"/>
      <c r="K7" s="12"/>
      <c r="L7" s="12"/>
      <c r="M7" s="12"/>
    </row>
    <row r="8" spans="1:14" x14ac:dyDescent="0.25">
      <c r="B8" s="2" t="s">
        <v>327</v>
      </c>
      <c r="C8" s="202"/>
      <c r="D8" s="202"/>
      <c r="E8" s="202"/>
      <c r="I8" s="2" t="s">
        <v>327</v>
      </c>
      <c r="J8" s="202"/>
      <c r="K8" s="202"/>
      <c r="L8" s="202"/>
      <c r="M8" s="12"/>
    </row>
    <row r="9" spans="1:14" ht="30" x14ac:dyDescent="0.25">
      <c r="B9" s="203" t="s">
        <v>210</v>
      </c>
      <c r="C9" s="204" t="s">
        <v>6</v>
      </c>
      <c r="D9" s="204" t="s">
        <v>217</v>
      </c>
      <c r="E9" s="204" t="s">
        <v>225</v>
      </c>
      <c r="F9" s="204" t="s">
        <v>93</v>
      </c>
      <c r="G9" s="204" t="s">
        <v>224</v>
      </c>
      <c r="I9" s="203" t="s">
        <v>210</v>
      </c>
      <c r="J9" s="204" t="s">
        <v>6</v>
      </c>
      <c r="K9" s="204" t="s">
        <v>217</v>
      </c>
      <c r="L9" s="204" t="s">
        <v>225</v>
      </c>
      <c r="M9" s="204" t="s">
        <v>93</v>
      </c>
      <c r="N9" s="204" t="s">
        <v>224</v>
      </c>
    </row>
    <row r="10" spans="1:14" x14ac:dyDescent="0.25">
      <c r="B10" s="205" t="s">
        <v>211</v>
      </c>
      <c r="C10" s="208">
        <v>0</v>
      </c>
      <c r="D10" s="289"/>
      <c r="E10" s="289">
        <v>0</v>
      </c>
      <c r="F10" s="289"/>
      <c r="G10" s="289"/>
      <c r="I10" s="205" t="s">
        <v>211</v>
      </c>
      <c r="J10" s="208">
        <v>1</v>
      </c>
      <c r="K10" s="289">
        <f>108333/1000</f>
        <v>108.333</v>
      </c>
      <c r="L10" s="289">
        <f>+J10*K10</f>
        <v>108.333</v>
      </c>
      <c r="M10" s="289"/>
      <c r="N10" s="289"/>
    </row>
    <row r="11" spans="1:14" x14ac:dyDescent="0.25">
      <c r="B11" s="205" t="s">
        <v>212</v>
      </c>
      <c r="C11" s="208">
        <v>5</v>
      </c>
      <c r="D11" s="289">
        <f>108333/1000</f>
        <v>108.333</v>
      </c>
      <c r="E11" s="289">
        <f>+D11*C11</f>
        <v>541.66499999999996</v>
      </c>
      <c r="F11" s="289">
        <f>+E11-G11</f>
        <v>94.007975206611547</v>
      </c>
      <c r="G11" s="289">
        <f>+E11/1.21</f>
        <v>447.65702479338842</v>
      </c>
      <c r="I11" s="205" t="s">
        <v>212</v>
      </c>
      <c r="J11" s="208">
        <v>10</v>
      </c>
      <c r="K11" s="289">
        <f>108333/1000</f>
        <v>108.333</v>
      </c>
      <c r="L11" s="289">
        <f t="shared" ref="L11:L12" si="0">+J11*K11</f>
        <v>1083.33</v>
      </c>
      <c r="M11" s="289">
        <f>+L11-N11</f>
        <v>188.01595041322309</v>
      </c>
      <c r="N11" s="289">
        <f>+L11/1.21</f>
        <v>895.31404958677683</v>
      </c>
    </row>
    <row r="12" spans="1:14" x14ac:dyDescent="0.25">
      <c r="B12" s="205" t="s">
        <v>213</v>
      </c>
      <c r="C12" s="208">
        <v>1</v>
      </c>
      <c r="D12" s="289">
        <f>108333/1000</f>
        <v>108.333</v>
      </c>
      <c r="E12" s="289">
        <f>+D12*C12</f>
        <v>108.333</v>
      </c>
      <c r="F12" s="289">
        <f>+E12-G12</f>
        <v>18.801595041322315</v>
      </c>
      <c r="G12" s="289">
        <f>+E12/1.21</f>
        <v>89.531404958677683</v>
      </c>
      <c r="I12" s="205" t="s">
        <v>213</v>
      </c>
      <c r="J12" s="208">
        <v>4</v>
      </c>
      <c r="K12" s="289">
        <f>108333/1000</f>
        <v>108.333</v>
      </c>
      <c r="L12" s="289">
        <f t="shared" si="0"/>
        <v>433.33199999999999</v>
      </c>
      <c r="M12" s="289">
        <f>+L12-N12</f>
        <v>75.206380165289261</v>
      </c>
      <c r="N12" s="289">
        <f>+L12/1.21</f>
        <v>358.12561983471073</v>
      </c>
    </row>
    <row r="13" spans="1:14" x14ac:dyDescent="0.25">
      <c r="B13" s="211" t="s">
        <v>41</v>
      </c>
      <c r="C13" s="212">
        <f>SUM(C10:C12)</f>
        <v>6</v>
      </c>
      <c r="D13" s="290"/>
      <c r="E13" s="290">
        <f>SUM(E10:E12)</f>
        <v>649.99799999999993</v>
      </c>
      <c r="F13" s="290">
        <f t="shared" ref="F13:G13" si="1">SUM(F10:F12)</f>
        <v>112.80957024793386</v>
      </c>
      <c r="G13" s="290">
        <f t="shared" si="1"/>
        <v>537.1884297520661</v>
      </c>
      <c r="H13" s="1"/>
      <c r="I13" s="211" t="s">
        <v>41</v>
      </c>
      <c r="J13" s="212">
        <f>SUM(J10:J12)</f>
        <v>15</v>
      </c>
      <c r="K13" s="290"/>
      <c r="L13" s="290">
        <f>SUM(L10:L12)</f>
        <v>1624.9949999999999</v>
      </c>
      <c r="M13" s="290">
        <f t="shared" ref="M13" si="2">SUM(M10:M12)</f>
        <v>263.22233057851236</v>
      </c>
      <c r="N13" s="290">
        <f t="shared" ref="N13" si="3">SUM(N10:N12)</f>
        <v>1253.4396694214875</v>
      </c>
    </row>
    <row r="14" spans="1:14" x14ac:dyDescent="0.25">
      <c r="B14" s="210" t="s">
        <v>220</v>
      </c>
      <c r="C14" s="202"/>
      <c r="D14" s="202"/>
      <c r="E14" s="202"/>
      <c r="G14" s="202"/>
      <c r="H14" s="202"/>
      <c r="I14" s="210" t="s">
        <v>220</v>
      </c>
    </row>
    <row r="15" spans="1:14" x14ac:dyDescent="0.25">
      <c r="A15" s="201"/>
      <c r="B15" s="210" t="s">
        <v>219</v>
      </c>
      <c r="C15" s="201"/>
      <c r="D15" s="201"/>
      <c r="E15" s="201"/>
      <c r="F15" s="209"/>
      <c r="G15" s="201"/>
      <c r="H15" s="201"/>
      <c r="I15" s="210" t="s">
        <v>219</v>
      </c>
      <c r="J15" s="201"/>
      <c r="K15" s="201"/>
    </row>
    <row r="16" spans="1:14" x14ac:dyDescent="0.25">
      <c r="A16" s="201"/>
      <c r="B16" s="207" t="s">
        <v>214</v>
      </c>
      <c r="C16" s="201"/>
      <c r="D16" s="201"/>
      <c r="E16" s="201"/>
      <c r="H16" s="201"/>
      <c r="I16" s="207" t="s">
        <v>226</v>
      </c>
      <c r="J16" s="201"/>
      <c r="K16" s="201"/>
    </row>
    <row r="17" spans="1:14" x14ac:dyDescent="0.25">
      <c r="B17" s="207" t="s">
        <v>215</v>
      </c>
      <c r="C17" s="202"/>
      <c r="D17" s="202"/>
      <c r="E17" s="202"/>
      <c r="G17" s="202"/>
      <c r="H17" s="202"/>
      <c r="I17" s="207" t="s">
        <v>227</v>
      </c>
      <c r="J17" s="201"/>
      <c r="K17" s="201"/>
    </row>
    <row r="18" spans="1:14" x14ac:dyDescent="0.25">
      <c r="A18" s="12"/>
      <c r="C18" s="12"/>
      <c r="D18" s="12"/>
      <c r="E18" s="12"/>
      <c r="G18" s="12"/>
      <c r="H18" s="12"/>
      <c r="I18" s="207" t="s">
        <v>228</v>
      </c>
      <c r="J18" s="201"/>
      <c r="K18" s="201"/>
      <c r="L18" s="336"/>
      <c r="N18" s="1"/>
    </row>
    <row r="19" spans="1:14" x14ac:dyDescent="0.25">
      <c r="A19" s="12"/>
      <c r="B19" s="12"/>
      <c r="C19" s="12"/>
      <c r="D19" s="12"/>
      <c r="E19" s="12"/>
      <c r="G19" s="12"/>
      <c r="H19" s="12"/>
      <c r="I19" s="207" t="s">
        <v>229</v>
      </c>
      <c r="J19" s="201"/>
      <c r="K19" s="201"/>
    </row>
    <row r="20" spans="1:14" x14ac:dyDescent="0.25">
      <c r="A20" s="12"/>
      <c r="G20" s="12"/>
      <c r="H20" s="12"/>
      <c r="I20" s="207" t="s">
        <v>230</v>
      </c>
      <c r="J20" s="201"/>
      <c r="K20" s="201"/>
    </row>
    <row r="21" spans="1:14" x14ac:dyDescent="0.25">
      <c r="A21" s="12"/>
      <c r="G21" s="12"/>
      <c r="H21" s="12"/>
      <c r="I21" s="207" t="s">
        <v>231</v>
      </c>
      <c r="J21" s="12"/>
      <c r="K21" s="12"/>
    </row>
    <row r="22" spans="1:14" x14ac:dyDescent="0.25">
      <c r="A22" s="12"/>
      <c r="G22" s="12"/>
      <c r="H22" s="12"/>
      <c r="I22" s="207" t="s">
        <v>232</v>
      </c>
      <c r="N22" s="1"/>
    </row>
    <row r="23" spans="1:14" x14ac:dyDescent="0.25">
      <c r="A23" s="12"/>
      <c r="B23" s="2"/>
      <c r="G23" s="12"/>
      <c r="H23" s="12"/>
      <c r="I23" s="207"/>
    </row>
    <row r="24" spans="1:14" x14ac:dyDescent="0.25">
      <c r="B24" s="667" t="s">
        <v>240</v>
      </c>
      <c r="C24" s="667"/>
      <c r="D24" s="667"/>
      <c r="E24" s="667"/>
      <c r="F24" s="667"/>
      <c r="G24" s="667"/>
      <c r="H24" s="667"/>
      <c r="I24" s="667"/>
      <c r="J24" s="667"/>
      <c r="K24" s="667"/>
      <c r="L24" s="667"/>
      <c r="M24" s="667"/>
      <c r="N24" s="667"/>
    </row>
    <row r="25" spans="1:14" x14ac:dyDescent="0.25">
      <c r="B25" s="2" t="s">
        <v>223</v>
      </c>
    </row>
    <row r="26" spans="1:14" x14ac:dyDescent="0.25">
      <c r="B26" s="201" t="s">
        <v>218</v>
      </c>
      <c r="C26" s="12"/>
      <c r="D26" s="12"/>
      <c r="E26" s="12"/>
      <c r="G26" s="12"/>
    </row>
    <row r="27" spans="1:14" x14ac:dyDescent="0.25">
      <c r="B27" s="2" t="s">
        <v>327</v>
      </c>
      <c r="C27" s="202"/>
      <c r="D27" s="202"/>
      <c r="E27" s="202"/>
    </row>
    <row r="28" spans="1:14" ht="30" x14ac:dyDescent="0.25">
      <c r="B28" s="203" t="s">
        <v>210</v>
      </c>
      <c r="C28" s="204" t="s">
        <v>6</v>
      </c>
      <c r="D28" s="204" t="s">
        <v>217</v>
      </c>
      <c r="E28" s="204" t="s">
        <v>225</v>
      </c>
      <c r="F28" s="204" t="s">
        <v>93</v>
      </c>
      <c r="G28" s="204" t="s">
        <v>224</v>
      </c>
    </row>
    <row r="29" spans="1:14" x14ac:dyDescent="0.25">
      <c r="B29" s="205" t="s">
        <v>211</v>
      </c>
      <c r="C29" s="208">
        <v>1</v>
      </c>
      <c r="D29" s="289">
        <f>180556/1000</f>
        <v>180.55600000000001</v>
      </c>
      <c r="E29" s="289">
        <f>+D29*C29</f>
        <v>180.55600000000001</v>
      </c>
      <c r="F29" s="289">
        <f>+E29-G29</f>
        <v>31.336165289256201</v>
      </c>
      <c r="G29" s="289">
        <f>+E29/1.21</f>
        <v>149.21983471074381</v>
      </c>
    </row>
    <row r="30" spans="1:14" x14ac:dyDescent="0.25">
      <c r="B30" s="205" t="s">
        <v>212</v>
      </c>
      <c r="C30" s="208">
        <v>2</v>
      </c>
      <c r="D30" s="289">
        <f>216667/1000</f>
        <v>216.667</v>
      </c>
      <c r="E30" s="289">
        <f>+D30*C30</f>
        <v>433.334</v>
      </c>
      <c r="F30" s="289">
        <f>+E30-G30</f>
        <v>75.206727272727278</v>
      </c>
      <c r="G30" s="289">
        <f>+E30/1.21</f>
        <v>358.12727272727273</v>
      </c>
    </row>
    <row r="31" spans="1:14" x14ac:dyDescent="0.25">
      <c r="B31" s="205" t="s">
        <v>213</v>
      </c>
      <c r="C31" s="208">
        <v>1</v>
      </c>
      <c r="D31" s="289">
        <f>216667/1000</f>
        <v>216.667</v>
      </c>
      <c r="E31" s="289">
        <f>+D31*C31</f>
        <v>216.667</v>
      </c>
      <c r="F31" s="289">
        <f>+E31-G31</f>
        <v>37.603363636363639</v>
      </c>
      <c r="G31" s="289">
        <f>+E31/1.21</f>
        <v>179.06363636363636</v>
      </c>
    </row>
    <row r="32" spans="1:14" x14ac:dyDescent="0.25">
      <c r="B32" s="211" t="s">
        <v>41</v>
      </c>
      <c r="C32" s="212">
        <f>SUM(C29:C31)</f>
        <v>4</v>
      </c>
      <c r="D32" s="290"/>
      <c r="E32" s="290">
        <f>SUM(E29:E31)</f>
        <v>830.55700000000002</v>
      </c>
      <c r="F32" s="290">
        <f t="shared" ref="F32" si="4">SUM(F29:F31)</f>
        <v>144.14625619834712</v>
      </c>
      <c r="G32" s="290">
        <f t="shared" ref="G32" si="5">SUM(G29:G31)</f>
        <v>686.41074380165287</v>
      </c>
    </row>
    <row r="33" spans="2:14" x14ac:dyDescent="0.25">
      <c r="B33" s="210" t="s">
        <v>220</v>
      </c>
    </row>
    <row r="34" spans="2:14" x14ac:dyDescent="0.25">
      <c r="B34" s="210" t="s">
        <v>219</v>
      </c>
    </row>
    <row r="35" spans="2:14" x14ac:dyDescent="0.25">
      <c r="B35" s="207" t="s">
        <v>241</v>
      </c>
      <c r="C35" s="201"/>
      <c r="D35" s="201"/>
      <c r="E35" s="201"/>
      <c r="F35" s="201"/>
    </row>
    <row r="36" spans="2:14" x14ac:dyDescent="0.25">
      <c r="B36" s="207" t="s">
        <v>242</v>
      </c>
      <c r="C36" s="201"/>
      <c r="D36" s="201"/>
      <c r="E36" s="201"/>
      <c r="F36" s="201"/>
    </row>
    <row r="37" spans="2:14" x14ac:dyDescent="0.25">
      <c r="B37" s="207" t="s">
        <v>243</v>
      </c>
      <c r="C37" s="201"/>
      <c r="D37" s="201"/>
      <c r="E37" s="201"/>
      <c r="F37" s="201"/>
    </row>
    <row r="38" spans="2:14" x14ac:dyDescent="0.25">
      <c r="F38"/>
      <c r="N38" s="1"/>
    </row>
    <row r="39" spans="2:14" x14ac:dyDescent="0.25">
      <c r="B39" s="667" t="s">
        <v>244</v>
      </c>
      <c r="C39" s="667"/>
      <c r="D39" s="667"/>
      <c r="E39" s="667"/>
      <c r="F39" s="667"/>
      <c r="G39" s="667"/>
      <c r="H39" s="667"/>
      <c r="I39" s="667"/>
      <c r="J39" s="667"/>
      <c r="K39" s="667"/>
      <c r="L39" s="667"/>
      <c r="M39" s="667"/>
      <c r="N39" s="667"/>
    </row>
    <row r="40" spans="2:14" x14ac:dyDescent="0.25">
      <c r="F40"/>
    </row>
    <row r="41" spans="2:14" x14ac:dyDescent="0.25">
      <c r="B41" s="2" t="s">
        <v>249</v>
      </c>
      <c r="F41"/>
      <c r="I41" s="2" t="s">
        <v>250</v>
      </c>
    </row>
    <row r="42" spans="2:14" x14ac:dyDescent="0.25">
      <c r="B42" s="201" t="s">
        <v>218</v>
      </c>
      <c r="C42" s="12"/>
      <c r="D42" s="12"/>
      <c r="E42" s="12"/>
      <c r="G42" s="12"/>
      <c r="I42" s="201" t="s">
        <v>218</v>
      </c>
      <c r="J42" s="12"/>
      <c r="K42" s="12"/>
      <c r="L42" s="12"/>
      <c r="M42" s="12"/>
      <c r="N42" s="12"/>
    </row>
    <row r="43" spans="2:14" x14ac:dyDescent="0.25">
      <c r="B43" s="2" t="s">
        <v>327</v>
      </c>
      <c r="C43" s="202"/>
      <c r="D43" s="202"/>
      <c r="E43" s="202"/>
      <c r="I43" s="2" t="s">
        <v>327</v>
      </c>
      <c r="J43" s="202"/>
      <c r="K43" s="202"/>
      <c r="L43" s="202"/>
      <c r="M43" s="12"/>
    </row>
    <row r="44" spans="2:14" ht="30" x14ac:dyDescent="0.25">
      <c r="B44" s="203" t="s">
        <v>210</v>
      </c>
      <c r="C44" s="204" t="s">
        <v>6</v>
      </c>
      <c r="D44" s="204" t="s">
        <v>217</v>
      </c>
      <c r="E44" s="204" t="s">
        <v>225</v>
      </c>
      <c r="F44" s="204" t="s">
        <v>93</v>
      </c>
      <c r="G44" s="204" t="s">
        <v>224</v>
      </c>
      <c r="I44" s="203" t="s">
        <v>210</v>
      </c>
      <c r="J44" s="204" t="s">
        <v>6</v>
      </c>
      <c r="K44" s="204" t="s">
        <v>217</v>
      </c>
      <c r="L44" s="204" t="s">
        <v>225</v>
      </c>
      <c r="M44" s="204" t="s">
        <v>93</v>
      </c>
      <c r="N44" s="204" t="s">
        <v>224</v>
      </c>
    </row>
    <row r="45" spans="2:14" x14ac:dyDescent="0.25">
      <c r="B45" s="205" t="s">
        <v>211</v>
      </c>
      <c r="C45" s="208">
        <v>1</v>
      </c>
      <c r="D45" s="289">
        <f>108333.4/1000</f>
        <v>108.3334</v>
      </c>
      <c r="E45" s="289">
        <f>+D45*C45</f>
        <v>108.3334</v>
      </c>
      <c r="F45" s="289">
        <f>+E45-G45</f>
        <v>18.80166446280991</v>
      </c>
      <c r="G45" s="289">
        <f>+E45/1.21</f>
        <v>89.531735537190087</v>
      </c>
      <c r="I45" s="205" t="s">
        <v>211</v>
      </c>
      <c r="J45" s="208">
        <v>1</v>
      </c>
      <c r="K45" s="289">
        <f>72222/1000</f>
        <v>72.221999999999994</v>
      </c>
      <c r="L45" s="289">
        <f>+K45*J45</f>
        <v>72.221999999999994</v>
      </c>
      <c r="M45" s="289">
        <f>+L45-N45</f>
        <v>12.534396694214877</v>
      </c>
      <c r="N45" s="289">
        <f>+L45/1.21</f>
        <v>59.687603305785117</v>
      </c>
    </row>
    <row r="46" spans="2:14" x14ac:dyDescent="0.25">
      <c r="B46" s="205" t="s">
        <v>212</v>
      </c>
      <c r="C46" s="208">
        <v>5</v>
      </c>
      <c r="D46" s="289">
        <f>108333.4/1000</f>
        <v>108.3334</v>
      </c>
      <c r="E46" s="289">
        <f>+D46*C46</f>
        <v>541.66700000000003</v>
      </c>
      <c r="F46" s="289">
        <f>+E46-G46</f>
        <v>94.008322314049565</v>
      </c>
      <c r="G46" s="289">
        <f>+E46/1.21</f>
        <v>447.65867768595047</v>
      </c>
      <c r="I46" s="205" t="s">
        <v>212</v>
      </c>
      <c r="J46" s="208">
        <v>4</v>
      </c>
      <c r="K46" s="289">
        <f>72222/1000</f>
        <v>72.221999999999994</v>
      </c>
      <c r="L46" s="289">
        <f>+K46*J46</f>
        <v>288.88799999999998</v>
      </c>
      <c r="M46" s="289">
        <f>+L46-N46</f>
        <v>50.137586776859507</v>
      </c>
      <c r="N46" s="289">
        <f>+L46/1.21</f>
        <v>238.75041322314047</v>
      </c>
    </row>
    <row r="47" spans="2:14" x14ac:dyDescent="0.25">
      <c r="B47" s="205"/>
      <c r="C47" s="208"/>
      <c r="D47" s="289"/>
      <c r="E47" s="289"/>
      <c r="F47" s="289"/>
      <c r="G47" s="289"/>
      <c r="I47" s="205" t="s">
        <v>213</v>
      </c>
      <c r="J47" s="208">
        <v>1</v>
      </c>
      <c r="K47" s="289">
        <f>72222/1000</f>
        <v>72.221999999999994</v>
      </c>
      <c r="L47" s="289">
        <f>+K47*J47</f>
        <v>72.221999999999994</v>
      </c>
      <c r="M47" s="289">
        <f>+L47-N47</f>
        <v>12.534396694214877</v>
      </c>
      <c r="N47" s="289">
        <f>+L47/1.21</f>
        <v>59.687603305785117</v>
      </c>
    </row>
    <row r="48" spans="2:14" x14ac:dyDescent="0.25">
      <c r="B48" s="211" t="s">
        <v>41</v>
      </c>
      <c r="C48" s="212">
        <f>SUM(C45:C47)</f>
        <v>6</v>
      </c>
      <c r="D48" s="290"/>
      <c r="E48" s="290">
        <f>SUM(E45:E47)</f>
        <v>650.00040000000001</v>
      </c>
      <c r="F48" s="290">
        <f t="shared" ref="F48" si="6">SUM(F45:F47)</f>
        <v>112.80998677685947</v>
      </c>
      <c r="G48" s="290">
        <f t="shared" ref="G48" si="7">SUM(G45:G47)</f>
        <v>537.19041322314058</v>
      </c>
      <c r="I48" s="211" t="s">
        <v>41</v>
      </c>
      <c r="J48" s="212">
        <f>SUM(J45:J47)</f>
        <v>6</v>
      </c>
      <c r="K48" s="290"/>
      <c r="L48" s="290">
        <f>SUM(L45:L47)</f>
        <v>433.33199999999994</v>
      </c>
      <c r="M48" s="290">
        <f t="shared" ref="M48" si="8">SUM(M45:M47)</f>
        <v>75.206380165289261</v>
      </c>
      <c r="N48" s="290">
        <f t="shared" ref="N48" si="9">SUM(N45:N47)</f>
        <v>358.12561983471068</v>
      </c>
    </row>
    <row r="49" spans="2:15" x14ac:dyDescent="0.25">
      <c r="B49" s="210" t="s">
        <v>220</v>
      </c>
      <c r="F49"/>
      <c r="I49" s="210" t="s">
        <v>220</v>
      </c>
    </row>
    <row r="50" spans="2:15" x14ac:dyDescent="0.25">
      <c r="B50" s="210" t="s">
        <v>219</v>
      </c>
      <c r="C50" s="11"/>
      <c r="D50" s="11"/>
      <c r="E50" s="11"/>
      <c r="F50" s="11"/>
      <c r="G50" s="570"/>
      <c r="I50" s="210" t="s">
        <v>219</v>
      </c>
      <c r="J50" s="11"/>
      <c r="K50" s="11"/>
      <c r="L50" s="11"/>
      <c r="M50" s="11"/>
      <c r="O50" s="570"/>
    </row>
    <row r="51" spans="2:15" x14ac:dyDescent="0.25">
      <c r="B51" s="201" t="s">
        <v>245</v>
      </c>
      <c r="C51" s="200"/>
      <c r="D51" s="201"/>
      <c r="E51" s="202"/>
      <c r="F51" s="202"/>
      <c r="I51" t="s">
        <v>253</v>
      </c>
      <c r="J51" s="200"/>
      <c r="K51" s="201"/>
      <c r="L51" s="202"/>
      <c r="M51" s="202"/>
    </row>
    <row r="52" spans="2:15" x14ac:dyDescent="0.25">
      <c r="B52" s="201" t="s">
        <v>246</v>
      </c>
      <c r="F52"/>
    </row>
    <row r="53" spans="2:15" x14ac:dyDescent="0.25">
      <c r="B53" s="201" t="s">
        <v>247</v>
      </c>
      <c r="F53"/>
    </row>
    <row r="54" spans="2:15" x14ac:dyDescent="0.25">
      <c r="B54" s="201" t="s">
        <v>248</v>
      </c>
      <c r="F54"/>
    </row>
    <row r="55" spans="2:15" x14ac:dyDescent="0.25">
      <c r="F55"/>
    </row>
    <row r="56" spans="2:15" x14ac:dyDescent="0.25">
      <c r="B56" s="2" t="s">
        <v>252</v>
      </c>
      <c r="F56"/>
      <c r="I56" s="2" t="s">
        <v>251</v>
      </c>
    </row>
    <row r="57" spans="2:15" x14ac:dyDescent="0.25">
      <c r="B57" s="201" t="s">
        <v>218</v>
      </c>
      <c r="C57" s="12"/>
      <c r="D57" s="12"/>
      <c r="E57" s="12"/>
      <c r="G57" s="12"/>
      <c r="I57" s="201" t="s">
        <v>218</v>
      </c>
      <c r="J57" s="12"/>
      <c r="K57" s="12"/>
      <c r="L57" s="12"/>
      <c r="M57" s="12"/>
      <c r="N57" s="12"/>
    </row>
    <row r="58" spans="2:15" x14ac:dyDescent="0.25">
      <c r="B58" s="2" t="s">
        <v>327</v>
      </c>
      <c r="C58" s="202"/>
      <c r="D58" s="202"/>
      <c r="E58" s="202"/>
      <c r="I58" s="2" t="s">
        <v>327</v>
      </c>
      <c r="J58" s="202"/>
      <c r="K58" s="202"/>
      <c r="L58" s="202"/>
      <c r="M58" s="12"/>
    </row>
    <row r="59" spans="2:15" ht="30" x14ac:dyDescent="0.25">
      <c r="B59" s="203" t="s">
        <v>210</v>
      </c>
      <c r="C59" s="204" t="s">
        <v>6</v>
      </c>
      <c r="D59" s="204" t="s">
        <v>217</v>
      </c>
      <c r="E59" s="204" t="s">
        <v>225</v>
      </c>
      <c r="F59" s="204" t="s">
        <v>93</v>
      </c>
      <c r="G59" s="204" t="s">
        <v>224</v>
      </c>
      <c r="I59" s="203" t="s">
        <v>210</v>
      </c>
      <c r="J59" s="204" t="s">
        <v>6</v>
      </c>
      <c r="K59" s="204" t="s">
        <v>217</v>
      </c>
      <c r="L59" s="204" t="s">
        <v>225</v>
      </c>
      <c r="M59" s="204" t="s">
        <v>93</v>
      </c>
      <c r="N59" s="204" t="s">
        <v>224</v>
      </c>
    </row>
    <row r="60" spans="2:15" x14ac:dyDescent="0.25">
      <c r="B60" s="205" t="s">
        <v>211</v>
      </c>
      <c r="C60" s="208">
        <v>1</v>
      </c>
      <c r="D60" s="289">
        <v>108.33</v>
      </c>
      <c r="E60" s="289">
        <f>+D60*C60</f>
        <v>108.33</v>
      </c>
      <c r="F60" s="289">
        <f>+E60-G60</f>
        <v>18.801074380165289</v>
      </c>
      <c r="G60" s="289">
        <f>+E60/1.21</f>
        <v>89.528925619834709</v>
      </c>
      <c r="I60" s="205" t="s">
        <v>211</v>
      </c>
      <c r="J60" s="208">
        <v>8</v>
      </c>
      <c r="K60" s="289">
        <v>108.333</v>
      </c>
      <c r="L60" s="289">
        <f>+K60*J60</f>
        <v>866.66399999999999</v>
      </c>
      <c r="M60" s="289">
        <f>+L60-N60</f>
        <v>150.41276033057852</v>
      </c>
      <c r="N60" s="289">
        <f>+L60/1.21</f>
        <v>716.25123966942147</v>
      </c>
    </row>
    <row r="61" spans="2:15" x14ac:dyDescent="0.25">
      <c r="B61" s="205" t="s">
        <v>212</v>
      </c>
      <c r="C61" s="208">
        <v>5</v>
      </c>
      <c r="D61" s="289">
        <v>75</v>
      </c>
      <c r="E61" s="289">
        <f>+D61*C61</f>
        <v>375</v>
      </c>
      <c r="F61" s="289">
        <f>+E61-G61</f>
        <v>65.08264462809916</v>
      </c>
      <c r="G61" s="289">
        <f>+E61/1.21</f>
        <v>309.91735537190084</v>
      </c>
      <c r="I61" s="205" t="s">
        <v>212</v>
      </c>
      <c r="J61" s="208">
        <v>8</v>
      </c>
      <c r="K61" s="289">
        <v>108.333</v>
      </c>
      <c r="L61" s="289">
        <f>+K61*J61</f>
        <v>866.66399999999999</v>
      </c>
      <c r="M61" s="289">
        <f>+L61-N61</f>
        <v>150.41276033057852</v>
      </c>
      <c r="N61" s="289">
        <f>+L61/1.21</f>
        <v>716.25123966942147</v>
      </c>
    </row>
    <row r="62" spans="2:15" x14ac:dyDescent="0.25">
      <c r="B62" s="205" t="s">
        <v>213</v>
      </c>
      <c r="C62" s="208">
        <v>2</v>
      </c>
      <c r="D62" s="289">
        <v>75</v>
      </c>
      <c r="E62" s="289">
        <f>+D62*C62</f>
        <v>150</v>
      </c>
      <c r="F62" s="289">
        <f>+E62-G62</f>
        <v>26.033057851239661</v>
      </c>
      <c r="G62" s="289">
        <f>+E62/1.21</f>
        <v>123.96694214876034</v>
      </c>
      <c r="I62" s="205" t="s">
        <v>213</v>
      </c>
      <c r="J62" s="208">
        <v>1</v>
      </c>
      <c r="K62" s="289">
        <v>266.66699999999997</v>
      </c>
      <c r="L62" s="289">
        <f>+K62*J62</f>
        <v>266.66699999999997</v>
      </c>
      <c r="M62" s="289">
        <f>+L62-N62</f>
        <v>46.281049586776845</v>
      </c>
      <c r="N62" s="289">
        <f>+L62/1.21</f>
        <v>220.38595041322313</v>
      </c>
    </row>
    <row r="63" spans="2:15" x14ac:dyDescent="0.25">
      <c r="B63" s="211" t="s">
        <v>41</v>
      </c>
      <c r="C63" s="212">
        <f>SUM(C60:C62)</f>
        <v>8</v>
      </c>
      <c r="D63" s="290"/>
      <c r="E63" s="290">
        <f>SUM(E60:E62)</f>
        <v>633.32999999999993</v>
      </c>
      <c r="F63" s="290">
        <f t="shared" ref="F63" si="10">SUM(F60:F62)</f>
        <v>109.91677685950411</v>
      </c>
      <c r="G63" s="290">
        <f t="shared" ref="G63" si="11">SUM(G60:G62)</f>
        <v>523.41322314049592</v>
      </c>
      <c r="I63" s="211" t="s">
        <v>41</v>
      </c>
      <c r="J63" s="212">
        <f>SUM(J60:J62)</f>
        <v>17</v>
      </c>
      <c r="K63" s="290"/>
      <c r="L63" s="290">
        <f>SUM(L60:L62)</f>
        <v>1999.9949999999999</v>
      </c>
      <c r="M63" s="290">
        <f t="shared" ref="M63" si="12">SUM(M60:M62)</f>
        <v>347.10657024793386</v>
      </c>
      <c r="N63" s="290">
        <f t="shared" ref="N63" si="13">SUM(N60:N62)</f>
        <v>1652.888429752066</v>
      </c>
    </row>
    <row r="64" spans="2:15" x14ac:dyDescent="0.25">
      <c r="B64" s="210" t="s">
        <v>220</v>
      </c>
      <c r="F64"/>
      <c r="I64" s="210" t="s">
        <v>220</v>
      </c>
    </row>
    <row r="65" spans="2:15" x14ac:dyDescent="0.25">
      <c r="B65" s="210" t="s">
        <v>219</v>
      </c>
      <c r="C65" s="11"/>
      <c r="D65" s="11"/>
      <c r="E65" s="335"/>
      <c r="F65" s="11"/>
      <c r="G65" s="570"/>
      <c r="I65" s="210" t="s">
        <v>219</v>
      </c>
      <c r="J65" s="11"/>
      <c r="K65" s="11"/>
      <c r="L65" s="11"/>
      <c r="M65" s="11"/>
      <c r="O65" s="570"/>
    </row>
    <row r="66" spans="2:15" x14ac:dyDescent="0.25">
      <c r="B66" t="s">
        <v>254</v>
      </c>
      <c r="F66"/>
      <c r="I66" t="s">
        <v>281</v>
      </c>
    </row>
    <row r="67" spans="2:15" x14ac:dyDescent="0.25">
      <c r="B67" t="s">
        <v>332</v>
      </c>
      <c r="F67"/>
      <c r="I67" t="s">
        <v>282</v>
      </c>
    </row>
    <row r="68" spans="2:15" x14ac:dyDescent="0.25">
      <c r="F68"/>
      <c r="N68" s="1"/>
      <c r="O68" s="202"/>
    </row>
    <row r="69" spans="2:15" x14ac:dyDescent="0.25">
      <c r="B69" s="2" t="str">
        <f>+'Presupuesto_Productos (POD)'!B13</f>
        <v>Subcomponente 1.2: Fortalecimiento de los controles aduaneros y nueva estrategia de control mediante el uso de medios no intrusivos y una gestión de riesgo integral.</v>
      </c>
      <c r="F69"/>
      <c r="N69" s="1"/>
      <c r="O69" s="202"/>
    </row>
    <row r="70" spans="2:15" x14ac:dyDescent="0.25">
      <c r="B70" s="667" t="s">
        <v>428</v>
      </c>
      <c r="C70" s="667"/>
      <c r="D70" s="667"/>
      <c r="E70" s="667"/>
      <c r="F70" s="667"/>
      <c r="G70" s="667"/>
      <c r="H70" s="667"/>
      <c r="I70" s="667"/>
      <c r="J70" s="667"/>
      <c r="K70" s="667"/>
      <c r="L70" s="667"/>
      <c r="M70" s="667"/>
      <c r="N70" s="667"/>
      <c r="O70" s="202"/>
    </row>
    <row r="71" spans="2:15" x14ac:dyDescent="0.25">
      <c r="B71" s="2" t="s">
        <v>429</v>
      </c>
      <c r="F71"/>
      <c r="I71" s="2" t="s">
        <v>431</v>
      </c>
      <c r="N71" s="1"/>
      <c r="O71" s="202"/>
    </row>
    <row r="72" spans="2:15" x14ac:dyDescent="0.25">
      <c r="B72" s="201" t="s">
        <v>218</v>
      </c>
      <c r="C72" s="12"/>
      <c r="D72" s="12"/>
      <c r="E72" s="12"/>
      <c r="G72" s="12"/>
      <c r="I72" s="201" t="s">
        <v>218</v>
      </c>
      <c r="J72" s="12"/>
      <c r="K72" s="12"/>
      <c r="L72" s="12"/>
      <c r="M72" s="12"/>
      <c r="N72" s="12"/>
      <c r="O72" s="202"/>
    </row>
    <row r="73" spans="2:15" x14ac:dyDescent="0.25">
      <c r="B73" s="2" t="s">
        <v>327</v>
      </c>
      <c r="C73" s="202"/>
      <c r="D73" s="202"/>
      <c r="E73" s="202"/>
      <c r="I73" s="2" t="s">
        <v>327</v>
      </c>
      <c r="J73" s="202"/>
      <c r="K73" s="202"/>
      <c r="L73" s="202"/>
      <c r="M73" s="12"/>
      <c r="O73" s="202"/>
    </row>
    <row r="74" spans="2:15" ht="30" x14ac:dyDescent="0.25">
      <c r="B74" s="203" t="s">
        <v>210</v>
      </c>
      <c r="C74" s="204" t="s">
        <v>6</v>
      </c>
      <c r="D74" s="204" t="s">
        <v>217</v>
      </c>
      <c r="E74" s="204" t="s">
        <v>225</v>
      </c>
      <c r="F74" s="204" t="s">
        <v>93</v>
      </c>
      <c r="G74" s="204" t="s">
        <v>224</v>
      </c>
      <c r="I74" s="203" t="s">
        <v>210</v>
      </c>
      <c r="J74" s="204" t="s">
        <v>6</v>
      </c>
      <c r="K74" s="204" t="s">
        <v>217</v>
      </c>
      <c r="L74" s="204" t="s">
        <v>225</v>
      </c>
      <c r="M74" s="204" t="s">
        <v>93</v>
      </c>
      <c r="N74" s="204" t="s">
        <v>224</v>
      </c>
      <c r="O74" s="202"/>
    </row>
    <row r="75" spans="2:15" x14ac:dyDescent="0.25">
      <c r="B75" s="205" t="s">
        <v>211</v>
      </c>
      <c r="C75" s="208">
        <v>8</v>
      </c>
      <c r="D75" s="289">
        <v>225.1</v>
      </c>
      <c r="E75" s="289">
        <f>+D75*C75</f>
        <v>1800.8</v>
      </c>
      <c r="F75" s="289">
        <f>+E75-G75</f>
        <v>312.53553719008255</v>
      </c>
      <c r="G75" s="289">
        <f>+E75/1.21</f>
        <v>1488.2644628099174</v>
      </c>
      <c r="I75" s="205" t="s">
        <v>211</v>
      </c>
      <c r="J75" s="208">
        <v>15</v>
      </c>
      <c r="K75" s="289">
        <v>221.73599999999999</v>
      </c>
      <c r="L75" s="289">
        <f>+K75*J75</f>
        <v>3326.04</v>
      </c>
      <c r="M75" s="289">
        <f>+L75-N75</f>
        <v>577.24661157024775</v>
      </c>
      <c r="N75" s="289">
        <f>+L75/1.21</f>
        <v>2748.7933884297522</v>
      </c>
      <c r="O75" s="202"/>
    </row>
    <row r="76" spans="2:15" x14ac:dyDescent="0.25">
      <c r="B76" s="205" t="s">
        <v>212</v>
      </c>
      <c r="C76" s="208">
        <v>18</v>
      </c>
      <c r="D76" s="289">
        <v>224.64500000000001</v>
      </c>
      <c r="E76" s="289">
        <f>+D76*C76</f>
        <v>4043.61</v>
      </c>
      <c r="F76" s="289">
        <f>+E76-G76</f>
        <v>701.78355371900807</v>
      </c>
      <c r="G76" s="289">
        <f>+E76/1.21</f>
        <v>3341.8264462809921</v>
      </c>
      <c r="I76" s="205" t="s">
        <v>212</v>
      </c>
      <c r="J76" s="208">
        <v>17</v>
      </c>
      <c r="K76" s="289">
        <v>222</v>
      </c>
      <c r="L76" s="289">
        <f>+K76*J76</f>
        <v>3774</v>
      </c>
      <c r="M76" s="289">
        <f>+L76-N76</f>
        <v>654.99173553718992</v>
      </c>
      <c r="N76" s="289">
        <f>+L76/1.21</f>
        <v>3119.0082644628101</v>
      </c>
      <c r="O76" s="202"/>
    </row>
    <row r="77" spans="2:15" x14ac:dyDescent="0.25">
      <c r="B77" s="205"/>
      <c r="C77" s="208"/>
      <c r="D77" s="289"/>
      <c r="E77" s="289"/>
      <c r="F77" s="289"/>
      <c r="G77" s="289"/>
      <c r="I77" s="205"/>
      <c r="J77" s="208"/>
      <c r="K77" s="289"/>
      <c r="L77" s="289"/>
      <c r="M77" s="289"/>
      <c r="N77" s="289"/>
      <c r="O77" s="202"/>
    </row>
    <row r="78" spans="2:15" x14ac:dyDescent="0.25">
      <c r="B78" s="211" t="s">
        <v>41</v>
      </c>
      <c r="C78" s="212">
        <f>SUM(C75:C77)</f>
        <v>26</v>
      </c>
      <c r="D78" s="290"/>
      <c r="E78" s="290">
        <f>SUM(E75:E77)</f>
        <v>5844.41</v>
      </c>
      <c r="F78" s="290">
        <f t="shared" ref="F78:G78" si="14">SUM(F75:F77)</f>
        <v>1014.3190909090906</v>
      </c>
      <c r="G78" s="290">
        <f t="shared" si="14"/>
        <v>4830.0909090909099</v>
      </c>
      <c r="I78" s="211" t="s">
        <v>41</v>
      </c>
      <c r="J78" s="212">
        <f>SUM(J75:J77)</f>
        <v>32</v>
      </c>
      <c r="K78" s="290"/>
      <c r="L78" s="290">
        <f>SUM(L75:L77)</f>
        <v>7100.04</v>
      </c>
      <c r="M78" s="290">
        <f t="shared" ref="M78:N78" si="15">SUM(M75:M77)</f>
        <v>1232.2383471074377</v>
      </c>
      <c r="N78" s="290">
        <f t="shared" si="15"/>
        <v>5867.8016528925618</v>
      </c>
      <c r="O78" s="202"/>
    </row>
    <row r="79" spans="2:15" x14ac:dyDescent="0.25">
      <c r="B79" s="210" t="s">
        <v>220</v>
      </c>
      <c r="F79"/>
      <c r="I79" s="210" t="s">
        <v>220</v>
      </c>
      <c r="O79" s="202"/>
    </row>
    <row r="80" spans="2:15" x14ac:dyDescent="0.25">
      <c r="B80" s="210" t="s">
        <v>219</v>
      </c>
      <c r="C80" s="11"/>
      <c r="D80" s="11"/>
      <c r="E80" s="11"/>
      <c r="F80" s="11"/>
      <c r="G80" s="570"/>
      <c r="I80" s="210" t="s">
        <v>219</v>
      </c>
      <c r="J80" s="11"/>
      <c r="K80" s="11"/>
      <c r="L80" s="11"/>
      <c r="M80" s="11"/>
      <c r="N80" s="570"/>
      <c r="O80" s="570"/>
    </row>
    <row r="81" spans="2:15" x14ac:dyDescent="0.25">
      <c r="B81" t="s">
        <v>430</v>
      </c>
      <c r="F81"/>
      <c r="I81" t="s">
        <v>432</v>
      </c>
      <c r="O81" s="202"/>
    </row>
    <row r="82" spans="2:15" x14ac:dyDescent="0.25">
      <c r="F82"/>
      <c r="N82" s="1"/>
      <c r="O82" s="202"/>
    </row>
    <row r="83" spans="2:15" x14ac:dyDescent="0.25">
      <c r="B83" s="2" t="s">
        <v>433</v>
      </c>
      <c r="F83"/>
      <c r="N83" s="1"/>
      <c r="O83" s="202"/>
    </row>
    <row r="84" spans="2:15" x14ac:dyDescent="0.25">
      <c r="B84" s="201" t="s">
        <v>218</v>
      </c>
      <c r="C84" s="12"/>
      <c r="D84" s="12"/>
      <c r="E84" s="12"/>
      <c r="G84" s="12"/>
      <c r="N84" s="1"/>
      <c r="O84" s="202"/>
    </row>
    <row r="85" spans="2:15" x14ac:dyDescent="0.25">
      <c r="B85" s="2" t="s">
        <v>327</v>
      </c>
      <c r="C85" s="202"/>
      <c r="D85" s="202"/>
      <c r="E85" s="202"/>
      <c r="N85" s="1"/>
      <c r="O85" s="202"/>
    </row>
    <row r="86" spans="2:15" ht="30" x14ac:dyDescent="0.25">
      <c r="B86" s="203" t="s">
        <v>210</v>
      </c>
      <c r="C86" s="204" t="s">
        <v>6</v>
      </c>
      <c r="D86" s="204" t="s">
        <v>217</v>
      </c>
      <c r="E86" s="204" t="s">
        <v>225</v>
      </c>
      <c r="F86" s="204" t="s">
        <v>93</v>
      </c>
      <c r="G86" s="204" t="s">
        <v>224</v>
      </c>
      <c r="N86" s="1"/>
      <c r="O86" s="202"/>
    </row>
    <row r="87" spans="2:15" x14ac:dyDescent="0.25">
      <c r="B87" s="205" t="s">
        <v>211</v>
      </c>
      <c r="C87" s="208">
        <v>5</v>
      </c>
      <c r="D87" s="289">
        <v>221.5</v>
      </c>
      <c r="E87" s="289">
        <f>+D87*C87</f>
        <v>1107.5</v>
      </c>
      <c r="F87" s="289">
        <f>+E87-G87</f>
        <v>192.21074380165282</v>
      </c>
      <c r="G87" s="289">
        <f>+E87/1.21</f>
        <v>915.28925619834718</v>
      </c>
      <c r="N87" s="1"/>
      <c r="O87" s="202"/>
    </row>
    <row r="88" spans="2:15" x14ac:dyDescent="0.25">
      <c r="B88" s="205" t="s">
        <v>212</v>
      </c>
      <c r="C88" s="208">
        <v>6</v>
      </c>
      <c r="D88" s="289">
        <v>224.5</v>
      </c>
      <c r="E88" s="289">
        <f>+D88*C88</f>
        <v>1347</v>
      </c>
      <c r="F88" s="289">
        <f>+E88-G88</f>
        <v>233.77685950413229</v>
      </c>
      <c r="G88" s="289">
        <f>+E88/1.21</f>
        <v>1113.2231404958677</v>
      </c>
      <c r="N88" s="1"/>
      <c r="O88" s="202"/>
    </row>
    <row r="89" spans="2:15" x14ac:dyDescent="0.25">
      <c r="B89" s="205"/>
      <c r="C89" s="208"/>
      <c r="D89" s="289"/>
      <c r="E89" s="289"/>
      <c r="F89" s="289"/>
      <c r="G89" s="289"/>
      <c r="N89" s="1"/>
      <c r="O89" s="202"/>
    </row>
    <row r="90" spans="2:15" x14ac:dyDescent="0.25">
      <c r="B90" s="211" t="s">
        <v>41</v>
      </c>
      <c r="C90" s="212">
        <f>SUM(C87:C89)</f>
        <v>11</v>
      </c>
      <c r="D90" s="290"/>
      <c r="E90" s="290">
        <f>SUM(E87:E89)</f>
        <v>2454.5</v>
      </c>
      <c r="F90" s="290">
        <f t="shared" ref="F90:G90" si="16">SUM(F87:F89)</f>
        <v>425.98760330578511</v>
      </c>
      <c r="G90" s="290">
        <f t="shared" si="16"/>
        <v>2028.5123966942149</v>
      </c>
      <c r="N90" s="1"/>
      <c r="O90" s="202"/>
    </row>
    <row r="91" spans="2:15" x14ac:dyDescent="0.25">
      <c r="B91" s="210" t="s">
        <v>220</v>
      </c>
      <c r="F91"/>
      <c r="N91" s="1"/>
      <c r="O91" s="202"/>
    </row>
    <row r="92" spans="2:15" x14ac:dyDescent="0.25">
      <c r="B92" s="210" t="s">
        <v>219</v>
      </c>
      <c r="F92"/>
      <c r="G92" s="570"/>
      <c r="N92" s="1"/>
      <c r="O92" s="202"/>
    </row>
    <row r="93" spans="2:15" x14ac:dyDescent="0.25">
      <c r="B93" s="557" t="s">
        <v>434</v>
      </c>
      <c r="F93"/>
      <c r="N93" s="1"/>
      <c r="O93" s="202"/>
    </row>
    <row r="94" spans="2:15" x14ac:dyDescent="0.25">
      <c r="F94"/>
      <c r="N94" s="1"/>
      <c r="O94" s="202"/>
    </row>
    <row r="95" spans="2:15" x14ac:dyDescent="0.25">
      <c r="B95" s="2" t="str">
        <f>+'Presupuesto_Productos (POD)'!B20</f>
        <v>Subcomponente 1.3: Fortalecimiento del control y fiscalización de los recursos de la seguridad social y mejora de la formalización del sector laboral</v>
      </c>
      <c r="O95" s="202"/>
    </row>
    <row r="96" spans="2:15" x14ac:dyDescent="0.25">
      <c r="B96" s="667" t="s">
        <v>233</v>
      </c>
      <c r="C96" s="667"/>
      <c r="D96" s="667"/>
      <c r="E96" s="667"/>
      <c r="F96" s="667"/>
      <c r="G96" s="667"/>
      <c r="H96" s="667"/>
      <c r="I96" s="667"/>
      <c r="J96" s="667"/>
      <c r="K96" s="667"/>
      <c r="L96" s="667"/>
      <c r="M96" s="667"/>
      <c r="N96" s="667"/>
      <c r="O96" s="202"/>
    </row>
    <row r="97" spans="2:15" x14ac:dyDescent="0.25">
      <c r="O97" s="202"/>
    </row>
    <row r="98" spans="2:15" x14ac:dyDescent="0.25">
      <c r="B98" s="2" t="s">
        <v>234</v>
      </c>
      <c r="F98"/>
      <c r="I98" s="2" t="s">
        <v>222</v>
      </c>
      <c r="O98" s="202"/>
    </row>
    <row r="99" spans="2:15" x14ac:dyDescent="0.25">
      <c r="B99" s="201" t="s">
        <v>218</v>
      </c>
      <c r="C99" s="12"/>
      <c r="D99" s="12"/>
      <c r="E99" s="12"/>
      <c r="G99" s="12"/>
      <c r="I99" s="201" t="s">
        <v>218</v>
      </c>
      <c r="J99" s="12"/>
      <c r="K99" s="12"/>
      <c r="L99" s="12"/>
      <c r="M99" s="12"/>
      <c r="N99" s="12"/>
      <c r="O99" s="202"/>
    </row>
    <row r="100" spans="2:15" x14ac:dyDescent="0.25">
      <c r="B100" s="2" t="s">
        <v>327</v>
      </c>
      <c r="C100" s="202"/>
      <c r="D100" s="202"/>
      <c r="E100" s="202"/>
      <c r="I100" s="2" t="s">
        <v>327</v>
      </c>
      <c r="J100" s="202"/>
      <c r="K100" s="202"/>
      <c r="L100" s="202"/>
      <c r="M100" s="12"/>
      <c r="O100" s="202"/>
    </row>
    <row r="101" spans="2:15" ht="30" x14ac:dyDescent="0.25">
      <c r="B101" s="203" t="s">
        <v>210</v>
      </c>
      <c r="C101" s="204" t="s">
        <v>6</v>
      </c>
      <c r="D101" s="204" t="s">
        <v>217</v>
      </c>
      <c r="E101" s="204" t="s">
        <v>225</v>
      </c>
      <c r="F101" s="204" t="s">
        <v>93</v>
      </c>
      <c r="G101" s="204" t="s">
        <v>224</v>
      </c>
      <c r="I101" s="203" t="s">
        <v>210</v>
      </c>
      <c r="J101" s="204" t="s">
        <v>6</v>
      </c>
      <c r="K101" s="204" t="s">
        <v>217</v>
      </c>
      <c r="L101" s="204" t="s">
        <v>225</v>
      </c>
      <c r="M101" s="204" t="s">
        <v>93</v>
      </c>
      <c r="N101" s="204" t="s">
        <v>224</v>
      </c>
      <c r="O101" s="202"/>
    </row>
    <row r="102" spans="2:15" x14ac:dyDescent="0.25">
      <c r="B102" s="205"/>
      <c r="C102" s="208"/>
      <c r="D102" s="289"/>
      <c r="E102" s="289"/>
      <c r="F102" s="289"/>
      <c r="G102" s="289"/>
      <c r="I102" s="205" t="s">
        <v>211</v>
      </c>
      <c r="J102" s="208">
        <v>2</v>
      </c>
      <c r="K102" s="289">
        <f>108333/1000</f>
        <v>108.333</v>
      </c>
      <c r="L102" s="289">
        <f>+K102*J102</f>
        <v>216.666</v>
      </c>
      <c r="M102" s="289">
        <f>+L102-N102</f>
        <v>37.60319008264463</v>
      </c>
      <c r="N102" s="289">
        <f>+L102/1.21</f>
        <v>179.06280991735537</v>
      </c>
      <c r="O102" s="202"/>
    </row>
    <row r="103" spans="2:15" x14ac:dyDescent="0.25">
      <c r="B103" s="205" t="s">
        <v>212</v>
      </c>
      <c r="C103" s="208">
        <v>5</v>
      </c>
      <c r="D103" s="289">
        <f>108333/1000</f>
        <v>108.333</v>
      </c>
      <c r="E103" s="289">
        <f>+D103*C103</f>
        <v>541.66499999999996</v>
      </c>
      <c r="F103" s="289">
        <f>+E103-G103</f>
        <v>94.007975206611547</v>
      </c>
      <c r="G103" s="289">
        <f>+E103/1.21</f>
        <v>447.65702479338842</v>
      </c>
      <c r="I103" s="205" t="s">
        <v>212</v>
      </c>
      <c r="J103" s="208">
        <v>3</v>
      </c>
      <c r="K103" s="289">
        <f>108333/1000</f>
        <v>108.333</v>
      </c>
      <c r="L103" s="289">
        <f>+K103*J103</f>
        <v>324.99900000000002</v>
      </c>
      <c r="M103" s="289">
        <f>+L103-N103</f>
        <v>56.404785123966917</v>
      </c>
      <c r="N103" s="289">
        <f>+L103/1.21</f>
        <v>268.59421487603311</v>
      </c>
      <c r="O103" s="202"/>
    </row>
    <row r="104" spans="2:15" x14ac:dyDescent="0.25">
      <c r="B104" s="205" t="s">
        <v>213</v>
      </c>
      <c r="C104" s="208">
        <v>1</v>
      </c>
      <c r="D104" s="289">
        <f>108333/1000</f>
        <v>108.333</v>
      </c>
      <c r="E104" s="289">
        <f>+D104*C104</f>
        <v>108.333</v>
      </c>
      <c r="F104" s="289">
        <f>+E104-G104</f>
        <v>18.801595041322315</v>
      </c>
      <c r="G104" s="289">
        <f>+E104/1.21</f>
        <v>89.531404958677683</v>
      </c>
      <c r="I104" s="205" t="s">
        <v>213</v>
      </c>
      <c r="J104" s="208">
        <v>0</v>
      </c>
      <c r="K104" s="289">
        <f>108333/1000</f>
        <v>108.333</v>
      </c>
      <c r="L104" s="289">
        <f>+K104*J104</f>
        <v>0</v>
      </c>
      <c r="M104" s="289">
        <f>+L104-N104</f>
        <v>0</v>
      </c>
      <c r="N104" s="289">
        <f>+L104/1.21</f>
        <v>0</v>
      </c>
      <c r="O104" s="202"/>
    </row>
    <row r="105" spans="2:15" x14ac:dyDescent="0.25">
      <c r="B105" s="211" t="s">
        <v>41</v>
      </c>
      <c r="C105" s="212">
        <f>SUM(C103:C104)</f>
        <v>6</v>
      </c>
      <c r="D105" s="290"/>
      <c r="E105" s="290">
        <f>SUM(E102:E104)</f>
        <v>649.99799999999993</v>
      </c>
      <c r="F105" s="290">
        <f t="shared" ref="F105" si="17">SUM(F102:F104)</f>
        <v>112.80957024793386</v>
      </c>
      <c r="G105" s="290">
        <f t="shared" ref="G105" si="18">SUM(G102:G104)</f>
        <v>537.1884297520661</v>
      </c>
      <c r="I105" s="211" t="s">
        <v>41</v>
      </c>
      <c r="J105" s="212">
        <f>SUM(J102:J104)</f>
        <v>5</v>
      </c>
      <c r="K105" s="290"/>
      <c r="L105" s="290">
        <f>SUM(L102:L104)</f>
        <v>541.66499999999996</v>
      </c>
      <c r="M105" s="290">
        <f t="shared" ref="M105" si="19">SUM(M102:M104)</f>
        <v>94.007975206611547</v>
      </c>
      <c r="N105" s="290">
        <f t="shared" ref="N105" si="20">SUM(N102:N104)</f>
        <v>447.65702479338847</v>
      </c>
      <c r="O105" s="202"/>
    </row>
    <row r="106" spans="2:15" x14ac:dyDescent="0.25">
      <c r="B106" s="210" t="s">
        <v>220</v>
      </c>
      <c r="F106"/>
      <c r="I106" s="210" t="s">
        <v>220</v>
      </c>
      <c r="O106" s="202"/>
    </row>
    <row r="107" spans="2:15" x14ac:dyDescent="0.25">
      <c r="B107" s="210" t="s">
        <v>219</v>
      </c>
      <c r="C107" s="11"/>
      <c r="D107" s="11"/>
      <c r="E107" s="11"/>
      <c r="F107" s="11"/>
      <c r="G107" s="570"/>
      <c r="I107" s="210" t="s">
        <v>219</v>
      </c>
      <c r="N107" s="570"/>
      <c r="O107" s="202"/>
    </row>
    <row r="108" spans="2:15" x14ac:dyDescent="0.25">
      <c r="B108" t="s">
        <v>184</v>
      </c>
      <c r="C108" s="200"/>
      <c r="D108" s="201"/>
      <c r="E108" s="202"/>
      <c r="F108" s="202"/>
      <c r="I108" s="11" t="s">
        <v>185</v>
      </c>
      <c r="M108" s="12"/>
      <c r="O108" s="202"/>
    </row>
    <row r="109" spans="2:15" x14ac:dyDescent="0.25">
      <c r="F109"/>
      <c r="O109" s="202"/>
    </row>
    <row r="110" spans="2:15" x14ac:dyDescent="0.25">
      <c r="B110" s="2" t="s">
        <v>235</v>
      </c>
      <c r="F110"/>
      <c r="I110" s="2" t="s">
        <v>236</v>
      </c>
      <c r="O110" s="202"/>
    </row>
    <row r="111" spans="2:15" x14ac:dyDescent="0.25">
      <c r="B111" s="201" t="s">
        <v>218</v>
      </c>
      <c r="C111" s="12"/>
      <c r="D111" s="12"/>
      <c r="E111" s="12"/>
      <c r="G111" s="12"/>
      <c r="I111" s="201" t="s">
        <v>218</v>
      </c>
      <c r="J111" s="12"/>
      <c r="K111" s="12"/>
      <c r="L111" s="12"/>
      <c r="M111" s="12"/>
      <c r="N111" s="12"/>
      <c r="O111" s="202"/>
    </row>
    <row r="112" spans="2:15" x14ac:dyDescent="0.25">
      <c r="B112" s="2" t="s">
        <v>327</v>
      </c>
      <c r="C112" s="202"/>
      <c r="D112" s="202"/>
      <c r="E112" s="202"/>
      <c r="I112" s="2" t="s">
        <v>327</v>
      </c>
      <c r="J112" s="202"/>
      <c r="K112" s="202"/>
      <c r="L112" s="202"/>
      <c r="M112" s="12"/>
      <c r="O112" s="202"/>
    </row>
    <row r="113" spans="2:15" ht="30" x14ac:dyDescent="0.25">
      <c r="B113" s="203" t="s">
        <v>210</v>
      </c>
      <c r="C113" s="204" t="s">
        <v>6</v>
      </c>
      <c r="D113" s="204" t="s">
        <v>217</v>
      </c>
      <c r="E113" s="204" t="s">
        <v>225</v>
      </c>
      <c r="F113" s="204" t="s">
        <v>93</v>
      </c>
      <c r="G113" s="204" t="s">
        <v>224</v>
      </c>
      <c r="I113" s="203" t="s">
        <v>210</v>
      </c>
      <c r="J113" s="204" t="s">
        <v>6</v>
      </c>
      <c r="K113" s="204" t="s">
        <v>217</v>
      </c>
      <c r="L113" s="204" t="s">
        <v>225</v>
      </c>
      <c r="M113" s="204" t="s">
        <v>93</v>
      </c>
      <c r="N113" s="204" t="s">
        <v>224</v>
      </c>
      <c r="O113" s="202"/>
    </row>
    <row r="114" spans="2:15" x14ac:dyDescent="0.25">
      <c r="B114" s="205" t="s">
        <v>211</v>
      </c>
      <c r="C114" s="208">
        <v>2</v>
      </c>
      <c r="D114" s="289">
        <f>108333.4/1000</f>
        <v>108.3334</v>
      </c>
      <c r="E114" s="289">
        <f>+D114*C114</f>
        <v>216.66679999999999</v>
      </c>
      <c r="F114" s="289">
        <f>+E114-G114</f>
        <v>37.60332892561982</v>
      </c>
      <c r="G114" s="289">
        <f>+E114/1.21</f>
        <v>179.06347107438017</v>
      </c>
      <c r="I114" s="205" t="s">
        <v>211</v>
      </c>
      <c r="J114" s="208">
        <v>2</v>
      </c>
      <c r="K114" s="289">
        <f>108333.4/1000</f>
        <v>108.3334</v>
      </c>
      <c r="L114" s="289">
        <f>+K114*J114</f>
        <v>216.66679999999999</v>
      </c>
      <c r="M114" s="289">
        <f>+L114-N114</f>
        <v>37.60332892561982</v>
      </c>
      <c r="N114" s="289">
        <f>+L114/1.21</f>
        <v>179.06347107438017</v>
      </c>
      <c r="O114" s="202"/>
    </row>
    <row r="115" spans="2:15" x14ac:dyDescent="0.25">
      <c r="B115" s="205" t="s">
        <v>212</v>
      </c>
      <c r="C115" s="208">
        <v>2</v>
      </c>
      <c r="D115" s="289">
        <f>108333.4/1000</f>
        <v>108.3334</v>
      </c>
      <c r="E115" s="289">
        <f>+D115*C115</f>
        <v>216.66679999999999</v>
      </c>
      <c r="F115" s="289">
        <f>+E115-G115</f>
        <v>37.60332892561982</v>
      </c>
      <c r="G115" s="289">
        <f>+E115/1.21</f>
        <v>179.06347107438017</v>
      </c>
      <c r="I115" s="205" t="s">
        <v>212</v>
      </c>
      <c r="J115" s="208">
        <v>3</v>
      </c>
      <c r="K115" s="289">
        <f>108333.4/1000</f>
        <v>108.3334</v>
      </c>
      <c r="L115" s="289">
        <f>+K115*J115</f>
        <v>325.00020000000001</v>
      </c>
      <c r="M115" s="289">
        <f>+L115-N115</f>
        <v>56.404993388429773</v>
      </c>
      <c r="N115" s="289">
        <f>+L115/1.21</f>
        <v>268.59520661157023</v>
      </c>
      <c r="O115" s="202"/>
    </row>
    <row r="116" spans="2:15" x14ac:dyDescent="0.25">
      <c r="B116" s="205"/>
      <c r="C116" s="208"/>
      <c r="D116" s="289"/>
      <c r="E116" s="289"/>
      <c r="F116" s="289"/>
      <c r="G116" s="289"/>
      <c r="I116" s="205" t="s">
        <v>213</v>
      </c>
      <c r="J116" s="208"/>
      <c r="K116" s="289"/>
      <c r="L116" s="289"/>
      <c r="M116" s="289"/>
      <c r="N116" s="289"/>
      <c r="O116" s="202"/>
    </row>
    <row r="117" spans="2:15" x14ac:dyDescent="0.25">
      <c r="B117" s="211" t="s">
        <v>41</v>
      </c>
      <c r="C117" s="212">
        <f>SUM(C114:C116)</f>
        <v>4</v>
      </c>
      <c r="D117" s="290"/>
      <c r="E117" s="290">
        <f>SUM(E114:E116)</f>
        <v>433.33359999999999</v>
      </c>
      <c r="F117" s="290">
        <f t="shared" ref="F117" si="21">SUM(F114:F116)</f>
        <v>75.20665785123964</v>
      </c>
      <c r="G117" s="290">
        <f t="shared" ref="G117" si="22">SUM(G114:G116)</f>
        <v>358.12694214876035</v>
      </c>
      <c r="I117" s="211" t="s">
        <v>41</v>
      </c>
      <c r="J117" s="212">
        <f>SUM(J114:J116)</f>
        <v>5</v>
      </c>
      <c r="K117" s="290"/>
      <c r="L117" s="290">
        <f>SUM(L114:L116)</f>
        <v>541.66700000000003</v>
      </c>
      <c r="M117" s="290">
        <f t="shared" ref="M117" si="23">SUM(M114:M116)</f>
        <v>94.008322314049593</v>
      </c>
      <c r="N117" s="290">
        <f t="shared" ref="N117" si="24">SUM(N114:N116)</f>
        <v>447.65867768595041</v>
      </c>
      <c r="O117" s="202"/>
    </row>
    <row r="118" spans="2:15" x14ac:dyDescent="0.25">
      <c r="B118" s="210" t="s">
        <v>220</v>
      </c>
      <c r="F118"/>
      <c r="I118" s="210" t="s">
        <v>220</v>
      </c>
      <c r="J118" s="201"/>
      <c r="K118" s="201"/>
      <c r="O118" s="202"/>
    </row>
    <row r="119" spans="2:15" x14ac:dyDescent="0.25">
      <c r="B119" s="210" t="s">
        <v>219</v>
      </c>
      <c r="C119" s="11"/>
      <c r="D119" s="11"/>
      <c r="E119" s="11"/>
      <c r="F119" s="11"/>
      <c r="G119" s="570"/>
      <c r="I119" s="210" t="s">
        <v>219</v>
      </c>
      <c r="N119" s="570"/>
      <c r="O119" s="202"/>
    </row>
    <row r="120" spans="2:15" x14ac:dyDescent="0.25">
      <c r="B120" t="s">
        <v>186</v>
      </c>
      <c r="C120" s="200"/>
      <c r="D120" s="201"/>
      <c r="E120" s="202"/>
      <c r="F120" s="202"/>
      <c r="I120" t="s">
        <v>187</v>
      </c>
      <c r="O120" s="202"/>
    </row>
    <row r="121" spans="2:15" x14ac:dyDescent="0.25">
      <c r="F121"/>
      <c r="O121" s="202"/>
    </row>
    <row r="122" spans="2:15" x14ac:dyDescent="0.25">
      <c r="B122" s="2" t="s">
        <v>237</v>
      </c>
      <c r="F122"/>
      <c r="I122" s="2" t="s">
        <v>238</v>
      </c>
      <c r="O122" s="202"/>
    </row>
    <row r="123" spans="2:15" x14ac:dyDescent="0.25">
      <c r="B123" s="201" t="s">
        <v>218</v>
      </c>
      <c r="C123" s="12"/>
      <c r="D123" s="12"/>
      <c r="E123" s="12"/>
      <c r="G123" s="12"/>
      <c r="I123" s="201" t="s">
        <v>218</v>
      </c>
      <c r="J123" s="12"/>
      <c r="K123" s="12"/>
      <c r="L123" s="12"/>
      <c r="M123" s="12"/>
      <c r="N123" s="12"/>
      <c r="O123" s="202"/>
    </row>
    <row r="124" spans="2:15" x14ac:dyDescent="0.25">
      <c r="B124" s="2" t="s">
        <v>327</v>
      </c>
      <c r="C124" s="202"/>
      <c r="D124" s="202"/>
      <c r="E124" s="202"/>
      <c r="I124" s="2" t="s">
        <v>327</v>
      </c>
      <c r="J124" s="202"/>
      <c r="K124" s="202"/>
      <c r="L124" s="202"/>
      <c r="M124" s="12"/>
      <c r="O124" s="202"/>
    </row>
    <row r="125" spans="2:15" ht="30" x14ac:dyDescent="0.25">
      <c r="B125" s="203" t="s">
        <v>210</v>
      </c>
      <c r="C125" s="204" t="s">
        <v>6</v>
      </c>
      <c r="D125" s="204" t="s">
        <v>217</v>
      </c>
      <c r="E125" s="204" t="s">
        <v>225</v>
      </c>
      <c r="F125" s="204" t="s">
        <v>93</v>
      </c>
      <c r="G125" s="204" t="s">
        <v>224</v>
      </c>
      <c r="I125" s="203" t="s">
        <v>210</v>
      </c>
      <c r="J125" s="204" t="s">
        <v>6</v>
      </c>
      <c r="K125" s="204" t="s">
        <v>217</v>
      </c>
      <c r="L125" s="204" t="s">
        <v>225</v>
      </c>
      <c r="M125" s="204" t="s">
        <v>93</v>
      </c>
      <c r="N125" s="204" t="s">
        <v>224</v>
      </c>
      <c r="O125" s="202"/>
    </row>
    <row r="126" spans="2:15" x14ac:dyDescent="0.25">
      <c r="B126" s="205" t="s">
        <v>211</v>
      </c>
      <c r="C126" s="208">
        <v>2</v>
      </c>
      <c r="D126" s="289">
        <f>108333.4/1000</f>
        <v>108.3334</v>
      </c>
      <c r="E126" s="289">
        <f>+D126*C126</f>
        <v>216.66679999999999</v>
      </c>
      <c r="F126" s="289">
        <f>+E126-G126</f>
        <v>37.60332892561982</v>
      </c>
      <c r="G126" s="289">
        <f>+E126/1.21</f>
        <v>179.06347107438017</v>
      </c>
      <c r="I126" s="205" t="s">
        <v>211</v>
      </c>
      <c r="J126" s="208">
        <v>1</v>
      </c>
      <c r="K126" s="289">
        <f>108333.4/1000</f>
        <v>108.3334</v>
      </c>
      <c r="L126" s="289">
        <f>+K126*J126</f>
        <v>108.3334</v>
      </c>
      <c r="M126" s="289">
        <f>+L126-N126</f>
        <v>18.80166446280991</v>
      </c>
      <c r="N126" s="289">
        <f>+L126/1.21</f>
        <v>89.531735537190087</v>
      </c>
      <c r="O126" s="202"/>
    </row>
    <row r="127" spans="2:15" x14ac:dyDescent="0.25">
      <c r="B127" s="205" t="s">
        <v>212</v>
      </c>
      <c r="C127" s="208">
        <v>3</v>
      </c>
      <c r="D127" s="289">
        <f>108333.4/1000</f>
        <v>108.3334</v>
      </c>
      <c r="E127" s="289">
        <f>+D127*C127</f>
        <v>325.00020000000001</v>
      </c>
      <c r="F127" s="289">
        <f>+E127-G127</f>
        <v>56.404993388429773</v>
      </c>
      <c r="G127" s="289">
        <f>+E127/1.21</f>
        <v>268.59520661157023</v>
      </c>
      <c r="I127" s="205" t="s">
        <v>212</v>
      </c>
      <c r="J127" s="208">
        <v>2</v>
      </c>
      <c r="K127" s="289">
        <f>108333.4/1000</f>
        <v>108.3334</v>
      </c>
      <c r="L127" s="289">
        <f>+K127*J127</f>
        <v>216.66679999999999</v>
      </c>
      <c r="M127" s="289">
        <f>+L127-N127</f>
        <v>37.60332892561982</v>
      </c>
      <c r="N127" s="289">
        <f>+L127/1.21</f>
        <v>179.06347107438017</v>
      </c>
      <c r="O127" s="202"/>
    </row>
    <row r="128" spans="2:15" x14ac:dyDescent="0.25">
      <c r="B128" s="205" t="s">
        <v>213</v>
      </c>
      <c r="C128" s="208"/>
      <c r="D128" s="289"/>
      <c r="E128" s="289"/>
      <c r="F128" s="289"/>
      <c r="G128" s="289"/>
      <c r="I128" s="205" t="s">
        <v>213</v>
      </c>
      <c r="J128" s="208"/>
      <c r="K128" s="289"/>
      <c r="L128" s="289"/>
      <c r="M128" s="289"/>
      <c r="N128" s="289"/>
      <c r="O128" s="202"/>
    </row>
    <row r="129" spans="2:15" x14ac:dyDescent="0.25">
      <c r="B129" s="211" t="s">
        <v>41</v>
      </c>
      <c r="C129" s="212">
        <f>SUM(C126:C128)</f>
        <v>5</v>
      </c>
      <c r="D129" s="290"/>
      <c r="E129" s="290">
        <f>SUM(E126:E128)</f>
        <v>541.66700000000003</v>
      </c>
      <c r="F129" s="290">
        <f t="shared" ref="F129" si="25">SUM(F126:F128)</f>
        <v>94.008322314049593</v>
      </c>
      <c r="G129" s="290">
        <f t="shared" ref="G129" si="26">SUM(G126:G128)</f>
        <v>447.65867768595041</v>
      </c>
      <c r="I129" s="211" t="s">
        <v>41</v>
      </c>
      <c r="J129" s="212">
        <f>SUM(J126:J128)</f>
        <v>3</v>
      </c>
      <c r="K129" s="290"/>
      <c r="L129" s="290">
        <f>SUM(L126:L128)</f>
        <v>325.00020000000001</v>
      </c>
      <c r="M129" s="290">
        <f t="shared" ref="M129" si="27">SUM(M126:M128)</f>
        <v>56.40499338842973</v>
      </c>
      <c r="N129" s="290">
        <f t="shared" ref="N129" si="28">SUM(N126:N128)</f>
        <v>268.59520661157023</v>
      </c>
      <c r="O129" s="202"/>
    </row>
    <row r="130" spans="2:15" x14ac:dyDescent="0.25">
      <c r="B130" s="210" t="s">
        <v>220</v>
      </c>
      <c r="F130"/>
      <c r="I130" s="210" t="s">
        <v>220</v>
      </c>
      <c r="O130" s="202"/>
    </row>
    <row r="131" spans="2:15" x14ac:dyDescent="0.25">
      <c r="B131" s="210" t="s">
        <v>219</v>
      </c>
      <c r="C131" s="11"/>
      <c r="D131" s="11"/>
      <c r="E131" s="11"/>
      <c r="F131" s="11"/>
      <c r="G131" s="570"/>
      <c r="I131" s="210" t="s">
        <v>219</v>
      </c>
      <c r="N131" s="570"/>
      <c r="O131" s="202"/>
    </row>
    <row r="132" spans="2:15" x14ac:dyDescent="0.25">
      <c r="B132" t="s">
        <v>188</v>
      </c>
      <c r="C132" s="200"/>
      <c r="D132" s="201"/>
      <c r="E132" s="202"/>
      <c r="F132" s="202"/>
      <c r="I132" t="s">
        <v>189</v>
      </c>
      <c r="L132" s="336"/>
      <c r="M132" s="330"/>
      <c r="O132" s="202"/>
    </row>
    <row r="134" spans="2:15" x14ac:dyDescent="0.25">
      <c r="B134" s="2" t="str">
        <f>+'Presupuesto_Productos (POD)'!B50</f>
        <v>Componente 3: Mejora de los servicios de atención al contribuyente y del modelo de gestión, de planificación y desarrollo de servicios de las áreas centrales de la AFIP</v>
      </c>
    </row>
    <row r="135" spans="2:15" x14ac:dyDescent="0.25">
      <c r="B135" s="668" t="s">
        <v>264</v>
      </c>
      <c r="C135" s="669"/>
      <c r="D135" s="669"/>
      <c r="E135" s="669"/>
      <c r="F135" s="669"/>
      <c r="G135" s="669"/>
      <c r="H135" s="669"/>
      <c r="I135" s="669"/>
      <c r="J135" s="669"/>
      <c r="K135" s="669"/>
      <c r="L135" s="669"/>
      <c r="M135" s="669"/>
      <c r="N135" s="670"/>
    </row>
    <row r="136" spans="2:15" x14ac:dyDescent="0.25">
      <c r="B136" s="2" t="s">
        <v>216</v>
      </c>
      <c r="F136"/>
      <c r="I136" s="2" t="s">
        <v>276</v>
      </c>
    </row>
    <row r="137" spans="2:15" x14ac:dyDescent="0.25">
      <c r="B137" s="201" t="s">
        <v>218</v>
      </c>
      <c r="C137" s="12"/>
      <c r="D137" s="12"/>
      <c r="E137" s="12"/>
      <c r="G137" s="12"/>
      <c r="I137" s="201" t="s">
        <v>218</v>
      </c>
      <c r="J137" s="12"/>
      <c r="K137" s="12"/>
      <c r="L137" s="12"/>
      <c r="M137" s="12"/>
      <c r="N137" s="12"/>
    </row>
    <row r="138" spans="2:15" x14ac:dyDescent="0.25">
      <c r="B138" s="2" t="s">
        <v>327</v>
      </c>
      <c r="C138" s="202"/>
      <c r="D138" s="202"/>
      <c r="E138" s="202"/>
      <c r="I138" s="2" t="s">
        <v>327</v>
      </c>
      <c r="J138" s="202"/>
      <c r="K138" s="202"/>
      <c r="L138" s="202"/>
      <c r="M138" s="12"/>
    </row>
    <row r="139" spans="2:15" ht="30" x14ac:dyDescent="0.25">
      <c r="B139" s="203" t="s">
        <v>210</v>
      </c>
      <c r="C139" s="204" t="s">
        <v>6</v>
      </c>
      <c r="D139" s="204" t="s">
        <v>217</v>
      </c>
      <c r="E139" s="204" t="s">
        <v>225</v>
      </c>
      <c r="F139" s="204" t="s">
        <v>93</v>
      </c>
      <c r="G139" s="204" t="s">
        <v>224</v>
      </c>
      <c r="I139" s="203" t="s">
        <v>210</v>
      </c>
      <c r="J139" s="204" t="s">
        <v>6</v>
      </c>
      <c r="K139" s="204" t="s">
        <v>217</v>
      </c>
      <c r="L139" s="204" t="s">
        <v>225</v>
      </c>
      <c r="M139" s="204" t="s">
        <v>93</v>
      </c>
      <c r="N139" s="204" t="s">
        <v>224</v>
      </c>
    </row>
    <row r="140" spans="2:15" x14ac:dyDescent="0.25">
      <c r="B140" s="205" t="s">
        <v>211</v>
      </c>
      <c r="C140" s="208">
        <v>1</v>
      </c>
      <c r="D140" s="289">
        <v>108.333</v>
      </c>
      <c r="E140" s="289">
        <f>+D140*C140</f>
        <v>108.333</v>
      </c>
      <c r="F140" s="289">
        <f>+E140-G140</f>
        <v>18.801595041322315</v>
      </c>
      <c r="G140" s="289">
        <f>+E140/1.21</f>
        <v>89.531404958677683</v>
      </c>
      <c r="I140" s="205" t="s">
        <v>211</v>
      </c>
      <c r="J140" s="208">
        <v>1</v>
      </c>
      <c r="K140" s="289">
        <v>108.333</v>
      </c>
      <c r="L140" s="289">
        <f>+K140*J140</f>
        <v>108.333</v>
      </c>
      <c r="M140" s="289">
        <f>+L140-N140</f>
        <v>18.801595041322315</v>
      </c>
      <c r="N140" s="289">
        <f>+L140/1.21</f>
        <v>89.531404958677683</v>
      </c>
    </row>
    <row r="141" spans="2:15" x14ac:dyDescent="0.25">
      <c r="B141" s="205" t="s">
        <v>212</v>
      </c>
      <c r="C141" s="208">
        <v>2</v>
      </c>
      <c r="D141" s="289">
        <v>108.333</v>
      </c>
      <c r="E141" s="289">
        <f>+D141*C141</f>
        <v>216.666</v>
      </c>
      <c r="F141" s="289">
        <f>+E141-G141</f>
        <v>37.60319008264463</v>
      </c>
      <c r="G141" s="289">
        <f>+E141/1.21</f>
        <v>179.06280991735537</v>
      </c>
      <c r="I141" s="205" t="s">
        <v>212</v>
      </c>
      <c r="J141" s="208">
        <v>2</v>
      </c>
      <c r="K141" s="289">
        <v>108.333</v>
      </c>
      <c r="L141" s="289">
        <f>+K141*J141</f>
        <v>216.666</v>
      </c>
      <c r="M141" s="289">
        <f>+L141-N141</f>
        <v>37.60319008264463</v>
      </c>
      <c r="N141" s="289">
        <f>+L141/1.21</f>
        <v>179.06280991735537</v>
      </c>
    </row>
    <row r="142" spans="2:15" x14ac:dyDescent="0.25">
      <c r="B142" s="205" t="s">
        <v>213</v>
      </c>
      <c r="C142" s="208">
        <v>1</v>
      </c>
      <c r="D142" s="289">
        <v>108.333</v>
      </c>
      <c r="E142" s="289">
        <f>+D142*C142</f>
        <v>108.333</v>
      </c>
      <c r="F142" s="289">
        <f>+E142-G142</f>
        <v>18.801595041322315</v>
      </c>
      <c r="G142" s="289">
        <f>+E142/1.21</f>
        <v>89.531404958677683</v>
      </c>
      <c r="I142" s="205" t="s">
        <v>213</v>
      </c>
      <c r="J142" s="208">
        <v>1</v>
      </c>
      <c r="K142" s="289">
        <v>108.333</v>
      </c>
      <c r="L142" s="289">
        <f>+K142*J142</f>
        <v>108.333</v>
      </c>
      <c r="M142" s="289">
        <f>+L142-N142</f>
        <v>18.801595041322315</v>
      </c>
      <c r="N142" s="289">
        <f>+L142/1.21</f>
        <v>89.531404958677683</v>
      </c>
    </row>
    <row r="143" spans="2:15" x14ac:dyDescent="0.25">
      <c r="B143" s="211" t="s">
        <v>41</v>
      </c>
      <c r="C143" s="212">
        <f>SUM(C140:C142)</f>
        <v>4</v>
      </c>
      <c r="D143" s="290"/>
      <c r="E143" s="290">
        <f>SUM(E140:E142)</f>
        <v>433.33199999999999</v>
      </c>
      <c r="F143" s="290">
        <f>SUM(F140:F142)</f>
        <v>75.206380165289261</v>
      </c>
      <c r="G143" s="290">
        <f>SUM(G140:G142)</f>
        <v>358.12561983471073</v>
      </c>
      <c r="I143" s="211" t="s">
        <v>41</v>
      </c>
      <c r="J143" s="212">
        <f>SUM(J140:J142)</f>
        <v>4</v>
      </c>
      <c r="K143" s="290"/>
      <c r="L143" s="290">
        <f>SUM(L140:L142)</f>
        <v>433.33199999999999</v>
      </c>
      <c r="M143" s="290">
        <f>SUM(M140:M142)</f>
        <v>75.206380165289261</v>
      </c>
      <c r="N143" s="290">
        <f>SUM(N140:N142)</f>
        <v>358.12561983471073</v>
      </c>
    </row>
    <row r="144" spans="2:15" x14ac:dyDescent="0.25">
      <c r="B144" s="210" t="s">
        <v>220</v>
      </c>
      <c r="F144"/>
      <c r="I144" s="210" t="s">
        <v>220</v>
      </c>
    </row>
    <row r="145" spans="2:14" x14ac:dyDescent="0.25">
      <c r="B145" s="210" t="s">
        <v>219</v>
      </c>
      <c r="C145" s="11"/>
      <c r="D145" s="11"/>
      <c r="E145" s="11"/>
      <c r="F145" s="11"/>
      <c r="I145" s="210" t="s">
        <v>219</v>
      </c>
      <c r="J145" s="11"/>
      <c r="K145" s="11"/>
      <c r="L145" s="11"/>
      <c r="M145" s="11"/>
    </row>
    <row r="146" spans="2:14" x14ac:dyDescent="0.25">
      <c r="B146" t="s">
        <v>280</v>
      </c>
      <c r="C146" s="200"/>
      <c r="D146" s="201"/>
      <c r="E146" s="202"/>
      <c r="F146" s="202"/>
      <c r="G146" s="202"/>
      <c r="I146" t="s">
        <v>279</v>
      </c>
    </row>
    <row r="148" spans="2:14" x14ac:dyDescent="0.25">
      <c r="B148" s="2" t="s">
        <v>252</v>
      </c>
      <c r="I148" s="2" t="s">
        <v>251</v>
      </c>
      <c r="M148" s="12"/>
    </row>
    <row r="149" spans="2:14" x14ac:dyDescent="0.25">
      <c r="B149" s="201" t="s">
        <v>218</v>
      </c>
      <c r="C149" s="12"/>
      <c r="D149" s="12"/>
      <c r="E149" s="12"/>
      <c r="I149" s="201" t="s">
        <v>218</v>
      </c>
      <c r="J149" s="12"/>
      <c r="K149" s="12"/>
      <c r="L149" s="12"/>
      <c r="M149" s="12"/>
    </row>
    <row r="150" spans="2:14" x14ac:dyDescent="0.25">
      <c r="B150" s="2" t="s">
        <v>327</v>
      </c>
      <c r="C150" s="202"/>
      <c r="D150" s="202"/>
      <c r="E150" s="202"/>
      <c r="I150" s="2" t="s">
        <v>327</v>
      </c>
      <c r="J150" s="202"/>
      <c r="K150" s="202"/>
      <c r="L150" s="202"/>
      <c r="M150" s="12"/>
    </row>
    <row r="151" spans="2:14" ht="30" x14ac:dyDescent="0.25">
      <c r="B151" s="203" t="s">
        <v>210</v>
      </c>
      <c r="C151" s="204" t="s">
        <v>6</v>
      </c>
      <c r="D151" s="204" t="s">
        <v>217</v>
      </c>
      <c r="E151" s="204" t="s">
        <v>225</v>
      </c>
      <c r="F151" s="204" t="s">
        <v>93</v>
      </c>
      <c r="G151" s="204" t="s">
        <v>224</v>
      </c>
      <c r="I151" s="203" t="s">
        <v>210</v>
      </c>
      <c r="J151" s="204" t="s">
        <v>6</v>
      </c>
      <c r="K151" s="204" t="s">
        <v>217</v>
      </c>
      <c r="L151" s="204" t="s">
        <v>225</v>
      </c>
      <c r="M151" s="204" t="s">
        <v>93</v>
      </c>
      <c r="N151" s="204" t="s">
        <v>224</v>
      </c>
    </row>
    <row r="152" spans="2:14" x14ac:dyDescent="0.25">
      <c r="B152" s="205" t="s">
        <v>211</v>
      </c>
      <c r="C152" s="208">
        <v>8</v>
      </c>
      <c r="D152" s="289">
        <v>108.333</v>
      </c>
      <c r="E152" s="289">
        <f>+D152*C152</f>
        <v>866.66399999999999</v>
      </c>
      <c r="F152" s="289">
        <f>+E152-G152</f>
        <v>150.41276033057852</v>
      </c>
      <c r="G152" s="289">
        <f>+E152/1.21</f>
        <v>716.25123966942147</v>
      </c>
      <c r="I152" s="205" t="s">
        <v>211</v>
      </c>
      <c r="J152" s="208">
        <v>5</v>
      </c>
      <c r="K152" s="289">
        <v>72.16</v>
      </c>
      <c r="L152" s="289">
        <f>+K152*J152</f>
        <v>360.79999999999995</v>
      </c>
      <c r="M152" s="289">
        <f>+L152-N152</f>
        <v>62.618181818181824</v>
      </c>
      <c r="N152" s="289">
        <f>+L152/1.21</f>
        <v>298.18181818181813</v>
      </c>
    </row>
    <row r="153" spans="2:14" x14ac:dyDescent="0.25">
      <c r="B153" s="205" t="s">
        <v>212</v>
      </c>
      <c r="C153" s="208">
        <v>10</v>
      </c>
      <c r="D153" s="289">
        <v>108.333</v>
      </c>
      <c r="E153" s="289">
        <f>+D153*C153</f>
        <v>1083.33</v>
      </c>
      <c r="F153" s="289">
        <f>+E153-G153</f>
        <v>188.01595041322309</v>
      </c>
      <c r="G153" s="289">
        <f>+E153/1.21</f>
        <v>895.31404958677683</v>
      </c>
      <c r="I153" s="205" t="s">
        <v>212</v>
      </c>
      <c r="J153" s="208">
        <v>8</v>
      </c>
      <c r="K153" s="289">
        <v>107</v>
      </c>
      <c r="L153" s="289">
        <f>+K153*J153</f>
        <v>856</v>
      </c>
      <c r="M153" s="289">
        <f>+L153-N153</f>
        <v>148.56198347107431</v>
      </c>
      <c r="N153" s="289">
        <f>+L153/1.21</f>
        <v>707.43801652892569</v>
      </c>
    </row>
    <row r="154" spans="2:14" x14ac:dyDescent="0.25">
      <c r="B154" s="205" t="s">
        <v>213</v>
      </c>
      <c r="C154" s="208"/>
      <c r="D154" s="289"/>
      <c r="E154" s="289">
        <f>+D154*C154</f>
        <v>0</v>
      </c>
      <c r="F154" s="289">
        <f>+E154-G154</f>
        <v>0</v>
      </c>
      <c r="G154" s="289">
        <f>+E154/1.21</f>
        <v>0</v>
      </c>
      <c r="I154" s="205" t="s">
        <v>213</v>
      </c>
      <c r="J154" s="208"/>
      <c r="K154" s="289"/>
      <c r="L154" s="289">
        <f>+K154*J154</f>
        <v>0</v>
      </c>
      <c r="M154" s="289">
        <f>+L154-N154</f>
        <v>0</v>
      </c>
      <c r="N154" s="289">
        <f>+L154/1.21</f>
        <v>0</v>
      </c>
    </row>
    <row r="155" spans="2:14" x14ac:dyDescent="0.25">
      <c r="B155" s="211" t="s">
        <v>41</v>
      </c>
      <c r="C155" s="212">
        <f>SUM(C152:C154)</f>
        <v>18</v>
      </c>
      <c r="D155" s="290"/>
      <c r="E155" s="290">
        <f>SUM(E152:E154)</f>
        <v>1949.9939999999999</v>
      </c>
      <c r="F155" s="290">
        <f t="shared" ref="F155:G155" si="29">SUM(F152:F154)</f>
        <v>338.42871074380162</v>
      </c>
      <c r="G155" s="290">
        <f t="shared" si="29"/>
        <v>1611.5652892561984</v>
      </c>
      <c r="I155" s="211" t="s">
        <v>41</v>
      </c>
      <c r="J155" s="212">
        <f>SUM(J152:J154)</f>
        <v>13</v>
      </c>
      <c r="K155" s="290"/>
      <c r="L155" s="290">
        <f>SUM(L152:L154)</f>
        <v>1216.8</v>
      </c>
      <c r="M155" s="290">
        <f t="shared" ref="M155:N155" si="30">SUM(M152:M154)</f>
        <v>211.18016528925614</v>
      </c>
      <c r="N155" s="290">
        <f t="shared" si="30"/>
        <v>1005.6198347107438</v>
      </c>
    </row>
    <row r="156" spans="2:14" x14ac:dyDescent="0.25">
      <c r="B156" s="210" t="s">
        <v>220</v>
      </c>
      <c r="I156" s="210" t="s">
        <v>220</v>
      </c>
      <c r="M156" s="12"/>
    </row>
    <row r="157" spans="2:14" x14ac:dyDescent="0.25">
      <c r="B157" s="210" t="s">
        <v>219</v>
      </c>
      <c r="C157" s="11"/>
      <c r="D157" s="11"/>
      <c r="E157" s="11"/>
      <c r="I157" s="210" t="s">
        <v>219</v>
      </c>
      <c r="J157" s="11"/>
      <c r="K157" s="11"/>
      <c r="L157" s="332"/>
      <c r="M157" s="12"/>
    </row>
    <row r="158" spans="2:14" x14ac:dyDescent="0.25">
      <c r="B158" t="s">
        <v>328</v>
      </c>
      <c r="I158" t="s">
        <v>330</v>
      </c>
    </row>
    <row r="159" spans="2:14" x14ac:dyDescent="0.25">
      <c r="B159" t="s">
        <v>329</v>
      </c>
      <c r="I159" t="s">
        <v>331</v>
      </c>
    </row>
    <row r="160" spans="2:14" x14ac:dyDescent="0.25">
      <c r="M160" s="336"/>
      <c r="N160" s="330"/>
    </row>
    <row r="161" spans="2:14" x14ac:dyDescent="0.25">
      <c r="D161" s="12"/>
      <c r="E161" s="12"/>
      <c r="N161" s="330"/>
    </row>
    <row r="162" spans="2:14" x14ac:dyDescent="0.25">
      <c r="B162" s="214" t="s">
        <v>283</v>
      </c>
      <c r="C162" s="214"/>
      <c r="D162" s="12"/>
      <c r="E162" s="12"/>
    </row>
    <row r="163" spans="2:14" x14ac:dyDescent="0.25">
      <c r="B163" s="214" t="s">
        <v>347</v>
      </c>
      <c r="C163" s="342">
        <f>+L155+E155+L143+E143+L129+E129+E117+L117+L105+E105+L63+E63+L48+E48+E32+L13+E13</f>
        <v>13888.996200000001</v>
      </c>
      <c r="E163" s="12"/>
      <c r="K163" s="1"/>
    </row>
    <row r="164" spans="2:14" x14ac:dyDescent="0.25">
      <c r="B164" s="214" t="s">
        <v>93</v>
      </c>
      <c r="C164" s="342">
        <f>+M155+F155+M143+F143+M129+F129+F117+M117+M105+F105+M63+F63+M48+F48+F32+M13+F13+F78+M78+F90</f>
        <v>5064.2303900826437</v>
      </c>
      <c r="D164" s="12"/>
      <c r="E164" s="12"/>
    </row>
    <row r="166" spans="2:14" x14ac:dyDescent="0.25">
      <c r="B166" s="2" t="s">
        <v>357</v>
      </c>
      <c r="K166" s="1"/>
    </row>
    <row r="167" spans="2:14" x14ac:dyDescent="0.25">
      <c r="K167" s="1"/>
    </row>
    <row r="168" spans="2:14" x14ac:dyDescent="0.25">
      <c r="K168" s="1"/>
    </row>
    <row r="169" spans="2:14" x14ac:dyDescent="0.25">
      <c r="K169" s="1"/>
      <c r="L169" s="1"/>
    </row>
  </sheetData>
  <mergeCells count="6">
    <mergeCell ref="B5:N5"/>
    <mergeCell ref="B96:N96"/>
    <mergeCell ref="B24:N24"/>
    <mergeCell ref="B39:N39"/>
    <mergeCell ref="B135:N135"/>
    <mergeCell ref="B70:N70"/>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51"/>
  <sheetViews>
    <sheetView workbookViewId="0">
      <selection activeCell="M8" sqref="M8"/>
    </sheetView>
  </sheetViews>
  <sheetFormatPr baseColWidth="10" defaultRowHeight="15.75" x14ac:dyDescent="0.25"/>
  <cols>
    <col min="1" max="1" width="3" customWidth="1"/>
    <col min="2" max="2" width="19" customWidth="1"/>
    <col min="4" max="4" width="11.25" bestFit="1" customWidth="1"/>
    <col min="5" max="5" width="17.375" customWidth="1"/>
    <col min="6" max="6" width="5.375" customWidth="1"/>
    <col min="7" max="7" width="19.625" customWidth="1"/>
  </cols>
  <sheetData>
    <row r="1" spans="2:12" x14ac:dyDescent="0.25">
      <c r="B1" s="2" t="s">
        <v>417</v>
      </c>
    </row>
    <row r="2" spans="2:12" x14ac:dyDescent="0.25">
      <c r="B2" s="2" t="str">
        <f>+'A1. Firmas Consultoras'!B2</f>
        <v>Componente 1: Fortalecimiento de la gestión de riesgo de la AFIP</v>
      </c>
    </row>
    <row r="3" spans="2:12" x14ac:dyDescent="0.25">
      <c r="B3" s="2"/>
    </row>
    <row r="4" spans="2:12" x14ac:dyDescent="0.25">
      <c r="B4" s="667" t="s">
        <v>244</v>
      </c>
      <c r="C4" s="667"/>
      <c r="D4" s="667"/>
      <c r="E4" s="667"/>
      <c r="F4" s="667"/>
      <c r="G4" s="667"/>
      <c r="H4" s="667"/>
      <c r="I4" s="667"/>
      <c r="J4" s="667"/>
      <c r="L4" s="1"/>
    </row>
    <row r="5" spans="2:12" x14ac:dyDescent="0.25">
      <c r="B5" s="2" t="s">
        <v>223</v>
      </c>
      <c r="G5" s="2" t="s">
        <v>223</v>
      </c>
      <c r="L5" s="1"/>
    </row>
    <row r="6" spans="2:12" x14ac:dyDescent="0.25">
      <c r="B6" s="201" t="s">
        <v>218</v>
      </c>
      <c r="C6" s="12"/>
      <c r="D6" s="12"/>
      <c r="E6" s="12"/>
      <c r="G6" s="201" t="s">
        <v>218</v>
      </c>
      <c r="L6" s="1"/>
    </row>
    <row r="7" spans="2:12" x14ac:dyDescent="0.25">
      <c r="B7" s="2" t="s">
        <v>327</v>
      </c>
      <c r="C7" s="202"/>
      <c r="D7" s="202"/>
      <c r="E7" s="202"/>
      <c r="G7" s="2" t="s">
        <v>327</v>
      </c>
      <c r="L7" s="1"/>
    </row>
    <row r="8" spans="2:12" ht="30" x14ac:dyDescent="0.25">
      <c r="B8" s="203" t="s">
        <v>210</v>
      </c>
      <c r="C8" s="204" t="s">
        <v>6</v>
      </c>
      <c r="D8" s="204" t="s">
        <v>217</v>
      </c>
      <c r="E8" s="204" t="s">
        <v>225</v>
      </c>
      <c r="G8" s="203" t="s">
        <v>210</v>
      </c>
      <c r="H8" s="204" t="s">
        <v>6</v>
      </c>
      <c r="I8" s="204" t="s">
        <v>217</v>
      </c>
      <c r="J8" s="204" t="s">
        <v>225</v>
      </c>
      <c r="L8" s="1"/>
    </row>
    <row r="9" spans="2:12" x14ac:dyDescent="0.25">
      <c r="B9" s="205" t="s">
        <v>211</v>
      </c>
      <c r="C9" s="208">
        <v>0</v>
      </c>
      <c r="D9" s="289">
        <v>0</v>
      </c>
      <c r="E9" s="289">
        <f>+D9*C9</f>
        <v>0</v>
      </c>
      <c r="G9" s="205" t="s">
        <v>211</v>
      </c>
      <c r="H9" s="208">
        <v>0</v>
      </c>
      <c r="I9" s="289">
        <v>0</v>
      </c>
      <c r="J9" s="289">
        <f>+I9*H9</f>
        <v>0</v>
      </c>
      <c r="L9" s="1"/>
    </row>
    <row r="10" spans="2:12" x14ac:dyDescent="0.25">
      <c r="B10" s="205" t="s">
        <v>212</v>
      </c>
      <c r="C10" s="208">
        <v>1</v>
      </c>
      <c r="D10" s="289">
        <f>72222/1000</f>
        <v>72.221999999999994</v>
      </c>
      <c r="E10" s="289">
        <f>+D10*C10</f>
        <v>72.221999999999994</v>
      </c>
      <c r="G10" s="205" t="s">
        <v>212</v>
      </c>
      <c r="H10" s="208">
        <v>2</v>
      </c>
      <c r="I10" s="289">
        <f>72222/1000</f>
        <v>72.221999999999994</v>
      </c>
      <c r="J10" s="289">
        <f>+I10*H10</f>
        <v>144.44399999999999</v>
      </c>
      <c r="L10" s="1"/>
    </row>
    <row r="11" spans="2:12" x14ac:dyDescent="0.25">
      <c r="B11" s="205" t="s">
        <v>213</v>
      </c>
      <c r="C11" s="208">
        <v>0</v>
      </c>
      <c r="D11" s="289">
        <v>0</v>
      </c>
      <c r="E11" s="289">
        <f>+D11*C11</f>
        <v>0</v>
      </c>
      <c r="G11" s="205" t="s">
        <v>213</v>
      </c>
      <c r="H11" s="208">
        <v>0</v>
      </c>
      <c r="I11" s="289">
        <v>0</v>
      </c>
      <c r="J11" s="289">
        <f>+I11*H11</f>
        <v>0</v>
      </c>
      <c r="L11" s="1"/>
    </row>
    <row r="12" spans="2:12" x14ac:dyDescent="0.25">
      <c r="B12" s="211" t="s">
        <v>41</v>
      </c>
      <c r="C12" s="212">
        <f>SUM(C9:C11)</f>
        <v>1</v>
      </c>
      <c r="D12" s="213"/>
      <c r="E12" s="290">
        <f>SUM(E9:E11)</f>
        <v>72.221999999999994</v>
      </c>
      <c r="G12" s="211" t="s">
        <v>41</v>
      </c>
      <c r="H12" s="212">
        <f>SUM(H9:H11)</f>
        <v>2</v>
      </c>
      <c r="I12" s="213"/>
      <c r="J12" s="290">
        <f>SUM(J9:J11)</f>
        <v>144.44399999999999</v>
      </c>
      <c r="L12" s="1"/>
    </row>
    <row r="13" spans="2:12" x14ac:dyDescent="0.25">
      <c r="B13" s="210" t="s">
        <v>277</v>
      </c>
      <c r="G13" s="210" t="s">
        <v>277</v>
      </c>
    </row>
    <row r="14" spans="2:12" x14ac:dyDescent="0.25">
      <c r="B14" s="210" t="s">
        <v>219</v>
      </c>
      <c r="C14" s="11"/>
      <c r="D14" s="11"/>
      <c r="E14" s="11"/>
      <c r="G14" s="210" t="s">
        <v>219</v>
      </c>
      <c r="J14" s="11"/>
      <c r="L14" s="1"/>
    </row>
    <row r="15" spans="2:12" x14ac:dyDescent="0.25">
      <c r="B15" t="s">
        <v>255</v>
      </c>
      <c r="G15" t="s">
        <v>274</v>
      </c>
    </row>
    <row r="16" spans="2:12" x14ac:dyDescent="0.25">
      <c r="L16" s="1"/>
    </row>
    <row r="17" spans="2:10" x14ac:dyDescent="0.25">
      <c r="B17" s="2" t="str">
        <f>+'Presupuesto_Productos (POD)'!B50</f>
        <v>Componente 3: Mejora de los servicios de atención al contribuyente y del modelo de gestión, de planificación y desarrollo de servicios de las áreas centrales de la AFIP</v>
      </c>
    </row>
    <row r="18" spans="2:10" x14ac:dyDescent="0.25">
      <c r="B18" s="667" t="s">
        <v>275</v>
      </c>
      <c r="C18" s="667"/>
      <c r="D18" s="667"/>
      <c r="E18" s="667"/>
      <c r="F18" s="667"/>
      <c r="G18" s="667"/>
      <c r="H18" s="667"/>
      <c r="I18" s="667"/>
      <c r="J18" s="667"/>
    </row>
    <row r="19" spans="2:10" x14ac:dyDescent="0.25">
      <c r="B19" s="206" t="s">
        <v>216</v>
      </c>
      <c r="G19" s="206" t="s">
        <v>276</v>
      </c>
    </row>
    <row r="20" spans="2:10" x14ac:dyDescent="0.25">
      <c r="B20" s="201" t="s">
        <v>218</v>
      </c>
      <c r="C20" s="12"/>
      <c r="D20" s="12"/>
      <c r="E20" s="12"/>
      <c r="G20" s="201" t="s">
        <v>218</v>
      </c>
      <c r="H20" s="12"/>
      <c r="I20" s="12"/>
      <c r="J20" s="12"/>
    </row>
    <row r="21" spans="2:10" x14ac:dyDescent="0.25">
      <c r="B21" s="2" t="s">
        <v>327</v>
      </c>
      <c r="C21" s="202"/>
      <c r="D21" s="202"/>
      <c r="E21" s="202"/>
      <c r="G21" s="2" t="s">
        <v>327</v>
      </c>
      <c r="H21" s="202"/>
      <c r="I21" s="202"/>
      <c r="J21" s="202"/>
    </row>
    <row r="22" spans="2:10" ht="30" x14ac:dyDescent="0.25">
      <c r="B22" s="203" t="s">
        <v>210</v>
      </c>
      <c r="C22" s="204" t="s">
        <v>6</v>
      </c>
      <c r="D22" s="204" t="s">
        <v>217</v>
      </c>
      <c r="E22" s="204" t="s">
        <v>225</v>
      </c>
      <c r="G22" s="203" t="s">
        <v>210</v>
      </c>
      <c r="H22" s="204" t="s">
        <v>6</v>
      </c>
      <c r="I22" s="204" t="s">
        <v>217</v>
      </c>
      <c r="J22" s="204" t="s">
        <v>225</v>
      </c>
    </row>
    <row r="23" spans="2:10" x14ac:dyDescent="0.25">
      <c r="B23" s="205" t="s">
        <v>211</v>
      </c>
      <c r="C23" s="208">
        <v>9</v>
      </c>
      <c r="D23" s="289">
        <f>216666.4/1000</f>
        <v>216.66639999999998</v>
      </c>
      <c r="E23" s="289">
        <f>+D23*C23</f>
        <v>1949.9975999999999</v>
      </c>
      <c r="G23" s="205"/>
      <c r="H23" s="208"/>
      <c r="I23" s="289"/>
      <c r="J23" s="289"/>
    </row>
    <row r="24" spans="2:10" x14ac:dyDescent="0.25">
      <c r="B24" s="205" t="s">
        <v>212</v>
      </c>
      <c r="C24" s="208">
        <v>9</v>
      </c>
      <c r="D24" s="289">
        <f>216666.4/1000</f>
        <v>216.66639999999998</v>
      </c>
      <c r="E24" s="289">
        <f>+D24*C24</f>
        <v>1949.9975999999999</v>
      </c>
      <c r="G24" s="205" t="s">
        <v>212</v>
      </c>
      <c r="H24" s="208">
        <v>6</v>
      </c>
      <c r="I24" s="289">
        <v>72.221999999999994</v>
      </c>
      <c r="J24" s="289">
        <f>+I24*H24</f>
        <v>433.33199999999999</v>
      </c>
    </row>
    <row r="25" spans="2:10" x14ac:dyDescent="0.25">
      <c r="B25" s="205" t="s">
        <v>213</v>
      </c>
      <c r="C25" s="208">
        <v>3</v>
      </c>
      <c r="D25" s="289">
        <f>216666.4/1000</f>
        <v>216.66639999999998</v>
      </c>
      <c r="E25" s="289">
        <f>+D25*C25</f>
        <v>649.99919999999997</v>
      </c>
      <c r="F25" s="202"/>
      <c r="G25" s="205" t="s">
        <v>213</v>
      </c>
      <c r="H25" s="208">
        <v>2</v>
      </c>
      <c r="I25" s="289">
        <v>72.221999999999994</v>
      </c>
      <c r="J25" s="289">
        <f>+I25*H25</f>
        <v>144.44399999999999</v>
      </c>
    </row>
    <row r="26" spans="2:10" x14ac:dyDescent="0.25">
      <c r="B26" s="211" t="s">
        <v>41</v>
      </c>
      <c r="C26" s="212">
        <f>SUM(C23:C25)</f>
        <v>21</v>
      </c>
      <c r="D26" s="213"/>
      <c r="E26" s="290">
        <f>SUM(E23:E25)</f>
        <v>4549.9943999999996</v>
      </c>
      <c r="G26" s="211" t="s">
        <v>41</v>
      </c>
      <c r="H26" s="212">
        <f>SUM(H23:H25)</f>
        <v>8</v>
      </c>
      <c r="I26" s="213"/>
      <c r="J26" s="290">
        <f>SUM(J23:J25)</f>
        <v>577.77599999999995</v>
      </c>
    </row>
    <row r="27" spans="2:10" x14ac:dyDescent="0.25">
      <c r="B27" s="210" t="s">
        <v>277</v>
      </c>
      <c r="G27" s="210" t="s">
        <v>277</v>
      </c>
    </row>
    <row r="28" spans="2:10" x14ac:dyDescent="0.25">
      <c r="B28" s="210" t="s">
        <v>219</v>
      </c>
      <c r="C28" s="11"/>
      <c r="D28" s="11"/>
      <c r="E28" s="11"/>
      <c r="G28" s="210" t="s">
        <v>219</v>
      </c>
      <c r="H28" s="11"/>
      <c r="I28" s="11"/>
      <c r="J28" s="11"/>
    </row>
    <row r="29" spans="2:10" x14ac:dyDescent="0.25">
      <c r="B29" t="s">
        <v>256</v>
      </c>
      <c r="G29" t="s">
        <v>206</v>
      </c>
    </row>
    <row r="30" spans="2:10" x14ac:dyDescent="0.25">
      <c r="B30" t="s">
        <v>257</v>
      </c>
      <c r="G30" s="202"/>
    </row>
    <row r="31" spans="2:10" x14ac:dyDescent="0.25">
      <c r="B31" t="s">
        <v>258</v>
      </c>
      <c r="G31" s="202"/>
    </row>
    <row r="32" spans="2:10" x14ac:dyDescent="0.25">
      <c r="B32" t="s">
        <v>259</v>
      </c>
    </row>
    <row r="33" spans="2:10" x14ac:dyDescent="0.25">
      <c r="B33" t="s">
        <v>260</v>
      </c>
    </row>
    <row r="34" spans="2:10" x14ac:dyDescent="0.25">
      <c r="B34" t="s">
        <v>261</v>
      </c>
    </row>
    <row r="36" spans="2:10" x14ac:dyDescent="0.25">
      <c r="B36" s="206" t="s">
        <v>278</v>
      </c>
    </row>
    <row r="37" spans="2:10" x14ac:dyDescent="0.25">
      <c r="B37" s="201" t="s">
        <v>218</v>
      </c>
    </row>
    <row r="38" spans="2:10" x14ac:dyDescent="0.25">
      <c r="B38" s="2" t="s">
        <v>327</v>
      </c>
      <c r="C38" s="201"/>
      <c r="D38" s="201"/>
      <c r="E38" s="201"/>
      <c r="F38" s="201"/>
      <c r="J38" s="1"/>
    </row>
    <row r="39" spans="2:10" ht="30" x14ac:dyDescent="0.25">
      <c r="B39" s="203" t="s">
        <v>210</v>
      </c>
      <c r="C39" s="204" t="s">
        <v>6</v>
      </c>
      <c r="D39" s="204" t="s">
        <v>217</v>
      </c>
      <c r="E39" s="204" t="s">
        <v>225</v>
      </c>
      <c r="F39" s="201"/>
    </row>
    <row r="40" spans="2:10" x14ac:dyDescent="0.25">
      <c r="B40" s="205" t="s">
        <v>211</v>
      </c>
      <c r="C40" s="208">
        <v>0</v>
      </c>
      <c r="D40" s="289"/>
      <c r="E40" s="289">
        <f>+D40*C40</f>
        <v>0</v>
      </c>
    </row>
    <row r="41" spans="2:10" x14ac:dyDescent="0.25">
      <c r="B41" s="205" t="s">
        <v>212</v>
      </c>
      <c r="C41" s="208">
        <v>1</v>
      </c>
      <c r="D41" s="289">
        <f>216666.4/1000</f>
        <v>216.66639999999998</v>
      </c>
      <c r="E41" s="289">
        <f>+D41*C41</f>
        <v>216.66639999999998</v>
      </c>
    </row>
    <row r="42" spans="2:10" x14ac:dyDescent="0.25">
      <c r="B42" s="205" t="s">
        <v>213</v>
      </c>
      <c r="C42" s="208">
        <v>0</v>
      </c>
      <c r="D42" s="289"/>
      <c r="E42" s="289">
        <f>+D42*C42</f>
        <v>0</v>
      </c>
      <c r="J42" s="1"/>
    </row>
    <row r="43" spans="2:10" x14ac:dyDescent="0.25">
      <c r="B43" s="211" t="s">
        <v>41</v>
      </c>
      <c r="C43" s="212">
        <f>SUM(C40:C42)</f>
        <v>1</v>
      </c>
      <c r="D43" s="213"/>
      <c r="E43" s="290">
        <f>SUM(E40:E42)</f>
        <v>216.66639999999998</v>
      </c>
    </row>
    <row r="44" spans="2:10" x14ac:dyDescent="0.25">
      <c r="B44" s="210" t="s">
        <v>277</v>
      </c>
    </row>
    <row r="45" spans="2:10" x14ac:dyDescent="0.25">
      <c r="B45" s="210" t="s">
        <v>219</v>
      </c>
    </row>
    <row r="46" spans="2:10" x14ac:dyDescent="0.25">
      <c r="B46" s="201" t="s">
        <v>262</v>
      </c>
    </row>
    <row r="47" spans="2:10" x14ac:dyDescent="0.25">
      <c r="B47" s="201" t="s">
        <v>263</v>
      </c>
    </row>
    <row r="48" spans="2:10" x14ac:dyDescent="0.25">
      <c r="B48" s="201"/>
    </row>
    <row r="49" spans="2:5" x14ac:dyDescent="0.25">
      <c r="B49" s="214" t="s">
        <v>284</v>
      </c>
      <c r="C49" s="214"/>
      <c r="D49" s="341">
        <f>+E43+J26+E26+J12+E12</f>
        <v>5561.1027999999997</v>
      </c>
      <c r="E49" s="1"/>
    </row>
    <row r="51" spans="2:5" x14ac:dyDescent="0.25">
      <c r="B51" s="2" t="s">
        <v>421</v>
      </c>
    </row>
  </sheetData>
  <mergeCells count="2">
    <mergeCell ref="B4:J4"/>
    <mergeCell ref="B18:J1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17"/>
  <sheetViews>
    <sheetView zoomScale="110" zoomScaleNormal="110" workbookViewId="0">
      <selection activeCell="C17" sqref="C17"/>
    </sheetView>
  </sheetViews>
  <sheetFormatPr baseColWidth="10" defaultRowHeight="15" x14ac:dyDescent="0.25"/>
  <cols>
    <col min="1" max="1" width="2.25" style="14" customWidth="1"/>
    <col min="2" max="2" width="48.375" style="14" customWidth="1"/>
    <col min="3" max="3" width="17.125" style="14" bestFit="1" customWidth="1"/>
    <col min="4" max="4" width="14.375" style="14" customWidth="1"/>
    <col min="5" max="5" width="4" style="14" customWidth="1"/>
    <col min="6" max="6" width="72.25" style="14" customWidth="1"/>
    <col min="7" max="7" width="8.75" style="14" customWidth="1"/>
    <col min="8" max="8" width="14.125" style="14" customWidth="1"/>
    <col min="9" max="16384" width="11" style="14"/>
  </cols>
  <sheetData>
    <row r="1" spans="2:4" ht="21.75" customHeight="1" x14ac:dyDescent="0.3">
      <c r="B1" s="13" t="s">
        <v>418</v>
      </c>
      <c r="C1" s="13"/>
      <c r="D1" s="13"/>
    </row>
    <row r="2" spans="2:4" ht="26.25" customHeight="1" x14ac:dyDescent="0.3">
      <c r="B2" s="13" t="str">
        <f>+'Presupuesto_Productos (POD)'!B13</f>
        <v>Subcomponente 1.2: Fortalecimiento de los controles aduaneros y nueva estrategia de control mediante el uso de medios no intrusivos y una gestión de riesgo integral.</v>
      </c>
    </row>
    <row r="3" spans="2:4" ht="18.75" x14ac:dyDescent="0.3">
      <c r="B3" s="13" t="s">
        <v>425</v>
      </c>
    </row>
    <row r="4" spans="2:4" ht="20.25" customHeight="1" x14ac:dyDescent="0.25">
      <c r="B4" s="2" t="s">
        <v>327</v>
      </c>
    </row>
    <row r="5" spans="2:4" x14ac:dyDescent="0.25">
      <c r="B5" s="68" t="s">
        <v>71</v>
      </c>
      <c r="C5" s="68" t="s">
        <v>426</v>
      </c>
      <c r="D5" s="68" t="s">
        <v>427</v>
      </c>
    </row>
    <row r="6" spans="2:4" ht="30" x14ac:dyDescent="0.25">
      <c r="B6" s="572" t="s">
        <v>425</v>
      </c>
      <c r="C6" s="555">
        <f>+D6/1.21</f>
        <v>10132.231404958678</v>
      </c>
      <c r="D6" s="555">
        <v>12260</v>
      </c>
    </row>
    <row r="7" spans="2:4" x14ac:dyDescent="0.25">
      <c r="B7" s="553" t="s">
        <v>111</v>
      </c>
      <c r="C7" s="291">
        <f>+C6</f>
        <v>10132.231404958678</v>
      </c>
      <c r="D7" s="291">
        <f>+D6</f>
        <v>12260</v>
      </c>
    </row>
    <row r="8" spans="2:4" x14ac:dyDescent="0.25">
      <c r="C8" s="69"/>
    </row>
    <row r="9" spans="2:4" ht="18.75" x14ac:dyDescent="0.3">
      <c r="B9" s="13" t="s">
        <v>265</v>
      </c>
    </row>
    <row r="10" spans="2:4" x14ac:dyDescent="0.25">
      <c r="B10" s="12" t="s">
        <v>76</v>
      </c>
    </row>
    <row r="11" spans="2:4" x14ac:dyDescent="0.25">
      <c r="B11" s="78" t="s">
        <v>78</v>
      </c>
      <c r="C11" s="68" t="s">
        <v>426</v>
      </c>
      <c r="D11" s="68" t="s">
        <v>427</v>
      </c>
    </row>
    <row r="12" spans="2:4" ht="45" x14ac:dyDescent="0.25">
      <c r="B12" s="404" t="s">
        <v>94</v>
      </c>
      <c r="C12" s="555">
        <f>+D12/1.21</f>
        <v>4132.2314049586776</v>
      </c>
      <c r="D12" s="555">
        <v>5000</v>
      </c>
    </row>
    <row r="13" spans="2:4" x14ac:dyDescent="0.25">
      <c r="B13" s="76" t="s">
        <v>111</v>
      </c>
      <c r="C13" s="291">
        <f>+C12</f>
        <v>4132.2314049586776</v>
      </c>
      <c r="D13" s="291">
        <f>+D12</f>
        <v>5000</v>
      </c>
    </row>
    <row r="16" spans="2:4" ht="18.75" x14ac:dyDescent="0.3">
      <c r="B16" s="84" t="s">
        <v>349</v>
      </c>
      <c r="C16" s="554">
        <f>+D13+D7</f>
        <v>17260</v>
      </c>
      <c r="D16" s="67"/>
    </row>
    <row r="17" spans="2:3" ht="18.75" x14ac:dyDescent="0.3">
      <c r="B17" s="84" t="s">
        <v>93</v>
      </c>
      <c r="C17" s="554">
        <f>+D13-C13+D7-C7</f>
        <v>2995.5371900826431</v>
      </c>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40"/>
  <sheetViews>
    <sheetView zoomScaleNormal="100" workbookViewId="0">
      <selection activeCell="B15" sqref="B15"/>
    </sheetView>
  </sheetViews>
  <sheetFormatPr baseColWidth="10" defaultRowHeight="15.75" x14ac:dyDescent="0.25"/>
  <cols>
    <col min="1" max="1" width="3.625" style="336" customWidth="1"/>
    <col min="2" max="2" width="74.5" style="336" customWidth="1"/>
    <col min="3" max="3" width="17" style="336" customWidth="1"/>
    <col min="4" max="4" width="12.25" style="336" customWidth="1"/>
    <col min="5" max="5" width="4.5" style="336" customWidth="1"/>
    <col min="6" max="6" width="62.125" style="336" customWidth="1"/>
    <col min="7" max="7" width="12.875" style="336" customWidth="1"/>
    <col min="8" max="8" width="12.5" style="336" customWidth="1"/>
    <col min="9" max="9" width="11" style="336"/>
    <col min="10" max="10" width="16.75" style="336" customWidth="1"/>
    <col min="11" max="16384" width="11" style="336"/>
  </cols>
  <sheetData>
    <row r="1" spans="2:11" ht="26.25" customHeight="1" x14ac:dyDescent="0.3">
      <c r="B1" s="13" t="s">
        <v>419</v>
      </c>
      <c r="C1" s="13"/>
      <c r="D1" s="13"/>
      <c r="E1" s="13"/>
      <c r="F1" s="13"/>
      <c r="G1" s="13"/>
      <c r="H1" s="13"/>
    </row>
    <row r="2" spans="2:11" ht="22.5" customHeight="1" x14ac:dyDescent="0.25">
      <c r="B2" s="672" t="str">
        <f>+'Presupuesto_Productos (POD)'!B27</f>
        <v>Componente 2: Fortalecimiento de los sistemas de información de la AFIP</v>
      </c>
      <c r="C2" s="672"/>
      <c r="D2" s="672"/>
      <c r="F2" s="672" t="str">
        <f>+'Presupuesto_Productos (POD)'!B7</f>
        <v>Subcomponente 1.1: Fortalecimiento del control y fiscalización en la administración de tributos internos</v>
      </c>
      <c r="G2" s="672"/>
      <c r="H2" s="672"/>
      <c r="I2" s="372"/>
    </row>
    <row r="3" spans="2:11" ht="18.75" x14ac:dyDescent="0.25">
      <c r="B3" s="373" t="s">
        <v>336</v>
      </c>
      <c r="C3" s="374"/>
      <c r="D3" s="374"/>
      <c r="E3" s="373"/>
      <c r="F3" s="373" t="s">
        <v>147</v>
      </c>
      <c r="G3" s="374"/>
      <c r="H3" s="374"/>
      <c r="I3" s="372"/>
    </row>
    <row r="4" spans="2:11" ht="18.75" x14ac:dyDescent="0.3">
      <c r="B4" s="373" t="s">
        <v>327</v>
      </c>
      <c r="E4" s="375"/>
      <c r="F4" s="376" t="s">
        <v>327</v>
      </c>
      <c r="H4" s="372"/>
      <c r="I4" s="372"/>
    </row>
    <row r="5" spans="2:11" ht="24" customHeight="1" x14ac:dyDescent="0.25">
      <c r="B5" s="377" t="s">
        <v>78</v>
      </c>
      <c r="C5" s="378" t="s">
        <v>113</v>
      </c>
      <c r="D5" s="378" t="s">
        <v>112</v>
      </c>
      <c r="F5" s="377" t="s">
        <v>78</v>
      </c>
      <c r="G5" s="378" t="s">
        <v>113</v>
      </c>
      <c r="H5" s="378" t="s">
        <v>112</v>
      </c>
      <c r="I5" s="372"/>
    </row>
    <row r="6" spans="2:11" ht="24" customHeight="1" x14ac:dyDescent="0.25">
      <c r="B6" s="379" t="s">
        <v>269</v>
      </c>
      <c r="C6" s="380">
        <f>SUM(C7:C12)</f>
        <v>16363.636363636364</v>
      </c>
      <c r="D6" s="380">
        <f>SUM(D7:D13)</f>
        <v>21000</v>
      </c>
      <c r="F6" s="379" t="s">
        <v>114</v>
      </c>
      <c r="G6" s="381">
        <f>SUM(G7)</f>
        <v>330.57851239669424</v>
      </c>
      <c r="H6" s="381">
        <f>SUM(H7)</f>
        <v>400</v>
      </c>
      <c r="I6" s="372"/>
      <c r="K6" s="372"/>
    </row>
    <row r="7" spans="2:11" ht="45" x14ac:dyDescent="0.3">
      <c r="B7" s="382" t="s">
        <v>121</v>
      </c>
      <c r="C7" s="383">
        <f>+D7/1.21</f>
        <v>2479.3388429752067</v>
      </c>
      <c r="D7" s="383">
        <v>3000</v>
      </c>
      <c r="F7" s="384" t="s">
        <v>115</v>
      </c>
      <c r="G7" s="673">
        <f>+H7/1.21</f>
        <v>330.57851239669424</v>
      </c>
      <c r="H7" s="673">
        <v>400</v>
      </c>
      <c r="I7" s="372"/>
      <c r="J7" s="375"/>
      <c r="K7" s="372"/>
    </row>
    <row r="8" spans="2:11" ht="36.75" customHeight="1" x14ac:dyDescent="0.25">
      <c r="B8" s="571" t="s">
        <v>104</v>
      </c>
      <c r="C8" s="383">
        <f t="shared" ref="C8:C31" si="0">+D8/1.21</f>
        <v>6776.8595041322315</v>
      </c>
      <c r="D8" s="383">
        <v>8200</v>
      </c>
      <c r="F8" s="382" t="s">
        <v>116</v>
      </c>
      <c r="G8" s="673"/>
      <c r="H8" s="673"/>
      <c r="I8" s="385"/>
      <c r="J8" s="372"/>
      <c r="K8" s="372"/>
    </row>
    <row r="9" spans="2:11" ht="45" x14ac:dyDescent="0.25">
      <c r="B9" s="382" t="s">
        <v>103</v>
      </c>
      <c r="C9" s="383">
        <f t="shared" si="0"/>
        <v>2479.3388429752067</v>
      </c>
      <c r="D9" s="383">
        <v>3000</v>
      </c>
      <c r="F9" s="379" t="s">
        <v>117</v>
      </c>
      <c r="G9" s="386">
        <f>SUM(G10)</f>
        <v>2396.6942148760331</v>
      </c>
      <c r="H9" s="386">
        <f>SUM(H10)</f>
        <v>2900</v>
      </c>
      <c r="J9" s="372"/>
      <c r="K9" s="372"/>
    </row>
    <row r="10" spans="2:11" ht="45" x14ac:dyDescent="0.3">
      <c r="B10" s="382" t="s">
        <v>102</v>
      </c>
      <c r="C10" s="383">
        <f t="shared" si="0"/>
        <v>826.44628099173553</v>
      </c>
      <c r="D10" s="383">
        <v>1000</v>
      </c>
      <c r="F10" s="382" t="s">
        <v>118</v>
      </c>
      <c r="G10" s="673">
        <f>+H10/1.21</f>
        <v>2396.6942148760331</v>
      </c>
      <c r="H10" s="673">
        <v>2900</v>
      </c>
      <c r="J10" s="375"/>
      <c r="K10" s="372"/>
    </row>
    <row r="11" spans="2:11" ht="45" x14ac:dyDescent="0.25">
      <c r="B11" s="436" t="s">
        <v>266</v>
      </c>
      <c r="C11" s="383">
        <f t="shared" si="0"/>
        <v>909.09090909090912</v>
      </c>
      <c r="D11" s="383">
        <v>1100</v>
      </c>
      <c r="F11" s="436" t="s">
        <v>360</v>
      </c>
      <c r="G11" s="673"/>
      <c r="H11" s="673"/>
      <c r="J11" s="372"/>
      <c r="K11" s="372"/>
    </row>
    <row r="12" spans="2:11" ht="30" x14ac:dyDescent="0.25">
      <c r="B12" s="387" t="s">
        <v>267</v>
      </c>
      <c r="C12" s="383">
        <f t="shared" si="0"/>
        <v>2892.5619834710747</v>
      </c>
      <c r="D12" s="383">
        <v>3500</v>
      </c>
      <c r="F12" s="379" t="s">
        <v>119</v>
      </c>
      <c r="G12" s="386">
        <f>SUM(G13)</f>
        <v>405.78512396694214</v>
      </c>
      <c r="H12" s="386">
        <f>+H13</f>
        <v>491</v>
      </c>
      <c r="J12" s="372"/>
      <c r="K12" s="372"/>
    </row>
    <row r="13" spans="2:11" ht="39" customHeight="1" x14ac:dyDescent="0.3">
      <c r="B13" s="388" t="s">
        <v>268</v>
      </c>
      <c r="C13" s="383">
        <f t="shared" si="0"/>
        <v>991.73553719008271</v>
      </c>
      <c r="D13" s="389">
        <v>1200</v>
      </c>
      <c r="F13" s="436" t="s">
        <v>120</v>
      </c>
      <c r="G13" s="390">
        <f>+H13/1.21</f>
        <v>405.78512396694214</v>
      </c>
      <c r="H13" s="390">
        <v>491</v>
      </c>
      <c r="J13" s="375"/>
      <c r="K13" s="372"/>
    </row>
    <row r="14" spans="2:11" ht="25.5" customHeight="1" x14ac:dyDescent="0.25">
      <c r="B14" s="379" t="s">
        <v>270</v>
      </c>
      <c r="C14" s="380">
        <f>SUM(C15:C21)</f>
        <v>10247.933884297521</v>
      </c>
      <c r="D14" s="380">
        <f>SUM(D15:D21)</f>
        <v>12400</v>
      </c>
      <c r="F14" s="391" t="s">
        <v>79</v>
      </c>
      <c r="G14" s="377">
        <f>+G12+G9+G6</f>
        <v>3133.0578512396696</v>
      </c>
      <c r="H14" s="377">
        <f>+H12+H9+H6</f>
        <v>3791</v>
      </c>
      <c r="J14" s="372"/>
      <c r="K14" s="372"/>
    </row>
    <row r="15" spans="2:11" ht="56.25" customHeight="1" x14ac:dyDescent="0.25">
      <c r="B15" s="571" t="s">
        <v>110</v>
      </c>
      <c r="C15" s="383">
        <f t="shared" si="0"/>
        <v>4958.6776859504134</v>
      </c>
      <c r="D15" s="383">
        <v>6000</v>
      </c>
      <c r="F15" s="671" t="s">
        <v>337</v>
      </c>
      <c r="G15" s="671"/>
      <c r="H15" s="671"/>
      <c r="J15" s="372"/>
      <c r="K15" s="385"/>
    </row>
    <row r="16" spans="2:11" ht="75" x14ac:dyDescent="0.3">
      <c r="B16" s="382" t="s">
        <v>101</v>
      </c>
      <c r="C16" s="383">
        <f t="shared" si="0"/>
        <v>578.51239669421489</v>
      </c>
      <c r="D16" s="383">
        <v>700</v>
      </c>
      <c r="F16" s="392" t="s">
        <v>130</v>
      </c>
      <c r="G16" s="393">
        <f>+H16/1.21</f>
        <v>1239.6694214876034</v>
      </c>
      <c r="H16" s="393">
        <v>1500</v>
      </c>
      <c r="J16" s="375"/>
      <c r="K16" s="372"/>
    </row>
    <row r="17" spans="2:12" ht="45" x14ac:dyDescent="0.25">
      <c r="B17" s="382" t="s">
        <v>105</v>
      </c>
      <c r="C17" s="383">
        <f t="shared" si="0"/>
        <v>619.83471074380168</v>
      </c>
      <c r="D17" s="383">
        <v>750</v>
      </c>
      <c r="F17" s="391" t="s">
        <v>79</v>
      </c>
      <c r="G17" s="377">
        <f>+G16</f>
        <v>1239.6694214876034</v>
      </c>
      <c r="H17" s="377">
        <f>+H16</f>
        <v>1500</v>
      </c>
      <c r="I17" s="394"/>
      <c r="J17" s="394"/>
      <c r="K17" s="372"/>
    </row>
    <row r="18" spans="2:12" ht="96.75" customHeight="1" x14ac:dyDescent="0.25">
      <c r="B18" s="382" t="s">
        <v>106</v>
      </c>
      <c r="C18" s="383">
        <f t="shared" si="0"/>
        <v>330.57851239669424</v>
      </c>
      <c r="D18" s="383">
        <v>400</v>
      </c>
      <c r="F18" s="394"/>
      <c r="G18" s="394"/>
      <c r="H18" s="394"/>
      <c r="I18" s="394"/>
      <c r="J18" s="394"/>
      <c r="K18" s="372"/>
    </row>
    <row r="19" spans="2:12" ht="94.5" customHeight="1" x14ac:dyDescent="0.25">
      <c r="B19" s="382" t="s">
        <v>100</v>
      </c>
      <c r="C19" s="383">
        <f t="shared" si="0"/>
        <v>289.25619834710744</v>
      </c>
      <c r="D19" s="383">
        <v>350</v>
      </c>
      <c r="J19" s="395"/>
      <c r="K19" s="394"/>
      <c r="L19" s="395"/>
    </row>
    <row r="20" spans="2:12" ht="64.5" customHeight="1" x14ac:dyDescent="0.25">
      <c r="B20" s="382" t="s">
        <v>99</v>
      </c>
      <c r="C20" s="383">
        <f t="shared" si="0"/>
        <v>2975.2066115702482</v>
      </c>
      <c r="D20" s="383">
        <v>3600</v>
      </c>
      <c r="J20" s="395"/>
      <c r="K20" s="395"/>
      <c r="L20" s="395"/>
    </row>
    <row r="21" spans="2:12" ht="80.25" customHeight="1" x14ac:dyDescent="0.25">
      <c r="B21" s="396" t="s">
        <v>122</v>
      </c>
      <c r="C21" s="383">
        <f t="shared" si="0"/>
        <v>495.86776859504135</v>
      </c>
      <c r="D21" s="383">
        <v>600</v>
      </c>
      <c r="J21" s="395"/>
      <c r="K21" s="395"/>
      <c r="L21" s="395"/>
    </row>
    <row r="22" spans="2:12" ht="26.25" customHeight="1" x14ac:dyDescent="0.25">
      <c r="B22" s="379" t="s">
        <v>271</v>
      </c>
      <c r="C22" s="380">
        <f>SUM(C23:C30)</f>
        <v>10743.801652892564</v>
      </c>
      <c r="D22" s="380">
        <f>SUM(D23:D31)</f>
        <v>14200</v>
      </c>
      <c r="J22" s="395"/>
      <c r="K22" s="395"/>
      <c r="L22" s="395"/>
    </row>
    <row r="23" spans="2:12" ht="86.25" customHeight="1" x14ac:dyDescent="0.25">
      <c r="B23" s="382" t="s">
        <v>123</v>
      </c>
      <c r="C23" s="397">
        <f t="shared" si="0"/>
        <v>1652.8925619834711</v>
      </c>
      <c r="D23" s="383">
        <v>2000</v>
      </c>
      <c r="J23" s="395"/>
      <c r="K23" s="395"/>
      <c r="L23" s="395"/>
    </row>
    <row r="24" spans="2:12" ht="62.25" customHeight="1" x14ac:dyDescent="0.25">
      <c r="B24" s="382" t="s">
        <v>97</v>
      </c>
      <c r="C24" s="397">
        <f t="shared" si="0"/>
        <v>1652.8925619834711</v>
      </c>
      <c r="D24" s="383">
        <v>2000</v>
      </c>
      <c r="K24" s="395"/>
      <c r="L24" s="395"/>
    </row>
    <row r="25" spans="2:12" ht="44.25" customHeight="1" x14ac:dyDescent="0.25">
      <c r="B25" s="382" t="s">
        <v>124</v>
      </c>
      <c r="C25" s="397">
        <f t="shared" si="0"/>
        <v>1239.6694214876034</v>
      </c>
      <c r="D25" s="383">
        <v>1500</v>
      </c>
      <c r="K25" s="395"/>
      <c r="L25" s="395"/>
    </row>
    <row r="26" spans="2:12" ht="53.25" customHeight="1" x14ac:dyDescent="0.25">
      <c r="B26" s="382" t="s">
        <v>125</v>
      </c>
      <c r="C26" s="397">
        <f t="shared" si="0"/>
        <v>1239.6694214876034</v>
      </c>
      <c r="D26" s="383">
        <v>1500</v>
      </c>
      <c r="K26" s="394"/>
      <c r="L26" s="395"/>
    </row>
    <row r="27" spans="2:12" ht="66" customHeight="1" x14ac:dyDescent="0.25">
      <c r="B27" s="382" t="s">
        <v>126</v>
      </c>
      <c r="C27" s="397">
        <f t="shared" si="0"/>
        <v>1404.9586776859505</v>
      </c>
      <c r="D27" s="383">
        <v>1700</v>
      </c>
    </row>
    <row r="28" spans="2:12" ht="75" x14ac:dyDescent="0.25">
      <c r="B28" s="382" t="s">
        <v>127</v>
      </c>
      <c r="C28" s="397">
        <f t="shared" si="0"/>
        <v>661.15702479338847</v>
      </c>
      <c r="D28" s="389">
        <v>800</v>
      </c>
    </row>
    <row r="29" spans="2:12" x14ac:dyDescent="0.25">
      <c r="B29" s="398" t="s">
        <v>272</v>
      </c>
      <c r="C29" s="397">
        <f t="shared" si="0"/>
        <v>2479.3388429752067</v>
      </c>
      <c r="D29" s="389">
        <v>3000</v>
      </c>
    </row>
    <row r="30" spans="2:12" x14ac:dyDescent="0.25">
      <c r="B30" s="398" t="s">
        <v>273</v>
      </c>
      <c r="C30" s="397">
        <f t="shared" si="0"/>
        <v>413.22314049586777</v>
      </c>
      <c r="D30" s="389">
        <v>500</v>
      </c>
    </row>
    <row r="31" spans="2:12" x14ac:dyDescent="0.25">
      <c r="B31" s="550" t="s">
        <v>423</v>
      </c>
      <c r="C31" s="551">
        <f t="shared" si="0"/>
        <v>991.73553719008271</v>
      </c>
      <c r="D31" s="552">
        <v>1200</v>
      </c>
    </row>
    <row r="32" spans="2:12" ht="22.5" customHeight="1" x14ac:dyDescent="0.25">
      <c r="B32" s="399" t="s">
        <v>79</v>
      </c>
      <c r="C32" s="399">
        <f>+C22+C14+C6+C31</f>
        <v>38347.10743801653</v>
      </c>
      <c r="D32" s="399">
        <f>+D22+D14+D6</f>
        <v>47600</v>
      </c>
    </row>
    <row r="33" spans="2:12" x14ac:dyDescent="0.25">
      <c r="H33" s="395"/>
      <c r="I33" s="395"/>
      <c r="J33" s="395"/>
      <c r="K33" s="395"/>
      <c r="L33" s="395"/>
    </row>
    <row r="34" spans="2:12" x14ac:dyDescent="0.25">
      <c r="G34" s="395"/>
      <c r="H34" s="395"/>
      <c r="I34" s="395"/>
      <c r="J34" s="395"/>
      <c r="K34" s="395"/>
      <c r="L34" s="395"/>
    </row>
    <row r="35" spans="2:12" ht="18.75" x14ac:dyDescent="0.3">
      <c r="B35" s="400" t="s">
        <v>348</v>
      </c>
      <c r="C35" s="401">
        <f>+D32+H14+H17</f>
        <v>52891</v>
      </c>
      <c r="G35" s="395"/>
      <c r="H35" s="395"/>
      <c r="I35" s="395"/>
      <c r="J35" s="395"/>
      <c r="K35" s="395"/>
      <c r="L35" s="395"/>
    </row>
    <row r="36" spans="2:12" ht="18.75" x14ac:dyDescent="0.3">
      <c r="B36" s="400" t="s">
        <v>93</v>
      </c>
      <c r="C36" s="402">
        <f>+(0.21/1.21)*C35</f>
        <v>9179.4297520661166</v>
      </c>
      <c r="H36" s="395"/>
    </row>
    <row r="40" spans="2:12" ht="16.5" customHeight="1" x14ac:dyDescent="0.25"/>
  </sheetData>
  <mergeCells count="7">
    <mergeCell ref="F15:H15"/>
    <mergeCell ref="B2:D2"/>
    <mergeCell ref="H7:H8"/>
    <mergeCell ref="H10:H11"/>
    <mergeCell ref="G7:G8"/>
    <mergeCell ref="G10:G11"/>
    <mergeCell ref="F2:H2"/>
  </mergeCells>
  <pageMargins left="0.7" right="0.7" top="0.75" bottom="0.75" header="0.3" footer="0.3"/>
  <pageSetup paperSize="9" orientation="portrait" horizontalDpi="4294967293" vertic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ez-Operations" ma:contentTypeID="0x010100ACF722E9F6B0B149B0CD8BE2560A667200B6A3C729BC71F14299C7644687D5E5FF" ma:contentTypeVersion="2635" ma:contentTypeDescription="The base project type from which other project content types inherit their information." ma:contentTypeScope="" ma:versionID="ee404965060d1551913c9b36a3daafd4">
  <xsd:schema xmlns:xsd="http://www.w3.org/2001/XMLSchema" xmlns:xs="http://www.w3.org/2001/XMLSchema" xmlns:p="http://schemas.microsoft.com/office/2006/metadata/properties" xmlns:ns2="cdc7663a-08f0-4737-9e8c-148ce897a09c" targetNamespace="http://schemas.microsoft.com/office/2006/metadata/properties" ma:root="true" ma:fieldsID="30df294683d13737ce4460d95bfbe82e"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AR-L1282"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ae61f9b1-e23d-4f49-b3d7-56b991556c4b" ContentTypeId="0x010100ACF722E9F6B0B149B0CD8BE2560A6672" PreviousValue="false"/>
</file>

<file path=customXml/item3.xml><?xml version="1.0" encoding="utf-8"?>
<p:properties xmlns:p="http://schemas.microsoft.com/office/2006/metadata/properties" xmlns:xsi="http://www.w3.org/2001/XMLSchema-instance" xmlns:pc="http://schemas.microsoft.com/office/infopath/2007/PartnerControls">
  <documentManagement>
    <Project_x0020_Document_x0020_Type xmlns="cdc7663a-08f0-4737-9e8c-148ce897a09c" xsi:nil="true"/>
    <Key_x0020_Document xmlns="cdc7663a-08f0-4737-9e8c-148ce897a09c">false</Key_x0020_Document>
    <Division_x0020_or_x0020_Unit xmlns="cdc7663a-08f0-4737-9e8c-148ce897a09c">IFD/FMM</Division_x0020_or_x0020_Unit>
    <Other_x0020_Author xmlns="cdc7663a-08f0-4737-9e8c-148ce897a09c" xsi:nil="true"/>
    <IDBDocs_x0020_Number xmlns="cdc7663a-08f0-4737-9e8c-148ce897a09c">40653208</IDBDocs_x0020_Number>
    <Document_x0020_Author xmlns="cdc7663a-08f0-4737-9e8c-148ce897a09c">Pessino, Carola</Document_x0020_Author>
    <Operation_x0020_Type xmlns="cdc7663a-08f0-4737-9e8c-148ce897a09c" xsi:nil="true"/>
    <TaxCatchAll xmlns="cdc7663a-08f0-4737-9e8c-148ce897a09c">
      <Value>14</Value>
    </TaxCatchAll>
    <Fiscal_x0020_Year_x0020_IDB xmlns="cdc7663a-08f0-4737-9e8c-148ce897a09c">2017</Fiscal_x0020_Year_x0020_IDB>
    <Project_x0020_Number xmlns="cdc7663a-08f0-4737-9e8c-148ce897a09c">AR-L1282;</Project_x0020_Number>
    <Package_x0020_Code xmlns="cdc7663a-08f0-4737-9e8c-148ce897a09c" xsi:nil="true"/>
    <Migration_x0020_Info xmlns="cdc7663a-08f0-4737-9e8c-148ce897a09c">MS EXCELLoan Proposal0N</Migration_x0020_Info>
    <Approval_x0020_Number xmlns="cdc7663a-08f0-4737-9e8c-148ce897a09c" xsi:nil="true"/>
    <Business_x0020_Area xmlns="cdc7663a-08f0-4737-9e8c-148ce897a09c" xsi:nil="true"/>
    <SISCOR_x0020_Number xmlns="cdc7663a-08f0-4737-9e8c-148ce897a09c" xsi:nil="true"/>
    <Identifier xmlns="cdc7663a-08f0-4737-9e8c-148ce897a09c"> TECFILE</Identifier>
    <Document_x0020_Language_x0020_IDB xmlns="cdc7663a-08f0-4737-9e8c-148ce897a09c">Spanish</Document_x0020_Language_x0020_IDB>
    <Phase xmlns="cdc7663a-08f0-4737-9e8c-148ce897a09c" xsi:nil="true"/>
    <Access_x0020_to_x0020_Information_x00a0_Policy xmlns="cdc7663a-08f0-4737-9e8c-148ce897a09c">Public</Access_x0020_to_x0020_Information_x00a0_Policy>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ic46d7e087fd4a108fb86518ca413cc6>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e46fe2894295491da65140ffd2369f49>
    <b2ec7cfb18674cb8803df6b262e8b107 xmlns="cdc7663a-08f0-4737-9e8c-148ce897a09c">
      <Terms xmlns="http://schemas.microsoft.com/office/infopath/2007/PartnerControls"/>
    </b2ec7cfb18674cb8803df6b262e8b107>
    <g511464f9e53401d84b16fa9b379a574 xmlns="cdc7663a-08f0-4737-9e8c-148ce897a09c">
      <Terms xmlns="http://schemas.microsoft.com/office/infopath/2007/PartnerControls"/>
    </g511464f9e53401d84b16fa9b379a574>
    <Related_x0020_SisCor_x0020_Number xmlns="cdc7663a-08f0-4737-9e8c-148ce897a09c" xsi:nil="true"/>
    <To_x003a_ xmlns="cdc7663a-08f0-4737-9e8c-148ce897a09c" xsi:nil="true"/>
    <nddeef1749674d76abdbe4b239a70bc6 xmlns="cdc7663a-08f0-4737-9e8c-148ce897a09c">
      <Terms xmlns="http://schemas.microsoft.com/office/infopath/2007/PartnerControls"/>
    </nddeef1749674d76abdbe4b239a70bc6>
    <Record_x0020_Number xmlns="cdc7663a-08f0-4737-9e8c-148ce897a09c">R0001774657</Record_x0020_Number>
    <_dlc_DocId xmlns="cdc7663a-08f0-4737-9e8c-148ce897a09c">EZSHARE-352664517-22</_dlc_DocId>
    <_dlc_DocIdUrl xmlns="cdc7663a-08f0-4737-9e8c-148ce897a09c">
      <Url>https://idbg.sharepoint.com/teams/EZ-AR-LON/AR-L1282/_layouts/15/DocIdRedir.aspx?ID=EZSHARE-352664517-22</Url>
      <Description>EZSHARE-352664517-22</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9160D739-7B05-405B-9E02-5E38D7380147}"/>
</file>

<file path=customXml/itemProps2.xml><?xml version="1.0" encoding="utf-8"?>
<ds:datastoreItem xmlns:ds="http://schemas.openxmlformats.org/officeDocument/2006/customXml" ds:itemID="{FEDF1704-3885-4A8D-ACE6-A6F43DB5B13E}"/>
</file>

<file path=customXml/itemProps3.xml><?xml version="1.0" encoding="utf-8"?>
<ds:datastoreItem xmlns:ds="http://schemas.openxmlformats.org/officeDocument/2006/customXml" ds:itemID="{51FD7431-1F4B-4EEF-82C2-830430B50B01}">
  <ds:schemaRefs>
    <ds:schemaRef ds:uri="9c571b2f-e523-4ab2-ba2e-09e151a03ef4"/>
    <ds:schemaRef ds:uri="http://purl.org/dc/terms/"/>
    <ds:schemaRef ds:uri="http://purl.org/dc/dcmitype/"/>
    <ds:schemaRef ds:uri="http://schemas.microsoft.com/office/2006/documentManagement/types"/>
    <ds:schemaRef ds:uri="http://www.w3.org/XML/1998/namespace"/>
    <ds:schemaRef ds:uri="http://schemas.microsoft.com/office/infopath/2007/PartnerControls"/>
    <ds:schemaRef ds:uri="http://purl.org/dc/elements/1.1/"/>
    <ds:schemaRef ds:uri="http://schemas.microsoft.com/office/2006/metadata/properties"/>
    <ds:schemaRef ds:uri="http://schemas.openxmlformats.org/package/2006/metadata/core-properties"/>
  </ds:schemaRefs>
</ds:datastoreItem>
</file>

<file path=customXml/itemProps4.xml><?xml version="1.0" encoding="utf-8"?>
<ds:datastoreItem xmlns:ds="http://schemas.openxmlformats.org/officeDocument/2006/customXml" ds:itemID="{68AA9B7E-48D7-4136-A9C6-E9E9136E6A82}">
  <ds:schemaRefs>
    <ds:schemaRef ds:uri="http://schemas.microsoft.com/sharepoint/v3/contenttype/forms"/>
  </ds:schemaRefs>
</ds:datastoreItem>
</file>

<file path=customXml/itemProps5.xml><?xml version="1.0" encoding="utf-8"?>
<ds:datastoreItem xmlns:ds="http://schemas.openxmlformats.org/officeDocument/2006/customXml" ds:itemID="{007F3A4B-0A2D-476F-928F-9C46A6ADF0EA}"/>
</file>

<file path=customXml/itemProps6.xml><?xml version="1.0" encoding="utf-8"?>
<ds:datastoreItem xmlns:ds="http://schemas.openxmlformats.org/officeDocument/2006/customXml" ds:itemID="{AAE41659-4586-4EC6-A753-565576C3C8B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3</vt:i4>
      </vt:variant>
    </vt:vector>
  </HeadingPairs>
  <TitlesOfParts>
    <vt:vector size="15" baseType="lpstr">
      <vt:lpstr>Presupuesto_Detallado</vt:lpstr>
      <vt:lpstr>Plan_Ejecutivo_Plurianual (PEP)</vt:lpstr>
      <vt:lpstr>Financiamiento_Desembolsos</vt:lpstr>
      <vt:lpstr>Presupuesto_Componente</vt:lpstr>
      <vt:lpstr>Presupuesto_Productos (POD)</vt:lpstr>
      <vt:lpstr>A1. Firmas Consultoras</vt:lpstr>
      <vt:lpstr>A2. Consultorias Individuales</vt:lpstr>
      <vt:lpstr>A3_Bs-Equip-Infr Sub 1.2</vt:lpstr>
      <vt:lpstr>A4_Detalle Soft&amp;Hard Sub 2 </vt:lpstr>
      <vt:lpstr>A5_Detalle Administración</vt:lpstr>
      <vt:lpstr>Resumen</vt:lpstr>
      <vt:lpstr>Perfil</vt:lpstr>
      <vt:lpstr>'A3_Bs-Equip-Infr Sub 1.2'!Área_de_impresión</vt:lpstr>
      <vt:lpstr>Presupuesto_Componente!Área_de_impresión</vt:lpstr>
      <vt:lpstr>Presupuesto_Detallado!Área_de_impresión</vt:lpstr>
    </vt:vector>
  </TitlesOfParts>
  <Company>TotalCode Software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Operativo Anual (POA)</dc:title>
  <dc:creator>Diego Reinoso</dc:creator>
  <cp:keywords/>
  <cp:lastModifiedBy>Sebastián</cp:lastModifiedBy>
  <cp:lastPrinted>2017-10-19T11:16:39Z</cp:lastPrinted>
  <dcterms:created xsi:type="dcterms:W3CDTF">2013-04-08T21:46:41Z</dcterms:created>
  <dcterms:modified xsi:type="dcterms:W3CDTF">2017-12-11T23:38:03Z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0x010100ACF722E9F6B0B149B0CD8BE2560A667200B6A3C729BC71F14299C7644687D5E5FF</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4;#Unclassified|a6dff32e-d477-44cd-a56b-85efe9e0a56c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14;#IDBDocs|cca77002-e150-4b2d-ab1f-1d7a7cdcae16</vt:lpwstr>
  </property>
  <property fmtid="{D5CDD505-2E9C-101B-9397-08002B2CF9AE}" pid="15" name="_dlc_DocIdItemGuid">
    <vt:lpwstr>e9cdbdc8-98b8-4f73-a087-be34a187b45b</vt:lpwstr>
  </property>
  <property fmtid="{D5CDD505-2E9C-101B-9397-08002B2CF9AE}" pid="16" name="RecordPoint_ActiveItemMoved">
    <vt:lpwstr>/teams/EZ-AR-LON/AR-L1282/15 LifeCycle Milestones/Draft Area/AR-L1282 - EER2 - PEP y POA - a QRR.xlsx</vt:lpwstr>
  </property>
  <property fmtid="{D5CDD505-2E9C-101B-9397-08002B2CF9AE}" pid="17" name="RecordStorageActiveId">
    <vt:lpwstr>3299531c-912f-4e4f-911e-41aed764ea3e</vt:lpwstr>
  </property>
  <property fmtid="{D5CDD505-2E9C-101B-9397-08002B2CF9AE}" pid="18" name="Disclosed">
    <vt:bool>true</vt:bool>
  </property>
</Properties>
</file>