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theme/theme1.xml" ContentType="application/vnd.openxmlformats-officedocument.theme+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styles.xml" ContentType="application/vnd.openxmlformats-officedocument.spreadsheetml.styl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externalLinks/externalLink3.xml" ContentType="application/vnd.openxmlformats-officedocument.spreadsheetml.externalLink+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lawrence\Desktop\"/>
    </mc:Choice>
  </mc:AlternateContent>
  <workbookProtection lockStructure="1"/>
  <bookViews>
    <workbookView xWindow="0" yWindow="0" windowWidth="28800" windowHeight="12435" firstSheet="2" activeTab="4"/>
  </bookViews>
  <sheets>
    <sheet name="Smart Guide" sheetId="1" r:id="rId1"/>
    <sheet name="1. Project Overview" sheetId="2" r:id="rId2"/>
    <sheet name="2. Results Matrix" sheetId="3" r:id="rId3"/>
    <sheet name="3. Implementation Plan" sheetId="4" r:id="rId4"/>
    <sheet name="4. Procurement Plan" sheetId="5" r:id="rId5"/>
    <sheet name="5. Financial Plan" sheetId="6" r:id="rId6"/>
    <sheet name="6. Consolidated Financial Plan" sheetId="11" r:id="rId7"/>
    <sheet name="7. Risk Plan" sheetId="12" r:id="rId8"/>
    <sheet name="AOP Checklist" sheetId="13" r:id="rId9"/>
    <sheet name="Table of Contents" sheetId="14" r:id="rId10"/>
  </sheets>
  <externalReferences>
    <externalReference r:id="rId11"/>
    <externalReference r:id="rId12"/>
    <externalReference r:id="rId13"/>
  </externalReferences>
  <definedNames>
    <definedName name="_xlnm._FilterDatabase" localSheetId="7" hidden="1">'7. Risk Plan'!#REF!</definedName>
    <definedName name="OLE_LINK1" localSheetId="2">'2. Results Matrix'!#REF!</definedName>
    <definedName name="_xlnm.Print_Titles" localSheetId="1">'1. Project Overview'!#REF!</definedName>
    <definedName name="_xlnm.Print_Titles" localSheetId="2">'2. Results Matrix'!$1:$4</definedName>
    <definedName name="_xlnm.Print_Titles" localSheetId="3">'3. Implementation Plan'!$1:$6</definedName>
    <definedName name="_xlnm.Print_Titles" localSheetId="5">'5. Financial Plan'!$1:$6</definedName>
    <definedName name="_xlnm.Print_Titles" localSheetId="6">'6. Consolidated Financial Plan'!$1:$5</definedName>
    <definedName name="_xlnm.Print_Titles" localSheetId="7">'7. Risk Plan'!#REF!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07" i="5" l="1"/>
  <c r="L106" i="5"/>
  <c r="L105" i="5"/>
  <c r="L117" i="5"/>
  <c r="L118" i="5"/>
  <c r="L115" i="5"/>
  <c r="L119" i="5"/>
  <c r="L27" i="5"/>
  <c r="L103" i="5"/>
  <c r="L104" i="5"/>
  <c r="L102" i="5"/>
  <c r="L101" i="5"/>
  <c r="L100" i="5"/>
  <c r="L87" i="5"/>
  <c r="L86" i="5"/>
  <c r="L85" i="5"/>
  <c r="L84" i="5"/>
  <c r="L83" i="5"/>
  <c r="L82" i="5"/>
  <c r="L81" i="5"/>
  <c r="L80" i="5"/>
  <c r="L77" i="5"/>
  <c r="L78" i="5"/>
  <c r="L79" i="5"/>
  <c r="L76" i="5"/>
  <c r="L75" i="5"/>
  <c r="L36" i="5"/>
  <c r="L35" i="5"/>
  <c r="L29" i="5"/>
  <c r="L32" i="5"/>
  <c r="L31" i="5"/>
  <c r="L30" i="5"/>
  <c r="L28" i="5"/>
  <c r="L26" i="5"/>
  <c r="L25" i="5"/>
  <c r="L24" i="5"/>
  <c r="L33" i="5" l="1"/>
  <c r="L97" i="5" l="1"/>
  <c r="K132" i="5"/>
  <c r="S208" i="5" l="1"/>
  <c r="U200" i="5"/>
  <c r="U201" i="5" s="1"/>
  <c r="U203" i="5" s="1"/>
  <c r="O211" i="5" l="1"/>
  <c r="P202" i="5"/>
  <c r="P201" i="5"/>
  <c r="P197" i="5"/>
  <c r="P195" i="5"/>
  <c r="P194" i="5"/>
  <c r="P203" i="5" l="1"/>
  <c r="P204" i="5" s="1"/>
  <c r="P205" i="5" s="1"/>
  <c r="P207" i="5" s="1"/>
  <c r="Q207" i="5" s="1"/>
  <c r="P196" i="5"/>
  <c r="X22" i="6"/>
  <c r="W22" i="6"/>
  <c r="V22" i="6"/>
  <c r="V62" i="11"/>
  <c r="V38" i="11"/>
  <c r="R205" i="5" l="1"/>
  <c r="R206" i="5" s="1"/>
  <c r="S202" i="5"/>
  <c r="S203" i="5" s="1"/>
  <c r="B40" i="11"/>
  <c r="A31" i="11"/>
  <c r="B31" i="11"/>
  <c r="A30" i="11"/>
  <c r="A29" i="11"/>
  <c r="A20" i="11"/>
  <c r="A11" i="11"/>
  <c r="A9" i="11"/>
  <c r="U38" i="11"/>
  <c r="T70" i="11"/>
  <c r="V64" i="11"/>
  <c r="U64" i="11"/>
  <c r="T64" i="11"/>
  <c r="V63" i="11"/>
  <c r="U63" i="11"/>
  <c r="T63" i="11"/>
  <c r="U62" i="11"/>
  <c r="T62" i="11"/>
  <c r="S63" i="11"/>
  <c r="S62" i="11"/>
  <c r="V60" i="11"/>
  <c r="U60" i="11"/>
  <c r="T60" i="11"/>
  <c r="V57" i="11"/>
  <c r="U57" i="11"/>
  <c r="T57" i="11"/>
  <c r="V59" i="11"/>
  <c r="U59" i="11"/>
  <c r="T59" i="11"/>
  <c r="S59" i="11"/>
  <c r="S57" i="11"/>
  <c r="V55" i="11"/>
  <c r="U55" i="11"/>
  <c r="T55" i="11"/>
  <c r="S55" i="11"/>
  <c r="V52" i="11"/>
  <c r="U52" i="11"/>
  <c r="T52" i="11"/>
  <c r="V51" i="11"/>
  <c r="U51" i="11"/>
  <c r="T51" i="11"/>
  <c r="V53" i="11"/>
  <c r="U53" i="11"/>
  <c r="T53" i="11"/>
  <c r="S53" i="11"/>
  <c r="S52" i="11"/>
  <c r="S51" i="11"/>
  <c r="V47" i="11"/>
  <c r="U47" i="11"/>
  <c r="T47" i="11"/>
  <c r="V46" i="11"/>
  <c r="U46" i="11"/>
  <c r="T46" i="11"/>
  <c r="S47" i="11"/>
  <c r="S46" i="11"/>
  <c r="V45" i="11"/>
  <c r="U45" i="11"/>
  <c r="T45" i="11"/>
  <c r="V44" i="11"/>
  <c r="V40" i="11" s="1"/>
  <c r="U44" i="11"/>
  <c r="T44" i="11"/>
  <c r="V43" i="11"/>
  <c r="U43" i="11"/>
  <c r="T43" i="11"/>
  <c r="S45" i="11"/>
  <c r="S44" i="11"/>
  <c r="S43" i="11"/>
  <c r="S42" i="11"/>
  <c r="V42" i="11"/>
  <c r="U42" i="11"/>
  <c r="T42" i="11"/>
  <c r="S60" i="11"/>
  <c r="C51" i="11"/>
  <c r="C53" i="11"/>
  <c r="C56" i="11"/>
  <c r="C47" i="11"/>
  <c r="C46" i="11"/>
  <c r="C43" i="11"/>
  <c r="C42" i="11"/>
  <c r="C44" i="11"/>
  <c r="C55" i="11"/>
  <c r="M55" i="11" s="1"/>
  <c r="C60" i="11"/>
  <c r="M60" i="11" s="1"/>
  <c r="C57" i="11"/>
  <c r="T38" i="11"/>
  <c r="S38" i="11"/>
  <c r="V37" i="11"/>
  <c r="U37" i="11"/>
  <c r="T37" i="11"/>
  <c r="V36" i="11"/>
  <c r="U36" i="11"/>
  <c r="T36" i="11"/>
  <c r="V35" i="11"/>
  <c r="U35" i="11"/>
  <c r="T35" i="11"/>
  <c r="V34" i="11"/>
  <c r="U34" i="11"/>
  <c r="T34" i="11"/>
  <c r="V33" i="11"/>
  <c r="U33" i="11"/>
  <c r="T33" i="11"/>
  <c r="V32" i="11"/>
  <c r="U32" i="11"/>
  <c r="T32" i="11"/>
  <c r="J32" i="11"/>
  <c r="X39" i="6"/>
  <c r="E34" i="11"/>
  <c r="E33" i="11"/>
  <c r="E32" i="11"/>
  <c r="E36" i="11"/>
  <c r="E37" i="11"/>
  <c r="E35" i="11"/>
  <c r="V30" i="11"/>
  <c r="U30" i="11"/>
  <c r="T30" i="11"/>
  <c r="D26" i="11"/>
  <c r="C26" i="11"/>
  <c r="D25" i="11"/>
  <c r="U29" i="11"/>
  <c r="S29" i="11"/>
  <c r="V28" i="11"/>
  <c r="U28" i="11"/>
  <c r="T28" i="11"/>
  <c r="S28" i="11"/>
  <c r="V27" i="11"/>
  <c r="U27" i="11"/>
  <c r="T27" i="11"/>
  <c r="S27" i="11"/>
  <c r="U26" i="11"/>
  <c r="T26" i="11"/>
  <c r="S26" i="11"/>
  <c r="V25" i="11"/>
  <c r="U25" i="11"/>
  <c r="S25" i="11"/>
  <c r="V24" i="11"/>
  <c r="U24" i="11"/>
  <c r="T24" i="11"/>
  <c r="S24" i="11"/>
  <c r="V23" i="11"/>
  <c r="U23" i="11"/>
  <c r="T23" i="11"/>
  <c r="U21" i="11"/>
  <c r="T21" i="11"/>
  <c r="S21" i="11"/>
  <c r="U20" i="11"/>
  <c r="T20" i="11"/>
  <c r="S20" i="11"/>
  <c r="U19" i="11"/>
  <c r="T19" i="11"/>
  <c r="S19" i="11"/>
  <c r="U18" i="11"/>
  <c r="T18" i="11"/>
  <c r="S18" i="11"/>
  <c r="V17" i="11"/>
  <c r="U17" i="11"/>
  <c r="T17" i="11"/>
  <c r="S17" i="11"/>
  <c r="U16" i="11"/>
  <c r="T16" i="11"/>
  <c r="S16" i="11"/>
  <c r="U15" i="11"/>
  <c r="T15" i="11"/>
  <c r="S15" i="11"/>
  <c r="U14" i="11"/>
  <c r="T14" i="11"/>
  <c r="S14" i="11"/>
  <c r="U12" i="11"/>
  <c r="T12" i="11"/>
  <c r="S12" i="11"/>
  <c r="U13" i="11"/>
  <c r="T13" i="11"/>
  <c r="S13" i="11"/>
  <c r="U10" i="11"/>
  <c r="U9" i="11"/>
  <c r="U8" i="11"/>
  <c r="T10" i="11"/>
  <c r="T9" i="11"/>
  <c r="T8" i="11"/>
  <c r="V10" i="11"/>
  <c r="V9" i="11"/>
  <c r="V8" i="11"/>
  <c r="S10" i="11"/>
  <c r="S9" i="11"/>
  <c r="S8" i="11"/>
  <c r="V7" i="11"/>
  <c r="U7" i="11"/>
  <c r="T7" i="11"/>
  <c r="S7" i="11"/>
  <c r="C16" i="11"/>
  <c r="C17" i="11"/>
  <c r="N60" i="11"/>
  <c r="H40" i="11"/>
  <c r="R40" i="11"/>
  <c r="P40" i="11"/>
  <c r="K40" i="11"/>
  <c r="I40" i="11"/>
  <c r="F40" i="11"/>
  <c r="D40" i="11"/>
  <c r="D66" i="11"/>
  <c r="D23" i="11"/>
  <c r="C24" i="11"/>
  <c r="J51" i="11"/>
  <c r="J40" i="11" s="1"/>
  <c r="E51" i="11"/>
  <c r="E60" i="11"/>
  <c r="O60" i="11" s="1"/>
  <c r="E43" i="11"/>
  <c r="E44" i="11"/>
  <c r="E45" i="11"/>
  <c r="E46" i="11"/>
  <c r="E47" i="11"/>
  <c r="E50" i="11"/>
  <c r="E55" i="11"/>
  <c r="E42" i="11"/>
  <c r="D38" i="11"/>
  <c r="E25" i="11"/>
  <c r="E27" i="11"/>
  <c r="E28" i="11"/>
  <c r="J25" i="11"/>
  <c r="E30" i="11"/>
  <c r="H24" i="11"/>
  <c r="C27" i="11"/>
  <c r="C25" i="11"/>
  <c r="C23" i="11"/>
  <c r="M8" i="11"/>
  <c r="D8" i="11"/>
  <c r="D9" i="11"/>
  <c r="D10" i="11"/>
  <c r="D11" i="11"/>
  <c r="D21" i="11"/>
  <c r="D17" i="11"/>
  <c r="D15" i="11"/>
  <c r="C11" i="11"/>
  <c r="C13" i="11"/>
  <c r="M13" i="11" s="1"/>
  <c r="D13" i="11"/>
  <c r="D19" i="11"/>
  <c r="D12" i="11"/>
  <c r="D16" i="11"/>
  <c r="E21" i="11"/>
  <c r="E17" i="11"/>
  <c r="E16" i="11"/>
  <c r="E13" i="11"/>
  <c r="E12" i="11"/>
  <c r="E9" i="11"/>
  <c r="E7" i="11"/>
  <c r="N68" i="11"/>
  <c r="E40" i="11" l="1"/>
  <c r="W23" i="11"/>
  <c r="T40" i="11"/>
  <c r="Q60" i="11"/>
  <c r="W28" i="11"/>
  <c r="S40" i="11"/>
  <c r="U40" i="11"/>
  <c r="C40" i="11"/>
  <c r="W38" i="11"/>
  <c r="W29" i="11"/>
  <c r="W27" i="11"/>
  <c r="W24" i="11"/>
  <c r="X66" i="6" l="1"/>
  <c r="W66" i="6"/>
  <c r="V66" i="6"/>
  <c r="F64" i="6"/>
  <c r="U64" i="6" s="1"/>
  <c r="T63" i="6"/>
  <c r="N63" i="6"/>
  <c r="J63" i="6"/>
  <c r="F63" i="6"/>
  <c r="T62" i="6"/>
  <c r="N62" i="6"/>
  <c r="J62" i="6"/>
  <c r="F62" i="6"/>
  <c r="U62" i="6" s="1"/>
  <c r="W62" i="6" s="1"/>
  <c r="T66" i="11" s="1"/>
  <c r="Y61" i="6"/>
  <c r="X61" i="6"/>
  <c r="W61" i="6"/>
  <c r="T60" i="6"/>
  <c r="N60" i="6"/>
  <c r="J60" i="6"/>
  <c r="F60" i="6"/>
  <c r="T59" i="6"/>
  <c r="N59" i="6"/>
  <c r="J59" i="6"/>
  <c r="F59" i="6"/>
  <c r="S58" i="6"/>
  <c r="S61" i="6" s="1"/>
  <c r="R58" i="6"/>
  <c r="Q58" i="6"/>
  <c r="Q61" i="6" s="1"/>
  <c r="M58" i="6"/>
  <c r="M61" i="6" s="1"/>
  <c r="L58" i="6"/>
  <c r="K58" i="6"/>
  <c r="K61" i="6" s="1"/>
  <c r="I58" i="6"/>
  <c r="I61" i="6" s="1"/>
  <c r="H58" i="6"/>
  <c r="H61" i="6" s="1"/>
  <c r="G58" i="6"/>
  <c r="G61" i="6" s="1"/>
  <c r="E58" i="6"/>
  <c r="E61" i="6" s="1"/>
  <c r="D58" i="6"/>
  <c r="C58" i="6"/>
  <c r="C61" i="6" s="1"/>
  <c r="Y55" i="6"/>
  <c r="X55" i="6"/>
  <c r="W55" i="6"/>
  <c r="V55" i="6"/>
  <c r="S55" i="6"/>
  <c r="R55" i="6"/>
  <c r="Q55" i="6"/>
  <c r="M55" i="6"/>
  <c r="L55" i="6"/>
  <c r="K55" i="6"/>
  <c r="I55" i="6"/>
  <c r="H55" i="6"/>
  <c r="G55" i="6"/>
  <c r="E55" i="6"/>
  <c r="D55" i="6"/>
  <c r="C55" i="6"/>
  <c r="T54" i="6"/>
  <c r="N54" i="6"/>
  <c r="J54" i="6"/>
  <c r="F54" i="6"/>
  <c r="T53" i="6"/>
  <c r="N53" i="6"/>
  <c r="J53" i="6"/>
  <c r="F53" i="6"/>
  <c r="T52" i="6"/>
  <c r="N52" i="6"/>
  <c r="J52" i="6"/>
  <c r="F52" i="6"/>
  <c r="T51" i="6"/>
  <c r="N51" i="6"/>
  <c r="J51" i="6"/>
  <c r="F51" i="6"/>
  <c r="T50" i="6"/>
  <c r="N50" i="6"/>
  <c r="J50" i="6"/>
  <c r="F50" i="6"/>
  <c r="T49" i="6"/>
  <c r="N49" i="6"/>
  <c r="J49" i="6"/>
  <c r="F49" i="6"/>
  <c r="T48" i="6"/>
  <c r="N48" i="6"/>
  <c r="J48" i="6"/>
  <c r="F48" i="6"/>
  <c r="T47" i="6"/>
  <c r="N47" i="6"/>
  <c r="J47" i="6"/>
  <c r="F47" i="6"/>
  <c r="T46" i="6"/>
  <c r="N46" i="6"/>
  <c r="J46" i="6"/>
  <c r="F46" i="6"/>
  <c r="T45" i="6"/>
  <c r="N45" i="6"/>
  <c r="J45" i="6"/>
  <c r="F45" i="6"/>
  <c r="T44" i="6"/>
  <c r="N44" i="6"/>
  <c r="J44" i="6"/>
  <c r="F44" i="6"/>
  <c r="T43" i="6"/>
  <c r="N43" i="6"/>
  <c r="J43" i="6"/>
  <c r="F43" i="6"/>
  <c r="A43" i="6"/>
  <c r="T42" i="6"/>
  <c r="N42" i="6"/>
  <c r="J42" i="6"/>
  <c r="F42" i="6"/>
  <c r="F55" i="6" s="1"/>
  <c r="U41" i="6"/>
  <c r="T40" i="6"/>
  <c r="N40" i="6"/>
  <c r="J40" i="6"/>
  <c r="U40" i="6" s="1"/>
  <c r="F40" i="6"/>
  <c r="Y39" i="6"/>
  <c r="W39" i="6"/>
  <c r="S39" i="6"/>
  <c r="R39" i="6"/>
  <c r="Q39" i="6"/>
  <c r="M39" i="6"/>
  <c r="L39" i="6"/>
  <c r="K39" i="6"/>
  <c r="I39" i="6"/>
  <c r="H39" i="6"/>
  <c r="G39" i="6"/>
  <c r="E39" i="6"/>
  <c r="D39" i="6"/>
  <c r="C39" i="6"/>
  <c r="T38" i="6"/>
  <c r="N38" i="6"/>
  <c r="J38" i="6"/>
  <c r="F38" i="6"/>
  <c r="A38" i="6"/>
  <c r="T37" i="6"/>
  <c r="N37" i="6"/>
  <c r="J37" i="6"/>
  <c r="F37" i="6"/>
  <c r="A37" i="6"/>
  <c r="T36" i="6"/>
  <c r="N36" i="6"/>
  <c r="J36" i="6"/>
  <c r="F36" i="6"/>
  <c r="A36" i="6"/>
  <c r="T35" i="6"/>
  <c r="N35" i="6"/>
  <c r="J35" i="6"/>
  <c r="F35" i="6"/>
  <c r="A35" i="6"/>
  <c r="T34" i="6"/>
  <c r="N34" i="6"/>
  <c r="J34" i="6"/>
  <c r="F34" i="6"/>
  <c r="A34" i="6"/>
  <c r="T33" i="6"/>
  <c r="N33" i="6"/>
  <c r="J33" i="6"/>
  <c r="F33" i="6"/>
  <c r="A33" i="6"/>
  <c r="T32" i="6"/>
  <c r="N32" i="6"/>
  <c r="J32" i="6"/>
  <c r="X31" i="6"/>
  <c r="V31" i="6"/>
  <c r="S31" i="6"/>
  <c r="R31" i="6"/>
  <c r="Q31" i="6"/>
  <c r="M31" i="6"/>
  <c r="L31" i="6"/>
  <c r="K31" i="6"/>
  <c r="I31" i="6"/>
  <c r="H31" i="6"/>
  <c r="G31" i="6"/>
  <c r="E31" i="6"/>
  <c r="D31" i="6"/>
  <c r="C31" i="6"/>
  <c r="T30" i="6"/>
  <c r="N30" i="6"/>
  <c r="J30" i="6"/>
  <c r="F30" i="6"/>
  <c r="T29" i="6"/>
  <c r="N29" i="6"/>
  <c r="J29" i="6"/>
  <c r="F29" i="6"/>
  <c r="A29" i="6"/>
  <c r="T28" i="6"/>
  <c r="N28" i="6"/>
  <c r="J28" i="6"/>
  <c r="F28" i="6"/>
  <c r="A28" i="6"/>
  <c r="T27" i="6"/>
  <c r="N27" i="6"/>
  <c r="J27" i="6"/>
  <c r="F27" i="6"/>
  <c r="A27" i="6"/>
  <c r="T26" i="6"/>
  <c r="N26" i="6"/>
  <c r="J26" i="6"/>
  <c r="F26" i="6"/>
  <c r="A26" i="6"/>
  <c r="T25" i="6"/>
  <c r="N25" i="6"/>
  <c r="J25" i="6"/>
  <c r="F25" i="6"/>
  <c r="A25" i="6"/>
  <c r="T24" i="6"/>
  <c r="N24" i="6"/>
  <c r="J24" i="6"/>
  <c r="F24" i="6"/>
  <c r="A24" i="6"/>
  <c r="B23" i="6"/>
  <c r="B22" i="11" s="1"/>
  <c r="S22" i="6"/>
  <c r="R22" i="6"/>
  <c r="Q22" i="6"/>
  <c r="Q65" i="6" s="1"/>
  <c r="M22" i="6"/>
  <c r="L22" i="6"/>
  <c r="K22" i="6"/>
  <c r="I22" i="6"/>
  <c r="H22" i="6"/>
  <c r="G22" i="6"/>
  <c r="T21" i="6"/>
  <c r="N21" i="6"/>
  <c r="J21" i="6"/>
  <c r="F21" i="6"/>
  <c r="T20" i="6"/>
  <c r="N20" i="6"/>
  <c r="J20" i="6"/>
  <c r="F20" i="6"/>
  <c r="A20" i="6"/>
  <c r="U19" i="6"/>
  <c r="Y19" i="6" s="1"/>
  <c r="V19" i="11" s="1"/>
  <c r="A19" i="6"/>
  <c r="A18" i="11" s="1"/>
  <c r="T18" i="6"/>
  <c r="N18" i="6"/>
  <c r="J18" i="6"/>
  <c r="F18" i="6"/>
  <c r="A18" i="6"/>
  <c r="T17" i="6"/>
  <c r="N17" i="6"/>
  <c r="J17" i="6"/>
  <c r="F17" i="6"/>
  <c r="A17" i="6"/>
  <c r="T16" i="6"/>
  <c r="N16" i="6"/>
  <c r="J16" i="6"/>
  <c r="F16" i="6"/>
  <c r="A16" i="6"/>
  <c r="T15" i="6"/>
  <c r="N15" i="6"/>
  <c r="J15" i="6"/>
  <c r="F15" i="6"/>
  <c r="A15" i="6"/>
  <c r="T14" i="6"/>
  <c r="N14" i="6"/>
  <c r="J14" i="6"/>
  <c r="F14" i="6"/>
  <c r="A14" i="6"/>
  <c r="T13" i="6"/>
  <c r="N13" i="6"/>
  <c r="J13" i="6"/>
  <c r="E13" i="6"/>
  <c r="E22" i="6" s="1"/>
  <c r="D13" i="6"/>
  <c r="D22" i="6" s="1"/>
  <c r="C13" i="6"/>
  <c r="C22" i="6" s="1"/>
  <c r="A13" i="6"/>
  <c r="T12" i="6"/>
  <c r="N12" i="6"/>
  <c r="J12" i="6"/>
  <c r="F12" i="6"/>
  <c r="T11" i="6"/>
  <c r="N11" i="6"/>
  <c r="J11" i="6"/>
  <c r="F11" i="6"/>
  <c r="A11" i="6"/>
  <c r="T10" i="6"/>
  <c r="N10" i="6"/>
  <c r="J10" i="6"/>
  <c r="F10" i="6"/>
  <c r="T9" i="6"/>
  <c r="N9" i="6"/>
  <c r="J9" i="6"/>
  <c r="F9" i="6"/>
  <c r="A9" i="6"/>
  <c r="T8" i="6"/>
  <c r="N8" i="6"/>
  <c r="J8" i="6"/>
  <c r="F8" i="6"/>
  <c r="A8" i="6"/>
  <c r="O7" i="6"/>
  <c r="B7" i="6"/>
  <c r="C404" i="4"/>
  <c r="C407" i="4"/>
  <c r="C409" i="4"/>
  <c r="C413" i="4"/>
  <c r="C392" i="4"/>
  <c r="C387" i="4"/>
  <c r="C382" i="4"/>
  <c r="C377" i="4"/>
  <c r="C369" i="4"/>
  <c r="C348" i="4"/>
  <c r="C334" i="4"/>
  <c r="C294" i="4"/>
  <c r="C303" i="4"/>
  <c r="C278" i="4"/>
  <c r="C268" i="4"/>
  <c r="C264" i="4"/>
  <c r="C255" i="4"/>
  <c r="C270" i="4"/>
  <c r="C233" i="4"/>
  <c r="C235" i="4"/>
  <c r="C231" i="4"/>
  <c r="C248" i="4"/>
  <c r="C203" i="4"/>
  <c r="C210" i="4"/>
  <c r="C191" i="4"/>
  <c r="C205" i="4"/>
  <c r="C222" i="4"/>
  <c r="C186" i="4"/>
  <c r="C426" i="4"/>
  <c r="C338" i="4"/>
  <c r="C352" i="4"/>
  <c r="C378" i="4"/>
  <c r="C375" i="4"/>
  <c r="C376" i="4" s="1"/>
  <c r="C396" i="4"/>
  <c r="C398" i="4" s="1"/>
  <c r="C399" i="4" s="1"/>
  <c r="C393" i="4"/>
  <c r="C390" i="4"/>
  <c r="C391" i="4" s="1"/>
  <c r="C388" i="4"/>
  <c r="C385" i="4"/>
  <c r="C386" i="4" s="1"/>
  <c r="C383" i="4"/>
  <c r="C380" i="4"/>
  <c r="C381" i="4" s="1"/>
  <c r="C373" i="4"/>
  <c r="C371" i="4"/>
  <c r="C372" i="4" s="1"/>
  <c r="C368" i="4"/>
  <c r="C366" i="4"/>
  <c r="C367" i="4" s="1"/>
  <c r="C357" i="4"/>
  <c r="C359" i="4"/>
  <c r="C360" i="4" s="1"/>
  <c r="C355" i="4"/>
  <c r="C356" i="4" s="1"/>
  <c r="C332" i="4"/>
  <c r="C333" i="4" s="1"/>
  <c r="C335" i="4"/>
  <c r="C330" i="4"/>
  <c r="C325" i="4"/>
  <c r="C326" i="4" s="1"/>
  <c r="C327" i="4"/>
  <c r="C321" i="4"/>
  <c r="C322" i="4" s="1"/>
  <c r="C323" i="4"/>
  <c r="C319" i="4"/>
  <c r="C317" i="4"/>
  <c r="C318" i="4" s="1"/>
  <c r="C314" i="4"/>
  <c r="C315" i="4" s="1"/>
  <c r="C311" i="4"/>
  <c r="C312" i="4" s="1"/>
  <c r="C309" i="4"/>
  <c r="C307" i="4"/>
  <c r="C308" i="4" s="1"/>
  <c r="C301" i="4"/>
  <c r="C295" i="4"/>
  <c r="C291" i="4"/>
  <c r="C284" i="4"/>
  <c r="C276" i="4"/>
  <c r="C261" i="4"/>
  <c r="C258" i="4"/>
  <c r="C256" i="4"/>
  <c r="C253" i="4"/>
  <c r="C263" i="4"/>
  <c r="C243" i="4"/>
  <c r="C240" i="4"/>
  <c r="C238" i="4"/>
  <c r="C246" i="4"/>
  <c r="C247" i="4" s="1"/>
  <c r="C249" i="4"/>
  <c r="C179" i="4"/>
  <c r="C197" i="4"/>
  <c r="C209" i="4"/>
  <c r="C190" i="4"/>
  <c r="C194" i="4"/>
  <c r="C213" i="4"/>
  <c r="C207" i="4"/>
  <c r="C208" i="4" s="1"/>
  <c r="C188" i="4"/>
  <c r="C189" i="4" s="1"/>
  <c r="C200" i="4"/>
  <c r="C185" i="4"/>
  <c r="C182" i="4"/>
  <c r="C218" i="4"/>
  <c r="C216" i="4"/>
  <c r="C180" i="4"/>
  <c r="C118" i="4"/>
  <c r="C117" i="4"/>
  <c r="C116" i="4"/>
  <c r="C358" i="4"/>
  <c r="C364" i="4"/>
  <c r="C363" i="4"/>
  <c r="C362" i="4"/>
  <c r="C351" i="4"/>
  <c r="C353" i="4"/>
  <c r="C337" i="4"/>
  <c r="C300" i="4"/>
  <c r="C299" i="4"/>
  <c r="C298" i="4"/>
  <c r="C297" i="4"/>
  <c r="C341" i="4"/>
  <c r="C340" i="4"/>
  <c r="D277" i="4"/>
  <c r="C275" i="4"/>
  <c r="C267" i="4"/>
  <c r="C259" i="4"/>
  <c r="C254" i="4"/>
  <c r="C250" i="4"/>
  <c r="C239" i="4"/>
  <c r="C244" i="4"/>
  <c r="C242" i="4"/>
  <c r="C241" i="4"/>
  <c r="C237" i="4"/>
  <c r="C198" i="4"/>
  <c r="C195" i="4"/>
  <c r="C214" i="4"/>
  <c r="C212" i="4"/>
  <c r="C193" i="4"/>
  <c r="C192" i="4"/>
  <c r="C211" i="4"/>
  <c r="C204" i="4"/>
  <c r="C202" i="4"/>
  <c r="C201" i="4"/>
  <c r="C184" i="4"/>
  <c r="C220" i="4"/>
  <c r="C219" i="4"/>
  <c r="C183" i="4"/>
  <c r="C217" i="4"/>
  <c r="C181" i="4"/>
  <c r="C175" i="4"/>
  <c r="C120" i="4"/>
  <c r="C119" i="4"/>
  <c r="C285" i="4"/>
  <c r="C169" i="4"/>
  <c r="C163" i="4"/>
  <c r="C157" i="4"/>
  <c r="C154" i="4"/>
  <c r="C148" i="4"/>
  <c r="C84" i="4"/>
  <c r="C70" i="4"/>
  <c r="C71" i="4" s="1"/>
  <c r="C43" i="4"/>
  <c r="C44" i="4"/>
  <c r="C45" i="4"/>
  <c r="C75" i="4"/>
  <c r="C67" i="4" s="1"/>
  <c r="C46" i="4" s="1"/>
  <c r="C74" i="4"/>
  <c r="C60" i="4"/>
  <c r="C58" i="4"/>
  <c r="C59" i="4" s="1"/>
  <c r="C73" i="4"/>
  <c r="C66" i="4"/>
  <c r="C65" i="4"/>
  <c r="C72" i="4" s="1"/>
  <c r="C64" i="4"/>
  <c r="C69" i="4" s="1"/>
  <c r="C63" i="4"/>
  <c r="C68" i="4" s="1"/>
  <c r="C57" i="4"/>
  <c r="C62" i="4"/>
  <c r="C61" i="4"/>
  <c r="C56" i="4"/>
  <c r="C55" i="4"/>
  <c r="C444" i="4"/>
  <c r="C93" i="4"/>
  <c r="C91" i="4"/>
  <c r="C40" i="4"/>
  <c r="C47" i="4"/>
  <c r="C49" i="4"/>
  <c r="C52" i="4"/>
  <c r="C473" i="4"/>
  <c r="C450" i="4"/>
  <c r="C440" i="4"/>
  <c r="C439" i="4"/>
  <c r="C427" i="4"/>
  <c r="C441" i="4"/>
  <c r="C438" i="4"/>
  <c r="C437" i="4"/>
  <c r="C436" i="4"/>
  <c r="C432" i="4"/>
  <c r="C431" i="4"/>
  <c r="C429" i="4"/>
  <c r="C428" i="4"/>
  <c r="C449" i="4"/>
  <c r="C448" i="4"/>
  <c r="C476" i="4"/>
  <c r="C477" i="4"/>
  <c r="C443" i="4"/>
  <c r="C421" i="4"/>
  <c r="C422" i="4"/>
  <c r="C105" i="4"/>
  <c r="C53" i="4"/>
  <c r="C36" i="4"/>
  <c r="C33" i="4"/>
  <c r="C25" i="4"/>
  <c r="C27" i="4"/>
  <c r="C26" i="4"/>
  <c r="K65" i="6" l="1"/>
  <c r="U8" i="6"/>
  <c r="E65" i="6"/>
  <c r="G65" i="6"/>
  <c r="T39" i="6"/>
  <c r="U10" i="6"/>
  <c r="N31" i="6"/>
  <c r="U25" i="6"/>
  <c r="U29" i="6"/>
  <c r="U14" i="6"/>
  <c r="Y14" i="6" s="1"/>
  <c r="V14" i="11" s="1"/>
  <c r="U18" i="6"/>
  <c r="Y18" i="6" s="1"/>
  <c r="V18" i="11" s="1"/>
  <c r="O19" i="6"/>
  <c r="U45" i="6"/>
  <c r="P23" i="6"/>
  <c r="U30" i="6"/>
  <c r="U34" i="6"/>
  <c r="U38" i="6"/>
  <c r="M65" i="6"/>
  <c r="U59" i="6"/>
  <c r="U49" i="6"/>
  <c r="U50" i="6"/>
  <c r="U52" i="6"/>
  <c r="U53" i="6"/>
  <c r="U47" i="6"/>
  <c r="P7" i="6"/>
  <c r="B6" i="11"/>
  <c r="O27" i="6"/>
  <c r="A26" i="11"/>
  <c r="U9" i="6"/>
  <c r="O11" i="6"/>
  <c r="A10" i="11"/>
  <c r="U15" i="6"/>
  <c r="Y15" i="6" s="1"/>
  <c r="V15" i="11" s="1"/>
  <c r="O17" i="6"/>
  <c r="A16" i="11"/>
  <c r="U20" i="6"/>
  <c r="Y20" i="6" s="1"/>
  <c r="V20" i="11" s="1"/>
  <c r="U21" i="6"/>
  <c r="Y21" i="6" s="1"/>
  <c r="V21" i="11" s="1"/>
  <c r="H65" i="6"/>
  <c r="O24" i="6"/>
  <c r="A23" i="11"/>
  <c r="T31" i="6"/>
  <c r="U26" i="6"/>
  <c r="O28" i="6"/>
  <c r="A27" i="11"/>
  <c r="O33" i="6"/>
  <c r="A32" i="11"/>
  <c r="U35" i="6"/>
  <c r="O37" i="6"/>
  <c r="A36" i="11"/>
  <c r="U42" i="6"/>
  <c r="U51" i="6"/>
  <c r="U54" i="6"/>
  <c r="I65" i="6"/>
  <c r="F58" i="6"/>
  <c r="F61" i="6" s="1"/>
  <c r="O8" i="6"/>
  <c r="A7" i="11"/>
  <c r="O13" i="6"/>
  <c r="A12" i="11"/>
  <c r="F13" i="6"/>
  <c r="U13" i="6" s="1"/>
  <c r="O14" i="6"/>
  <c r="A13" i="11"/>
  <c r="U16" i="6"/>
  <c r="Y16" i="6" s="1"/>
  <c r="V16" i="11" s="1"/>
  <c r="O18" i="6"/>
  <c r="A17" i="11"/>
  <c r="F31" i="6"/>
  <c r="O25" i="6"/>
  <c r="A24" i="11"/>
  <c r="U27" i="6"/>
  <c r="Y27" i="6" s="1"/>
  <c r="O29" i="6"/>
  <c r="A28" i="11"/>
  <c r="J39" i="6"/>
  <c r="F39" i="6"/>
  <c r="O34" i="6"/>
  <c r="A33" i="11"/>
  <c r="U36" i="6"/>
  <c r="O38" i="6"/>
  <c r="A37" i="11"/>
  <c r="N55" i="6"/>
  <c r="U43" i="6"/>
  <c r="U44" i="6"/>
  <c r="T58" i="6"/>
  <c r="T61" i="6" s="1"/>
  <c r="U60" i="6"/>
  <c r="V60" i="6" s="1"/>
  <c r="O16" i="6"/>
  <c r="A15" i="11"/>
  <c r="O36" i="6"/>
  <c r="A35" i="11"/>
  <c r="O43" i="6"/>
  <c r="A42" i="11"/>
  <c r="O9" i="6"/>
  <c r="A8" i="11"/>
  <c r="U11" i="6"/>
  <c r="U12" i="6"/>
  <c r="Y12" i="6" s="1"/>
  <c r="O15" i="6"/>
  <c r="A14" i="11"/>
  <c r="U17" i="6"/>
  <c r="O20" i="6"/>
  <c r="A19" i="11"/>
  <c r="J22" i="6"/>
  <c r="N22" i="6"/>
  <c r="T22" i="6"/>
  <c r="T65" i="6" s="1"/>
  <c r="J31" i="6"/>
  <c r="O26" i="6"/>
  <c r="A25" i="11"/>
  <c r="U28" i="6"/>
  <c r="N39" i="6"/>
  <c r="U33" i="6"/>
  <c r="O35" i="6"/>
  <c r="A34" i="11"/>
  <c r="U37" i="6"/>
  <c r="T55" i="6"/>
  <c r="U46" i="6"/>
  <c r="U48" i="6"/>
  <c r="S65" i="6"/>
  <c r="N58" i="6"/>
  <c r="N61" i="6" s="1"/>
  <c r="U63" i="6"/>
  <c r="W63" i="6" s="1"/>
  <c r="T67" i="11" s="1"/>
  <c r="W30" i="11"/>
  <c r="C65" i="6"/>
  <c r="F22" i="6"/>
  <c r="X65" i="6"/>
  <c r="L61" i="6"/>
  <c r="L65" i="6" s="1"/>
  <c r="J55" i="6"/>
  <c r="D61" i="6"/>
  <c r="D65" i="6" s="1"/>
  <c r="R61" i="6"/>
  <c r="R65" i="6" s="1"/>
  <c r="U24" i="6"/>
  <c r="J58" i="6"/>
  <c r="N65" i="6" l="1"/>
  <c r="U39" i="6"/>
  <c r="Y22" i="6"/>
  <c r="U55" i="6"/>
  <c r="Y13" i="6"/>
  <c r="V13" i="11" s="1"/>
  <c r="U22" i="6"/>
  <c r="Y31" i="6"/>
  <c r="V26" i="11"/>
  <c r="W26" i="11" s="1"/>
  <c r="V12" i="11"/>
  <c r="F65" i="6"/>
  <c r="V61" i="6"/>
  <c r="S64" i="11"/>
  <c r="U31" i="6"/>
  <c r="U58" i="6"/>
  <c r="U61" i="6" s="1"/>
  <c r="J61" i="6"/>
  <c r="J65" i="6" s="1"/>
  <c r="L66" i="6"/>
  <c r="E66" i="6" l="1"/>
  <c r="Y65" i="6"/>
  <c r="U65" i="6"/>
  <c r="Z22" i="6"/>
  <c r="U66" i="6"/>
  <c r="C16" i="4" l="1"/>
  <c r="C12" i="4"/>
  <c r="C13" i="4"/>
  <c r="C11" i="4"/>
  <c r="A1" i="5" l="1"/>
  <c r="F451" i="4" l="1"/>
  <c r="F480" i="4" l="1"/>
  <c r="F469" i="4"/>
  <c r="F467" i="4"/>
  <c r="C475" i="4"/>
  <c r="C446" i="4"/>
  <c r="F442" i="4"/>
  <c r="F435" i="4"/>
  <c r="F425" i="4"/>
  <c r="C434" i="4"/>
  <c r="F419" i="4"/>
  <c r="F416" i="4"/>
  <c r="F412" i="4"/>
  <c r="F408" i="4"/>
  <c r="F400" i="4"/>
  <c r="F394" i="4"/>
  <c r="F389" i="4"/>
  <c r="F384" i="4"/>
  <c r="F379" i="4"/>
  <c r="F374" i="4"/>
  <c r="F370" i="4"/>
  <c r="F365" i="4"/>
  <c r="F361" i="4"/>
  <c r="F354" i="4"/>
  <c r="F350" i="4"/>
  <c r="F347" i="4"/>
  <c r="C418" i="4"/>
  <c r="F316" i="4"/>
  <c r="F336" i="4"/>
  <c r="F331" i="4"/>
  <c r="F328" i="4"/>
  <c r="F324" i="4"/>
  <c r="F320" i="4"/>
  <c r="F313" i="4"/>
  <c r="F310" i="4"/>
  <c r="F306" i="4"/>
  <c r="F302" i="4"/>
  <c r="F471" i="4" l="1"/>
  <c r="F445" i="4"/>
  <c r="F417" i="4"/>
  <c r="F296" i="4"/>
  <c r="F293" i="4"/>
  <c r="F290" i="4"/>
  <c r="F279" i="4"/>
  <c r="F269" i="4"/>
  <c r="F265" i="4"/>
  <c r="F262" i="4"/>
  <c r="F257" i="4"/>
  <c r="F236" i="4"/>
  <c r="F251" i="4"/>
  <c r="F245" i="4"/>
  <c r="F153" i="4"/>
  <c r="F187" i="4"/>
  <c r="F223" i="4"/>
  <c r="F215" i="4"/>
  <c r="F206" i="4"/>
  <c r="F199" i="4"/>
  <c r="F196" i="4"/>
  <c r="F174" i="4"/>
  <c r="F168" i="4"/>
  <c r="F162" i="4"/>
  <c r="F156" i="4"/>
  <c r="F141" i="4"/>
  <c r="F252" i="4" l="1"/>
  <c r="F343" i="4"/>
  <c r="F281" i="4"/>
  <c r="F225" i="4"/>
  <c r="F420" i="4" l="1"/>
  <c r="F138" i="4" l="1"/>
  <c r="F76" i="4"/>
  <c r="F48" i="4"/>
  <c r="F54" i="4" s="1"/>
  <c r="F29" i="4"/>
  <c r="F14" i="4"/>
  <c r="H15" i="12" l="1"/>
  <c r="H14" i="12"/>
  <c r="H13" i="12"/>
  <c r="H12" i="12"/>
  <c r="H11" i="12"/>
  <c r="H10" i="12"/>
  <c r="H9" i="12"/>
  <c r="H8" i="12"/>
  <c r="H7" i="12"/>
  <c r="AA70" i="11" l="1"/>
  <c r="W70" i="11"/>
  <c r="Y60" i="11"/>
  <c r="W56" i="11"/>
  <c r="W54" i="11"/>
  <c r="W50" i="11"/>
  <c r="W49" i="11"/>
  <c r="W11" i="11"/>
  <c r="N67" i="11"/>
  <c r="Q67" i="11" s="1"/>
  <c r="C62" i="11"/>
  <c r="C63" i="11"/>
  <c r="C64" i="11"/>
  <c r="L60" i="11"/>
  <c r="C32" i="11"/>
  <c r="M32" i="11"/>
  <c r="V33" i="6" s="1"/>
  <c r="C34" i="11"/>
  <c r="C35" i="11"/>
  <c r="C36" i="11"/>
  <c r="C37" i="11"/>
  <c r="O70" i="11"/>
  <c r="Z70" i="11" s="1"/>
  <c r="N70" i="11"/>
  <c r="M70" i="11"/>
  <c r="X70" i="11" s="1"/>
  <c r="G8" i="11"/>
  <c r="G9" i="11"/>
  <c r="G10" i="11"/>
  <c r="G11" i="11"/>
  <c r="G12" i="11"/>
  <c r="G13" i="11"/>
  <c r="G14" i="11"/>
  <c r="G15" i="11"/>
  <c r="G16" i="11"/>
  <c r="G17" i="11"/>
  <c r="G18" i="11"/>
  <c r="G19" i="11"/>
  <c r="G20" i="11"/>
  <c r="G21" i="11"/>
  <c r="G23" i="11"/>
  <c r="G24" i="11"/>
  <c r="G25" i="11"/>
  <c r="G26" i="11"/>
  <c r="G27" i="11"/>
  <c r="G28" i="11"/>
  <c r="G29" i="11"/>
  <c r="G30" i="11"/>
  <c r="Q70" i="11" l="1"/>
  <c r="S32" i="11"/>
  <c r="W32" i="11" s="1"/>
  <c r="Y70" i="11"/>
  <c r="AB70" i="11" s="1"/>
  <c r="W53" i="11"/>
  <c r="G60" i="11" l="1"/>
  <c r="C31" i="11"/>
  <c r="R9" i="3" l="1"/>
  <c r="C145" i="4" l="1"/>
  <c r="C134" i="4"/>
  <c r="C131" i="4"/>
  <c r="C127" i="4"/>
  <c r="C122" i="4"/>
  <c r="C113" i="4"/>
  <c r="C104" i="4"/>
  <c r="C79" i="4"/>
  <c r="C39" i="4"/>
  <c r="C30" i="4"/>
  <c r="C20" i="4"/>
  <c r="R13" i="3"/>
  <c r="C9" i="4"/>
  <c r="Q9" i="3"/>
  <c r="Q10" i="3"/>
  <c r="R10" i="3"/>
  <c r="Q12" i="3"/>
  <c r="R12" i="3"/>
  <c r="Q13" i="3"/>
  <c r="Q14" i="3"/>
  <c r="R14" i="3"/>
  <c r="Q15" i="3"/>
  <c r="R15" i="3"/>
  <c r="Q16" i="3"/>
  <c r="R16" i="3"/>
  <c r="Q17" i="3"/>
  <c r="R17" i="3"/>
  <c r="Q18" i="3"/>
  <c r="R18" i="3"/>
  <c r="Q19" i="3"/>
  <c r="R19" i="3"/>
  <c r="Q20" i="3"/>
  <c r="Q21" i="3"/>
  <c r="Q22" i="3"/>
  <c r="Q23" i="3"/>
  <c r="R23" i="3"/>
  <c r="Q24" i="3"/>
  <c r="R24" i="3"/>
  <c r="Q25" i="3"/>
  <c r="R25" i="3"/>
  <c r="Q26" i="3"/>
  <c r="R26" i="3"/>
  <c r="Q27" i="3"/>
  <c r="R27" i="3"/>
  <c r="Q28" i="3"/>
  <c r="R28" i="3"/>
  <c r="Q32" i="3"/>
  <c r="R32" i="3"/>
  <c r="Q33" i="3"/>
  <c r="R33" i="3"/>
  <c r="Q34" i="3"/>
  <c r="R34" i="3"/>
  <c r="Q35" i="3"/>
  <c r="R35" i="3"/>
  <c r="Q36" i="3"/>
  <c r="R36" i="3"/>
  <c r="Q37" i="3"/>
  <c r="R37" i="3"/>
  <c r="Q38" i="3"/>
  <c r="R38" i="3"/>
  <c r="Q39" i="3"/>
  <c r="R39" i="3"/>
  <c r="Q40" i="3"/>
  <c r="R40" i="3"/>
  <c r="Q41" i="3"/>
  <c r="R41" i="3"/>
  <c r="Q42" i="3"/>
  <c r="R42" i="3"/>
  <c r="Q43" i="3"/>
  <c r="R43" i="3"/>
  <c r="Q44" i="3"/>
  <c r="R44" i="3"/>
  <c r="Q45" i="3"/>
  <c r="R45" i="3"/>
  <c r="Q46" i="3"/>
  <c r="R46" i="3"/>
  <c r="Q47" i="3"/>
  <c r="R47" i="3"/>
  <c r="Q48" i="3"/>
  <c r="R48" i="3"/>
  <c r="Q49" i="3"/>
  <c r="R49" i="3"/>
  <c r="Q50" i="3"/>
  <c r="R50" i="3"/>
  <c r="Q51" i="3"/>
  <c r="R51" i="3"/>
  <c r="Q52" i="3"/>
  <c r="R52" i="3"/>
  <c r="Q53" i="3"/>
  <c r="R53" i="3"/>
  <c r="Q57" i="3"/>
  <c r="R57" i="3"/>
  <c r="Q58" i="3"/>
  <c r="R58" i="3"/>
  <c r="Q59" i="3"/>
  <c r="R59" i="3"/>
  <c r="Q60" i="3"/>
  <c r="R60" i="3"/>
  <c r="Q61" i="3"/>
  <c r="R61" i="3"/>
  <c r="Q62" i="3"/>
  <c r="R62" i="3"/>
  <c r="Q63" i="3"/>
  <c r="R63" i="3"/>
  <c r="Q64" i="3"/>
  <c r="R64" i="3"/>
  <c r="Q65" i="3"/>
  <c r="R65" i="3"/>
  <c r="Q66" i="3"/>
  <c r="R66" i="3"/>
  <c r="Q67" i="3"/>
  <c r="R67" i="3"/>
  <c r="Q68" i="3"/>
  <c r="R68" i="3"/>
  <c r="Q69" i="3"/>
  <c r="R69" i="3"/>
  <c r="Q70" i="3"/>
  <c r="R70" i="3"/>
  <c r="Q71" i="3"/>
  <c r="R71" i="3"/>
  <c r="Q72" i="3"/>
  <c r="R72" i="3"/>
  <c r="Q76" i="3"/>
  <c r="R76" i="3"/>
  <c r="Q77" i="3"/>
  <c r="R77" i="3"/>
  <c r="Q78" i="3"/>
  <c r="R78" i="3"/>
  <c r="Q79" i="3"/>
  <c r="R79" i="3"/>
  <c r="Q80" i="3"/>
  <c r="R80" i="3"/>
  <c r="Q81" i="3"/>
  <c r="R81" i="3"/>
  <c r="Q82" i="3"/>
  <c r="R82" i="3"/>
  <c r="Q83" i="3"/>
  <c r="R83" i="3"/>
  <c r="Q84" i="3"/>
  <c r="R84" i="3"/>
  <c r="Q85" i="3"/>
  <c r="R85" i="3"/>
  <c r="Q86" i="3"/>
  <c r="R86" i="3"/>
  <c r="Q87" i="3"/>
  <c r="R87" i="3"/>
  <c r="Q88" i="3"/>
  <c r="R88" i="3"/>
  <c r="Q89" i="3"/>
  <c r="R89" i="3"/>
  <c r="Q90" i="3"/>
  <c r="R90" i="3"/>
  <c r="Q91" i="3"/>
  <c r="R91" i="3"/>
  <c r="Q92" i="3"/>
  <c r="R92" i="3"/>
  <c r="Q93" i="3"/>
  <c r="R93" i="3"/>
  <c r="Q94" i="3"/>
  <c r="R94" i="3"/>
  <c r="Q95" i="3"/>
  <c r="R95" i="3"/>
  <c r="Q96" i="3"/>
  <c r="R96" i="3"/>
  <c r="Q97" i="3"/>
  <c r="R97" i="3"/>
  <c r="Q98" i="3"/>
  <c r="R98" i="3"/>
  <c r="Q99" i="3"/>
  <c r="R99" i="3"/>
  <c r="Q100" i="3"/>
  <c r="R100" i="3"/>
  <c r="Q101" i="3"/>
  <c r="R101" i="3"/>
  <c r="Q102" i="3"/>
  <c r="R102" i="3"/>
  <c r="Q103" i="3"/>
  <c r="R103" i="3"/>
  <c r="Q104" i="3"/>
  <c r="R104" i="3"/>
  <c r="Q105" i="3"/>
  <c r="R105" i="3"/>
  <c r="Q106" i="3"/>
  <c r="R106" i="3"/>
  <c r="Q107" i="3"/>
  <c r="R107" i="3"/>
  <c r="F125" i="4" l="1"/>
  <c r="F126" i="4" s="1"/>
  <c r="F101" i="4" l="1"/>
  <c r="F90" i="4"/>
  <c r="F38" i="4" l="1"/>
  <c r="A79" i="4" l="1"/>
  <c r="X60" i="11"/>
  <c r="W60" i="11" l="1"/>
  <c r="Z60" i="11"/>
  <c r="D32" i="11" l="1"/>
  <c r="N30" i="11" l="1"/>
  <c r="N23" i="11"/>
  <c r="D34" i="11"/>
  <c r="D31" i="11" s="1"/>
  <c r="N35" i="11"/>
  <c r="N13" i="11"/>
  <c r="O30" i="11"/>
  <c r="N27" i="11"/>
  <c r="N26" i="11"/>
  <c r="N21" i="11"/>
  <c r="N66" i="11"/>
  <c r="Q66" i="11" s="1"/>
  <c r="N38" i="11"/>
  <c r="N33" i="11"/>
  <c r="N36" i="11"/>
  <c r="O26" i="11"/>
  <c r="Z26" i="11" s="1"/>
  <c r="F133" i="4"/>
  <c r="F130" i="4"/>
  <c r="F121" i="4"/>
  <c r="F110" i="4"/>
  <c r="F42" i="4"/>
  <c r="F78" i="4" s="1"/>
  <c r="F17" i="4"/>
  <c r="Z67" i="11"/>
  <c r="X67" i="11"/>
  <c r="X65" i="11"/>
  <c r="N56" i="11"/>
  <c r="Y56" i="11" s="1"/>
  <c r="M56" i="11"/>
  <c r="R6" i="11"/>
  <c r="R22" i="11"/>
  <c r="R31" i="11"/>
  <c r="L41" i="11"/>
  <c r="L42" i="11"/>
  <c r="O29" i="11"/>
  <c r="N29" i="11"/>
  <c r="Y29" i="11" s="1"/>
  <c r="M29" i="11"/>
  <c r="X29" i="11" s="1"/>
  <c r="L29" i="11"/>
  <c r="O8" i="11"/>
  <c r="N54" i="11"/>
  <c r="Y54" i="11" s="1"/>
  <c r="C61" i="11"/>
  <c r="Y33" i="11"/>
  <c r="W51" i="11"/>
  <c r="O38" i="11"/>
  <c r="Z38" i="11" s="1"/>
  <c r="M38" i="11"/>
  <c r="L38" i="11"/>
  <c r="L37" i="11"/>
  <c r="L36" i="11"/>
  <c r="L35" i="11"/>
  <c r="L34" i="11"/>
  <c r="L33" i="11"/>
  <c r="L32" i="11"/>
  <c r="J31" i="11"/>
  <c r="I31" i="11"/>
  <c r="H31" i="11"/>
  <c r="L64" i="11"/>
  <c r="L63" i="11"/>
  <c r="L62" i="11"/>
  <c r="L70" i="11"/>
  <c r="L30" i="11"/>
  <c r="L27" i="11"/>
  <c r="L26" i="11"/>
  <c r="L25" i="11"/>
  <c r="L24" i="11"/>
  <c r="L23" i="11"/>
  <c r="L66" i="11"/>
  <c r="H6" i="11"/>
  <c r="H22" i="11"/>
  <c r="H61" i="11"/>
  <c r="O64" i="11"/>
  <c r="N64" i="11"/>
  <c r="M64" i="11"/>
  <c r="O63" i="11"/>
  <c r="N63" i="11"/>
  <c r="M63" i="11"/>
  <c r="O62" i="11"/>
  <c r="N62" i="11"/>
  <c r="M62" i="11"/>
  <c r="M61" i="11" s="1"/>
  <c r="P61" i="11"/>
  <c r="L59" i="11"/>
  <c r="L58" i="11"/>
  <c r="L57" i="11"/>
  <c r="L56" i="11"/>
  <c r="L55" i="11"/>
  <c r="L54" i="11"/>
  <c r="L53" i="11"/>
  <c r="L52" i="11"/>
  <c r="L51" i="11"/>
  <c r="L50" i="11"/>
  <c r="L49" i="11"/>
  <c r="L48" i="11"/>
  <c r="L47" i="11"/>
  <c r="L46" i="11"/>
  <c r="L45" i="11"/>
  <c r="L44" i="11"/>
  <c r="L43" i="11"/>
  <c r="O59" i="11"/>
  <c r="Z59" i="11" s="1"/>
  <c r="N59" i="11"/>
  <c r="Y59" i="11" s="1"/>
  <c r="M59" i="11"/>
  <c r="O58" i="11"/>
  <c r="Z58" i="11" s="1"/>
  <c r="N58" i="11"/>
  <c r="Y58" i="11" s="1"/>
  <c r="M58" i="11"/>
  <c r="O57" i="11"/>
  <c r="Z57" i="11" s="1"/>
  <c r="N57" i="11"/>
  <c r="Y57" i="11" s="1"/>
  <c r="M57" i="11"/>
  <c r="O56" i="11"/>
  <c r="Z56" i="11" s="1"/>
  <c r="O55" i="11"/>
  <c r="N55" i="11"/>
  <c r="Y55" i="11" s="1"/>
  <c r="O54" i="11"/>
  <c r="Z54" i="11" s="1"/>
  <c r="M54" i="11"/>
  <c r="X54" i="11" s="1"/>
  <c r="O53" i="11"/>
  <c r="N53" i="11"/>
  <c r="M53" i="11"/>
  <c r="O52" i="11"/>
  <c r="Z52" i="11" s="1"/>
  <c r="N52" i="11"/>
  <c r="Y52" i="11" s="1"/>
  <c r="M52" i="11"/>
  <c r="O51" i="11"/>
  <c r="N51" i="11"/>
  <c r="M51" i="11"/>
  <c r="O50" i="11"/>
  <c r="Z50" i="11" s="1"/>
  <c r="N50" i="11"/>
  <c r="Y50" i="11" s="1"/>
  <c r="M50" i="11"/>
  <c r="X50" i="11" s="1"/>
  <c r="O49" i="11"/>
  <c r="Z49" i="11" s="1"/>
  <c r="N49" i="11"/>
  <c r="Y49" i="11" s="1"/>
  <c r="M49" i="11"/>
  <c r="X49" i="11" s="1"/>
  <c r="O48" i="11"/>
  <c r="N48" i="11"/>
  <c r="M48" i="11"/>
  <c r="O47" i="11"/>
  <c r="N47" i="11"/>
  <c r="M47" i="11"/>
  <c r="O46" i="11"/>
  <c r="N46" i="11"/>
  <c r="M46" i="11"/>
  <c r="O45" i="11"/>
  <c r="N45" i="11"/>
  <c r="M45" i="11"/>
  <c r="O44" i="11"/>
  <c r="N44" i="11"/>
  <c r="M44" i="11"/>
  <c r="O43" i="11"/>
  <c r="N43" i="11"/>
  <c r="M43" i="11"/>
  <c r="O42" i="11"/>
  <c r="N42" i="11"/>
  <c r="M42" i="11"/>
  <c r="O41" i="11"/>
  <c r="N41" i="11"/>
  <c r="L15" i="11"/>
  <c r="L21" i="11"/>
  <c r="L20" i="11"/>
  <c r="L19" i="11"/>
  <c r="L18" i="11"/>
  <c r="L17" i="11"/>
  <c r="O37" i="11"/>
  <c r="N37" i="11"/>
  <c r="O36" i="11"/>
  <c r="O35" i="11"/>
  <c r="O34" i="11"/>
  <c r="O33" i="11"/>
  <c r="O32" i="11"/>
  <c r="N32" i="11"/>
  <c r="O28" i="11"/>
  <c r="N28" i="11"/>
  <c r="O27" i="11"/>
  <c r="O25" i="11"/>
  <c r="N25" i="11"/>
  <c r="W26" i="6" s="1"/>
  <c r="O24" i="11"/>
  <c r="N24" i="11"/>
  <c r="O23" i="11"/>
  <c r="O21" i="11"/>
  <c r="O20" i="11"/>
  <c r="N20" i="11"/>
  <c r="O19" i="11"/>
  <c r="N19" i="11"/>
  <c r="O18" i="11"/>
  <c r="N18" i="11"/>
  <c r="O17" i="11"/>
  <c r="N17" i="11"/>
  <c r="O16" i="11"/>
  <c r="N16" i="11"/>
  <c r="O15" i="11"/>
  <c r="N15" i="11"/>
  <c r="O14" i="11"/>
  <c r="N14" i="11"/>
  <c r="O13" i="11"/>
  <c r="O12" i="11"/>
  <c r="N12" i="11"/>
  <c r="O11" i="11"/>
  <c r="N11" i="11"/>
  <c r="O10" i="11"/>
  <c r="N10" i="11"/>
  <c r="O9" i="11"/>
  <c r="N9" i="11"/>
  <c r="N8" i="11"/>
  <c r="N7" i="11"/>
  <c r="O7" i="11"/>
  <c r="Q54" i="11"/>
  <c r="M19" i="11"/>
  <c r="M17" i="11"/>
  <c r="M16" i="11"/>
  <c r="J68" i="11"/>
  <c r="O68" i="11" s="1"/>
  <c r="Z68" i="11" s="1"/>
  <c r="J61" i="11"/>
  <c r="I61" i="11"/>
  <c r="J22" i="11"/>
  <c r="I22" i="11"/>
  <c r="L7" i="11"/>
  <c r="J6" i="11"/>
  <c r="I6" i="11"/>
  <c r="E6" i="11"/>
  <c r="F61" i="11"/>
  <c r="E61" i="11"/>
  <c r="D61" i="11"/>
  <c r="V61" i="11"/>
  <c r="K61" i="11"/>
  <c r="P31" i="11"/>
  <c r="K31" i="11"/>
  <c r="F31" i="11"/>
  <c r="F72" i="11" s="1"/>
  <c r="E31" i="11"/>
  <c r="C22" i="11"/>
  <c r="P22" i="11"/>
  <c r="K22" i="11"/>
  <c r="F22" i="11"/>
  <c r="E22" i="11"/>
  <c r="AA6" i="11"/>
  <c r="P6" i="11"/>
  <c r="K6" i="11"/>
  <c r="F6" i="11"/>
  <c r="C6" i="11"/>
  <c r="G68" i="11"/>
  <c r="G66" i="11"/>
  <c r="G64" i="11"/>
  <c r="G63" i="11"/>
  <c r="G62" i="11"/>
  <c r="G59" i="11"/>
  <c r="G58" i="11"/>
  <c r="G57" i="11"/>
  <c r="G56" i="11"/>
  <c r="G55" i="11"/>
  <c r="G54" i="11"/>
  <c r="G53" i="11"/>
  <c r="G52" i="11"/>
  <c r="G51" i="11"/>
  <c r="G50" i="11"/>
  <c r="G49" i="11"/>
  <c r="G48" i="11"/>
  <c r="G47" i="11"/>
  <c r="G46" i="11"/>
  <c r="G45" i="11"/>
  <c r="G44" i="11"/>
  <c r="G43" i="11"/>
  <c r="G42" i="11"/>
  <c r="G38" i="11"/>
  <c r="G70" i="11"/>
  <c r="G7" i="11"/>
  <c r="G36" i="11"/>
  <c r="G35" i="11"/>
  <c r="M34" i="11"/>
  <c r="V35" i="6" s="1"/>
  <c r="S34" i="11" s="1"/>
  <c r="W34" i="11" s="1"/>
  <c r="M33" i="11"/>
  <c r="V34" i="6" s="1"/>
  <c r="G33" i="11"/>
  <c r="G32" i="11"/>
  <c r="M37" i="11"/>
  <c r="M36" i="11"/>
  <c r="V37" i="6" s="1"/>
  <c r="S36" i="11" s="1"/>
  <c r="W36" i="11" s="1"/>
  <c r="G37" i="11"/>
  <c r="M30" i="11"/>
  <c r="M28" i="11"/>
  <c r="M26" i="11"/>
  <c r="Q26" i="11" s="1"/>
  <c r="M25" i="11"/>
  <c r="M24" i="11"/>
  <c r="M23" i="11"/>
  <c r="L16" i="11"/>
  <c r="M15" i="11"/>
  <c r="M14" i="11"/>
  <c r="L14" i="11"/>
  <c r="L13" i="11"/>
  <c r="M12" i="11"/>
  <c r="L12" i="11"/>
  <c r="H68" i="11"/>
  <c r="H72" i="11" s="1"/>
  <c r="M18" i="11"/>
  <c r="M20" i="11"/>
  <c r="M21" i="11"/>
  <c r="M27" i="11"/>
  <c r="M9" i="11"/>
  <c r="M10" i="11"/>
  <c r="M11" i="11"/>
  <c r="L11" i="11"/>
  <c r="L10" i="11"/>
  <c r="L9" i="11"/>
  <c r="L8" i="11"/>
  <c r="M35" i="11"/>
  <c r="V36" i="6" s="1"/>
  <c r="S35" i="11" s="1"/>
  <c r="W35" i="11" s="1"/>
  <c r="M68" i="11"/>
  <c r="M7" i="11"/>
  <c r="AB69" i="11"/>
  <c r="N40" i="11" l="1"/>
  <c r="G61" i="11"/>
  <c r="Q64" i="11"/>
  <c r="V38" i="6"/>
  <c r="S37" i="11" s="1"/>
  <c r="W37" i="11" s="1"/>
  <c r="O31" i="11"/>
  <c r="J72" i="11"/>
  <c r="K72" i="11"/>
  <c r="L40" i="11"/>
  <c r="M6" i="11"/>
  <c r="T25" i="11"/>
  <c r="W25" i="11" s="1"/>
  <c r="W31" i="6"/>
  <c r="W65" i="6" s="1"/>
  <c r="Z41" i="11"/>
  <c r="O40" i="11"/>
  <c r="Q45" i="11"/>
  <c r="Q59" i="11"/>
  <c r="P72" i="11"/>
  <c r="N34" i="11"/>
  <c r="S33" i="11"/>
  <c r="W33" i="11" s="1"/>
  <c r="V39" i="6"/>
  <c r="V65" i="6" s="1"/>
  <c r="I72" i="11"/>
  <c r="X56" i="11"/>
  <c r="X53" i="11"/>
  <c r="Q53" i="11"/>
  <c r="AB53" i="11" s="1"/>
  <c r="Q27" i="11"/>
  <c r="X55" i="11"/>
  <c r="X38" i="11"/>
  <c r="Q38" i="11"/>
  <c r="Y27" i="11"/>
  <c r="Y42" i="11"/>
  <c r="F143" i="4"/>
  <c r="W48" i="11"/>
  <c r="X59" i="11"/>
  <c r="W59" i="11"/>
  <c r="W41" i="11"/>
  <c r="W43" i="11"/>
  <c r="W44" i="11"/>
  <c r="W45" i="11"/>
  <c r="W46" i="11"/>
  <c r="W47" i="11"/>
  <c r="W15" i="11"/>
  <c r="W52" i="11"/>
  <c r="X52" i="11"/>
  <c r="AB52" i="11" s="1"/>
  <c r="X58" i="11"/>
  <c r="W58" i="11"/>
  <c r="W42" i="11"/>
  <c r="W19" i="11"/>
  <c r="AA40" i="11"/>
  <c r="X57" i="11"/>
  <c r="W57" i="11"/>
  <c r="AA61" i="11"/>
  <c r="Z55" i="11"/>
  <c r="W55" i="11"/>
  <c r="Y38" i="11"/>
  <c r="L61" i="11"/>
  <c r="Q58" i="11"/>
  <c r="Q63" i="11"/>
  <c r="Q55" i="11"/>
  <c r="Q52" i="11"/>
  <c r="Z43" i="11"/>
  <c r="Q34" i="11"/>
  <c r="Q28" i="11"/>
  <c r="Q24" i="11"/>
  <c r="Q8" i="11"/>
  <c r="Q62" i="11"/>
  <c r="O61" i="11"/>
  <c r="Z62" i="11"/>
  <c r="Z64" i="11"/>
  <c r="Q50" i="11"/>
  <c r="Y41" i="11"/>
  <c r="Q42" i="11"/>
  <c r="Q46" i="11"/>
  <c r="Q43" i="11"/>
  <c r="Q47" i="11"/>
  <c r="Q51" i="11"/>
  <c r="Y46" i="11"/>
  <c r="Y47" i="11"/>
  <c r="Y51" i="11"/>
  <c r="Q33" i="11"/>
  <c r="Q32" i="11"/>
  <c r="L31" i="11"/>
  <c r="Y37" i="11"/>
  <c r="Q21" i="11"/>
  <c r="Y28" i="11"/>
  <c r="Q29" i="11"/>
  <c r="Z29" i="11"/>
  <c r="O22" i="11"/>
  <c r="M22" i="11"/>
  <c r="Q20" i="11"/>
  <c r="Q19" i="11"/>
  <c r="Q15" i="11"/>
  <c r="Q18" i="11"/>
  <c r="Q14" i="11"/>
  <c r="Q16" i="11"/>
  <c r="Z8" i="11"/>
  <c r="Z10" i="11"/>
  <c r="Q12" i="11"/>
  <c r="Q11" i="11"/>
  <c r="O6" i="11"/>
  <c r="Y7" i="11"/>
  <c r="Q57" i="11"/>
  <c r="Q56" i="11"/>
  <c r="Q48" i="11"/>
  <c r="Q44" i="11"/>
  <c r="Z44" i="11"/>
  <c r="Q35" i="11"/>
  <c r="Q30" i="11"/>
  <c r="E72" i="11"/>
  <c r="Y26" i="11"/>
  <c r="Q25" i="11"/>
  <c r="Y25" i="11"/>
  <c r="N22" i="11"/>
  <c r="C72" i="11"/>
  <c r="Q17" i="11"/>
  <c r="Q13" i="11"/>
  <c r="Q10" i="11"/>
  <c r="Q9" i="11"/>
  <c r="Q7" i="11"/>
  <c r="L22" i="11"/>
  <c r="N6" i="11"/>
  <c r="L6" i="11"/>
  <c r="Z30" i="11"/>
  <c r="Q23" i="11"/>
  <c r="Y30" i="11"/>
  <c r="Z42" i="11"/>
  <c r="Z45" i="11"/>
  <c r="D6" i="11"/>
  <c r="N61" i="11"/>
  <c r="Q49" i="11"/>
  <c r="Z7" i="11"/>
  <c r="X12" i="11"/>
  <c r="X13" i="11"/>
  <c r="X14" i="11"/>
  <c r="X15" i="11"/>
  <c r="X16" i="11"/>
  <c r="X17" i="11"/>
  <c r="X18" i="11"/>
  <c r="X19" i="11"/>
  <c r="X20" i="11"/>
  <c r="X21" i="11"/>
  <c r="X23" i="11"/>
  <c r="Z24" i="11"/>
  <c r="Z25" i="11"/>
  <c r="Z27" i="11"/>
  <c r="Z28" i="11"/>
  <c r="Y63" i="11"/>
  <c r="X66" i="11"/>
  <c r="X42" i="11"/>
  <c r="Z46" i="11"/>
  <c r="Z47" i="11"/>
  <c r="Y34" i="11"/>
  <c r="AB49" i="11"/>
  <c r="D22" i="11"/>
  <c r="D72" i="11" s="1"/>
  <c r="Y35" i="11"/>
  <c r="L68" i="11"/>
  <c r="Q37" i="11"/>
  <c r="G34" i="11"/>
  <c r="G31" i="11" s="1"/>
  <c r="G22" i="11"/>
  <c r="X8" i="11"/>
  <c r="X9" i="11"/>
  <c r="X10" i="11"/>
  <c r="Y12" i="11"/>
  <c r="Y13" i="11"/>
  <c r="Y14" i="11"/>
  <c r="Y15" i="11"/>
  <c r="Y16" i="11"/>
  <c r="Y17" i="11"/>
  <c r="Y18" i="11"/>
  <c r="Y19" i="11"/>
  <c r="Y20" i="11"/>
  <c r="Y21" i="11"/>
  <c r="Y23" i="11"/>
  <c r="Z63" i="11"/>
  <c r="Z66" i="11"/>
  <c r="X43" i="11"/>
  <c r="X44" i="11"/>
  <c r="X45" i="11"/>
  <c r="Z51" i="11"/>
  <c r="X68" i="11"/>
  <c r="Q36" i="11"/>
  <c r="Z9" i="11"/>
  <c r="Y24" i="11"/>
  <c r="X34" i="11"/>
  <c r="M31" i="11"/>
  <c r="G6" i="11"/>
  <c r="X7" i="11"/>
  <c r="Y8" i="11"/>
  <c r="Y9" i="11"/>
  <c r="Y10" i="11"/>
  <c r="Z12" i="11"/>
  <c r="Z13" i="11"/>
  <c r="Z14" i="11"/>
  <c r="Z15" i="11"/>
  <c r="Z16" i="11"/>
  <c r="Z17" i="11"/>
  <c r="Z18" i="11"/>
  <c r="Z19" i="11"/>
  <c r="Z20" i="11"/>
  <c r="Z21" i="11"/>
  <c r="Z23" i="11"/>
  <c r="X25" i="11"/>
  <c r="X26" i="11"/>
  <c r="X27" i="11"/>
  <c r="X28" i="11"/>
  <c r="X30" i="11"/>
  <c r="Y62" i="11"/>
  <c r="Y64" i="11"/>
  <c r="Y43" i="11"/>
  <c r="Y44" i="11"/>
  <c r="Y45" i="11"/>
  <c r="X46" i="11"/>
  <c r="X47" i="11"/>
  <c r="X51" i="11"/>
  <c r="X35" i="11"/>
  <c r="U22" i="11"/>
  <c r="AB50" i="11"/>
  <c r="S6" i="11"/>
  <c r="U6" i="11"/>
  <c r="T61" i="11"/>
  <c r="T31" i="11"/>
  <c r="T22" i="11"/>
  <c r="S31" i="11"/>
  <c r="V22" i="11"/>
  <c r="X36" i="11"/>
  <c r="AB54" i="11"/>
  <c r="AB56" i="11"/>
  <c r="X24" i="11"/>
  <c r="S22" i="11"/>
  <c r="V31" i="11"/>
  <c r="U61" i="11"/>
  <c r="X32" i="11"/>
  <c r="T6" i="11"/>
  <c r="F103" i="4"/>
  <c r="F19" i="4"/>
  <c r="N31" i="11"/>
  <c r="Y36" i="11"/>
  <c r="Y32" i="11"/>
  <c r="W20" i="11"/>
  <c r="W18" i="11"/>
  <c r="W14" i="11"/>
  <c r="X33" i="11" l="1"/>
  <c r="L72" i="11"/>
  <c r="X37" i="11"/>
  <c r="Y40" i="11"/>
  <c r="W40" i="11"/>
  <c r="Z40" i="11"/>
  <c r="N72" i="11"/>
  <c r="O72" i="11"/>
  <c r="T72" i="11"/>
  <c r="F111" i="4"/>
  <c r="F482" i="4" s="1"/>
  <c r="W22" i="11"/>
  <c r="AB7" i="11"/>
  <c r="AB14" i="11"/>
  <c r="AB43" i="11"/>
  <c r="W64" i="11"/>
  <c r="Q61" i="11"/>
  <c r="Z61" i="11"/>
  <c r="AB42" i="11"/>
  <c r="Q31" i="11"/>
  <c r="AB26" i="11"/>
  <c r="AB13" i="11"/>
  <c r="AB47" i="11"/>
  <c r="AB48" i="11"/>
  <c r="AB12" i="11"/>
  <c r="AB18" i="11"/>
  <c r="AB28" i="11"/>
  <c r="AB27" i="11"/>
  <c r="AB20" i="11"/>
  <c r="AB46" i="11"/>
  <c r="Y22" i="11"/>
  <c r="Q22" i="11"/>
  <c r="AB25" i="11"/>
  <c r="AB16" i="11"/>
  <c r="Q6" i="11"/>
  <c r="AB10" i="11"/>
  <c r="AB8" i="11"/>
  <c r="X6" i="11"/>
  <c r="AB59" i="11"/>
  <c r="AB45" i="11"/>
  <c r="Y61" i="11"/>
  <c r="AB57" i="11"/>
  <c r="AB51" i="11"/>
  <c r="AB44" i="11"/>
  <c r="Z22" i="11"/>
  <c r="AB15" i="11"/>
  <c r="AB55" i="11"/>
  <c r="AB58" i="11"/>
  <c r="AB11" i="11"/>
  <c r="AB30" i="11"/>
  <c r="AB21" i="11"/>
  <c r="AB17" i="11"/>
  <c r="AB9" i="11"/>
  <c r="AB19" i="11"/>
  <c r="Z6" i="11"/>
  <c r="Y6" i="11"/>
  <c r="Y68" i="11"/>
  <c r="Q68" i="11"/>
  <c r="AA22" i="11"/>
  <c r="X31" i="11"/>
  <c r="AB23" i="11"/>
  <c r="X22" i="11"/>
  <c r="AB24" i="11"/>
  <c r="X64" i="11"/>
  <c r="AB64" i="11" s="1"/>
  <c r="Y31" i="11"/>
  <c r="W63" i="11"/>
  <c r="W16" i="11"/>
  <c r="W13" i="11"/>
  <c r="W8" i="11"/>
  <c r="W10" i="11"/>
  <c r="W7" i="11"/>
  <c r="W12" i="11"/>
  <c r="Z37" i="11" l="1"/>
  <c r="AB37" i="11" s="1"/>
  <c r="Z33" i="11"/>
  <c r="AB33" i="11" s="1"/>
  <c r="Z36" i="11"/>
  <c r="AB36" i="11" s="1"/>
  <c r="Z34" i="11"/>
  <c r="AB34" i="11" s="1"/>
  <c r="Y66" i="11"/>
  <c r="Z35" i="11"/>
  <c r="AB35" i="11" s="1"/>
  <c r="AB6" i="11"/>
  <c r="W66" i="11"/>
  <c r="AB68" i="11"/>
  <c r="AB22" i="11"/>
  <c r="W9" i="11"/>
  <c r="X63" i="11"/>
  <c r="AB63" i="11" s="1"/>
  <c r="Y67" i="11"/>
  <c r="AB67" i="11" s="1"/>
  <c r="W67" i="11"/>
  <c r="W17" i="11"/>
  <c r="Y72" i="11" l="1"/>
  <c r="AB66" i="11"/>
  <c r="AA72" i="11"/>
  <c r="AB38" i="11" l="1"/>
  <c r="W31" i="11"/>
  <c r="U31" i="11"/>
  <c r="U72" i="11" s="1"/>
  <c r="Z32" i="11"/>
  <c r="W21" i="11"/>
  <c r="W6" i="11" s="1"/>
  <c r="V6" i="11"/>
  <c r="V72" i="11" s="1"/>
  <c r="AB32" i="11" l="1"/>
  <c r="AB31" i="11" s="1"/>
  <c r="Z31" i="11"/>
  <c r="Z72" i="11" s="1"/>
  <c r="W62" i="11" l="1"/>
  <c r="S61" i="11" l="1"/>
  <c r="S72" i="11" s="1"/>
  <c r="X62" i="11"/>
  <c r="AB62" i="11" s="1"/>
  <c r="AB61" i="11" s="1"/>
  <c r="W61" i="11" l="1"/>
  <c r="W72" i="11" s="1"/>
  <c r="X61" i="11"/>
  <c r="G41" i="11"/>
  <c r="M41" i="11"/>
  <c r="M40" i="11" s="1"/>
  <c r="M72" i="11" s="1"/>
  <c r="G40" i="11" l="1"/>
  <c r="G72" i="11" s="1"/>
  <c r="X41" i="11"/>
  <c r="X40" i="11" s="1"/>
  <c r="X72" i="11" s="1"/>
  <c r="Q41" i="11"/>
  <c r="Q40" i="11" s="1"/>
  <c r="Q72" i="11" s="1"/>
  <c r="AB41" i="11" l="1"/>
  <c r="AB40" i="11" s="1"/>
  <c r="AB72" i="11" s="1"/>
</calcChain>
</file>

<file path=xl/sharedStrings.xml><?xml version="1.0" encoding="utf-8"?>
<sst xmlns="http://schemas.openxmlformats.org/spreadsheetml/2006/main" count="3891" uniqueCount="1475">
  <si>
    <t>SMART GUIDE FOR COMPLETING AOP</t>
  </si>
  <si>
    <t>Note:  Information has been inserted in some TABS as examples.  Please delete examples once completed</t>
  </si>
  <si>
    <t>Tab 1 - Project Overview</t>
  </si>
  <si>
    <t>Insert relevant basic statitstics for the project.  Contact the project's OA for assistance.</t>
  </si>
  <si>
    <r>
      <rPr>
        <b/>
        <sz val="11"/>
        <color theme="1"/>
        <rFont val="Calibri"/>
        <family val="2"/>
        <scheme val="minor"/>
      </rPr>
      <t>CPI</t>
    </r>
    <r>
      <rPr>
        <sz val="12"/>
        <color theme="1"/>
        <rFont val="Calibri"/>
        <family val="2"/>
        <scheme val="minor"/>
      </rPr>
      <t xml:space="preserve"> is </t>
    </r>
    <r>
      <rPr>
        <b/>
        <sz val="11"/>
        <color theme="1"/>
        <rFont val="Calibri"/>
        <family val="2"/>
        <scheme val="minor"/>
      </rPr>
      <t>Cost Performance Index</t>
    </r>
    <r>
      <rPr>
        <sz val="12"/>
        <color theme="1"/>
        <rFont val="Calibri"/>
        <family val="2"/>
        <scheme val="minor"/>
      </rPr>
      <t xml:space="preserve">.  This information can be acquired from the Bank's system.  Contact the Project's OA for assistance. The cost performance index is a ratio that measures the financial effectiveness of a project by dividing the budgeted cost of work performed by the actual cost of work performed. If the </t>
    </r>
    <r>
      <rPr>
        <b/>
        <sz val="11"/>
        <color theme="1"/>
        <rFont val="Calibri"/>
        <family val="2"/>
        <scheme val="minor"/>
      </rPr>
      <t>CPI  is &gt; 1</t>
    </r>
    <r>
      <rPr>
        <sz val="12"/>
        <color theme="1"/>
        <rFont val="Calibri"/>
        <family val="2"/>
        <scheme val="minor"/>
      </rPr>
      <t xml:space="preserve">, as in 1.25, then the project is under budget, which is the best result. A </t>
    </r>
    <r>
      <rPr>
        <b/>
        <sz val="11"/>
        <color theme="1"/>
        <rFont val="Calibri"/>
        <family val="2"/>
        <scheme val="minor"/>
      </rPr>
      <t>CPI of 1</t>
    </r>
    <r>
      <rPr>
        <sz val="12"/>
        <color theme="1"/>
        <rFont val="Calibri"/>
        <family val="2"/>
        <scheme val="minor"/>
      </rPr>
      <t xml:space="preserve"> means the project is on budget, which is also a good result. A </t>
    </r>
    <r>
      <rPr>
        <b/>
        <sz val="11"/>
        <color theme="1"/>
        <rFont val="Calibri"/>
        <family val="2"/>
        <scheme val="minor"/>
      </rPr>
      <t xml:space="preserve">CPI of &lt; 1 </t>
    </r>
    <r>
      <rPr>
        <sz val="12"/>
        <color theme="1"/>
        <rFont val="Calibri"/>
        <family val="2"/>
        <scheme val="minor"/>
      </rPr>
      <t xml:space="preserve">means the project is over budget. </t>
    </r>
  </si>
  <si>
    <r>
      <rPr>
        <b/>
        <sz val="11"/>
        <color theme="1"/>
        <rFont val="Calibri"/>
        <family val="2"/>
        <scheme val="minor"/>
      </rPr>
      <t>SPI</t>
    </r>
    <r>
      <rPr>
        <sz val="12"/>
        <color theme="1"/>
        <rFont val="Calibri"/>
        <family val="2"/>
        <scheme val="minor"/>
      </rPr>
      <t xml:space="preserve"> is </t>
    </r>
    <r>
      <rPr>
        <b/>
        <sz val="11"/>
        <color theme="1"/>
        <rFont val="Calibri"/>
        <family val="2"/>
        <scheme val="minor"/>
      </rPr>
      <t xml:space="preserve">Schedule Performance Index. </t>
    </r>
    <r>
      <rPr>
        <sz val="12"/>
        <color theme="1"/>
        <rFont val="Calibri"/>
        <family val="2"/>
        <scheme val="minor"/>
      </rPr>
      <t xml:space="preserve"> This is a ratio that divides the budgeted cost of work performed by the budgeted cost of work scheduled.</t>
    </r>
    <r>
      <rPr>
        <b/>
        <sz val="11"/>
        <color theme="1"/>
        <rFont val="Calibri"/>
        <family val="2"/>
        <scheme val="minor"/>
      </rPr>
      <t xml:space="preserve"> SPI &lt; 1</t>
    </r>
    <r>
      <rPr>
        <sz val="12"/>
        <color theme="1"/>
        <rFont val="Calibri"/>
        <family val="2"/>
        <scheme val="minor"/>
      </rPr>
      <t xml:space="preserve"> are not good because they mean the project is behind schedule. A </t>
    </r>
    <r>
      <rPr>
        <b/>
        <sz val="11"/>
        <color theme="1"/>
        <rFont val="Calibri"/>
        <family val="2"/>
        <scheme val="minor"/>
      </rPr>
      <t>SPI of 1</t>
    </r>
    <r>
      <rPr>
        <sz val="12"/>
        <color theme="1"/>
        <rFont val="Calibri"/>
        <family val="2"/>
        <scheme val="minor"/>
      </rPr>
      <t xml:space="preserve"> means the project is on schedule, and a </t>
    </r>
    <r>
      <rPr>
        <b/>
        <sz val="11"/>
        <color theme="1"/>
        <rFont val="Calibri"/>
        <family val="2"/>
        <scheme val="minor"/>
      </rPr>
      <t>SPI &gt;1</t>
    </r>
    <r>
      <rPr>
        <sz val="12"/>
        <color theme="1"/>
        <rFont val="Calibri"/>
        <family val="2"/>
        <scheme val="minor"/>
      </rPr>
      <t xml:space="preserve"> means the project is ahead of schedule.</t>
    </r>
  </si>
  <si>
    <t>Include summary information of Main issues or contraints affecting project implementation</t>
  </si>
  <si>
    <t>Include summary information of Main HIGH-LEVEL Risks and the responses to those risks</t>
  </si>
  <si>
    <t>Tab 2 - Result Matrix</t>
  </si>
  <si>
    <t>The descriptions of Components and Outputs and WBS codes are entered here and then referenced to in the other tabs.</t>
  </si>
  <si>
    <r>
      <t xml:space="preserve">Insert outputs in accordance with the </t>
    </r>
    <r>
      <rPr>
        <b/>
        <u/>
        <sz val="11"/>
        <color theme="1"/>
        <rFont val="Calibri"/>
        <family val="2"/>
        <scheme val="minor"/>
      </rPr>
      <t>approved</t>
    </r>
    <r>
      <rPr>
        <sz val="12"/>
        <color theme="1"/>
        <rFont val="Calibri"/>
        <family val="2"/>
        <scheme val="minor"/>
      </rPr>
      <t xml:space="preserve"> Results Matrix uploaded to the system at start of project</t>
    </r>
  </si>
  <si>
    <r>
      <rPr>
        <b/>
        <sz val="11"/>
        <color theme="1"/>
        <rFont val="Calibri"/>
        <family val="2"/>
        <scheme val="minor"/>
      </rPr>
      <t>P - Planned Targets</t>
    </r>
    <r>
      <rPr>
        <sz val="12"/>
        <color theme="1"/>
        <rFont val="Calibri"/>
        <family val="2"/>
        <scheme val="minor"/>
      </rPr>
      <t>.  These targets are set at the start of the project and SHOULD NOT be changed.</t>
    </r>
  </si>
  <si>
    <r>
      <rPr>
        <b/>
        <sz val="11"/>
        <color theme="1"/>
        <rFont val="Calibri"/>
        <family val="2"/>
        <scheme val="minor"/>
      </rPr>
      <t>SP(a) - Suggested Planned Adjusted Targets</t>
    </r>
    <r>
      <rPr>
        <sz val="12"/>
        <color theme="1"/>
        <rFont val="Calibri"/>
        <family val="2"/>
        <scheme val="minor"/>
      </rPr>
      <t>. These suggested targets are to be discussed with the IDB team leader, adjusted after each annual reporting cycle and are amended in accordance with is already achieved and what is left to be achieved.</t>
    </r>
  </si>
  <si>
    <r>
      <t xml:space="preserve">In Column T, explain any variance between the </t>
    </r>
    <r>
      <rPr>
        <b/>
        <u/>
        <sz val="11"/>
        <color theme="1"/>
        <rFont val="Calibri"/>
        <family val="2"/>
        <scheme val="minor"/>
      </rPr>
      <t>planned</t>
    </r>
    <r>
      <rPr>
        <sz val="12"/>
        <color theme="1"/>
        <rFont val="Calibri"/>
        <family val="2"/>
        <scheme val="minor"/>
      </rPr>
      <t xml:space="preserve"> targets for the current year [P] and the Suggested Planned Targets [SP(a)].  </t>
    </r>
    <r>
      <rPr>
        <i/>
        <sz val="11"/>
        <color theme="1"/>
        <rFont val="Calibri"/>
        <family val="2"/>
        <scheme val="minor"/>
      </rPr>
      <t>Do not exceed 50 words</t>
    </r>
  </si>
  <si>
    <t>Tab 3 - Implementation Plan</t>
  </si>
  <si>
    <t>Make sure to reference (link) the Output description (Column A) from the Results Matrix TAB</t>
  </si>
  <si>
    <t>WBS code (Column B) and Deliverables (Column C) should be referenced from the Procurement Plan TAB</t>
  </si>
  <si>
    <t>Type or Copy Work Packages in Column E, start with the WBS for the workpackage and then the workpackage description</t>
  </si>
  <si>
    <t>Estimate durations of work packages in calendar days and put in Column F</t>
  </si>
  <si>
    <t>Calculate Estimated End Date (Column H) by adding Duration (Column F) to Estimated Start date (Column G)</t>
  </si>
  <si>
    <t>Add names of responsible people in Columns I to L</t>
  </si>
  <si>
    <t>Describe the milestones in the months from analysing the workpackages</t>
  </si>
  <si>
    <t>Tab 4 - Procurement Plan</t>
  </si>
  <si>
    <t>Outline the procurement items for the next 18 months</t>
  </si>
  <si>
    <t>Align with SEPA</t>
  </si>
  <si>
    <t>Ensure to include WBS to indicate each Deliverable (= Contract name / Procurement Item) under the Output</t>
  </si>
  <si>
    <t>Reference the Output (gray row) from the Results Matrix TAB</t>
  </si>
  <si>
    <t>Include amounts in the correct month based on the dates in the Implementation Plan TAB</t>
  </si>
  <si>
    <t>Reference the Output and Budget amounts from the Results Matrix TAB</t>
  </si>
  <si>
    <t>Reference estimated budgetary requirements (Column O) form the Financial Plan Tab</t>
  </si>
  <si>
    <t>Project Name :</t>
  </si>
  <si>
    <t>Project Number :</t>
  </si>
  <si>
    <t>Section 1: GENERAL CONTRACTUAL INFORMATION</t>
  </si>
  <si>
    <t>Date of Approval:</t>
  </si>
  <si>
    <t>Signature Date:</t>
  </si>
  <si>
    <t>Amount Disbursed:</t>
  </si>
  <si>
    <t>Date of Eligibility:</t>
  </si>
  <si>
    <t>Amount Committed:</t>
  </si>
  <si>
    <t>Original Disbursement Expiration Date:</t>
  </si>
  <si>
    <t>Current Disbursement Period:</t>
  </si>
  <si>
    <t>Last Disbursement Expiration Date:</t>
  </si>
  <si>
    <t>Reporting Period</t>
  </si>
  <si>
    <r>
      <t xml:space="preserve">Previous Period </t>
    </r>
    <r>
      <rPr>
        <b/>
        <u/>
        <sz val="11"/>
        <color theme="1"/>
        <rFont val="Calibri"/>
        <family val="2"/>
      </rPr>
      <t>CPI</t>
    </r>
    <r>
      <rPr>
        <b/>
        <sz val="11"/>
        <color theme="1"/>
        <rFont val="Calibri"/>
        <family val="2"/>
      </rPr>
      <t xml:space="preserve">*: </t>
    </r>
  </si>
  <si>
    <r>
      <t xml:space="preserve">Previous Period </t>
    </r>
    <r>
      <rPr>
        <b/>
        <u/>
        <sz val="11"/>
        <color theme="1"/>
        <rFont val="Calibri"/>
        <family val="2"/>
      </rPr>
      <t>SPI</t>
    </r>
    <r>
      <rPr>
        <b/>
        <sz val="11"/>
        <color theme="1"/>
        <rFont val="Calibri"/>
        <family val="2"/>
      </rPr>
      <t>**:</t>
    </r>
  </si>
  <si>
    <t xml:space="preserve">Executing Agency </t>
  </si>
  <si>
    <t>Project Objective</t>
  </si>
  <si>
    <t xml:space="preserve">Programme/project components </t>
  </si>
  <si>
    <t>Summary Issues/constraints identified</t>
  </si>
  <si>
    <t>Summary Strategies for addressing issues/constraints identified</t>
  </si>
  <si>
    <t>Summary of High level Risks</t>
  </si>
  <si>
    <t>WBS Code</t>
  </si>
  <si>
    <t>Output Definition</t>
  </si>
  <si>
    <t>Unit Of Measure</t>
  </si>
  <si>
    <t>EOP 2023</t>
  </si>
  <si>
    <r>
      <t>Comments to team leader on any changed targets between Planned (P) and Suggested Planned Adjusted (a)  [</t>
    </r>
    <r>
      <rPr>
        <b/>
        <i/>
        <sz val="11"/>
        <rFont val="Calibri"/>
        <family val="2"/>
        <scheme val="minor"/>
      </rPr>
      <t>Do not exceed 50 words</t>
    </r>
    <r>
      <rPr>
        <sz val="11"/>
        <rFont val="Calibri"/>
        <family val="2"/>
        <scheme val="minor"/>
      </rPr>
      <t>]</t>
    </r>
  </si>
  <si>
    <t>Physical</t>
  </si>
  <si>
    <t>Financial</t>
  </si>
  <si>
    <t>Planned (P)</t>
  </si>
  <si>
    <t>Suggested Planned Adjusted P(a)</t>
  </si>
  <si>
    <t>P</t>
  </si>
  <si>
    <t>SP(a)</t>
  </si>
  <si>
    <t>IMPLEMENTATION PLAN</t>
  </si>
  <si>
    <t>TIMING</t>
  </si>
  <si>
    <t>RESPONSIBILITIES</t>
  </si>
  <si>
    <t>OUTPUT</t>
  </si>
  <si>
    <t>TARGET</t>
  </si>
  <si>
    <r>
      <t xml:space="preserve">DELIVERABLE 
</t>
    </r>
    <r>
      <rPr>
        <b/>
        <sz val="8"/>
        <color rgb="FF000000"/>
        <rFont val="Calibri"/>
        <family val="2"/>
      </rPr>
      <t>(= Contract name f. Proc Plan)</t>
    </r>
  </si>
  <si>
    <t>WORK PACKAGE</t>
  </si>
  <si>
    <r>
      <t xml:space="preserve">DURATION
</t>
    </r>
    <r>
      <rPr>
        <b/>
        <sz val="8"/>
        <color rgb="FF000000"/>
        <rFont val="Calibri"/>
        <family val="2"/>
      </rPr>
      <t>(# of cal days)</t>
    </r>
  </si>
  <si>
    <t>ESTIMATED
START DATE</t>
  </si>
  <si>
    <t>ESTIMATED
END DATE</t>
  </si>
  <si>
    <t>RESPONSIBLE PERSON</t>
  </si>
  <si>
    <t>Jan</t>
  </si>
  <si>
    <t>Feb</t>
  </si>
  <si>
    <t>Mar</t>
  </si>
  <si>
    <t>Apr</t>
  </si>
  <si>
    <t>May</t>
  </si>
  <si>
    <t>Jun</t>
  </si>
  <si>
    <t>Jul</t>
  </si>
  <si>
    <t>Aug</t>
  </si>
  <si>
    <t>Sep</t>
  </si>
  <si>
    <t>Oct</t>
  </si>
  <si>
    <t>Nov</t>
  </si>
  <si>
    <t>Dec</t>
  </si>
  <si>
    <t>WORKS</t>
  </si>
  <si>
    <t>Executing Agency:</t>
  </si>
  <si>
    <t>Component (if applies)</t>
  </si>
  <si>
    <t xml:space="preserve">Country's political Division (Region / Department / Jurisdiction, Province) </t>
  </si>
  <si>
    <t>Region</t>
  </si>
  <si>
    <t>Contract Name:</t>
  </si>
  <si>
    <t>Additional Information:</t>
  </si>
  <si>
    <t>Lots Quantity:</t>
  </si>
  <si>
    <t>Process Number:</t>
  </si>
  <si>
    <t>Estimated Amount,
 in u$s :</t>
  </si>
  <si>
    <t>Associated Component:</t>
  </si>
  <si>
    <t>Dates (If it does not apply, use N/A)</t>
  </si>
  <si>
    <t>Bidder</t>
  </si>
  <si>
    <t>Proposal Price 
(Currency ####)</t>
  </si>
  <si>
    <t>Comments</t>
  </si>
  <si>
    <t xml:space="preserve">With </t>
  </si>
  <si>
    <t>Bidding Document</t>
  </si>
  <si>
    <t>No objection to the Documents</t>
  </si>
  <si>
    <t>Publication</t>
  </si>
  <si>
    <t>Opening</t>
  </si>
  <si>
    <t>Evaluation</t>
  </si>
  <si>
    <t>No Objection to the Evaluation</t>
  </si>
  <si>
    <t xml:space="preserve">Contract Signing </t>
  </si>
  <si>
    <t>End of Contract</t>
  </si>
  <si>
    <t>Without</t>
  </si>
  <si>
    <t>Estimated</t>
  </si>
  <si>
    <t>Real</t>
  </si>
  <si>
    <t>Planned</t>
  </si>
  <si>
    <t>GOODS</t>
  </si>
  <si>
    <t>Shopping</t>
  </si>
  <si>
    <t>Direct Contracting</t>
  </si>
  <si>
    <t>NON CONSULTING SERVICES</t>
  </si>
  <si>
    <t>CONSULTING FIRMS</t>
  </si>
  <si>
    <t>Short List Members</t>
  </si>
  <si>
    <t>Technical Score Assigned</t>
  </si>
  <si>
    <t>Evaluated Price Proposal (Currency ####)</t>
  </si>
  <si>
    <t>Combined Score</t>
  </si>
  <si>
    <t>Expression of Interest Notice</t>
  </si>
  <si>
    <t>RFP and Short List</t>
  </si>
  <si>
    <t>No Objection to RFP and Short List</t>
  </si>
  <si>
    <t>RFP Submission</t>
  </si>
  <si>
    <t>Technical Evaluation</t>
  </si>
  <si>
    <t>No Objection to the Technical Evaluation</t>
  </si>
  <si>
    <t>Final Evaluation and Negotiation</t>
  </si>
  <si>
    <t>No Objection to the Contract</t>
  </si>
  <si>
    <t>Request for Proposals and Terms of Reference</t>
  </si>
  <si>
    <t>Lump-Sum</t>
  </si>
  <si>
    <t>INDIVIDUAL CONSULTANTS</t>
  </si>
  <si>
    <t>Estimated Number of Consultants:</t>
  </si>
  <si>
    <t>Consultant's Name</t>
  </si>
  <si>
    <t>Period</t>
  </si>
  <si>
    <t>Title</t>
  </si>
  <si>
    <t>No Objection to the TORs</t>
  </si>
  <si>
    <t>Hiring Deadline</t>
  </si>
  <si>
    <t>End of Activity</t>
  </si>
  <si>
    <t>From</t>
  </si>
  <si>
    <t>Until</t>
  </si>
  <si>
    <t>3CV</t>
  </si>
  <si>
    <t>Price Comparison for Goods</t>
  </si>
  <si>
    <t>Price Comparison for Works</t>
  </si>
  <si>
    <t>Procurement of Non-Consulting Services</t>
  </si>
  <si>
    <t>Investment Category</t>
  </si>
  <si>
    <t>Quarter 1</t>
  </si>
  <si>
    <t>Quarter 2</t>
  </si>
  <si>
    <t>Quarter 3</t>
  </si>
  <si>
    <t>Quarter 4</t>
  </si>
  <si>
    <t>January</t>
  </si>
  <si>
    <t>February</t>
  </si>
  <si>
    <t>March</t>
  </si>
  <si>
    <t>Total</t>
  </si>
  <si>
    <t>April</t>
  </si>
  <si>
    <t>June</t>
  </si>
  <si>
    <t xml:space="preserve">July </t>
  </si>
  <si>
    <t>August</t>
  </si>
  <si>
    <t>September</t>
  </si>
  <si>
    <t>October</t>
  </si>
  <si>
    <t>November</t>
  </si>
  <si>
    <t>December</t>
  </si>
  <si>
    <t>Annual Total</t>
  </si>
  <si>
    <t>COMPONENT 1: TOTAL</t>
  </si>
  <si>
    <t>COMPONENT 2: TOTAL</t>
  </si>
  <si>
    <t>PROJECT: TOTAL</t>
  </si>
  <si>
    <t>DISBURSEMENT PROJECTION</t>
  </si>
  <si>
    <t>Approved By</t>
  </si>
  <si>
    <t>&lt;name&gt;</t>
  </si>
  <si>
    <t>Sponsor / Owner</t>
  </si>
  <si>
    <t>Project Manager</t>
  </si>
  <si>
    <t>Original Budget in force US$'000</t>
  </si>
  <si>
    <t>Available Balance</t>
  </si>
  <si>
    <t>Balance to Commit to the End of the Program US$ '000</t>
  </si>
  <si>
    <t>IDB</t>
  </si>
  <si>
    <t>GOJ</t>
  </si>
  <si>
    <t>Contingencies</t>
  </si>
  <si>
    <t>Grand Total</t>
  </si>
  <si>
    <t>High</t>
  </si>
  <si>
    <t>Medium</t>
  </si>
  <si>
    <t>SECTION 6</t>
  </si>
  <si>
    <t>ANNUAL OPERATING PLAN CHECKLIST</t>
  </si>
  <si>
    <t>ITEMS</t>
  </si>
  <si>
    <t>ANNUAL OPERATING PLAN (AOP)</t>
  </si>
  <si>
    <t>The AOP includes:</t>
  </si>
  <si>
    <t>Background and Introduction, including challenges and how they will be addressed</t>
  </si>
  <si>
    <t>Implementation plan</t>
  </si>
  <si>
    <t>Procurement Plan</t>
  </si>
  <si>
    <t>Financial Plan</t>
  </si>
  <si>
    <t>AOP coverage is for at least 18 months</t>
  </si>
  <si>
    <t>Alignment:</t>
  </si>
  <si>
    <t>Procurement plan is aligned with the implementation plan</t>
  </si>
  <si>
    <t>Financial plan is aligned with the implementation plan</t>
  </si>
  <si>
    <t>Financial plan is aligned with the procurement plan</t>
  </si>
  <si>
    <t>Implementation plan broken down according to:</t>
  </si>
  <si>
    <t>Components</t>
  </si>
  <si>
    <t>Outputs</t>
  </si>
  <si>
    <t>Procurement/ Approval steps</t>
  </si>
  <si>
    <t>Workpackages include WBS code</t>
  </si>
  <si>
    <t>FINANCIAL PLAN</t>
  </si>
  <si>
    <t>Financial plan broken down according to:</t>
  </si>
  <si>
    <t>Months</t>
  </si>
  <si>
    <t>Source of Funding</t>
  </si>
  <si>
    <t>Activities</t>
  </si>
  <si>
    <t>PROCUREMENT PLAN</t>
  </si>
  <si>
    <t>Procurement Plan:</t>
  </si>
  <si>
    <t>Plan is approved in SEPA</t>
  </si>
  <si>
    <t>Plan includes current procurement items</t>
  </si>
  <si>
    <t>OTHER IMPORTANT CONSIDERATIONS</t>
  </si>
  <si>
    <t>Content:</t>
  </si>
  <si>
    <t>Activity level &amp; financial plan consistent with project age</t>
  </si>
  <si>
    <t>Budget</t>
  </si>
  <si>
    <t>Financial plan in line with GOJ budget allocation</t>
  </si>
  <si>
    <t>PEU Financial plan within 20% variance of Bank's disb. projections</t>
  </si>
  <si>
    <t>AOP preparation process is done in a coordinated manner by PEU project team</t>
  </si>
  <si>
    <t>Project Coordinator</t>
  </si>
  <si>
    <t>Project Accountant</t>
  </si>
  <si>
    <t>Procurement Specialist</t>
  </si>
  <si>
    <t>Monitoring &amp; Evaluation Specialist</t>
  </si>
  <si>
    <t>Other: (Specify) _______________</t>
  </si>
  <si>
    <t>Personnel assigned to update AOPs</t>
  </si>
  <si>
    <t>ANNUAL OPERATING PLAN</t>
  </si>
  <si>
    <t>TABLE OF CONTENTS</t>
  </si>
  <si>
    <t>SECTION 1</t>
  </si>
  <si>
    <t>Project Overview</t>
  </si>
  <si>
    <t>SECTION 2</t>
  </si>
  <si>
    <t>Results Matrix</t>
  </si>
  <si>
    <t>SECTION 3</t>
  </si>
  <si>
    <t>SECTION 4</t>
  </si>
  <si>
    <t>Implementation Plan</t>
  </si>
  <si>
    <t>SECTION 5</t>
  </si>
  <si>
    <t>Detailed Financial Plan</t>
  </si>
  <si>
    <t>SECTION 7</t>
  </si>
  <si>
    <t>Consolidated Financial Plan</t>
  </si>
  <si>
    <t>SECTION 8</t>
  </si>
  <si>
    <t xml:space="preserve">AOP Checklist </t>
  </si>
  <si>
    <t>Risk Plan</t>
  </si>
  <si>
    <t>Total Q1</t>
  </si>
  <si>
    <t>Total Q2</t>
  </si>
  <si>
    <t>Total Q3</t>
  </si>
  <si>
    <t>Total Q4</t>
  </si>
  <si>
    <t>Tab 5 - Financial Plan</t>
  </si>
  <si>
    <t>Reference the WBS code and Deliverable from the Implementation Plan TAB</t>
  </si>
  <si>
    <t>Determine disbursement projection (row 53) for the next 6 months starting from the first month amounts are going to be made. Remember to update the formulas in Row 53 (Disbursement Projection)</t>
  </si>
  <si>
    <t>Tab 6 - Consolidated Financial Plan</t>
  </si>
  <si>
    <t>Lots Quantity</t>
  </si>
  <si>
    <t>Section 7: RISK MANAGEMENT</t>
  </si>
  <si>
    <t>Tab 7 - Risk Plan</t>
  </si>
  <si>
    <t>Outline any threats/risks that may affect project work, time, cost or quality</t>
  </si>
  <si>
    <t>The type of risk may be related to project management, project governance, macroeconomic, environmental, social, development, human resources, communication, fiscal, etc.</t>
  </si>
  <si>
    <t>The risk should be described in a manner to outline the proposed effect of it happening.</t>
  </si>
  <si>
    <t>Use the scale for Impact to describe the Imapct [I] of the risk happening and use the scale for Probability to define the Probability [P] of the risk occuring.</t>
  </si>
  <si>
    <t>Risk Rating is caluculated by multiplying the Impact and the Probalbiity [IxP]</t>
  </si>
  <si>
    <t>Use the Risk Rating Key to classify the Risk by indicating the value and level.</t>
  </si>
  <si>
    <t>Indicate the Risk Owner</t>
  </si>
  <si>
    <t>Include WBS code to which this risk relates. If it relates to the whole project, enter 0 (Project), if it relates to component 1, enter 1. If it relates to output 2.3, enter 2.3. If it relates to deliverable 1.3.4, enter 1.3.4</t>
  </si>
  <si>
    <t xml:space="preserve">Outline the Risk Response Strategy and action plan to address the risk </t>
  </si>
  <si>
    <t>Reputational</t>
  </si>
  <si>
    <t>CITIZEN SECURITY AND JUSTICE PROGRAMME 111</t>
  </si>
  <si>
    <t>Ministry of National Security</t>
  </si>
  <si>
    <t>3191/OC-JA</t>
  </si>
  <si>
    <t>Operation Number:   3191/OC-JA</t>
  </si>
  <si>
    <t>Component 2 - Labor Market Attachment and Employability</t>
  </si>
  <si>
    <t>Component 3 - Community Justice Services</t>
  </si>
  <si>
    <t>Community Justice Services</t>
  </si>
  <si>
    <t>The general objective is to enhance citizen security and justice in Jamaica in target communities.  The specific objecties are to:  (i)  improve behaviors for non-violent conflict resolution;  (ii)  increase labor market attachment among youth; and (iii)  increase access to effective community alternative justices services.</t>
  </si>
  <si>
    <t>Transition Plan</t>
  </si>
  <si>
    <t>Programme Management</t>
  </si>
  <si>
    <t>Sub-component 1111: Training courses provided to community members on parenting and healthy gender norms in fami-lies.</t>
  </si>
  <si>
    <t>Counselling/Psycho-Social Support provided to victims/witnesses of violence (including domestic violence)</t>
  </si>
  <si>
    <t>Violence Interruption Services Provided (e.g. Gang Interruption &amp; Reintegration activities)</t>
  </si>
  <si>
    <t>Violence Prevention and Conflict Resolution Education and Training in Schools</t>
  </si>
  <si>
    <t>Social Marketing for awareness and attitude change to promote 'culture of lawfulness'</t>
  </si>
  <si>
    <t>Community Events to improve citizen-police relations</t>
  </si>
  <si>
    <t>Crisis intervention activities conducted</t>
  </si>
  <si>
    <t>Training and technical assistance provided to community leaders and residents</t>
  </si>
  <si>
    <t>Community Infrastructure</t>
  </si>
  <si>
    <t>Community Safety Plans Developed with safety audits for vulnerable groups</t>
  </si>
  <si>
    <t>Peace Building through cultural and sporting activities</t>
  </si>
  <si>
    <t>Coordination at local level among MDAs &amp; CBOs</t>
  </si>
  <si>
    <t>Frontline Service Staff (includes regional Coordinators, CAOs, other frontline staff)</t>
  </si>
  <si>
    <t>Vocational Training provided to targeted beneficiaries</t>
  </si>
  <si>
    <t>Support to education provided to male/female beneficiaries</t>
  </si>
  <si>
    <t>Remedial education provided in or outside comunities with integrated and life-skills training</t>
  </si>
  <si>
    <t>Job-seeking, placement, and training services provided to target beneficiaries</t>
  </si>
  <si>
    <t>On-the-Job or work orientation apprenticeship/internships provided for male/female youth</t>
  </si>
  <si>
    <t>Business Development services provided for community residents in entrepreneurship</t>
  </si>
  <si>
    <t>Victim Services expanded and serving new clients in target communities</t>
  </si>
  <si>
    <t>Technical assistance and resource provided to Legal Aid Council</t>
  </si>
  <si>
    <t>Technical assistance and resource provided to Justice of the Peace Service Entities</t>
  </si>
  <si>
    <t>Technical assistance and resources provided to RJ Programme</t>
  </si>
  <si>
    <t>Technical assistance and resources provided to Child Diversion</t>
  </si>
  <si>
    <t>Social Justice Consortium</t>
  </si>
  <si>
    <t>Stipend Paid</t>
  </si>
  <si>
    <t>DFID</t>
  </si>
  <si>
    <t>GAC</t>
  </si>
  <si>
    <t>Social Workers &amp; Psychologists Consultants</t>
  </si>
  <si>
    <t>Social Marketing Staff Consultants</t>
  </si>
  <si>
    <t>Training courses provided to community members on parenting and healthy gender norms in fami-lies.</t>
  </si>
  <si>
    <t>Frontline Service Staff Consultants</t>
  </si>
  <si>
    <t>Frontline Service delivery staff Consultants including Regional Coordinators</t>
  </si>
  <si>
    <t>Pay stipend to MWAM Members for Outreach Activities</t>
  </si>
  <si>
    <t>Payment made for: Venue, Refreshment and Honorarium for Facilitator/s</t>
  </si>
  <si>
    <t>Patrice, Joudine, Simeon, Mary</t>
  </si>
  <si>
    <t>PSU Consultants Paid</t>
  </si>
  <si>
    <t>PMU Staff Consultants</t>
  </si>
  <si>
    <t>Monitoring &amp; Evaluations</t>
  </si>
  <si>
    <t>Risk Assement Tools</t>
  </si>
  <si>
    <t>PEU Client management database Software purchased; staff trained; system implemented</t>
  </si>
  <si>
    <t>PEU hardware purchases, software upgrades</t>
  </si>
  <si>
    <t>JCO software, hardware, tech support</t>
  </si>
  <si>
    <t>JCO Equipment &amp; Furniture</t>
  </si>
  <si>
    <t>4 new staff to aid with secondary data collection by the Jamaica Crime Observatory (JCO)</t>
  </si>
  <si>
    <t>Technical Assistance for Improving Monitoring Systems &amp; Reporting</t>
  </si>
  <si>
    <t xml:space="preserve">Design and conduct CSJP Community Survey data collection, analysis, and report publication. </t>
  </si>
  <si>
    <t>Women’s health survey (to assess prevalence of violence against women)</t>
  </si>
  <si>
    <t xml:space="preserve">Mid-term evaluation report </t>
  </si>
  <si>
    <t>Impact Evaluation on Parenting Program</t>
  </si>
  <si>
    <t>Impact Evaluation on Vocational Program</t>
  </si>
  <si>
    <t xml:space="preserve">Final evaluation </t>
  </si>
  <si>
    <t>Dissemination of knowledge and lessons (Social Norm Survey)</t>
  </si>
  <si>
    <t>Personnel</t>
  </si>
  <si>
    <t>Satisfaction Surveys</t>
  </si>
  <si>
    <t xml:space="preserve">Training and technical assistance to establish or improve community governannce structure </t>
  </si>
  <si>
    <t>Audit</t>
  </si>
  <si>
    <t>Advocacy campaign developed and implemented for community advocay plans survey</t>
  </si>
  <si>
    <t xml:space="preserve">Programme Management </t>
  </si>
  <si>
    <t>Technical Advisory Team</t>
  </si>
  <si>
    <t>COMPONENT 3: TOTAL</t>
  </si>
  <si>
    <t>MONITORING &amp; EVALUATIONS TOTAL</t>
  </si>
  <si>
    <t>Stationery and General Administrative Expenses, Furniture &amp; Equipment</t>
  </si>
  <si>
    <t>Administrative Fees</t>
  </si>
  <si>
    <t>PROGRAMME MANAGEMENT TOTAL</t>
  </si>
  <si>
    <t>Final report reviewed, approved and payment made</t>
  </si>
  <si>
    <t>Final Report reviewed, approved and payment made</t>
  </si>
  <si>
    <t>Violence interruption services continued - Western FY 2019/20</t>
  </si>
  <si>
    <t>PMI, Stephenson, Simmonds, Robinson, Bruce</t>
  </si>
  <si>
    <t>Payment for services</t>
  </si>
  <si>
    <t>Liaise with Partners re Planning and implementation of event</t>
  </si>
  <si>
    <t>Implementation of event and payment of services</t>
  </si>
  <si>
    <t>Leroy, Patrice &amp; Partners</t>
  </si>
  <si>
    <t>TV Show conducted and payment made</t>
  </si>
  <si>
    <t>Procure company to design and install wall branding at Community Facilities</t>
  </si>
  <si>
    <t>Implement Football component of Goals 4 Life/Peace</t>
  </si>
  <si>
    <t>Complete all works and issue practical completion.</t>
  </si>
  <si>
    <t>Procure furnishing &amp; Distribute to Gayle CMC</t>
  </si>
  <si>
    <t>Defects liability period. Correct defects issue final completion cert, release retention &amp; close project</t>
  </si>
  <si>
    <t>Commence project erect container &amp; modify</t>
  </si>
  <si>
    <t>Install partitioning, roof, ceiling, electrical &amp; plumbing works</t>
  </si>
  <si>
    <t>Shawn, Contractor,  Mary Joudine, Simeon</t>
  </si>
  <si>
    <t>Gayle Multi-purpose Centre Furnished</t>
  </si>
  <si>
    <t>Staff Consultants Paid</t>
  </si>
  <si>
    <t>Evaluation and selection of beneficiaries</t>
  </si>
  <si>
    <t>Payment of stipend</t>
  </si>
  <si>
    <t xml:space="preserve">Denise, RCMCs, CCMOS, Social Worker, </t>
  </si>
  <si>
    <t>Tuition support provided for 300 Students</t>
  </si>
  <si>
    <t>Stipend-EIP</t>
  </si>
  <si>
    <t>1.1.1.1</t>
  </si>
  <si>
    <t>Training courses provided to community members on parenting.</t>
  </si>
  <si>
    <t># parenting workshops</t>
  </si>
  <si>
    <t># of Beneficiaries</t>
  </si>
  <si>
    <t>1.1.1.1b</t>
  </si>
  <si>
    <t>Training courses provided to community members on healthy gender norms.</t>
  </si>
  <si>
    <t># of outreach Activities</t>
  </si>
  <si>
    <t>1.1.1.2</t>
  </si>
  <si>
    <t>Counselling / psycho-social support provided to victims/witnesses of violence (including domestic violence).</t>
  </si>
  <si>
    <t xml:space="preserve"># of sessions </t>
  </si>
  <si>
    <t>1.1.1.3</t>
  </si>
  <si>
    <t>Violence interruption services provided (e.g. gang interruption).</t>
  </si>
  <si>
    <t># of communities in which violence interruption is offered for at least 6 months</t>
  </si>
  <si>
    <t>1.1.1.4</t>
  </si>
  <si>
    <t>Violence prevention and conflict resolution education and training provided in schools</t>
  </si>
  <si>
    <t>#of workshops(1314,a)</t>
  </si>
  <si>
    <t># of Beneficiaries (1314,a)</t>
  </si>
  <si>
    <t># of schools (1314, a)</t>
  </si>
  <si>
    <t># Mediation Cases (1314e)</t>
  </si>
  <si>
    <t>1.1.1.5</t>
  </si>
  <si>
    <t>Social marketing for awareness and attitude change to promote ‘culture of lawfulness’ (e.g. to address violent gender norms, anti-snitch culture).</t>
  </si>
  <si>
    <t>#of campaigns</t>
  </si>
  <si>
    <t>1.1.1.6</t>
  </si>
  <si>
    <t>Community events to improve citizen-police relations conducted.</t>
  </si>
  <si>
    <t># of events</t>
  </si>
  <si>
    <t>1.1.1.7</t>
  </si>
  <si>
    <t xml:space="preserve"> Crisis intervention activities conducted (including but not limited to violence and gang interruption).</t>
  </si>
  <si>
    <t># of interventions</t>
  </si>
  <si>
    <t>1.1.2.1</t>
  </si>
  <si>
    <t>Training and technical assistance provided to female and male community leaders and residents to improve community governance capacity on needs assessment and strategic planning.</t>
  </si>
  <si>
    <t># of #  Registration training provided</t>
  </si>
  <si>
    <t xml:space="preserve">1121) Training and technical assistance provided to female and male community leaders and residents to improve community governance capacity on operations.
</t>
  </si>
  <si>
    <t># of CDCs receiving operaions training</t>
  </si>
  <si>
    <t>1.1.2.2</t>
  </si>
  <si>
    <t>Community infrastructure (situational crime prevention project and multi-purpose centres) built or renovated</t>
  </si>
  <si>
    <t># of small infratructure projects and multi-purpose centres</t>
  </si>
  <si>
    <t>1.1.2.3</t>
  </si>
  <si>
    <t>Community gender-responsive safety plans developed with safety audits for vulnerable groups.</t>
  </si>
  <si>
    <t># of community safety plans developed that include women's and children's safetyt audits</t>
  </si>
  <si>
    <t xml:space="preserve">Advocacy campaigns developed and implemented for gender-responsive community safety plans. </t>
  </si>
  <si>
    <t># of advocacy campaigns by CDCs on community safety plan implementation</t>
  </si>
  <si>
    <t>1.1.2.4</t>
  </si>
  <si>
    <t>Peace-building through cultural and sporting activities.</t>
  </si>
  <si>
    <t># of culture/ sporting events with peace messages held</t>
  </si>
  <si>
    <t>1.1.2.5</t>
  </si>
  <si>
    <t xml:space="preserve">Coordination at the local level among MDAs and with CDCs/CBOs. </t>
  </si>
  <si>
    <t># of events held to facilitate coordination</t>
  </si>
  <si>
    <t>1.2.1.1</t>
  </si>
  <si>
    <t>Technical assistance delivered on case management system for job training/placement</t>
  </si>
  <si>
    <t># of workshops</t>
  </si>
  <si>
    <t>1.2.1.2</t>
  </si>
  <si>
    <t>Vocational training provided to targeted male and Female beneficiaries.</t>
  </si>
  <si>
    <t># of participants</t>
  </si>
  <si>
    <t>1.2.1.3a</t>
  </si>
  <si>
    <t>Support for access to tertiary education provided to male &amp; female beneficiaries.</t>
  </si>
  <si>
    <t># of students attending tertiary school due to scholarships</t>
  </si>
  <si>
    <t>1.2.1.3b</t>
  </si>
  <si>
    <t xml:space="preserve"> Support for access to secondary education provided to male&amp; female beneficiaries. </t>
  </si>
  <si>
    <t># of students attending secondary school due to scholarships</t>
  </si>
  <si>
    <t>1.2.1.4</t>
  </si>
  <si>
    <t xml:space="preserve">Remedial education provided in or outside communities, with integrated and life-skills training for male &amp; Female participants. </t>
  </si>
  <si>
    <t>1.2.2.1</t>
  </si>
  <si>
    <t>Job-seeking, placement, and training services provided to female and male target beneficiaries.</t>
  </si>
  <si>
    <t># of participants who received job-seeking/placement services</t>
  </si>
  <si>
    <t>1.2.2.2</t>
  </si>
  <si>
    <t>On-the-job or work orientation apprenticeship/internships provided for male youth, with emphasis on life skills and high-demand occupations.</t>
  </si>
  <si>
    <t># of participants placed in positions</t>
  </si>
  <si>
    <t>1.2.2.3</t>
  </si>
  <si>
    <t>Business development services (BDS) provided for female and male community residents in entrepreneurship; emphasis on high-demand sectors.</t>
  </si>
  <si>
    <t># of small business grants disbursed to community members</t>
  </si>
  <si>
    <t>1.3.1.1a,c,d</t>
  </si>
  <si>
    <t xml:space="preserve">Victim Services expanded and serving new female and male clients in target communities. </t>
  </si>
  <si>
    <t># of New clients in victim services</t>
  </si>
  <si>
    <t>1.3.1.1g</t>
  </si>
  <si>
    <t>Technical assistance and resources provided to Victim Services Division (female/male).</t>
  </si>
  <si>
    <t># of new TA sessions</t>
  </si>
  <si>
    <t>1.3.1.2c</t>
  </si>
  <si>
    <t>Technical assistance and resources provided to Legal Aid Council (female/male) members/ same as Training of Police Officers &amp; JPs on Legal Aid issues.</t>
  </si>
  <si>
    <t># of participants trained on Legal Aid Issues</t>
  </si>
  <si>
    <t>1.3.1.3b,c</t>
  </si>
  <si>
    <t>Technical assistance and resources provided to (female and male) Justices of the Peace service entities.</t>
  </si>
  <si>
    <t># of new JPs trained</t>
  </si>
  <si>
    <t>1.3.1.4b</t>
  </si>
  <si>
    <t>Technical assistance and resources provided to DRF for training police &amp; justice (female and male) officials</t>
  </si>
  <si>
    <t># of  police &amp; court officials trained</t>
  </si>
  <si>
    <t>1.3.1.5d</t>
  </si>
  <si>
    <t>Restorative Justice services designed and operational in target communities.</t>
  </si>
  <si>
    <t># of new Restorative Justice cases in target communities</t>
  </si>
  <si>
    <t>1.3.1.5a</t>
  </si>
  <si>
    <t>Technical assistance and resources provided to Restorative Justice Programme.</t>
  </si>
  <si>
    <t xml:space="preserve"># of RJ
officers &amp; staff operating
</t>
  </si>
  <si>
    <t>1.3.1.6c</t>
  </si>
  <si>
    <t xml:space="preserve">Child Diversion pilot designed and operational in target communities </t>
  </si>
  <si>
    <t xml:space="preserve"> # of new  participants in Child Diversion</t>
  </si>
  <si>
    <t>1.3.1.6a</t>
  </si>
  <si>
    <t>Technical assistance and resources provided to Child Diversion Programme.</t>
  </si>
  <si>
    <t>1311f, 1315b, 1.3.1.6b</t>
  </si>
  <si>
    <t>Training provided to volunteers (female/male) &amp; facilitators (female/male), and leaders (female/male) in community justice services.</t>
  </si>
  <si>
    <t># of volunteers trained</t>
  </si>
  <si>
    <t>1.3.1.7a</t>
  </si>
  <si>
    <t>Technical assistance provided to the Social Justice Consortium (within MoJ) to support delivery of services and human rights compliance.</t>
  </si>
  <si>
    <t># ofworkshops given to government officials</t>
  </si>
  <si>
    <t>1.3.2.1 {1311e, 1312d, 1315c, 1316e}</t>
  </si>
  <si>
    <t>Sensitization training and material provided to target community residents (female/male) and justice system officials (female/male) on community justice services.</t>
  </si>
  <si>
    <t xml:space="preserve"># of events </t>
  </si>
  <si>
    <t>1.3.2.2 {1311, 1312f, 1314c, 1315, 1316d}</t>
  </si>
  <si>
    <t>1322{1311, 1312f, 1314c, 1315, 1316d}) Service points expanded/renovated; mobile service units provided in target communities.</t>
  </si>
  <si>
    <t># of service points expanded / made mobile</t>
  </si>
  <si>
    <t>1323 {1318}</t>
  </si>
  <si>
    <t xml:space="preserve">Outreach conducted (rights-based culture and awareness of services) in target communities. </t>
  </si>
  <si>
    <t xml:space="preserve"> # of campaigns </t>
  </si>
  <si>
    <t>Component 5 - Monitoring and Evaluation</t>
  </si>
  <si>
    <t>1.5.1.1</t>
  </si>
  <si>
    <t>Information system constructed and implemented to disaggregate the statistical data for Comp 1 by age, sex, community, risk profile, and other factors</t>
  </si>
  <si>
    <t># of systems</t>
  </si>
  <si>
    <t>1.5.1.4</t>
  </si>
  <si>
    <t xml:space="preserve"> Feasibility study designed &amp; implemented by M&amp;E consultant to determine add’l indicators to be collected &amp; programs to be evaluated </t>
  </si>
  <si>
    <t># of studies</t>
  </si>
  <si>
    <t>1.5.2.2</t>
  </si>
  <si>
    <t xml:space="preserve">Women’s Health Survey (incl
a module on violence against women) designed and implemented.
</t>
  </si>
  <si>
    <t># of surveys</t>
  </si>
  <si>
    <t>1.5.2.4</t>
  </si>
  <si>
    <t>Satisfaction surveys conducted and monitored for each type of training or intervention.</t>
  </si>
  <si>
    <t># of interventions with satisfaction survey systems active</t>
  </si>
  <si>
    <t>Payment of stipend to volunteers</t>
  </si>
  <si>
    <t>Procure venue and refreshments</t>
  </si>
  <si>
    <t>Procure stationery</t>
  </si>
  <si>
    <t>Procure facilitators</t>
  </si>
  <si>
    <t>Payment of rent and utilities for St. Catherine (Spanish Town)VSD Office</t>
  </si>
  <si>
    <t>Toll Fees</t>
  </si>
  <si>
    <t>Registration and fitness</t>
  </si>
  <si>
    <t>Maintenance of mobile unit</t>
  </si>
  <si>
    <t>One (1) Legal Research Consultant hired</t>
  </si>
  <si>
    <t>Procure stationery and course material</t>
  </si>
  <si>
    <t>Accomodation for facilitators</t>
  </si>
  <si>
    <t>Conduct Mediation Pilot Project</t>
  </si>
  <si>
    <t xml:space="preserve"> Service Points Expanded/Renovated/Mobile Service Units Provided in Target Communities. </t>
  </si>
  <si>
    <t>procure refreshment</t>
  </si>
  <si>
    <t>Payment of Rent</t>
  </si>
  <si>
    <t>Pay consultancy fees for existing staff of the RJ Centres.</t>
  </si>
  <si>
    <t xml:space="preserve">Payment of Consultancy fees for staff of RJ Unit  </t>
  </si>
  <si>
    <t>Payment of consultantancy fees</t>
  </si>
  <si>
    <t>Provide Internet Service for User Devices (Tablets)</t>
  </si>
  <si>
    <t>Case Mgmt Training</t>
  </si>
  <si>
    <t>Stakeholders Case Management Referral Workshops</t>
  </si>
  <si>
    <t>Case Management Stationery</t>
  </si>
  <si>
    <t>Case Management System Implemented &amp; maintained</t>
  </si>
  <si>
    <t xml:space="preserve">Payment  4 JCO Staff </t>
  </si>
  <si>
    <t>Technical Assistance &amp; Resources provided to Jamaica Crime Observatory</t>
  </si>
  <si>
    <t>Implementation of programme evaluations[Impact, Process, Mid-term, Final &amp; Expost Economic Analysis]</t>
  </si>
  <si>
    <t>Payment to IE Field Coordinator</t>
  </si>
  <si>
    <t>Consultants Paid</t>
  </si>
  <si>
    <t>Staff Consultants</t>
  </si>
  <si>
    <t>Utilities</t>
  </si>
  <si>
    <t>Payment</t>
  </si>
  <si>
    <t>Procure furniture and equipment</t>
  </si>
  <si>
    <t>Equipment maintenance</t>
  </si>
  <si>
    <t>Procure service provider</t>
  </si>
  <si>
    <t>Other administrative costs</t>
  </si>
  <si>
    <t>Procure consultant</t>
  </si>
  <si>
    <t>Mary, Simeon, Kerrian</t>
  </si>
  <si>
    <t>Mary, Simeon</t>
  </si>
  <si>
    <t xml:space="preserve">Summary of risk response for high level risks </t>
  </si>
  <si>
    <t xml:space="preserve">INDICATIVE </t>
  </si>
  <si>
    <t xml:space="preserve">MNS </t>
  </si>
  <si>
    <t>Component 1</t>
  </si>
  <si>
    <t xml:space="preserve">n/a </t>
  </si>
  <si>
    <t xml:space="preserve">Component 1 </t>
  </si>
  <si>
    <t>n/a</t>
  </si>
  <si>
    <t xml:space="preserve">Component 3 </t>
  </si>
  <si>
    <t xml:space="preserve">Procurement conducted on an ongoing basis </t>
  </si>
  <si>
    <t>MNS</t>
  </si>
  <si>
    <t xml:space="preserve">CSJP Good News -Wall branding at CSJP Communities </t>
  </si>
  <si>
    <t xml:space="preserve">Life Skills- Gears and equipment </t>
  </si>
  <si>
    <t xml:space="preserve">Life skills - Trophies and medals </t>
  </si>
  <si>
    <t>VSD- Office furntiure and Equipment</t>
  </si>
  <si>
    <t xml:space="preserve">Component 5 </t>
  </si>
  <si>
    <t xml:space="preserve">M and E Stationery </t>
  </si>
  <si>
    <t xml:space="preserve">Programme Mgmt -Furniture and Equipment </t>
  </si>
  <si>
    <t xml:space="preserve">MWAM - Venue and Refreshment </t>
  </si>
  <si>
    <t xml:space="preserve">with </t>
  </si>
  <si>
    <t xml:space="preserve">Life Skills Opening  &amp; Closing ceremony - Entertainment </t>
  </si>
  <si>
    <t xml:space="preserve">Life Skills - Opening &amp; closing ceremony Live Oustide Broadcast </t>
  </si>
  <si>
    <t xml:space="preserve">Life Skills- opening and closing ceremony  -Décor </t>
  </si>
  <si>
    <t xml:space="preserve">Life Skills - Refereess and First Aid </t>
  </si>
  <si>
    <t xml:space="preserve">Life Skills- opening and closing ceremony  -venue and refreshment </t>
  </si>
  <si>
    <t>Component 2</t>
  </si>
  <si>
    <t xml:space="preserve">JTI - Qualifying Training - Refreshment and venue </t>
  </si>
  <si>
    <t xml:space="preserve">Case Mgmt Training - Venue and refreshment </t>
  </si>
  <si>
    <t xml:space="preserve">Programme Mgmt - Equipment Maintenance </t>
  </si>
  <si>
    <t xml:space="preserve">JTI - Qualifying Training Facilitators </t>
  </si>
  <si>
    <t>Job Placement consultant</t>
  </si>
  <si>
    <t>PROJECT NUMBER:</t>
  </si>
  <si>
    <t>SECTION 2:  Results Matrix</t>
  </si>
  <si>
    <t>SECTION 3:  Implementation Plan</t>
  </si>
  <si>
    <t>PROJECT NUMBER:  3191/OC-JA</t>
  </si>
  <si>
    <t>SECTION 5:  Detailed Financial Plan</t>
  </si>
  <si>
    <t>SECTION 4:  Procurement Plan</t>
  </si>
  <si>
    <t>SECTION 6:  Consolidated Financial Plan</t>
  </si>
  <si>
    <t xml:space="preserve"> </t>
  </si>
  <si>
    <t xml:space="preserve">Macro-economic conditions and fiscal pressures could negatively impact employment prospects and enhanced delivery of government services thereby contributing to adverse security situations at the community level </t>
  </si>
  <si>
    <t>Programme Management  Total</t>
  </si>
  <si>
    <t>Total provided to Community members on healthy Gender Norms</t>
  </si>
  <si>
    <t>Subtotal  MWAM</t>
  </si>
  <si>
    <t>TOTAL Counselling/psycho-social support provided to victims/witnesses of violence (including domestic violence)</t>
  </si>
  <si>
    <t>Total Violence Interruption Services provided (e.g gang interruption)</t>
  </si>
  <si>
    <t>Sub-total Anti-Gang Campaign</t>
  </si>
  <si>
    <t>Sub-total Social Marketing for awarness and attitude change</t>
  </si>
  <si>
    <t>Sub-total Inter-regional Goals 4 Life</t>
  </si>
  <si>
    <t>Sub Total Multi purpose Centre</t>
  </si>
  <si>
    <t>Total Renovation &amp; expansion of Centres</t>
  </si>
  <si>
    <t>Community Safety Plans developed, with implementation/advocacy Campaign</t>
  </si>
  <si>
    <t>TOTAL COMPONENT 1</t>
  </si>
  <si>
    <t>Total Secondary Education Support</t>
  </si>
  <si>
    <t>Total Remedial Education provided, with integrated and life-skills training</t>
  </si>
  <si>
    <t xml:space="preserve"> Total Job seeking placement, and training services provided to target beneficaries</t>
  </si>
  <si>
    <t>Total on-the-job training</t>
  </si>
  <si>
    <t xml:space="preserve">TOTAL COMPONENT 2 </t>
  </si>
  <si>
    <t>Total Victim Services expanded snd serving new female and male clinents in target communities</t>
  </si>
  <si>
    <t>TOTAL PER FUND SOURCE</t>
  </si>
  <si>
    <t>Technical Assistant</t>
  </si>
  <si>
    <t>Printing of manuals</t>
  </si>
  <si>
    <t>22 communities in St. Catherine (10), Clarendon (5) and KMA (7) provided with violence interruption services</t>
  </si>
  <si>
    <t>Award contract and commence project</t>
  </si>
  <si>
    <t>Internal retrofitting works to container &amp; strengthen concrete building</t>
  </si>
  <si>
    <t>White Hall Containerized Multipurpose Centre Erection</t>
  </si>
  <si>
    <t>Sub-total Child Diversion</t>
  </si>
  <si>
    <t>Sub-total Restorative Justice Unit</t>
  </si>
  <si>
    <t>1 job expo conducted</t>
  </si>
  <si>
    <t>Total Scholarship support</t>
  </si>
  <si>
    <t>Total Vocational training provided to targeted benificaries</t>
  </si>
  <si>
    <t>Total Jamaica Training Institute</t>
  </si>
  <si>
    <t>4 case management workshops conducted</t>
  </si>
  <si>
    <t>2 stakeholder engagements conducted</t>
  </si>
  <si>
    <t>Total Case Management System</t>
  </si>
  <si>
    <t>Total Implementation of programme evaluations[Impact, Process, Mid-term, Final &amp; Expost Economic Analysis]</t>
  </si>
  <si>
    <t>Total Monitoring and Evaluation</t>
  </si>
  <si>
    <t>Total Other Surveys</t>
  </si>
  <si>
    <t>Payment to Consultant</t>
  </si>
  <si>
    <t>Victimization Survey (JNCVS)</t>
  </si>
  <si>
    <t>Total Programme Management</t>
  </si>
  <si>
    <t>GRAND TOTAL</t>
  </si>
  <si>
    <t>Electrical &amp; plumbing works, finishes</t>
  </si>
  <si>
    <t>Complete all works, issue practical completion certificate</t>
  </si>
  <si>
    <t>GRAND TOTAL COMPONENT 3</t>
  </si>
  <si>
    <t>Grand Total Community Infrastructure built and renovated</t>
  </si>
  <si>
    <t>Programme Mgmt</t>
  </si>
  <si>
    <t xml:space="preserve">Procurement conducted on an ongoing basis and as the need arise </t>
  </si>
  <si>
    <t>Procurement conducted on an ongoing basis and as the need arise</t>
  </si>
  <si>
    <t>Component 5</t>
  </si>
  <si>
    <t xml:space="preserve">Programme Mgmt - Stationery and office supplies </t>
  </si>
  <si>
    <t xml:space="preserve">Programme Mgmt </t>
  </si>
  <si>
    <t>The Bank approved a list of service providers vide CCB/CJA/682/2016 and CCB/CJA/1291/2016. Each service provider will be selected based on location of client and  availability of service provider. Activity will be conducted on an ongoing basis.</t>
  </si>
  <si>
    <t>IDB code: 6.3</t>
  </si>
  <si>
    <t>IDB code: 6.2</t>
  </si>
  <si>
    <t>IDB code: 6.1</t>
  </si>
  <si>
    <t>IDB code: 5.13</t>
  </si>
  <si>
    <t>IDB code: 5.12</t>
  </si>
  <si>
    <t>IDB code: 5.11</t>
  </si>
  <si>
    <t>IDB code: 5.10</t>
  </si>
  <si>
    <t>IDB code: 5.9</t>
  </si>
  <si>
    <t>IDB code: 5.8</t>
  </si>
  <si>
    <t>IDB code: 5.7</t>
  </si>
  <si>
    <t>IDB code: 5.6</t>
  </si>
  <si>
    <t>IDB code: 5.5</t>
  </si>
  <si>
    <t>IDB code: 5.4</t>
  </si>
  <si>
    <t>IDB code: 5.3</t>
  </si>
  <si>
    <t># of new mediation cases in target commuities</t>
  </si>
  <si>
    <t>Dispute Resolution Foundation services expanded and conducting new mediation cases in target communities</t>
  </si>
  <si>
    <t>IDB code: 5.2</t>
  </si>
  <si>
    <t># of new Clients</t>
  </si>
  <si>
    <t>Dispute Resolution Foundation services expanded and serving new female and male clients in target communities</t>
  </si>
  <si>
    <t>IDB code: 5.1</t>
  </si>
  <si>
    <t>IDB code: 4.4</t>
  </si>
  <si>
    <t>IDB code: 4.2-4.3</t>
  </si>
  <si>
    <t>IDB code:4.1</t>
  </si>
  <si>
    <t>IDB code: 3.8-3.9</t>
  </si>
  <si>
    <t>IDB code: 3.6-3.7</t>
  </si>
  <si>
    <t>IDB code: 3.4-3.5</t>
  </si>
  <si>
    <t>IDB code: 3.2-3.3</t>
  </si>
  <si>
    <t>IDB code: 3.1</t>
  </si>
  <si>
    <t>IDB code: 2.7</t>
  </si>
  <si>
    <t>IDB code: 2.6</t>
  </si>
  <si>
    <t>IDB code: 2.5</t>
  </si>
  <si>
    <t>IDB code: 2.4</t>
  </si>
  <si>
    <t>IDB code: 2.3</t>
  </si>
  <si>
    <t>IDB code: 2.2</t>
  </si>
  <si>
    <t>IDB code: 2.1</t>
  </si>
  <si>
    <t>IDB code: 1.11</t>
  </si>
  <si>
    <t>IDB code: 1.10</t>
  </si>
  <si>
    <t>IDB code: 1.9</t>
  </si>
  <si>
    <t>IDB code: 1.8</t>
  </si>
  <si>
    <t>IDB code: 1.7</t>
  </si>
  <si>
    <t>IDB code: 1.6</t>
  </si>
  <si>
    <t>IDB code: 1.5</t>
  </si>
  <si>
    <t>IDB code: 1.4</t>
  </si>
  <si>
    <t>IDB code: 1.3</t>
  </si>
  <si>
    <t>IDB code: 1.2</t>
  </si>
  <si>
    <t>IDB code: 1.1</t>
  </si>
  <si>
    <t>Risk ID</t>
  </si>
  <si>
    <r>
      <t xml:space="preserve">WBS Code </t>
    </r>
    <r>
      <rPr>
        <b/>
        <sz val="10"/>
        <color rgb="FF000000"/>
        <rFont val="Calibri"/>
        <family val="2"/>
      </rPr>
      <t>(Project, Component, Output or Deliverable)</t>
    </r>
  </si>
  <si>
    <t xml:space="preserve">Type of Risk </t>
  </si>
  <si>
    <r>
      <t xml:space="preserve">Risk 
</t>
    </r>
    <r>
      <rPr>
        <b/>
        <sz val="10"/>
        <color rgb="FF000000"/>
        <rFont val="Calibri"/>
        <family val="2"/>
      </rPr>
      <t>(Describe potential future opportunities (positive or negative) as well as any threats that caused changes to project work, time, cost and quality.)</t>
    </r>
  </si>
  <si>
    <t>Impact (I)</t>
  </si>
  <si>
    <t>Probability (P)</t>
  </si>
  <si>
    <t>Risk Rating (IxP)</t>
  </si>
  <si>
    <t>Risk Classification (use Key below)</t>
  </si>
  <si>
    <t>Risk Response Strategy</t>
  </si>
  <si>
    <t>Risk Action Plan</t>
  </si>
  <si>
    <t>Risk Owner</t>
  </si>
  <si>
    <t>Value</t>
  </si>
  <si>
    <t>Level</t>
  </si>
  <si>
    <t>Macro-economic and Fiscal Sustainability</t>
  </si>
  <si>
    <t xml:space="preserve">The gradual Increase in the number of projects being added to the Capital B Accounts may limit the Fiscal Space available to the Programme.  
</t>
  </si>
  <si>
    <t>Accept</t>
  </si>
  <si>
    <t xml:space="preserve">i. Reallocate budget to more critical activities.  
 ii. Collaborate with internal units and external agencies such as MDAs to implement activities which the Programme is unable to undertake on its own due to fiscal constraints.  
</t>
  </si>
  <si>
    <t xml:space="preserve">Line ministries will be unable to disburse funds on a timely basis due to capacity constraints once responsibilities and budget line items are transferred to them from the Programme Executing Unit. 
</t>
  </si>
  <si>
    <t>Mitigate</t>
  </si>
  <si>
    <t xml:space="preserve">i. Determine component estimates as accurately as possible at the start and review regularly, using key partner staff at the appropriate levels to prioritize and cost activities. 
ii. Provide technical assistance to strengthen partners’ capacity to plan and budget for Programme activities. 
iii. Review procurement capacity and requirements of each line ministry ahead of transfer of services and address any discrepancies or gaps. 
</t>
  </si>
  <si>
    <t>Accounts and Procurement Units</t>
  </si>
  <si>
    <t>Labour Market Staff</t>
  </si>
  <si>
    <t>Component 1-1115</t>
  </si>
  <si>
    <t xml:space="preserve">Some community residents do not see security and justice as priority issues but rather poverty and unemployment while some policy makers and MDAs do 
not see social interventions like CSJP as a core andate of the MNS 
</t>
  </si>
  <si>
    <t xml:space="preserve">i. Implement Social Marketing campaigns showing how weak security leads to unemployment and poverty 
ii. Include target communities &amp; MDAs in the planning and implementation process. iii. Ensure proactive engagement with highlevel government officials through the Public Order Committee and keep Minister of MNS informed so he continues his role as a Programme champion.
iv.Conduct public awareness campaigns to encourage broader community participation. 
v.Do more proactive communication of the positive results of CSJP activities and their effects on community safety, including community member testimonials. 
</t>
  </si>
  <si>
    <t>Social Marketing Unit and MNS</t>
  </si>
  <si>
    <t>Share</t>
  </si>
  <si>
    <t>Key</t>
  </si>
  <si>
    <t>Risk Response</t>
  </si>
  <si>
    <t>Risk Rating</t>
  </si>
  <si>
    <t>Risk Classification</t>
  </si>
  <si>
    <t>Rating</t>
  </si>
  <si>
    <t>Interpretation</t>
  </si>
  <si>
    <t>Escalate</t>
  </si>
  <si>
    <t>when managing the threat is outside the scope of the PEU’s authority</t>
  </si>
  <si>
    <t>Avoid</t>
  </si>
  <si>
    <t>eliminating the threat or protecting the project from its impacts</t>
  </si>
  <si>
    <t>Transfer</t>
  </si>
  <si>
    <t>shifting ownership and management to a 3rd party to bear the impact of the risk</t>
  </si>
  <si>
    <t>reducing the probability or impact of the risk by making it a lesser risk</t>
  </si>
  <si>
    <t>doing nothing (usually for low level threats or when it is not cost-effective to alleviate.  For positive risks, acknowledging the opportunity but not taking proactive measures.</t>
  </si>
  <si>
    <t>Low</t>
  </si>
  <si>
    <t>Expoit</t>
  </si>
  <si>
    <t>(for positive risks) ensuring that the opportunity becomes a reality</t>
  </si>
  <si>
    <t>Enhance</t>
  </si>
  <si>
    <t>(for positive risks) increasing the probability and positive impact</t>
  </si>
  <si>
    <t>(for positive risks) sharing the opportunity with a 3rd party</t>
  </si>
  <si>
    <t>Scale for Probability</t>
  </si>
  <si>
    <t xml:space="preserve"> One (1) Legal Consultant </t>
  </si>
  <si>
    <t>-</t>
  </si>
  <si>
    <t>Victimization Survey</t>
  </si>
  <si>
    <t>536 Parents engaged; 18 monthly workshops conducted; 63 Community Parent Trainers engaged; 9 Parent Field Officers engaged</t>
  </si>
  <si>
    <t>Printing of 2000 Manuals &amp; Work Books</t>
  </si>
  <si>
    <t>1 MWAM Personal Development Workshops &amp; Certified Training courses conducted</t>
  </si>
  <si>
    <t>Orville, Mary</t>
  </si>
  <si>
    <t>Patrice, Leroy, Orville, Mary, Joudene</t>
  </si>
  <si>
    <t>Joudine, Melva, Orville, Mary</t>
  </si>
  <si>
    <t>Joudine, Melva,Orville Mary</t>
  </si>
  <si>
    <t>170 beneficaries;  1,260 counselling sessions;  315 Drug Tests;  45 group sessions;  9 empowerment sessions</t>
  </si>
  <si>
    <t>Simmonds, Chaday, Bruce</t>
  </si>
  <si>
    <t>PMI, Stephenson, Simmonds,  Bruce</t>
  </si>
  <si>
    <t>Leroy, Patrice,  Joudine, Mary, Orville</t>
  </si>
  <si>
    <t>Patrice,  Joudine, Mary, Orville</t>
  </si>
  <si>
    <t>2 Closing ceremonies implemented for Goals 4 Life/Peace</t>
  </si>
  <si>
    <t>1 Opening ceremony implemented for Goals 4 Life/Peace</t>
  </si>
  <si>
    <t>Orville, Mary, Consultants</t>
  </si>
  <si>
    <t>Shawn, Contractor,  Mary Joudine, Orville</t>
  </si>
  <si>
    <t>Site infrastructure works completed</t>
  </si>
  <si>
    <t>Consultants ( Community Case Management Officers)</t>
  </si>
  <si>
    <t>788 Beneficaries received training</t>
  </si>
  <si>
    <t>Bailey, Bruce,Jomie, Orville</t>
  </si>
  <si>
    <t xml:space="preserve"> VSD office in Westmoreland renovated</t>
  </si>
  <si>
    <t xml:space="preserve"> MOJ, Jomie, Simmonds, Bruce</t>
  </si>
  <si>
    <t>Joudine, M&amp;E unit, Orville, Mary</t>
  </si>
  <si>
    <t>Final Evaluation</t>
  </si>
  <si>
    <t>EOI Advertized &amp; Consultant Procured</t>
  </si>
  <si>
    <t>Draft Final Report Submitted</t>
  </si>
  <si>
    <t xml:space="preserve">Support to MDAs </t>
  </si>
  <si>
    <t>JIS Conract to support Transition and Exit Communication Strategey (to inlude Documentary)</t>
  </si>
  <si>
    <t>Delivery and Payment of brochure</t>
  </si>
  <si>
    <t>GRAND TOTAL TRANSITION</t>
  </si>
  <si>
    <t xml:space="preserve">Child Diversion - Stationery and office equipment </t>
  </si>
  <si>
    <t xml:space="preserve">Peacemobile Exit Fair - Flyers </t>
  </si>
  <si>
    <r>
      <t>Explanation of variance between Planned (P) and Suggested Planned Adjusted (a)  [</t>
    </r>
    <r>
      <rPr>
        <b/>
        <i/>
        <sz val="11"/>
        <rFont val="Calibri"/>
        <family val="2"/>
        <scheme val="minor"/>
      </rPr>
      <t>Do not exceed 50 words</t>
    </r>
    <r>
      <rPr>
        <sz val="11"/>
        <rFont val="Calibri"/>
        <family val="2"/>
        <scheme val="minor"/>
      </rPr>
      <t>]</t>
    </r>
  </si>
  <si>
    <t>1.3.1.4</t>
  </si>
  <si>
    <t># of  court professionals trained</t>
  </si>
  <si>
    <t xml:space="preserve">i. Identify training and work opportunities in nontraditional and high-demand sectors based on recent labour market information and GOJ economic priorities. 
ii. Implement income-generating activities and business development services, including start-up funding. 
iii. Integrate entrepreneurial skills into training programmes to increase 
options for self- employment. 
iv. Engage the private sector early in Programme development to facilitate their collaboration. 
</t>
  </si>
  <si>
    <t xml:space="preserve">i. GOJ will seek additional source of funding to shore up the financial resources of the Programme.
ii. PEU will Implement various cost cutting measures to reduce overall expenditure </t>
  </si>
  <si>
    <t>HIGH</t>
  </si>
  <si>
    <t>Fluctuation in exchange rate of international funding sources may impact the Programme’s financial resources</t>
  </si>
  <si>
    <t xml:space="preserve">i. Develop capacity of and strengthen collaboration among key local partners through related training and participation in Programme Steering Committee. 
ii. Ensure that there is representation from community residents, Community-Based Organizations, and NGOs/civil society on the Programme Steering Committee. 
iii. Ensure that part of the Technical Advisory Team is dedicated to supporting the design and implementation of oversight mechanisms. 
</t>
  </si>
  <si>
    <t xml:space="preserve">Programme progress could be hampered due to a lack of functioning programme oversight bodies (Public Order Committee, Technical Working Group and Programme Steering committee) that would hold CSJP accountable for achieving results at the community level. 
</t>
  </si>
  <si>
    <t>Monitoring and Accountability</t>
  </si>
  <si>
    <t>Senior Governance Officer</t>
  </si>
  <si>
    <t xml:space="preserve">(i) Conduct regular stakeholder outreach with community members, the private sector, community service providers and MDAs to provide constant sensitization on CSJP III activities. 
(ii) Require the CDCs supported by CSJP in each community to demonstrate how they are coordinating with other entities working on similar issues. 
(iii) Inform and empower members of the Project Steering Committee to take on a communications role. 
(iv) Identify incentives to encourage more consistent attention from high-level officials (networking opportunities, useful information exchange, and capacity building 
</t>
  </si>
  <si>
    <t xml:space="preserve">Insufficient coordination among MDAs and donors delivering programmes and services in CSJP ommunities could result in duplication of services or conflicting approaches. 
</t>
  </si>
  <si>
    <t>Public Management and Governance</t>
  </si>
  <si>
    <t>Component 1  -1125</t>
  </si>
  <si>
    <t>HR and Programme Management</t>
  </si>
  <si>
    <t xml:space="preserve">(i) Seek internally for suitable staff to fill vacant positions. 
(ii) Utilize selective 
procurement methodology to hire suitable consultants in a timely manner to fill vacant positions critical to its service delivery. 
</t>
  </si>
  <si>
    <t xml:space="preserve">The Programme is facing the risk of not meeting its targets due to high turnover of critical staff and as the Programme comes to an end it is unable to recruit suitable staff in a timely manner.  </t>
  </si>
  <si>
    <t xml:space="preserve">i. Transfer CSJP staff with the relevant experience and expertise to the government department to maintain/build capacity. 
ii. Facilitate work exchanges between CSJP and MDAs’ staff to familiarize MDAs with required functions and processes. 
iii.  The Programme will support the implementation of a transition plan with milestones, timelines, to ensure measured transfer of resources, capacity and knowledge. 
iv. Establish a repository of Programmerelated documents and will share relevant software to support the transition of services to the line ministries. 
v. Standard reporting formats and training will be provided to all Programme partners to ensure that MDAs can track progress based on GOJ requirements. 
vi. Organize workshops on planning, training, reporting and networking among partners to share best practices. 
</t>
  </si>
  <si>
    <t xml:space="preserve">High </t>
  </si>
  <si>
    <t xml:space="preserve">Service delivery by MDAs during/after the transition of services will be hampered due to limited capacity and/or resources within the government to assume CSJP responsibilities and coordination. 
</t>
  </si>
  <si>
    <t>Maverley Centre Renovated</t>
  </si>
  <si>
    <t>Orville Simmonds</t>
  </si>
  <si>
    <t>48 Communities provided with violence interruption services in the KMA, Central Region &amp; Western</t>
  </si>
  <si>
    <t>36 Outreach session</t>
  </si>
  <si>
    <t>Procure music items for 8 schools</t>
  </si>
  <si>
    <t>Procure Sport items for 12 schools</t>
  </si>
  <si>
    <t>Procure décor for handing over ceremony</t>
  </si>
  <si>
    <t>Procure refreshment for handing over ceremony</t>
  </si>
  <si>
    <t>Liv Gud paraphernalia delivered and paid</t>
  </si>
  <si>
    <t xml:space="preserve">6000 units (bags, t-shirts, polo-shirts, armbands, </t>
  </si>
  <si>
    <t>3 CSJP Peace Mobile Community Exit Fairs</t>
  </si>
  <si>
    <t>100% complete. Issue practical completion cert &amp; commence defects liability period</t>
  </si>
  <si>
    <t>One centre Renovated &amp; Expanded (Gayle Multi-purpose Centre Phase 1)</t>
  </si>
  <si>
    <t>One centre Renovated &amp; Expanded (Gayle Multi-purpose Centre Phase 2)</t>
  </si>
  <si>
    <t>Correction of defects, Issue Final completion certificate, release retention &amp; close contract.</t>
  </si>
  <si>
    <t>Final drawing &amp; BQ approve and payment made</t>
  </si>
  <si>
    <t>Correction of defects,Issue final completion Cert &amp; close project</t>
  </si>
  <si>
    <t>Project 30% completion</t>
  </si>
  <si>
    <t>Project attain  attain 60% completion</t>
  </si>
  <si>
    <t>Mobilization &amp; commence project</t>
  </si>
  <si>
    <t xml:space="preserve">Inception   Report  from VPA </t>
  </si>
  <si>
    <t>1st Progress Report/Asset maps for Kingston &amp; Clarendon</t>
  </si>
  <si>
    <t>Final Report</t>
  </si>
  <si>
    <t>Asset Mapping and Cartography work for Major Crimes &amp; VRI for 21 Priority Communities</t>
  </si>
  <si>
    <t>Shawn,  Mary Joudine, Orville</t>
  </si>
  <si>
    <t xml:space="preserve"> Mary Joudine, Orville, Danelle</t>
  </si>
  <si>
    <t>Procure venue and refreshment and PA System</t>
  </si>
  <si>
    <t>Procure decorations</t>
  </si>
  <si>
    <t>Procure graduation gowns</t>
  </si>
  <si>
    <t>Procure materials including trophies and plaques</t>
  </si>
  <si>
    <t>Procure printing of programmes and certificates</t>
  </si>
  <si>
    <t>Denise,  Mary, Orville</t>
  </si>
  <si>
    <t>Denise,  Mary, Orville, Joudene</t>
  </si>
  <si>
    <t>Denise, RCMCs, CCMOS, Social Worker,Orville Mary</t>
  </si>
  <si>
    <t>Subtotal [JPs: Lay Magistrates' Court]</t>
  </si>
  <si>
    <t>Subtotal: JPs:  Fraudulent Documents, Deterrance, Examination</t>
  </si>
  <si>
    <t>Pay Consultancy fees</t>
  </si>
  <si>
    <t>Prepare and Conduct Mediation Project in the Resident Magistrates' (Parish) Courts.</t>
  </si>
  <si>
    <t>Capacity building of  2 MDAs</t>
  </si>
  <si>
    <t>Procure consultant to edit manuscripts for publication</t>
  </si>
  <si>
    <t>Procure printing services to print books and programmes for event</t>
  </si>
  <si>
    <t>Procure venue for symposium</t>
  </si>
  <si>
    <t>Procure multimedia</t>
  </si>
  <si>
    <t>Procure branded paraphernalia such as bags, folders, pens</t>
  </si>
  <si>
    <t>6 manuscripts copy-edited and proof read</t>
  </si>
  <si>
    <t>1 symposium conducted</t>
  </si>
  <si>
    <t>Payment made</t>
  </si>
  <si>
    <t>Décor</t>
  </si>
  <si>
    <t>Award Ceremony</t>
  </si>
  <si>
    <t xml:space="preserve">Procure Venue &amp; Refreshment </t>
  </si>
  <si>
    <t>Procure  Awards and Trophies</t>
  </si>
  <si>
    <t>Procure Audio Visual Support (LED Screens, PA System with DJ, etc)</t>
  </si>
  <si>
    <t>Renee, Joudine,Orville, Mary</t>
  </si>
  <si>
    <t>Spence, Jomie, Simmonds</t>
  </si>
  <si>
    <t>Cohort 2: 1st Follow-up Inception reports &amp;  Academic records</t>
  </si>
  <si>
    <t>Cohort 1: 2nd Follow-up Field Technical Report &amp; Cohort 2: 2nd Follow-up Inception Report</t>
  </si>
  <si>
    <t>cohort 2: 1st follow-up Cleaned SPSS Database sumitted</t>
  </si>
  <si>
    <t>Cohort 2: 1st Follow-up Technical Report Submitted&amp; Academic records</t>
  </si>
  <si>
    <t>Cohort 2: 2nd follow-up  Clean SPSS Database submitted&amp; Academic records</t>
  </si>
  <si>
    <t>Cohort 2: 2nd follow-up  Field Technical Report submitted</t>
  </si>
  <si>
    <t>2nd Progress Report</t>
  </si>
  <si>
    <t>1st progress Report</t>
  </si>
  <si>
    <t>Final Report Submitted</t>
  </si>
  <si>
    <t>M&amp;E unit, Orville, Mary</t>
  </si>
  <si>
    <t>Consultants</t>
  </si>
  <si>
    <t>Estimated Budgetary Requirements (January - December 2020) US$ '000</t>
  </si>
  <si>
    <t>Component 1 -Culture change for Peaceful Co-existence and Community Goivernance</t>
  </si>
  <si>
    <t>Twenty-one (21)Asset maps, major crimes &amp; VRI reports</t>
  </si>
  <si>
    <t>Vocational Skills Training</t>
  </si>
  <si>
    <t>Tuition support provided to Beneicaries</t>
  </si>
  <si>
    <t xml:space="preserve">Job Placement Officers </t>
  </si>
  <si>
    <t>Pre Vocational Skills Training Delivered</t>
  </si>
  <si>
    <t>Employment Internship (EIP)</t>
  </si>
  <si>
    <t>Justice Consortium</t>
  </si>
  <si>
    <t>Consultant paid</t>
  </si>
  <si>
    <t>2000 Manuals will be produced</t>
  </si>
  <si>
    <t>21 asset Maps will be produced instead of the Safety Plans</t>
  </si>
  <si>
    <t>Sem 2: 2020</t>
  </si>
  <si>
    <t>Sem 1: 2020</t>
  </si>
  <si>
    <t>EOP 2020</t>
  </si>
  <si>
    <t>2000 Manuals  Printed</t>
  </si>
  <si>
    <t>Total Expenditure to Date US$'000-(As December 2019)</t>
  </si>
  <si>
    <t>Programme Management has identified key positions for which other staff members understudy should the incumbent resign. Additionally, certain tasks are being reassigned so as to encourage the development of the relevant knowledge and skills across multiple persons</t>
  </si>
  <si>
    <t>The MNS continues to seek to engage the relevant MDAs, primarily HEART/NTA and the Ministry of Education, to take up relevant services. Meetings have been held with both entities.</t>
  </si>
  <si>
    <t>Public Management and Governance Risk: The smooth closing out of the Programme may be at risk as staff members seek to take up employment opportunities elsewhere given the imminent closing of the Programme</t>
  </si>
  <si>
    <t xml:space="preserve">Public Management and Governance Risk: The Programme’s sustainability is challenged by the pace of Transition planning and implementation. This could dispose the Programme to the risk of not achieving its sustainability objectives which largely rest upon the successful transition of services to the relevant MDAs by the end of CSJP III. Whilst transition is driven largely by the MNS, it also depends on the sustained support of the MDAs. </t>
  </si>
  <si>
    <t>Where possible, alternate venues are being identified while the PEU has also sought to  engage the JCF to have police presence at planned events</t>
  </si>
  <si>
    <t>Efforts are being made to engage HEART/NTA to continue service delivery under MOU in accordance with the Transition arrangement. Additionally, case officer will use the first three months of 2020 to conduct intensive follow up with clients to prepare them for separation or transition. Also, a Referral Kit will be provided to clients to assist them in accessing services from other organizations</t>
  </si>
  <si>
    <t>Violence in communites continue to be a challenge which has impacted a critical closing out activity - the intra and inter community football competition geared at improved community relations</t>
  </si>
  <si>
    <t>Given the closing out of service delivery by the end of 2019, the implementation of case plans of numerous clients have not been completed especially with respect to Pre-Vocational and Vocational training. This will have adverse effect on the expected behaviour change and employability</t>
  </si>
  <si>
    <r>
      <t xml:space="preserve">Component 1: </t>
    </r>
    <r>
      <rPr>
        <b/>
        <sz val="12"/>
        <rFont val="Times New Roman"/>
        <family val="1"/>
      </rPr>
      <t>Culture Change for Peaceful Co-existence and Community Governanc</t>
    </r>
    <r>
      <rPr>
        <sz val="12"/>
        <rFont val="Times New Roman"/>
        <family val="1"/>
      </rPr>
      <t xml:space="preserve">e. This component provides knowledge, skills, and opportunities that allow residents to challenge and change attitudes which promote or tolerate violence (including interpersonal relations &amp; gender equality).  Activities include: parenting education; counseling and psychological services; violence interruption services; capacity strengthening of local governance structures; situational crime prevention; construction and equipping of community multi-purpose centres.  
Component 2: </t>
    </r>
    <r>
      <rPr>
        <b/>
        <sz val="12"/>
        <rFont val="Times New Roman"/>
        <family val="1"/>
      </rPr>
      <t>Labour Market Attachment and Employability</t>
    </r>
    <r>
      <rPr>
        <sz val="12"/>
        <rFont val="Times New Roman"/>
        <family val="1"/>
      </rPr>
      <t xml:space="preserve">: Provides employability services to youth operating at 3 different job-readiness levels: Group 1 (highest job-readiness): short-term vocational and on the-job training; job-seeking, placement, etc.  Group 2 (intermediate job readiness): on-the-job training and work orientation, e.g. construction apprenticeships with the JDF, summer employment internships, etc.; Group 3 (lowest job-readiness): literacy and numeracy skills to equip them to participate in more advanced training at vocational/secondary school levels.
Component 3: </t>
    </r>
    <r>
      <rPr>
        <b/>
        <sz val="12"/>
        <rFont val="Times New Roman"/>
        <family val="1"/>
      </rPr>
      <t>Community Justice Services</t>
    </r>
    <r>
      <rPr>
        <sz val="12"/>
        <rFont val="Times New Roman"/>
        <family val="1"/>
      </rPr>
      <t xml:space="preserve">: Seeks to increase access to (and usage of) justice services outside of the formal court system.  Activities include: expansion of the Restorative Justice programme to bring eligible cases to resolution; Child Diversion programmes for steering juveniles in conflict with the law away from criminal charges, prosecution, and/or incarceration; mobile-unit delivery of some services will be expanded to target communities, e.g. Legal Aid, Mediation, Justices of the Peace who can address local disputes before they escalate, Victim Services and, strengthening MOJ to manage and monitor community justice services.
</t>
    </r>
  </si>
  <si>
    <t xml:space="preserve">10 Semester </t>
  </si>
  <si>
    <t>Loan &amp; Grant Amount:</t>
  </si>
  <si>
    <t>20-1111d(iii)</t>
  </si>
  <si>
    <t xml:space="preserve">Consultant Editing and Proof Reading Services </t>
  </si>
  <si>
    <t>20-1123a</t>
  </si>
  <si>
    <t xml:space="preserve">Asset Mapping and cartography - VPA </t>
  </si>
  <si>
    <t>20-1611b(ii)</t>
  </si>
  <si>
    <t>Programme Mgmt - Other Administrative services( Pest control, motor vehicle maintenance, plumbing services, locksmith services, assets/ removal disposals etc. )</t>
  </si>
  <si>
    <t>20-1611b</t>
  </si>
  <si>
    <t xml:space="preserve">20-1511b </t>
  </si>
  <si>
    <t>20-1315b</t>
  </si>
  <si>
    <t>20-1313c</t>
  </si>
  <si>
    <t>20-1212a(ii)</t>
  </si>
  <si>
    <t xml:space="preserve">VST Graduation - rental of gowns </t>
  </si>
  <si>
    <t>20-1212a(i)</t>
  </si>
  <si>
    <t xml:space="preserve">VST Graduation -Décor </t>
  </si>
  <si>
    <t>20-1212a</t>
  </si>
  <si>
    <t xml:space="preserve">VST Graduation  - Refreshment and venue </t>
  </si>
  <si>
    <t>20-1115a(xii)</t>
  </si>
  <si>
    <t>20-1115a(xi)</t>
  </si>
  <si>
    <t>20-1115a(x)</t>
  </si>
  <si>
    <t>20-1115a(viiii)</t>
  </si>
  <si>
    <t>20-1115a(viii)</t>
  </si>
  <si>
    <t>20-1115a(vii)</t>
  </si>
  <si>
    <t>20-1115a(iv)</t>
  </si>
  <si>
    <t>20-1111c(ii)</t>
  </si>
  <si>
    <t>20-1611a(i)</t>
  </si>
  <si>
    <t>20-1611a</t>
  </si>
  <si>
    <t>20-1513a</t>
  </si>
  <si>
    <t>20-1511c</t>
  </si>
  <si>
    <t>20-1316b</t>
  </si>
  <si>
    <t>20-1315c</t>
  </si>
  <si>
    <t xml:space="preserve">RJ-- Stationery and office supplies  </t>
  </si>
  <si>
    <t>20-1311a</t>
  </si>
  <si>
    <t>20-1212b(i)</t>
  </si>
  <si>
    <t>20-1212b</t>
  </si>
  <si>
    <t xml:space="preserve">VST Graduation - Trophies and Plaques </t>
  </si>
  <si>
    <t>20-1115b(vi)</t>
  </si>
  <si>
    <t>20-1115b(v)</t>
  </si>
  <si>
    <t>20-1115b(iv)</t>
  </si>
  <si>
    <t>20-1115a(i)</t>
  </si>
  <si>
    <t xml:space="preserve">20-1115 a </t>
  </si>
  <si>
    <t>20-1111c</t>
  </si>
  <si>
    <t>Parenting Programme- Printing of Manuals</t>
  </si>
  <si>
    <t>Without  ( the option is not  given in the appropriate column )</t>
  </si>
  <si>
    <t xml:space="preserve">Gayle Multipurpose Centre Phase 2 -Renovation Works </t>
  </si>
  <si>
    <t>20-1122a</t>
  </si>
  <si>
    <t>20-1122b</t>
  </si>
  <si>
    <t xml:space="preserve">20-1312c </t>
  </si>
  <si>
    <t xml:space="preserve">Legal Aid - Consultant </t>
  </si>
  <si>
    <t>20-1316a</t>
  </si>
  <si>
    <t xml:space="preserve">Transition - Printing of Symposium documents </t>
  </si>
  <si>
    <t xml:space="preserve">Transition 1 </t>
  </si>
  <si>
    <t>Transition 2</t>
  </si>
  <si>
    <t xml:space="preserve">Transition - Refreshment andVenue Symposium </t>
  </si>
  <si>
    <t xml:space="preserve">Transition - Accomodation Symposium </t>
  </si>
  <si>
    <t>Transition 3</t>
  </si>
  <si>
    <t xml:space="preserve">Transition - Decor Symposium </t>
  </si>
  <si>
    <t>Transition 4</t>
  </si>
  <si>
    <t xml:space="preserve">Transition -Rental of mulitmedia  Symposium </t>
  </si>
  <si>
    <t>Transition 5</t>
  </si>
  <si>
    <t xml:space="preserve">Case Mgmt - Stationery </t>
  </si>
  <si>
    <t>Scale for Impact</t>
  </si>
  <si>
    <t>No real impact</t>
  </si>
  <si>
    <t>Over budget by 10% to 20% or project delayed by 10% to 20%</t>
  </si>
  <si>
    <t>Over budget by 20% to 30% or project delayed by 20% to 30%</t>
  </si>
  <si>
    <t>Over budget by 30% to 40% or project delayed by 30% to 40%</t>
  </si>
  <si>
    <t>Over budget by 40% or project delayed by 40%</t>
  </si>
  <si>
    <t>Types of Risks</t>
  </si>
  <si>
    <t>Project Management</t>
  </si>
  <si>
    <t>Governance</t>
  </si>
  <si>
    <t>Human Resources</t>
  </si>
  <si>
    <t>Environmental</t>
  </si>
  <si>
    <t>Development</t>
  </si>
  <si>
    <t>REVISED JANUARY 2020 TO DECEMBER 2020</t>
  </si>
  <si>
    <t>MOU with NPSC for training  Workshops for Parenting.</t>
  </si>
  <si>
    <t>Final Payment</t>
  </si>
  <si>
    <t>Parents received parenting training</t>
  </si>
  <si>
    <t>Procure Rfreshment and Venue</t>
  </si>
  <si>
    <t>Procure Materials</t>
  </si>
  <si>
    <t>Kedine Melva, Orville, Mary</t>
  </si>
  <si>
    <t>Approval of Draft Final Report</t>
  </si>
  <si>
    <t>Approval and Payment of final Report</t>
  </si>
  <si>
    <t xml:space="preserve">170 beneficaries;  1,260 counselling sessions;  315 Drug Tests;  45 group sessions;  9 empowerment sessions;    Capacity Building in Schools  - 12 schools and approximate 1000 students and school personels </t>
  </si>
  <si>
    <t xml:space="preserve">Capacity Building in Schools  - 20 schools and approximate 1000 students and school personels </t>
  </si>
  <si>
    <t>5 x 1 Day Seminar for 200 Parents                                                                  1 x 4 Days Workshop for 30 parents</t>
  </si>
  <si>
    <t>Individual counselling Sessions delivered</t>
  </si>
  <si>
    <t>Referrals to Psychologist/Psychiatrist</t>
  </si>
  <si>
    <t>10 individual counselling Sessions</t>
  </si>
  <si>
    <t>New - final Report reviewed, approved and payment made</t>
  </si>
  <si>
    <t>New - progress report reviewed, approved and payment made</t>
  </si>
  <si>
    <t>3 Exit Fairs Conducted</t>
  </si>
  <si>
    <t>1 TV Show</t>
  </si>
  <si>
    <t xml:space="preserve"> 1 Susan Show Feature</t>
  </si>
  <si>
    <t>Procure Refreshments</t>
  </si>
  <si>
    <t>Procure Entertainment</t>
  </si>
  <si>
    <t>Procure Live OB</t>
  </si>
  <si>
    <t>Procure Tents, Tables, Chairs, Portable Toilets</t>
  </si>
  <si>
    <t>Procure Flyers</t>
  </si>
  <si>
    <t>15 Facilities Branded</t>
  </si>
  <si>
    <t>Patrice,  Kedine, Mary, Orville</t>
  </si>
  <si>
    <t>Sub-total Peace Mobile Fair</t>
  </si>
  <si>
    <t>2  Community-based initiative put on by CBO/NGO/Benevolent Societies/MDA/Private Sector</t>
  </si>
  <si>
    <t>2 Community base initative conducted</t>
  </si>
  <si>
    <t>Total  Good News and Visibility Campaigns</t>
  </si>
  <si>
    <t>Procure Gears</t>
  </si>
  <si>
    <t>Procure Trophies and Medals</t>
  </si>
  <si>
    <t>Procure First Aid/Ambulance</t>
  </si>
  <si>
    <t>Prize: All-Inclusive Day-Pass</t>
  </si>
  <si>
    <t>Field Preparation</t>
  </si>
  <si>
    <t xml:space="preserve">Procure Transportation </t>
  </si>
  <si>
    <t xml:space="preserve">Procure PA System for matches </t>
  </si>
  <si>
    <t>Procure Referee</t>
  </si>
  <si>
    <t>Refreshments</t>
  </si>
  <si>
    <t>Entertainment</t>
  </si>
  <si>
    <t>Live OB</t>
  </si>
  <si>
    <t>Tents, Tables, Chairs, Portable Toilets</t>
  </si>
  <si>
    <t>Entertainment (Popular Artistes and popular host/MC)</t>
  </si>
  <si>
    <t xml:space="preserve">PA System and A/V Equipment Rental </t>
  </si>
  <si>
    <t xml:space="preserve">Stage, Trussing lighting </t>
  </si>
  <si>
    <t>Décor (tents, Stage, photobooth)</t>
  </si>
  <si>
    <t>2 Live OB's (1 morning and 1 afternoon OB)</t>
  </si>
  <si>
    <t xml:space="preserve">Transportation of community members </t>
  </si>
  <si>
    <t>Patrice, Kedine, Mary, Orville</t>
  </si>
  <si>
    <t xml:space="preserve"> Inter-regional Goals 4 Life conducted</t>
  </si>
  <si>
    <t>Practical completion. All payment made except for 5% retention due at final completion.</t>
  </si>
  <si>
    <t>Preliminary drawing &amp; BQ approve and payment made</t>
  </si>
  <si>
    <t>Procure Furniture Gayle CMC Phase 11</t>
  </si>
  <si>
    <t>Procure Furniture - Alwyn Ashley</t>
  </si>
  <si>
    <t>2nd Progress Report - Major Crime &amp; VRI Report/Asset Maps for Westmoreland</t>
  </si>
  <si>
    <t xml:space="preserve">3rd Progress </t>
  </si>
  <si>
    <t>Payment for  Lunch - CMU</t>
  </si>
  <si>
    <t xml:space="preserve">270 Beneficiaries trained </t>
  </si>
  <si>
    <t>Payment of Fees</t>
  </si>
  <si>
    <t>Orville Mary, Consultants</t>
  </si>
  <si>
    <t>Denise, RCMCs, CCMOS, Social Worker, Orville, Mary</t>
  </si>
  <si>
    <t>Karlene,  Mary, Orville</t>
  </si>
  <si>
    <t>On-the-Job Trianing- 10 participants</t>
  </si>
  <si>
    <t>Stipend</t>
  </si>
  <si>
    <t>Lunch-JDF</t>
  </si>
  <si>
    <t>21 interns placed            10 on-the-job participants</t>
  </si>
  <si>
    <t xml:space="preserve">Mary, Orville, consultants, </t>
  </si>
  <si>
    <t xml:space="preserve">Denise,  Mary, Orville, </t>
  </si>
  <si>
    <t xml:space="preserve">Establish 1 Fish Farm for 2 beneficiaries </t>
  </si>
  <si>
    <t xml:space="preserve">Business Development - Establishment of 1 Fish Farm </t>
  </si>
  <si>
    <t>Procurment of Materials</t>
  </si>
  <si>
    <t>Jomie, Nelson, Williams, Simmonds, Bruce</t>
  </si>
  <si>
    <t>Total Business Development</t>
  </si>
  <si>
    <t>Procure and pay rent</t>
  </si>
  <si>
    <t>Payment Utilities</t>
  </si>
  <si>
    <t>Tender project, evaluate bids, procurement committee meeting &amp; award cntract</t>
  </si>
  <si>
    <t xml:space="preserve">Renovation of existing VSD office at Dunbar Mall </t>
  </si>
  <si>
    <t>Commence project, Install partitioning etc.</t>
  </si>
  <si>
    <t>Subtotal  -Westmoreland</t>
  </si>
  <si>
    <t>VSD Spanish Town Road Office Renovations (West Kingston)</t>
  </si>
  <si>
    <t>VSD Spanish Town Road Office Renovations</t>
  </si>
  <si>
    <t>Install camera system, commence &amp; complete all other works</t>
  </si>
  <si>
    <t>Subtotal 1311 - Spanish Town Road  Renovations</t>
  </si>
  <si>
    <t>Victim Services Spanish Town Office Renovation</t>
  </si>
  <si>
    <t>Formulate project,Tender project, evaluate bids, procurement committee meeting, IDB No objection &amp; award cntract</t>
  </si>
  <si>
    <t>Commence project, install partitions</t>
  </si>
  <si>
    <t>Install electrical, plumbing, doors etc</t>
  </si>
  <si>
    <t>Finishing to walls floors etc. Electrical fixtures. Issue Practical completion</t>
  </si>
  <si>
    <t>Subtotal  - Spanish Town Renovations</t>
  </si>
  <si>
    <t>Renovation of existing VSD office at Overton Plaza</t>
  </si>
  <si>
    <t xml:space="preserve">Renovation of existing VSD office in St. James </t>
  </si>
  <si>
    <t>Formulate project,Tender project, evaluate bids, procurement committee meeting, IDB No objection &amp; award contract</t>
  </si>
  <si>
    <t>Finishing to walls floors etc. Electrical fixtures. Finish all works &amp; issue practical completion</t>
  </si>
  <si>
    <t>Subtotal 1311 - St. James  Renovations</t>
  </si>
  <si>
    <t>Victim Services St. Mary Office Renovation</t>
  </si>
  <si>
    <t>Tender project, evaluate bids, procurement committee meeting, IDB No objection &amp; award cntract</t>
  </si>
  <si>
    <t>Commence project, install ceiling, render walls &amp; jambs etc</t>
  </si>
  <si>
    <t>Install electrical, plumbing, doors, windows etc</t>
  </si>
  <si>
    <t>Finishing to walls floors etc. Electrical fixtures. Issue Practical completion cert.</t>
  </si>
  <si>
    <t>Subtotal - St. Mary Renovations</t>
  </si>
  <si>
    <t>Procure office furniture and equipment, including IT equipment</t>
  </si>
  <si>
    <t xml:space="preserve">Provide 99 emergency grants for victims of crimes. </t>
  </si>
  <si>
    <t xml:space="preserve"> Victim Services Expanded and Serving New Male and Female Clients in Target Communities [Emergency Assistance].</t>
  </si>
  <si>
    <t>Provide emergency grants (for victims of crime)</t>
  </si>
  <si>
    <t>Support 70 volunteers.</t>
  </si>
  <si>
    <t xml:space="preserve">Payment of Stipend to Community volunteers to Support VSD Service Delivery. </t>
  </si>
  <si>
    <t>Missing Children Risk Assessment Tool (MCRAT) completed</t>
  </si>
  <si>
    <t>Submission, review of draft final and Final Assessment Tool</t>
  </si>
  <si>
    <t>Payment for  draft final and Final Assessment Tool</t>
  </si>
  <si>
    <t>1 X1  day Consultaion Workshop conducted for MCRAT</t>
  </si>
  <si>
    <t>Stakeholder Workshop - Procure Venue and Refreshment</t>
  </si>
  <si>
    <t>Procure Venue and Refreshment</t>
  </si>
  <si>
    <t xml:space="preserve">Conduct 2x1-day grief and trauma session conducted (100 beneficiaries).   </t>
  </si>
  <si>
    <t xml:space="preserve"> Victim Services Expanded and Serving New Male and Female Clients in Target Communities [Cutural Resocialisation]. </t>
  </si>
  <si>
    <t>Procure therapeutic tools</t>
  </si>
  <si>
    <t>Procure transportation</t>
  </si>
  <si>
    <t>Procure T/ Polo Shirts</t>
  </si>
  <si>
    <t>Procure medical personnel</t>
  </si>
  <si>
    <t xml:space="preserve">Subtotal:  Cultual Resocialization </t>
  </si>
  <si>
    <t xml:space="preserve">2 x 6-day  grief therapy sessions conducted for 30 sexually abused female children (teenagers)   </t>
  </si>
  <si>
    <t xml:space="preserve">Victim Services Expanded and Serving New male and Female Clients in Target Communities [Overcomers -in-Action Programme].  </t>
  </si>
  <si>
    <t>Procure venue</t>
  </si>
  <si>
    <t>Procure refreshments</t>
  </si>
  <si>
    <t>Payment of transportation stipend</t>
  </si>
  <si>
    <t>Procure resource material and stationery</t>
  </si>
  <si>
    <t xml:space="preserve">Procure venue and refreshments (Graduation) </t>
  </si>
  <si>
    <t>Certificates and tokens (Graduation)</t>
  </si>
  <si>
    <t xml:space="preserve">Subtotal : [Overcomers -in-Action Programme].  </t>
  </si>
  <si>
    <t xml:space="preserve">Conduct 1 x 2 Day workshop ( 50 beneficiares)      </t>
  </si>
  <si>
    <t xml:space="preserve"> Technical Assistance and Resources Provided to Victim Services Division [Tarining of Male and Female Court Officials, Police Officers, and Other First Responders].</t>
  </si>
  <si>
    <t xml:space="preserve">Refreshments </t>
  </si>
  <si>
    <t>Subtotal : [Training of Male and Female Court Officials, Police Officers, and Other First Responders]</t>
  </si>
  <si>
    <t>Conduct 1 school-based intervention workshops for (100 beneficiaries :children, 50 parents/teachers 50)</t>
  </si>
  <si>
    <t xml:space="preserve"> Victim Services Expanded and Serving New male and Female Clients in Target Communities [Special Intervention Programmes for Schools]. West Kingston</t>
  </si>
  <si>
    <t>procure therapeutic tools</t>
  </si>
  <si>
    <t>Provide graduation certificates</t>
  </si>
  <si>
    <t>Reinforcement facilitators</t>
  </si>
  <si>
    <t>Subtotal SIPS West KGN</t>
  </si>
  <si>
    <t xml:space="preserve">1 x 6-day  grief therapy sessions conducted for 15 sexually abused female children (teenagers)     </t>
  </si>
  <si>
    <t xml:space="preserve"> 1x1-day grief and trauma session conducted (50  beneficiaries).    </t>
  </si>
  <si>
    <t xml:space="preserve">Victim Services Expanded and Serving New Male and Female Clients in Target Communities [Cutural Resocialisation]. </t>
  </si>
  <si>
    <t>8 Animation films produced</t>
  </si>
  <si>
    <t>1311: Public Awareness Programme [West Kingston: Public Awareness Campaign - Production of Animation films for healing of Tivoli incursion victims].</t>
  </si>
  <si>
    <t>production of animation film</t>
  </si>
  <si>
    <t>Nov, 2019</t>
  </si>
  <si>
    <t>Shawn,  Bailey, Contractor,  Joudine, Simmonds</t>
  </si>
  <si>
    <t>Jan, 2020</t>
  </si>
  <si>
    <t>Feb, 2020</t>
  </si>
  <si>
    <t>Mar, 2020</t>
  </si>
  <si>
    <t>Jun, 2020</t>
  </si>
  <si>
    <t>Shawn, Contractor,  Mary Joudine, Simmonds</t>
  </si>
  <si>
    <t>May, 2020</t>
  </si>
  <si>
    <t>Bailey, Brooks, Jomie, Simmonds, Bruce</t>
  </si>
  <si>
    <t>Dec, 2019</t>
  </si>
  <si>
    <t>Jan,2020</t>
  </si>
  <si>
    <t xml:space="preserve">Feb, 2020 </t>
  </si>
  <si>
    <t xml:space="preserve">Mar, 2020 </t>
  </si>
  <si>
    <t>Apr,2020</t>
  </si>
  <si>
    <t>May, 2019</t>
  </si>
  <si>
    <t xml:space="preserve">Jul, 2020 </t>
  </si>
  <si>
    <t>Jul, 2020</t>
  </si>
  <si>
    <t>Sep, 2020</t>
  </si>
  <si>
    <t>Aug, 2020</t>
  </si>
  <si>
    <t>Oct, 2020</t>
  </si>
  <si>
    <t>Apr. 2020</t>
  </si>
  <si>
    <t>Bailey, MoJ, Jomie, Bruce, Robinson, Simmonds</t>
  </si>
  <si>
    <t>Apr, 2020</t>
  </si>
  <si>
    <t>Bailey, MoJ, Jomie, Bruce, Simmonds</t>
  </si>
  <si>
    <t>Jul, 2019</t>
  </si>
  <si>
    <t>Nov, 20 20</t>
  </si>
  <si>
    <t>Mar, 2019</t>
  </si>
  <si>
    <t>Bailey, MoJ, Jomie, Bruce, Robinson</t>
  </si>
  <si>
    <t xml:space="preserve">338 Community Consultations (Visits)    </t>
  </si>
  <si>
    <t>SERVICE POINTS EXPANDED [MOBILE UNIT].</t>
  </si>
  <si>
    <t>Gasoline/diesel for 3 mobile units</t>
  </si>
  <si>
    <t xml:space="preserve"> One (1) Driver</t>
  </si>
  <si>
    <t>Fees  for driver</t>
  </si>
  <si>
    <t>Two (2) Drivers</t>
  </si>
  <si>
    <t>Fees  for 2 new drivers</t>
  </si>
  <si>
    <t>Fees for Legal Consultant</t>
  </si>
  <si>
    <t>Two (2) Legal Consultants - New</t>
  </si>
  <si>
    <t>Fees for 2 new Legal Consultants</t>
  </si>
  <si>
    <t xml:space="preserve">Fees for Legal Research Consultant </t>
  </si>
  <si>
    <t>One (1) Legal Research Consultant hired - new</t>
  </si>
  <si>
    <t xml:space="preserve">Fees for one new Legal Research Consultant </t>
  </si>
  <si>
    <t>Subtotal: [MOBILE UNIT]</t>
  </si>
  <si>
    <t>3 fairs conducted           (  750 beneficiaries)</t>
  </si>
  <si>
    <t>SENSITIZATION TRAINING AND MATERIALS PROVIDED TO TARGET COMMUNITY RESIDENTS [LEGAL AID FAIRS].</t>
  </si>
  <si>
    <t>Procure, Generators, P A System,</t>
  </si>
  <si>
    <t>Procure resource materials</t>
  </si>
  <si>
    <t xml:space="preserve">TV and Radio Advertisements </t>
  </si>
  <si>
    <t>Media Broadcast</t>
  </si>
  <si>
    <t>Procure Town Crier</t>
  </si>
  <si>
    <t>Procure Acommodations for Staff  (7 officers)</t>
  </si>
  <si>
    <t>Security (overnight)</t>
  </si>
  <si>
    <t>Subtotal: [LEGAL AID FAIRS]</t>
  </si>
  <si>
    <t>1 x 1-day workshops conducted ( 100 beneficiaries)</t>
  </si>
  <si>
    <t>TECHNICAL ASSISTANCE AND RESOURCES PROVIDED TO LEGAL AID COUNCIL [TRAINING OF POLICE OFFICERS AND JPs IN LEGAL AID ISSUES]</t>
  </si>
  <si>
    <t>Procure Equipment</t>
  </si>
  <si>
    <t xml:space="preserve">Procure stationery &amp; Resource Material </t>
  </si>
  <si>
    <t>Subtotal: [Police &amp; JPs Training )</t>
  </si>
  <si>
    <t>Grand Total Legal Aid Council</t>
  </si>
  <si>
    <t>Dec, 2020</t>
  </si>
  <si>
    <t>Faulkner/MoJ/Simmonds/Bruce</t>
  </si>
  <si>
    <t>Nov, 2020</t>
  </si>
  <si>
    <t>Mar,2020</t>
  </si>
  <si>
    <t>Feb,2020</t>
  </si>
  <si>
    <t>Conduct 11 workshops (440 JPs trained; 40 per cohort).</t>
  </si>
  <si>
    <t xml:space="preserve">1313b: Technical Assistance and Resources Provided to Justices of the Peace Service Entities [Qualifying Basic Training of Male and Female JPs]. 
</t>
  </si>
  <si>
    <t>Subtotal: [Qualifying Basic Training of Male and Female JPs]</t>
  </si>
  <si>
    <t>2x 6 day workshops conducted (  80 JPs trained; 40 per cohort).</t>
  </si>
  <si>
    <t>Technical Assistance and Resources Provided to Justices of the Peace Service Entities [Advanced Training of Male and Female JPs: Lay Magistrates' Court]</t>
  </si>
  <si>
    <t>Procure stationeryand course material</t>
  </si>
  <si>
    <t xml:space="preserve">4 Mediation Refresher Workshops conducted   and 4 Supervised mediation Sessions Conducted </t>
  </si>
  <si>
    <t>1313c: Technical Assistance and Resources Provided to Justices of the Peace Service Entities [Advanced Training of Male and Female JPs: Mediation].</t>
  </si>
  <si>
    <t>Procure Facilitators</t>
  </si>
  <si>
    <t>Subtotal: JPs: Mediation</t>
  </si>
  <si>
    <t>Conduct 3x2day workshops (90 JPs; 30per workshop).</t>
  </si>
  <si>
    <t>Technical Assistance and Resources Provided to Justices of the Peace Service Entities [Advanced Training of Male and Female JPs: Fraudulent Documents, Deterrance, Examination].</t>
  </si>
  <si>
    <t>Review JP Manuals and Develop Trainer's Guide.</t>
  </si>
  <si>
    <t xml:space="preserve"> Review JP Manuals and Develop Trainer's Guide</t>
  </si>
  <si>
    <t>Procure consultant to review exisitng JP manual and develop trainer's guide.</t>
  </si>
  <si>
    <t xml:space="preserve">Submitt Final Report </t>
  </si>
  <si>
    <t>Procure Consultant to Design and Develop Curriculum for JP manual and develop trainer's guide.</t>
  </si>
  <si>
    <t>Submit Final Circullum for the JP Manual &amp; Trainers guide</t>
  </si>
  <si>
    <t>Proof-reading, formating, and layout of manuals, and Trainer's Guide.</t>
  </si>
  <si>
    <t>Print 2,000 JP Manuals.</t>
  </si>
  <si>
    <t>Printing of JP Manuals.</t>
  </si>
  <si>
    <t>Conduct 2 One-Day Workshops (25 beneficiaries).</t>
  </si>
  <si>
    <t>Conduct training workshop in the use of the JP Manual (training of the Trainers).</t>
  </si>
  <si>
    <t xml:space="preserve">Procure Venue &amp; Refreshments </t>
  </si>
  <si>
    <t xml:space="preserve">Procure Stationary </t>
  </si>
  <si>
    <t>Facilitator</t>
  </si>
  <si>
    <t>Subtotal: Review JP Manuals and Develop Trainer's Guide</t>
  </si>
  <si>
    <t>Conduct 1 parish consultations/sensitizations (250 participants)</t>
  </si>
  <si>
    <t xml:space="preserve">May, 2020 </t>
  </si>
  <si>
    <t xml:space="preserve"> MOJ, Kedine, Simmonds, Bruce</t>
  </si>
  <si>
    <t xml:space="preserve"> MOJ, Lawerence, Simmonds, Bruce</t>
  </si>
  <si>
    <t xml:space="preserve">Maintenance </t>
  </si>
  <si>
    <t xml:space="preserve">August Town RJ Centre Renovated </t>
  </si>
  <si>
    <t xml:space="preserve">AUGUST TOWN RJ CENTRE </t>
  </si>
  <si>
    <t>Commence project, Preliminary Works (Demolition)</t>
  </si>
  <si>
    <t>Finishing to walls floors etc. Electrical fixtures &amp; AC. Finish all works &amp; issue practical completion</t>
  </si>
  <si>
    <t>Subtotal Renovation of RJ Centre</t>
  </si>
  <si>
    <t>Conduct 507  RJ Sensitization sessions ( 6480 beneficiaries).</t>
  </si>
  <si>
    <t>Sensitization Training and Materials Provided to Justice Officials and Male and Female Residents on Community Justice Services (RJ Sensitization Sessions).</t>
  </si>
  <si>
    <t xml:space="preserve">Procure Refreshments </t>
  </si>
  <si>
    <t xml:space="preserve">Procure Venue </t>
  </si>
  <si>
    <t>Conduct 2058 RJ Case conferences.</t>
  </si>
  <si>
    <t>Restorative Justice services designed and operational in target communities (RJ Case Conference).</t>
  </si>
  <si>
    <t xml:space="preserve">Payment of stipend to facilitators @ $3000 per conference </t>
  </si>
  <si>
    <t>RESTORATIVE JUSTICE  WEEK OF ACTIVITIES</t>
  </si>
  <si>
    <t xml:space="preserve">Procure Branded Pens &amp; Pencils </t>
  </si>
  <si>
    <t xml:space="preserve">Procure Branded keyrings </t>
  </si>
  <si>
    <t>Procure Branded Waterbottles &amp; Tea mugs</t>
  </si>
  <si>
    <t>Procure Branded Tote bags &amp; umbrellas</t>
  </si>
  <si>
    <t xml:space="preserve">Accommodations  2 nights for 6 persons </t>
  </si>
  <si>
    <t xml:space="preserve"> Total RJ Week of Actvities</t>
  </si>
  <si>
    <t>Total Case Conferences</t>
  </si>
  <si>
    <t>Total Sensitization Sessions</t>
  </si>
  <si>
    <t xml:space="preserve">Electronic Case Management Database System developed </t>
  </si>
  <si>
    <t xml:space="preserve">Develop Electronic Case Management Database System </t>
  </si>
  <si>
    <t xml:space="preserve">Engage Consultant to develop Database </t>
  </si>
  <si>
    <t xml:space="preserve">Submit draft User Manual for Data Base System </t>
  </si>
  <si>
    <t xml:space="preserve">Submit Final Electronic Database and Final User Manual for Database  </t>
  </si>
  <si>
    <t xml:space="preserve">Subtotal Electronic Case Managment Database System </t>
  </si>
  <si>
    <t>1  x  5 days Training Workshop conducted  in   Electronic Database management.   (10  RJ  Staff )</t>
  </si>
  <si>
    <t xml:space="preserve">Electronic Case Managment Database System Training </t>
  </si>
  <si>
    <t xml:space="preserve">Accomodations </t>
  </si>
  <si>
    <t xml:space="preserve">Subtotal :Electronic Case Managment Database System Training </t>
  </si>
  <si>
    <t>4 x 1 days Facilitators Orientation Workshops conducted.  (200 Beneficiaries)</t>
  </si>
  <si>
    <t xml:space="preserve">Facilitators Orientation Workshop </t>
  </si>
  <si>
    <t xml:space="preserve">Subtotal : Facilitators Orientation Workshop  </t>
  </si>
  <si>
    <t>1 x 1 day  Resfresher Workshop conducted for Existing RJ Facilitators.   (60 Beneficiaries)</t>
  </si>
  <si>
    <t xml:space="preserve">RJ Facilitators Refresher Workshop </t>
  </si>
  <si>
    <t xml:space="preserve">Subtotal : RJ Facilitators Refresher Workshop </t>
  </si>
  <si>
    <t xml:space="preserve">1x 2 days Residential Training for 74 Parish Court Judges </t>
  </si>
  <si>
    <t xml:space="preserve">Judicial Training </t>
  </si>
  <si>
    <t xml:space="preserve">Subtotal : Judicial Traning </t>
  </si>
  <si>
    <t>1x 2 days Residential Training for 60 Clerks of Court.</t>
  </si>
  <si>
    <t xml:space="preserve">Training for Clerks of Court </t>
  </si>
  <si>
    <t xml:space="preserve">Accommodations </t>
  </si>
  <si>
    <t xml:space="preserve">Subtotal : Training for Clerks of Court </t>
  </si>
  <si>
    <t xml:space="preserve">10 x 2 days Training Workshops in Restorative Practices.      (400 Beneficiaries)     </t>
  </si>
  <si>
    <t>RP Training</t>
  </si>
  <si>
    <t>Subtotal : Restorative Practices Training</t>
  </si>
  <si>
    <t xml:space="preserve">1 x 1 day Staff Development Workshops  (30 Beneficiaries  each)              </t>
  </si>
  <si>
    <t xml:space="preserve">Staff Development Wrokshops </t>
  </si>
  <si>
    <t xml:space="preserve">Subtotal : Staff Development Wrokshops </t>
  </si>
  <si>
    <t xml:space="preserve">1 x 3 days Retreat for RJ Practioners for 32 Staff  </t>
  </si>
  <si>
    <t xml:space="preserve">Practitioners Development Retreat </t>
  </si>
  <si>
    <t xml:space="preserve">Subtotal :Training Delivery </t>
  </si>
  <si>
    <t>Equipment &amp; Furniture</t>
  </si>
  <si>
    <t>Purchase of Equipment &amp; Furniture</t>
  </si>
  <si>
    <t xml:space="preserve">PSA and Advertisements Placed. </t>
  </si>
  <si>
    <t xml:space="preserve">Public Awareness Campaign </t>
  </si>
  <si>
    <t xml:space="preserve">JIS Campaign for P.S.A. </t>
  </si>
  <si>
    <t xml:space="preserve">Communications </t>
  </si>
  <si>
    <t>Procure  and Pay for CUG Subscription.</t>
  </si>
  <si>
    <t xml:space="preserve">Stationary &amp; Office Supplies </t>
  </si>
  <si>
    <t xml:space="preserve">Purchase  of Stationary &amp; Office Supplies </t>
  </si>
  <si>
    <t xml:space="preserve">Promotional Items </t>
  </si>
  <si>
    <t>Purchase Restorative Justice/MOJ branded  items</t>
  </si>
  <si>
    <t>Jan,  2020</t>
  </si>
  <si>
    <t>Lindsey/MoJ/Jomie/Bruce/Simmonds</t>
  </si>
  <si>
    <t>Lindsay/MoJ/Jomie/Bruce/Simmonds</t>
  </si>
  <si>
    <t xml:space="preserve">Sep, 2020 </t>
  </si>
  <si>
    <t>Whyte/MoJ/Jomie/Bruce/Simmonds</t>
  </si>
  <si>
    <t>Ruth Carey/MoJ/Jomie/Bruce/Simmonds</t>
  </si>
  <si>
    <t xml:space="preserve">Rent Paid </t>
  </si>
  <si>
    <t xml:space="preserve">Operationalise Child Diversion Service Points:  (Clarendon,Hanover &amp; St. Catherine, St. Thomas)   </t>
  </si>
  <si>
    <t xml:space="preserve">Utilties Paid </t>
  </si>
  <si>
    <t>General Administration</t>
  </si>
  <si>
    <t xml:space="preserve">Subtotal: Operationalise Child Diversion Service Points </t>
  </si>
  <si>
    <t>CD Service Providers for 2981 Children</t>
  </si>
  <si>
    <t>Provide Support to CD Service Providers</t>
  </si>
  <si>
    <t xml:space="preserve">Fees for Children serviced by CD Service Providers @ $2,000 per Child </t>
  </si>
  <si>
    <t>Substance Misuse Treatment provided to 99 Children</t>
  </si>
  <si>
    <t xml:space="preserve">Fees for Children treated for substance abuse. (MOU with NCDA $40,000 per Child) </t>
  </si>
  <si>
    <t>Subtotal: Provide Support to CD Service Providers</t>
  </si>
  <si>
    <t xml:space="preserve"> 2 horizontal banners and 2 vertical banners</t>
  </si>
  <si>
    <t xml:space="preserve"> Design and procurement of Horizontal (36x39) and vertical banners (2.5x6.5)</t>
  </si>
  <si>
    <t>Child Diversion Paraphernalia</t>
  </si>
  <si>
    <t xml:space="preserve">Promotional Paraphernalia </t>
  </si>
  <si>
    <t xml:space="preserve">Sub Total: Public Awareness Campaign </t>
  </si>
  <si>
    <t>2 Launch  Ceremonies Kingston &amp; Montego Bay</t>
  </si>
  <si>
    <t>Procure Venue (incl P.A. System)</t>
  </si>
  <si>
    <t xml:space="preserve">Procure Resfreshments </t>
  </si>
  <si>
    <t>Special Gifts (Gift Baskets &amp; plaques etc.)</t>
  </si>
  <si>
    <t xml:space="preserve">ProcureDecor for Venue </t>
  </si>
  <si>
    <t>Entertainment (Performers)</t>
  </si>
  <si>
    <t xml:space="preserve">Subtotal: Child Diversion Official Launching Ceremony </t>
  </si>
  <si>
    <t xml:space="preserve">Office Equipment, Stationary &amp; Supplies </t>
  </si>
  <si>
    <t>Procure stationery supplies</t>
  </si>
  <si>
    <t>Procure Office supplies</t>
  </si>
  <si>
    <t xml:space="preserve">Office Furniture </t>
  </si>
  <si>
    <t xml:space="preserve">Subtotal: Office Equipment, Stationary &amp; Supplies </t>
  </si>
  <si>
    <t xml:space="preserve">14 Mentorship Sessions  conducted for 490 Beneficiaries </t>
  </si>
  <si>
    <t>Delivery of Training in Child Diversion</t>
  </si>
  <si>
    <t>Venue (incl P.A. System)</t>
  </si>
  <si>
    <t xml:space="preserve">Resfreshments </t>
  </si>
  <si>
    <t>Accommdations</t>
  </si>
  <si>
    <t xml:space="preserve">Subtotal: Mentorship Traning </t>
  </si>
  <si>
    <t xml:space="preserve">4x 5 day Parish Committee Training session with 154 Beneficiaries </t>
  </si>
  <si>
    <t>Parish Committees Residential Training</t>
  </si>
  <si>
    <t>Subtotal: Parish Committees Training</t>
  </si>
  <si>
    <t xml:space="preserve">2  x 3 day Prosecutors  Child Diversion Training session with 56 Beneficiaries </t>
  </si>
  <si>
    <t>Office of the Director of Public Prosecutions (Residential Training)-</t>
  </si>
  <si>
    <t xml:space="preserve">Subtotal: ODPP Training </t>
  </si>
  <si>
    <t xml:space="preserve">1  x 3 day Clerks of Court Child Diversion Training session with 74 Beneficiaries </t>
  </si>
  <si>
    <t>Courts of Jamaica - Clerks of Court (Residential Training</t>
  </si>
  <si>
    <t>Subtotal: Clerks of Court Training</t>
  </si>
  <si>
    <t xml:space="preserve">1 x 3 Trainer of Trainers Workshop for 30 Police Officers </t>
  </si>
  <si>
    <t xml:space="preserve">Police Officers Training (Child Diversion) </t>
  </si>
  <si>
    <t xml:space="preserve">Subtotal: Police Officers Training (Child Diversion) </t>
  </si>
  <si>
    <t>Police Officers Training (Training of Trainers)</t>
  </si>
  <si>
    <t>Facilitators</t>
  </si>
  <si>
    <t>Subtotal: Police Officers Training (Training of Trainers)</t>
  </si>
  <si>
    <t>Stipend paid to 143 CDC Members.</t>
  </si>
  <si>
    <t>Operations of Child Diversion Committee Parish and National Oversight Committee</t>
  </si>
  <si>
    <t>CDC Stipend- $54,000 per year per member - 11 members in 13 PCDC</t>
  </si>
  <si>
    <t>Child Diversion parish meetings held monthly</t>
  </si>
  <si>
    <t>CDC Meetings - Coffee Break</t>
  </si>
  <si>
    <t>Stipend paid to CDC Sub- Members.</t>
  </si>
  <si>
    <t xml:space="preserve">CDC Sub -Committees </t>
  </si>
  <si>
    <t>Child Diversion parish sub-Committee meetings held monthly</t>
  </si>
  <si>
    <t>CDC Sub Committee Meetings - Coffee Break</t>
  </si>
  <si>
    <t xml:space="preserve">NOC Meetings held </t>
  </si>
  <si>
    <t>National Oversight - Committee Meetings Coffee Break</t>
  </si>
  <si>
    <t>Sub Total: Operation of Parish Committees and National Oversight Committee</t>
  </si>
  <si>
    <t>Consultany Fees paid  for CD Coordinator</t>
  </si>
  <si>
    <t>Engage Consultants &amp; Pay Consultancy Fees for CD Staff</t>
  </si>
  <si>
    <t xml:space="preserve">Payment to CD Coordinator  </t>
  </si>
  <si>
    <t>Consultany Fees paid  for Regional Coordinators</t>
  </si>
  <si>
    <t xml:space="preserve">Procure Regional Coordinator </t>
  </si>
  <si>
    <t xml:space="preserve">Consultany Fees paid  for CD Officers   </t>
  </si>
  <si>
    <t xml:space="preserve">Procure CD Officers   </t>
  </si>
  <si>
    <t xml:space="preserve">Consultany Fees paid  for  CD Case Officers </t>
  </si>
  <si>
    <t xml:space="preserve">Procure CD Case Officers </t>
  </si>
  <si>
    <t>Consultany Fees paid  for Clinical Psychologist</t>
  </si>
  <si>
    <t xml:space="preserve">Payment Clinical Psychologist </t>
  </si>
  <si>
    <t xml:space="preserve">Procure Administrative Assistant </t>
  </si>
  <si>
    <t xml:space="preserve">Consultany Fees paid  for Document &amp; Data  Officer </t>
  </si>
  <si>
    <t>Consultant Fee</t>
  </si>
  <si>
    <t xml:space="preserve">Procure Document &amp; Data  Officer (SEG 2) </t>
  </si>
  <si>
    <t>Subtotal:Personnel/ Consultants for Child Diversion</t>
  </si>
  <si>
    <t>One Business Process Flow documented</t>
  </si>
  <si>
    <t>IT Consultant (determine case management system requirement and document process flows)- 30 days @US$500.</t>
  </si>
  <si>
    <t xml:space="preserve">Procure Consultant </t>
  </si>
  <si>
    <t xml:space="preserve">Submit First Draft </t>
  </si>
  <si>
    <t xml:space="preserve">Submit Final Report </t>
  </si>
  <si>
    <t>Subtotal: IT Consultant (determine case management system requirement and document process flows)</t>
  </si>
  <si>
    <t>Monitoring and Evaluation Consultant</t>
  </si>
  <si>
    <t xml:space="preserve"> Monitoring &amp; Evaluation Framework Developed (90 days @ JM$45,000 daily) </t>
  </si>
  <si>
    <t>Subtotal: Monitoring &amp; Evaluation Framework Developed</t>
  </si>
  <si>
    <t>Ruth Carey/MoJ/Jomie/Bruce/  Simmonds</t>
  </si>
  <si>
    <t>Carey/MoJ/Jomie/Bruce/Simmonds</t>
  </si>
  <si>
    <t>June, 2020</t>
  </si>
  <si>
    <t xml:space="preserve"> Carey/MoJ/Jomie/Bruce/Simmonds</t>
  </si>
  <si>
    <t>2 MDAs supported</t>
  </si>
  <si>
    <t>New MOU with NPSC for training  Workshops for Parenting.</t>
  </si>
  <si>
    <t xml:space="preserve">Inception Report </t>
  </si>
  <si>
    <t>Draft Report</t>
  </si>
  <si>
    <t>Sub Total</t>
  </si>
  <si>
    <t>3,000 Books printed</t>
  </si>
  <si>
    <t>3,000 books printed</t>
  </si>
  <si>
    <t xml:space="preserve">Procure accomodation for </t>
  </si>
  <si>
    <t>Procure Transportation</t>
  </si>
  <si>
    <t xml:space="preserve">Procure materials </t>
  </si>
  <si>
    <t>Symposium sub- Total</t>
  </si>
  <si>
    <t>MC, Entertainers, Musicians</t>
  </si>
  <si>
    <t>Printing invitations, programmes</t>
  </si>
  <si>
    <t>Award Ceremony Sub-Total</t>
  </si>
  <si>
    <t>1,000 Booklets printed and distributed</t>
  </si>
  <si>
    <t xml:space="preserve">CSJP Good News Campaign - Transition Paraphernalia -Referall [Outwards] Booklets -  1,000 booklets produced </t>
  </si>
  <si>
    <t>Orville, Kedine, Mary, Melva</t>
  </si>
  <si>
    <t>Patrice, Kedine, Orville, Mary</t>
  </si>
  <si>
    <t>Inception Report submitted</t>
  </si>
  <si>
    <t>HR, Orville, Mary, M &amp; E</t>
  </si>
  <si>
    <t>19-1312c(ii)</t>
  </si>
  <si>
    <t>Legal Aid -Research Officer</t>
  </si>
  <si>
    <t>19-1312c(i)</t>
  </si>
  <si>
    <t xml:space="preserve">Legal Aid - Drivers </t>
  </si>
  <si>
    <t>without</t>
  </si>
  <si>
    <t>19-1316c(ii)</t>
  </si>
  <si>
    <t>Child Diversion -  IT Consultant</t>
  </si>
  <si>
    <t>Child Diversion -  Monitoring &amp; Evaluation Consultant</t>
  </si>
  <si>
    <t>Child Diversion -Mentorship Training- Facilitator</t>
  </si>
  <si>
    <t>19-1316c</t>
  </si>
  <si>
    <t>Child Diversion Service Providers</t>
  </si>
  <si>
    <t>19-1313a(ii)</t>
  </si>
  <si>
    <t>RJ Case Conference Facilitatior</t>
  </si>
  <si>
    <t>Legal Aid -Legal Consultant</t>
  </si>
  <si>
    <t xml:space="preserve">Legal Aid -Legal Research Officers </t>
  </si>
  <si>
    <t>Consultants to be engaged on an ongoing basis across KMA, Central and Western regions.</t>
  </si>
  <si>
    <t>19-1311c</t>
  </si>
  <si>
    <r>
      <t xml:space="preserve">Process Status </t>
    </r>
    <r>
      <rPr>
        <i/>
        <sz val="10"/>
        <rFont val="Calibri"/>
        <family val="2"/>
      </rPr>
      <t>(Select one of the options)</t>
    </r>
    <r>
      <rPr>
        <sz val="10"/>
        <rFont val="Calibri"/>
        <family val="2"/>
      </rPr>
      <t>:</t>
    </r>
  </si>
  <si>
    <r>
      <t xml:space="preserve">Expost Review </t>
    </r>
    <r>
      <rPr>
        <i/>
        <sz val="10"/>
        <rFont val="Calibri"/>
        <family val="2"/>
      </rPr>
      <t>(Select one of the options)</t>
    </r>
    <r>
      <rPr>
        <sz val="10"/>
        <rFont val="Calibri"/>
        <family val="2"/>
      </rPr>
      <t>:</t>
    </r>
  </si>
  <si>
    <r>
      <t xml:space="preserve">Contract Type
</t>
    </r>
    <r>
      <rPr>
        <i/>
        <sz val="10"/>
        <rFont val="Calibri"/>
        <family val="2"/>
      </rPr>
      <t>(Select one of the options)</t>
    </r>
    <r>
      <rPr>
        <sz val="10"/>
        <rFont val="Calibri"/>
        <family val="2"/>
      </rPr>
      <t>:</t>
    </r>
  </si>
  <si>
    <r>
      <t xml:space="preserve">Procurement Method
</t>
    </r>
    <r>
      <rPr>
        <i/>
        <sz val="10"/>
        <rFont val="Calibri"/>
        <family val="2"/>
      </rPr>
      <t>(Select one of the options)</t>
    </r>
    <r>
      <rPr>
        <sz val="10"/>
        <rFont val="Calibri"/>
        <family val="2"/>
      </rPr>
      <t>:</t>
    </r>
  </si>
  <si>
    <t>Component  4</t>
  </si>
  <si>
    <t xml:space="preserve">Transition Exit Communication - JIS </t>
  </si>
  <si>
    <t xml:space="preserve">MOU- NPSC for parenting </t>
  </si>
  <si>
    <t>Component 3</t>
  </si>
  <si>
    <t>19-1315e</t>
  </si>
  <si>
    <t>RJ- Multi Media Campaign (JIS)</t>
  </si>
  <si>
    <t>19-1113a(ii)</t>
  </si>
  <si>
    <t xml:space="preserve">Violence Interruption Services - PMI - West </t>
  </si>
  <si>
    <t>19-1113a (i)</t>
  </si>
  <si>
    <t xml:space="preserve">Violence Interruption Services - PMI - East </t>
  </si>
  <si>
    <r>
      <t xml:space="preserve">Baseline Document 
</t>
    </r>
    <r>
      <rPr>
        <i/>
        <sz val="10"/>
        <rFont val="Calibri"/>
        <family val="2"/>
      </rPr>
      <t>(Select one of the options)</t>
    </r>
    <r>
      <rPr>
        <sz val="10"/>
        <rFont val="Calibri"/>
        <family val="2"/>
      </rPr>
      <t>:</t>
    </r>
  </si>
  <si>
    <t xml:space="preserve">Transition -Transportation - Symposium </t>
  </si>
  <si>
    <t>Child Diversion -Mentorship Training- Accomodations</t>
  </si>
  <si>
    <t>RJ Restorative Practice Training- Venue &amp; Refreshment</t>
  </si>
  <si>
    <t xml:space="preserve">RJ Restorative Practice Training - Accomodations </t>
  </si>
  <si>
    <t>19-1312a(i)</t>
  </si>
  <si>
    <t xml:space="preserve">Procurement conducted on an ongoing basis and as the need arises </t>
  </si>
  <si>
    <t>19-1312b</t>
  </si>
  <si>
    <t xml:space="preserve">Legal Aid- JPs and Police Officers Training Refreshment and venue </t>
  </si>
  <si>
    <t xml:space="preserve">Legal Aid Fair - Resource Material </t>
  </si>
  <si>
    <t xml:space="preserve">Life Skills - Transportation </t>
  </si>
  <si>
    <t>Life Skills - field Prep and rental supplies</t>
  </si>
  <si>
    <t>Parenting Workshop - Venue &amp; Refreshment</t>
  </si>
  <si>
    <t>Component 4</t>
  </si>
  <si>
    <t>Child Diversion - Promotional Paraphernalia</t>
  </si>
  <si>
    <t>RJ-- Equipment</t>
  </si>
  <si>
    <t>RJ- Promotional Branded Items RJ Week</t>
  </si>
  <si>
    <t>RJ- Promotional Branded Items</t>
  </si>
  <si>
    <t>JTI -JPs - Resource Materials</t>
  </si>
  <si>
    <t>JTI - Qualifying Training - Resource Materials</t>
  </si>
  <si>
    <t>19-1312b(v)</t>
  </si>
  <si>
    <t xml:space="preserve">Legal Aid Fair - Outside Broadcasting </t>
  </si>
  <si>
    <t>19-1312b(iv)</t>
  </si>
  <si>
    <t xml:space="preserve">Legal Aid Fair - Rental PA System and Generator </t>
  </si>
  <si>
    <t xml:space="preserve">VSD Overcomers in Action - stationery and material </t>
  </si>
  <si>
    <t xml:space="preserve">VSD - Resocialisation - Polo shirt </t>
  </si>
  <si>
    <t xml:space="preserve">VST Graduation - Programs, Certificate and Pictures </t>
  </si>
  <si>
    <t xml:space="preserve">Alwyn Ashley- Furniture and Equipment </t>
  </si>
  <si>
    <t>Liv Gud Anti-Gang-Paraphernelias (Branded items i.e. cups,mugs, banner,draw string bags)</t>
  </si>
  <si>
    <t>19-1115b</t>
  </si>
  <si>
    <t xml:space="preserve">CSJP-Good News Campaign Transition Brochures </t>
  </si>
  <si>
    <t>Parenting Workshop - Materials</t>
  </si>
  <si>
    <t>RJ - August Town Office</t>
  </si>
  <si>
    <t>VSD -Office  Renovations -St Mary</t>
  </si>
  <si>
    <t>20-1311h(iv)</t>
  </si>
  <si>
    <t>20-1311h(iii)</t>
  </si>
  <si>
    <t>20-1311h(i)</t>
  </si>
  <si>
    <t>PLAN TO BE UPDATED SEMESTER 1 &amp; 2</t>
  </si>
  <si>
    <t>Child Diversion -  Regional Coordinator</t>
  </si>
  <si>
    <t>Child Diversion -  Officers</t>
  </si>
  <si>
    <t>CSJP- Peace Mobile Opening &amp; Closing Ceremony - Tents, Tables chairs portable toilets</t>
  </si>
  <si>
    <t>Community Asset Maps Developed with safety audits for vulnerable groups</t>
  </si>
  <si>
    <t xml:space="preserve">Capacity Building - Refreshment and Venue </t>
  </si>
  <si>
    <t>19-1112b(ii)</t>
  </si>
  <si>
    <t>Capacity Building - Sport Items</t>
  </si>
  <si>
    <t>Transition 10</t>
  </si>
  <si>
    <t>Transition 9</t>
  </si>
  <si>
    <t>Transition 11</t>
  </si>
  <si>
    <t>VSD -Office  Renovations -Spanish Town St Catherine</t>
  </si>
  <si>
    <t>VSD - Promotional Items</t>
  </si>
  <si>
    <t>20-1311a(i)</t>
  </si>
  <si>
    <t>VSD - Resocialisation - stationery &amp; Resource Material</t>
  </si>
  <si>
    <t>20-1311a(ii)</t>
  </si>
  <si>
    <t>20-1311a(iii)</t>
  </si>
  <si>
    <t>20-1311a(vii)</t>
  </si>
  <si>
    <t>VSD SIP - Therapeutic Tools &amp; Resource Material</t>
  </si>
  <si>
    <t>20-1311b</t>
  </si>
  <si>
    <t>VSD - Service points expanded  St Catherine  Stationery</t>
  </si>
  <si>
    <t>VSD IT Equipment hardware &amp; Software (Digital Services</t>
  </si>
  <si>
    <t>Legal Aid Mobile Unit - Maintenance</t>
  </si>
  <si>
    <t>20-1312f(i)</t>
  </si>
  <si>
    <t>Legal Aid- JPS and Police Officers Training - stationery &amp; Resource Material</t>
  </si>
  <si>
    <t>20-1312f(v)</t>
  </si>
  <si>
    <t>Legal Aid Service Digitally - IT Equipment Hardware &amp; Software</t>
  </si>
  <si>
    <t>20-1312f(vii)</t>
  </si>
  <si>
    <t>JTI Delivery of Training Sessions Online- IT Equipment</t>
  </si>
  <si>
    <t>RJ - St Mary</t>
  </si>
  <si>
    <t>RJ - St Ann</t>
  </si>
  <si>
    <t>RJ - Westmoreland</t>
  </si>
  <si>
    <t>20-131b</t>
  </si>
  <si>
    <t>RJ - Communications (Purchase of cell phones and subscription)</t>
  </si>
  <si>
    <t>20-1315c(i)</t>
  </si>
  <si>
    <t>RJ - IT equipment (to provide RJ Services digitally)</t>
  </si>
  <si>
    <t>3 CV</t>
  </si>
  <si>
    <t>20-1313a(iv)</t>
  </si>
  <si>
    <t>RJ - Consultant to Develop Online RP Training Programme &amp; provide online coaching</t>
  </si>
  <si>
    <t>RJ Support Materials for Online RP Training</t>
  </si>
  <si>
    <t>RJ Restorative Practice Training- Annual Licenses Fees</t>
  </si>
  <si>
    <t>20-1315c(iii)</t>
  </si>
  <si>
    <t>Child Diversion - Service Points Clarendon, Hanover , St Thomas &amp; St Catherine - General Administration</t>
  </si>
  <si>
    <t>Child Diversion Public Awareness Campaign - Banners</t>
  </si>
  <si>
    <t>Child Diversion -Mentorship Training- Refreshment and venue with PA system</t>
  </si>
  <si>
    <t>Child Diversion -Parish Committee Training- Refreshment and venue with PA System</t>
  </si>
  <si>
    <t xml:space="preserve">Gayle Phase 1 &amp; 2 - Furniture and Equipment </t>
  </si>
  <si>
    <t>MOU-Support to MDAs (HEART)</t>
  </si>
  <si>
    <t>Programme Mgmt - Equipment Insurance</t>
  </si>
  <si>
    <t>Final Evaluation - Ernest &amp; Young</t>
  </si>
  <si>
    <t>M &amp; E</t>
  </si>
  <si>
    <t>Maverley Community Development Centre- Renovation</t>
  </si>
  <si>
    <t>Whitehall Containerized Multi-purpose - Erection</t>
  </si>
  <si>
    <t xml:space="preserve">Business Development - Equipment </t>
  </si>
  <si>
    <t>20-1223c</t>
  </si>
  <si>
    <t xml:space="preserve">component 2 </t>
  </si>
  <si>
    <t xml:space="preserve">VSD - Facilitators </t>
  </si>
  <si>
    <t>RJ Week - Transportation</t>
  </si>
  <si>
    <t>RJ Week - Live outside Broadcast</t>
  </si>
  <si>
    <t>RJ Week -Guest speaker Token</t>
  </si>
  <si>
    <t>Child Diversion - CD Training Consultant</t>
  </si>
  <si>
    <t>19-1122b</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</si>
</sst>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_-&quot;€&quot;* #,##0.00_-;\-&quot;€&quot;* #,##0.00_-;_-&quot;€&quot;* &quot;-&quot;??_-;_-@_-"/>
    <numFmt numFmtId="165" formatCode="[$-409]mmmm\ d\,\ yyyy;@"/>
    <numFmt numFmtId="166" formatCode="[$USD]\ #,##0"/>
    <numFmt numFmtId="167" formatCode="[$-10409]#,##0;\-#,##0"/>
    <numFmt numFmtId="168" formatCode="[$-409]d\-mmm\-yy;@"/>
    <numFmt numFmtId="169" formatCode="_([$$-409]* #,##0_);_([$$-409]* \(#,##0\);_([$$-409]* &quot;-&quot;??_);_(@_)"/>
    <numFmt numFmtId="170" formatCode="[$-409]mmm\-yy;@"/>
    <numFmt numFmtId="171" formatCode="[$-409]mmmm\-yy;@"/>
    <numFmt numFmtId="172" formatCode="_(* #,##0_);_(* \(#,##0\);_(* &quot;-&quot;??_);_(@_)"/>
    <numFmt numFmtId="173" formatCode="_([$$-409]* #,##0.00_);_([$$-409]* \(#,##0.00\);_([$$-409]* &quot;-&quot;??_);_(@_)"/>
    <numFmt numFmtId="174" formatCode="_(&quot;$&quot;* #,##0_);_(&quot;$&quot;* \(#,##0\);_(&quot;$&quot;* &quot;-&quot;??_);_(@_)"/>
    <numFmt numFmtId="175" formatCode="_([$$-409]* #,##0.0_);_([$$-409]* \(#,##0.0\);_([$$-409]* &quot;-&quot;??_);_(@_)"/>
  </numFmts>
  <fonts count="92">
    <font>
      <sz val="12"/>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
      <b/>
      <sz val="11"/>
      <color rgb="FF000000"/>
      <name val="Calibri"/>
      <family val="2"/>
    </font>
    <font>
      <b/>
      <u/>
      <sz val="11"/>
      <color theme="1"/>
      <name val="Calibri"/>
      <family val="2"/>
      <scheme val="minor"/>
    </font>
    <font>
      <i/>
      <sz val="11"/>
      <color theme="1"/>
      <name val="Calibri"/>
      <family val="2"/>
      <scheme val="minor"/>
    </font>
    <font>
      <b/>
      <sz val="12"/>
      <color theme="1"/>
      <name val="Calibri"/>
      <family val="2"/>
      <scheme val="minor"/>
    </font>
    <font>
      <b/>
      <sz val="11"/>
      <name val="Calibri"/>
      <family val="2"/>
    </font>
    <font>
      <b/>
      <sz val="11"/>
      <color theme="1"/>
      <name val="Calibri"/>
      <family val="2"/>
    </font>
    <font>
      <sz val="11"/>
      <color theme="1"/>
      <name val="Calibri"/>
      <family val="2"/>
    </font>
    <font>
      <sz val="8"/>
      <color theme="1"/>
      <name val="Calibri"/>
      <family val="2"/>
      <scheme val="minor"/>
    </font>
    <font>
      <b/>
      <u/>
      <sz val="11"/>
      <color theme="1"/>
      <name val="Calibri"/>
      <family val="2"/>
    </font>
    <font>
      <sz val="11"/>
      <color rgb="FF000000"/>
      <name val="Calibri"/>
      <family val="2"/>
    </font>
    <font>
      <sz val="10"/>
      <name val="Arial"/>
      <family val="2"/>
    </font>
    <font>
      <b/>
      <sz val="11.95"/>
      <color indexed="8"/>
      <name val="Calibri"/>
      <family val="2"/>
      <scheme val="minor"/>
    </font>
    <font>
      <sz val="10"/>
      <name val="Calibri"/>
      <family val="2"/>
      <scheme val="minor"/>
    </font>
    <font>
      <b/>
      <sz val="8"/>
      <color indexed="8"/>
      <name val="Calibri"/>
      <family val="2"/>
      <scheme val="minor"/>
    </font>
    <font>
      <b/>
      <sz val="11"/>
      <color indexed="8"/>
      <name val="Calibri"/>
      <family val="2"/>
      <scheme val="minor"/>
    </font>
    <font>
      <sz val="10"/>
      <color indexed="8"/>
      <name val="Calibri"/>
      <family val="2"/>
      <scheme val="minor"/>
    </font>
    <font>
      <b/>
      <sz val="10"/>
      <color indexed="8"/>
      <name val="Calibri"/>
      <family val="2"/>
      <scheme val="minor"/>
    </font>
    <font>
      <b/>
      <i/>
      <sz val="11"/>
      <name val="Calibri"/>
      <family val="2"/>
      <scheme val="minor"/>
    </font>
    <font>
      <sz val="11"/>
      <name val="Calibri"/>
      <family val="2"/>
      <scheme val="minor"/>
    </font>
    <font>
      <sz val="10"/>
      <color theme="1"/>
      <name val="Calibri"/>
      <family val="2"/>
      <scheme val="minor"/>
    </font>
    <font>
      <sz val="12"/>
      <color theme="1"/>
      <name val="Calibri"/>
      <family val="2"/>
      <scheme val="minor"/>
    </font>
    <font>
      <b/>
      <sz val="16"/>
      <color theme="1"/>
      <name val="Calibri"/>
      <family val="2"/>
      <scheme val="minor"/>
    </font>
    <font>
      <b/>
      <sz val="14"/>
      <color rgb="FF000000"/>
      <name val="Calibri"/>
      <family val="2"/>
    </font>
    <font>
      <b/>
      <sz val="8"/>
      <color rgb="FF000000"/>
      <name val="Calibri"/>
      <family val="2"/>
    </font>
    <font>
      <b/>
      <sz val="10"/>
      <color theme="1"/>
      <name val="Calibri"/>
      <family val="2"/>
      <scheme val="minor"/>
    </font>
    <font>
      <b/>
      <sz val="11"/>
      <color theme="3" tint="-0.249977111117893"/>
      <name val="Calibri"/>
      <family val="2"/>
      <scheme val="minor"/>
    </font>
    <font>
      <b/>
      <sz val="10"/>
      <name val="Calibri"/>
      <family val="2"/>
      <scheme val="minor"/>
    </font>
    <font>
      <b/>
      <sz val="12"/>
      <name val="Calibri"/>
      <family val="2"/>
      <scheme val="minor"/>
    </font>
    <font>
      <b/>
      <sz val="12"/>
      <color theme="1"/>
      <name val="Times New Roman"/>
      <family val="1"/>
    </font>
    <font>
      <sz val="10"/>
      <color theme="1"/>
      <name val="Times New Roman"/>
      <family val="1"/>
    </font>
    <font>
      <b/>
      <sz val="10"/>
      <color theme="1"/>
      <name val="Times New Roman"/>
      <family val="1"/>
    </font>
    <font>
      <sz val="12"/>
      <color theme="1"/>
      <name val="Times New Roman"/>
      <family val="1"/>
    </font>
    <font>
      <b/>
      <sz val="14"/>
      <color theme="1"/>
      <name val="Times New Roman"/>
      <family val="1"/>
    </font>
    <font>
      <sz val="14"/>
      <color theme="1"/>
      <name val="Calibri"/>
      <family val="2"/>
      <scheme val="minor"/>
    </font>
    <font>
      <b/>
      <sz val="14"/>
      <color theme="1"/>
      <name val="Calibri"/>
      <family val="2"/>
      <scheme val="minor"/>
    </font>
    <font>
      <b/>
      <sz val="10"/>
      <name val="Times New Roman"/>
      <family val="1"/>
    </font>
    <font>
      <b/>
      <sz val="10"/>
      <color rgb="FF000000"/>
      <name val="Calibri"/>
      <family val="2"/>
      <scheme val="minor"/>
    </font>
    <font>
      <sz val="10"/>
      <name val="Times New Roman"/>
      <family val="1"/>
    </font>
    <font>
      <sz val="24"/>
      <color theme="1"/>
      <name val="Calibri"/>
      <family val="2"/>
      <scheme val="minor"/>
    </font>
    <font>
      <b/>
      <sz val="24"/>
      <color theme="1"/>
      <name val="Calibri"/>
      <family val="2"/>
      <scheme val="minor"/>
    </font>
    <font>
      <sz val="16"/>
      <color theme="1"/>
      <name val="Calibri"/>
      <family val="2"/>
      <scheme val="minor"/>
    </font>
    <font>
      <b/>
      <sz val="12"/>
      <color indexed="8"/>
      <name val="Calibri"/>
      <family val="2"/>
      <scheme val="minor"/>
    </font>
    <font>
      <sz val="11"/>
      <color theme="1"/>
      <name val="Times New Roman"/>
      <family val="1"/>
    </font>
    <font>
      <sz val="12"/>
      <name val="Calibri"/>
      <family val="2"/>
      <scheme val="minor"/>
    </font>
    <font>
      <sz val="10"/>
      <color indexed="8"/>
      <name val="Calibri"/>
      <family val="2"/>
    </font>
    <font>
      <sz val="9"/>
      <color theme="1"/>
      <name val="Times New Roman"/>
      <family val="1"/>
    </font>
    <font>
      <sz val="10"/>
      <color theme="5" tint="0.39997558519241921"/>
      <name val="Calibri"/>
      <family val="2"/>
      <scheme val="minor"/>
    </font>
    <font>
      <sz val="10"/>
      <color rgb="FFFF0000"/>
      <name val="Times New Roman"/>
      <family val="1"/>
    </font>
    <font>
      <sz val="11"/>
      <name val="Calibri"/>
      <family val="2"/>
    </font>
    <font>
      <sz val="12"/>
      <name val="Times New Roman"/>
      <family val="1"/>
    </font>
    <font>
      <b/>
      <sz val="14"/>
      <name val="Times New Roman"/>
      <family val="1"/>
    </font>
    <font>
      <sz val="10"/>
      <name val="Calibri"/>
      <family val="2"/>
    </font>
    <font>
      <sz val="9"/>
      <name val="Times New Roman"/>
      <family val="1"/>
    </font>
    <font>
      <sz val="10"/>
      <color rgb="FFFF0000"/>
      <name val="Calibri"/>
      <family val="2"/>
      <scheme val="minor"/>
    </font>
    <font>
      <b/>
      <sz val="10"/>
      <color rgb="FF000000"/>
      <name val="Calibri"/>
      <family val="2"/>
    </font>
    <font>
      <sz val="10"/>
      <color theme="1"/>
      <name val="Calibri"/>
      <family val="2"/>
    </font>
    <font>
      <b/>
      <vertAlign val="superscript"/>
      <sz val="12"/>
      <color theme="1"/>
      <name val="Calibri"/>
      <family val="2"/>
      <scheme val="minor"/>
    </font>
    <font>
      <b/>
      <vertAlign val="superscript"/>
      <sz val="10"/>
      <color theme="1"/>
      <name val="Calibri"/>
      <family val="2"/>
      <scheme val="minor"/>
    </font>
    <font>
      <b/>
      <sz val="10"/>
      <color theme="3" tint="-0.249977111117893"/>
      <name val="Calibri"/>
      <family val="2"/>
      <scheme val="minor"/>
    </font>
    <font>
      <b/>
      <i/>
      <sz val="10"/>
      <color theme="1"/>
      <name val="Calibri"/>
      <family val="2"/>
      <scheme val="minor"/>
    </font>
    <font>
      <b/>
      <sz val="22"/>
      <color rgb="FFFF0000"/>
      <name val="Times New Roman"/>
      <family val="1"/>
    </font>
    <font>
      <sz val="9"/>
      <name val="Calibri"/>
      <family val="2"/>
      <scheme val="minor"/>
    </font>
    <font>
      <b/>
      <sz val="10"/>
      <color rgb="FFFF0000"/>
      <name val="Calibri"/>
      <family val="2"/>
      <scheme val="minor"/>
    </font>
    <font>
      <sz val="10"/>
      <name val="Book Antiqua"/>
      <family val="1"/>
    </font>
    <font>
      <sz val="9"/>
      <color theme="1"/>
      <name val="Calibri"/>
      <family val="2"/>
      <scheme val="minor"/>
    </font>
    <font>
      <b/>
      <sz val="10"/>
      <name val="Calibri"/>
      <family val="2"/>
    </font>
    <font>
      <b/>
      <vertAlign val="superscript"/>
      <sz val="16"/>
      <color theme="1"/>
      <name val="Calibri"/>
      <family val="2"/>
      <scheme val="minor"/>
    </font>
    <font>
      <b/>
      <sz val="12"/>
      <name val="Times New Roman"/>
      <family val="1"/>
    </font>
    <font>
      <sz val="14"/>
      <name val="Calibri"/>
      <family val="2"/>
      <scheme val="minor"/>
    </font>
    <font>
      <sz val="8"/>
      <name val="Calibri"/>
      <family val="2"/>
      <scheme val="minor"/>
    </font>
    <font>
      <b/>
      <sz val="11"/>
      <name val="Calibri"/>
      <family val="2"/>
      <scheme val="minor"/>
    </font>
    <font>
      <i/>
      <sz val="14"/>
      <color rgb="FFFF0000"/>
      <name val="Calibri"/>
      <family val="2"/>
      <scheme val="minor"/>
    </font>
    <font>
      <sz val="12"/>
      <color rgb="FFFF0000"/>
      <name val="Calibri"/>
      <family val="2"/>
      <scheme val="minor"/>
    </font>
    <font>
      <b/>
      <vertAlign val="subscript"/>
      <sz val="10"/>
      <color theme="1"/>
      <name val="Calibri"/>
      <family val="2"/>
      <scheme val="minor"/>
    </font>
    <font>
      <vertAlign val="subscript"/>
      <sz val="10"/>
      <color theme="1"/>
      <name val="Calibri"/>
      <family val="2"/>
      <scheme val="minor"/>
    </font>
    <font>
      <vertAlign val="subscript"/>
      <sz val="11"/>
      <color theme="1"/>
      <name val="Calibri"/>
      <family val="2"/>
      <scheme val="minor"/>
    </font>
    <font>
      <sz val="10"/>
      <color rgb="FF000000"/>
      <name val="Times New Roman"/>
      <family val="1"/>
    </font>
    <font>
      <sz val="11"/>
      <name val="Calibri "/>
    </font>
    <font>
      <b/>
      <sz val="11"/>
      <name val="Calibri "/>
    </font>
    <font>
      <b/>
      <u/>
      <sz val="10"/>
      <color theme="1"/>
      <name val="Calibri"/>
      <family val="2"/>
      <scheme val="minor"/>
    </font>
    <font>
      <b/>
      <sz val="10"/>
      <name val="Book Antiqua"/>
      <family val="1"/>
    </font>
    <font>
      <sz val="11"/>
      <color theme="1"/>
      <name val="Calibri "/>
    </font>
    <font>
      <sz val="9"/>
      <name val="Calibri"/>
      <family val="2"/>
    </font>
    <font>
      <i/>
      <sz val="10"/>
      <name val="Calibri"/>
      <family val="2"/>
    </font>
    <font>
      <b/>
      <sz val="16"/>
      <name val="Calibri"/>
      <family val="2"/>
      <scheme val="minor"/>
    </font>
    <font>
      <b/>
      <sz val="16"/>
      <name val="Times New Roman"/>
      <family val="1"/>
    </font>
    <font>
      <b/>
      <sz val="16"/>
      <color rgb="FFFF0000"/>
      <name val="Calibri"/>
      <family val="2"/>
      <scheme val="minor"/>
    </font>
  </fonts>
  <fills count="27">
    <fill>
      <patternFill patternType="none"/>
    </fill>
    <fill>
      <patternFill patternType="gray125"/>
    </fill>
    <fill>
      <patternFill patternType="solid">
        <fgColor rgb="FFFFFF00"/>
        <bgColor indexed="64"/>
      </patternFill>
    </fill>
    <fill>
      <patternFill patternType="solid">
        <fgColor rgb="FF92CDDC"/>
        <bgColor indexed="64"/>
      </patternFill>
    </fill>
    <fill>
      <patternFill patternType="solid">
        <fgColor rgb="FF4BACC6"/>
        <bgColor indexed="64"/>
      </patternFill>
    </fill>
    <fill>
      <patternFill patternType="solid">
        <fgColor rgb="FFDAEEF3"/>
        <bgColor indexed="64"/>
      </patternFill>
    </fill>
    <fill>
      <patternFill patternType="solid">
        <fgColor theme="8" tint="0.59999389629810485"/>
        <bgColor indexed="0"/>
      </patternFill>
    </fill>
    <fill>
      <patternFill patternType="solid">
        <fgColor theme="0" tint="-0.14996795556505021"/>
        <bgColor indexed="64"/>
      </patternFill>
    </fill>
    <fill>
      <patternFill patternType="solid">
        <fgColor theme="8" tint="0.79998168889431442"/>
        <bgColor indexed="64"/>
      </patternFill>
    </fill>
    <fill>
      <patternFill patternType="solid">
        <fgColor indexed="48"/>
        <bgColor indexed="64"/>
      </patternFill>
    </fill>
    <fill>
      <patternFill patternType="solid">
        <fgColor theme="0"/>
        <bgColor indexed="64"/>
      </patternFill>
    </fill>
    <fill>
      <patternFill patternType="solid">
        <fgColor theme="6"/>
        <bgColor indexed="64"/>
      </patternFill>
    </fill>
    <fill>
      <patternFill patternType="solid">
        <fgColor theme="8"/>
        <bgColor indexed="64"/>
      </patternFill>
    </fill>
    <fill>
      <patternFill patternType="solid">
        <fgColor theme="7" tint="0.39997558519241921"/>
        <bgColor indexed="64"/>
      </patternFill>
    </fill>
    <fill>
      <patternFill patternType="solid">
        <fgColor theme="2"/>
        <bgColor indexed="64"/>
      </patternFill>
    </fill>
    <fill>
      <patternFill patternType="solid">
        <fgColor theme="3" tint="0.39997558519241921"/>
        <bgColor indexed="64"/>
      </patternFill>
    </fill>
    <fill>
      <patternFill patternType="solid">
        <fgColor theme="8" tint="0.39997558519241921"/>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rgb="FFFF0000"/>
        <bgColor indexed="64"/>
      </patternFill>
    </fill>
    <fill>
      <patternFill patternType="solid">
        <fgColor rgb="FFFFC000"/>
        <bgColor indexed="64"/>
      </patternFill>
    </fill>
    <fill>
      <patternFill patternType="solid">
        <fgColor rgb="FF0066FF"/>
        <bgColor indexed="64"/>
      </patternFill>
    </fill>
    <fill>
      <patternFill patternType="solid">
        <fgColor rgb="FFFFFFFF"/>
        <bgColor indexed="64"/>
      </patternFill>
    </fill>
    <fill>
      <patternFill patternType="solid">
        <fgColor rgb="FFC0C0C0"/>
        <bgColor indexed="64"/>
      </patternFill>
    </fill>
    <fill>
      <patternFill patternType="solid">
        <fgColor rgb="FF00FF00"/>
        <bgColor indexed="64"/>
      </patternFill>
    </fill>
    <fill>
      <patternFill patternType="solid">
        <fgColor rgb="FF92D050"/>
        <bgColor indexed="64"/>
      </patternFill>
    </fill>
  </fills>
  <borders count="74">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rgb="FF000000"/>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auto="1"/>
      </right>
      <top style="thin">
        <color auto="1"/>
      </top>
      <bottom style="medium">
        <color auto="1"/>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s>
  <cellStyleXfs count="8">
    <xf numFmtId="0" fontId="0" fillId="0" borderId="0"/>
    <xf numFmtId="0" fontId="15" fillId="0" borderId="0"/>
    <xf numFmtId="0" fontId="15" fillId="0" borderId="0"/>
    <xf numFmtId="164" fontId="25" fillId="0" borderId="0" applyFont="0" applyFill="0" applyBorder="0" applyAlignment="0" applyProtection="0"/>
    <xf numFmtId="43" fontId="25" fillId="0" borderId="0" applyFont="0" applyFill="0" applyBorder="0" applyAlignment="0" applyProtection="0"/>
    <xf numFmtId="0" fontId="2" fillId="0" borderId="0"/>
    <xf numFmtId="0" fontId="15" fillId="0" borderId="0"/>
    <xf numFmtId="0" fontId="1" fillId="0" borderId="0"/>
  </cellStyleXfs>
  <cellXfs count="1331">
    <xf numFmtId="0" fontId="0" fillId="0" borderId="0" xfId="0"/>
    <xf numFmtId="0" fontId="3" fillId="0" borderId="0" xfId="0" applyFont="1" applyAlignment="1">
      <alignment horizontal="center"/>
    </xf>
    <xf numFmtId="0" fontId="4" fillId="2" borderId="0" xfId="0" applyFont="1" applyFill="1"/>
    <xf numFmtId="0" fontId="4" fillId="0" borderId="0" xfId="0" applyFont="1"/>
    <xf numFmtId="0" fontId="5" fillId="3" borderId="1" xfId="0" applyFont="1" applyFill="1" applyBorder="1" applyAlignment="1">
      <alignment vertical="center" wrapText="1"/>
    </xf>
    <xf numFmtId="0" fontId="0" fillId="0" borderId="0" xfId="0" applyAlignment="1">
      <alignment wrapText="1"/>
    </xf>
    <xf numFmtId="0" fontId="8" fillId="0" borderId="0" xfId="0" applyFont="1" applyAlignment="1">
      <alignment horizontal="left"/>
    </xf>
    <xf numFmtId="0" fontId="10" fillId="5" borderId="5" xfId="0" applyFont="1" applyFill="1" applyBorder="1" applyAlignment="1">
      <alignment vertical="center" wrapText="1"/>
    </xf>
    <xf numFmtId="0" fontId="10" fillId="5" borderId="1" xfId="0" applyFont="1" applyFill="1" applyBorder="1" applyAlignment="1">
      <alignment vertical="center" wrapText="1"/>
    </xf>
    <xf numFmtId="0" fontId="10" fillId="5" borderId="8" xfId="0" applyFont="1" applyFill="1" applyBorder="1" applyAlignment="1">
      <alignment vertical="center" wrapText="1"/>
    </xf>
    <xf numFmtId="0" fontId="10" fillId="5" borderId="9" xfId="0" applyFont="1" applyFill="1" applyBorder="1" applyAlignment="1">
      <alignment vertical="center" wrapText="1"/>
    </xf>
    <xf numFmtId="0" fontId="12" fillId="0" borderId="0" xfId="0" applyFont="1" applyAlignment="1">
      <alignment wrapText="1"/>
    </xf>
    <xf numFmtId="0" fontId="11" fillId="0" borderId="7" xfId="0" applyFont="1" applyBorder="1" applyAlignment="1">
      <alignment vertical="center" wrapText="1"/>
    </xf>
    <xf numFmtId="2" fontId="11" fillId="0" borderId="6" xfId="0" applyNumberFormat="1" applyFont="1" applyBorder="1" applyAlignment="1">
      <alignment vertical="center" wrapText="1"/>
    </xf>
    <xf numFmtId="0" fontId="15" fillId="0" borderId="0" xfId="1"/>
    <xf numFmtId="0" fontId="16" fillId="0" borderId="0" xfId="1" applyFont="1" applyAlignment="1" applyProtection="1">
      <alignment vertical="top" readingOrder="1"/>
      <protection locked="0"/>
    </xf>
    <xf numFmtId="0" fontId="17" fillId="0" borderId="0" xfId="1" applyFont="1"/>
    <xf numFmtId="0" fontId="18" fillId="0" borderId="0" xfId="1" applyFont="1" applyAlignment="1" applyProtection="1">
      <alignment vertical="center" wrapText="1" readingOrder="1"/>
      <protection locked="0"/>
    </xf>
    <xf numFmtId="0" fontId="5" fillId="3" borderId="10" xfId="0" applyFont="1" applyFill="1" applyBorder="1" applyAlignment="1">
      <alignment horizontal="center" vertical="center" wrapText="1"/>
    </xf>
    <xf numFmtId="0" fontId="15" fillId="0" borderId="0" xfId="1" applyAlignment="1">
      <alignment vertical="center"/>
    </xf>
    <xf numFmtId="0" fontId="26" fillId="0" borderId="0" xfId="0" applyFont="1"/>
    <xf numFmtId="0" fontId="5" fillId="3" borderId="10" xfId="0" applyFont="1" applyFill="1" applyBorder="1" applyAlignment="1">
      <alignment horizontal="left" vertical="center" wrapText="1"/>
    </xf>
    <xf numFmtId="0" fontId="5" fillId="3" borderId="1" xfId="0" applyFont="1" applyFill="1" applyBorder="1" applyAlignment="1">
      <alignment horizontal="center" vertical="center" wrapText="1"/>
    </xf>
    <xf numFmtId="9" fontId="30" fillId="8" borderId="34" xfId="0" applyNumberFormat="1" applyFont="1" applyFill="1" applyBorder="1" applyAlignment="1">
      <alignment horizontal="center" vertical="center" wrapText="1" readingOrder="1"/>
    </xf>
    <xf numFmtId="0" fontId="17" fillId="8" borderId="34" xfId="1" applyFont="1" applyFill="1" applyBorder="1" applyAlignment="1" applyProtection="1">
      <alignment vertical="center" wrapText="1" readingOrder="1"/>
      <protection locked="0"/>
    </xf>
    <xf numFmtId="0" fontId="17" fillId="8" borderId="34" xfId="1" applyFont="1" applyFill="1" applyBorder="1" applyAlignment="1">
      <alignment horizontal="left" vertical="center" wrapText="1" readingOrder="1"/>
    </xf>
    <xf numFmtId="0" fontId="17" fillId="8" borderId="34" xfId="1" applyFont="1" applyFill="1" applyBorder="1" applyAlignment="1" applyProtection="1">
      <alignment horizontal="center" vertical="center" wrapText="1" readingOrder="1"/>
      <protection locked="0"/>
    </xf>
    <xf numFmtId="0" fontId="17" fillId="8" borderId="34" xfId="1" applyFont="1" applyFill="1" applyBorder="1" applyAlignment="1">
      <alignment vertical="center" wrapText="1"/>
    </xf>
    <xf numFmtId="9" fontId="30" fillId="8" borderId="37" xfId="0" applyNumberFormat="1" applyFont="1" applyFill="1" applyBorder="1" applyAlignment="1">
      <alignment horizontal="center" vertical="center" wrapText="1" readingOrder="1"/>
    </xf>
    <xf numFmtId="0" fontId="24" fillId="0" borderId="24" xfId="0" applyFont="1" applyBorder="1" applyAlignment="1">
      <alignment horizontal="left" vertical="center" wrapText="1" readingOrder="1"/>
    </xf>
    <xf numFmtId="0" fontId="31" fillId="0" borderId="24" xfId="1" applyFont="1" applyBorder="1" applyAlignment="1" applyProtection="1">
      <alignment vertical="center" wrapText="1" readingOrder="1"/>
      <protection locked="0"/>
    </xf>
    <xf numFmtId="0" fontId="17" fillId="0" borderId="24" xfId="1" applyFont="1" applyBorder="1" applyAlignment="1">
      <alignment horizontal="left" vertical="center" wrapText="1" readingOrder="1"/>
    </xf>
    <xf numFmtId="0" fontId="17" fillId="0" borderId="39" xfId="1" applyFont="1" applyBorder="1" applyAlignment="1">
      <alignment vertical="center" wrapText="1"/>
    </xf>
    <xf numFmtId="0" fontId="17" fillId="0" borderId="24" xfId="1" applyFont="1" applyBorder="1" applyAlignment="1" applyProtection="1">
      <alignment vertical="center" wrapText="1" readingOrder="1"/>
      <protection locked="0"/>
    </xf>
    <xf numFmtId="0" fontId="24" fillId="0" borderId="40" xfId="0" applyFont="1" applyBorder="1" applyAlignment="1">
      <alignment horizontal="left" vertical="center" wrapText="1" readingOrder="1"/>
    </xf>
    <xf numFmtId="0" fontId="17" fillId="0" borderId="40" xfId="1" applyFont="1" applyBorder="1" applyAlignment="1" applyProtection="1">
      <alignment vertical="center" wrapText="1" readingOrder="1"/>
      <protection locked="0"/>
    </xf>
    <xf numFmtId="0" fontId="17" fillId="0" borderId="23" xfId="1" applyFont="1" applyBorder="1" applyAlignment="1">
      <alignment horizontal="left" vertical="center" wrapText="1" readingOrder="1"/>
    </xf>
    <xf numFmtId="0" fontId="17" fillId="0" borderId="23" xfId="1" applyFont="1" applyBorder="1" applyAlignment="1" applyProtection="1">
      <alignment horizontal="center" vertical="center" wrapText="1" readingOrder="1"/>
      <protection locked="0"/>
    </xf>
    <xf numFmtId="0" fontId="17" fillId="0" borderId="32" xfId="1" applyFont="1" applyBorder="1" applyAlignment="1" applyProtection="1">
      <alignment horizontal="center" vertical="center" wrapText="1" readingOrder="1"/>
      <protection locked="0"/>
    </xf>
    <xf numFmtId="0" fontId="17" fillId="0" borderId="32" xfId="1" applyFont="1" applyBorder="1" applyAlignment="1">
      <alignment vertical="center" wrapText="1"/>
    </xf>
    <xf numFmtId="0" fontId="17" fillId="8" borderId="27" xfId="1" applyFont="1" applyFill="1" applyBorder="1" applyAlignment="1" applyProtection="1">
      <alignment vertical="center" wrapText="1" readingOrder="1"/>
      <protection locked="0"/>
    </xf>
    <xf numFmtId="0" fontId="17" fillId="8" borderId="27" xfId="1" applyFont="1" applyFill="1" applyBorder="1" applyAlignment="1">
      <alignment horizontal="left" vertical="center" wrapText="1" readingOrder="1"/>
    </xf>
    <xf numFmtId="0" fontId="17" fillId="8" borderId="27" xfId="1" applyFont="1" applyFill="1" applyBorder="1" applyAlignment="1" applyProtection="1">
      <alignment horizontal="center" vertical="center" wrapText="1" readingOrder="1"/>
      <protection locked="0"/>
    </xf>
    <xf numFmtId="0" fontId="17" fillId="8" borderId="37" xfId="1" applyFont="1" applyFill="1" applyBorder="1" applyAlignment="1">
      <alignment vertical="center" wrapText="1"/>
    </xf>
    <xf numFmtId="0" fontId="0" fillId="0" borderId="0" xfId="0" applyAlignment="1">
      <alignment vertical="center"/>
    </xf>
    <xf numFmtId="0" fontId="29" fillId="0" borderId="24" xfId="0" applyFont="1" applyBorder="1" applyAlignment="1">
      <alignment horizontal="left" vertical="center" wrapText="1" readingOrder="1"/>
    </xf>
    <xf numFmtId="0" fontId="29" fillId="0" borderId="36" xfId="0" applyFont="1" applyBorder="1" applyAlignment="1">
      <alignment horizontal="left" vertical="center" wrapText="1" readingOrder="1"/>
    </xf>
    <xf numFmtId="0" fontId="29" fillId="0" borderId="44" xfId="0" applyFont="1" applyBorder="1" applyAlignment="1">
      <alignment horizontal="left" vertical="center" wrapText="1" readingOrder="1"/>
    </xf>
    <xf numFmtId="0" fontId="17" fillId="0" borderId="34" xfId="1" applyFont="1" applyBorder="1" applyAlignment="1" applyProtection="1">
      <alignment vertical="center" wrapText="1" readingOrder="1"/>
      <protection locked="0"/>
    </xf>
    <xf numFmtId="0" fontId="24" fillId="0" borderId="45" xfId="0" applyFont="1" applyBorder="1" applyAlignment="1">
      <alignment horizontal="left" vertical="center" wrapText="1" readingOrder="1"/>
    </xf>
    <xf numFmtId="0" fontId="29" fillId="0" borderId="34" xfId="0" applyFont="1" applyBorder="1" applyAlignment="1">
      <alignment horizontal="left" vertical="center" wrapText="1" readingOrder="1"/>
    </xf>
    <xf numFmtId="0" fontId="17" fillId="0" borderId="34" xfId="1" applyFont="1" applyBorder="1" applyAlignment="1" applyProtection="1">
      <alignment horizontal="center" vertical="center" wrapText="1" readingOrder="1"/>
      <protection locked="0"/>
    </xf>
    <xf numFmtId="0" fontId="17" fillId="0" borderId="0" xfId="0" applyFont="1" applyAlignment="1">
      <alignment vertical="center" wrapText="1"/>
    </xf>
    <xf numFmtId="0" fontId="17" fillId="10" borderId="24" xfId="0" applyFont="1" applyFill="1" applyBorder="1" applyAlignment="1">
      <alignment vertical="center" wrapText="1"/>
    </xf>
    <xf numFmtId="0" fontId="17" fillId="10" borderId="39" xfId="0" applyFont="1" applyFill="1" applyBorder="1" applyAlignment="1">
      <alignment vertical="center" wrapText="1"/>
    </xf>
    <xf numFmtId="0" fontId="17" fillId="10" borderId="0" xfId="0" applyFont="1" applyFill="1" applyAlignment="1">
      <alignment vertical="center" wrapText="1"/>
    </xf>
    <xf numFmtId="0" fontId="17" fillId="0" borderId="45" xfId="0" applyFont="1" applyBorder="1" applyAlignment="1">
      <alignment vertical="center" wrapText="1"/>
    </xf>
    <xf numFmtId="15" fontId="17" fillId="0" borderId="24" xfId="0" applyNumberFormat="1" applyFont="1" applyBorder="1" applyAlignment="1">
      <alignment vertical="center" wrapText="1"/>
    </xf>
    <xf numFmtId="0" fontId="24" fillId="0" borderId="45" xfId="0" applyFont="1" applyBorder="1" applyAlignment="1">
      <alignment horizontal="center" vertical="center" wrapText="1"/>
    </xf>
    <xf numFmtId="0" fontId="17" fillId="0" borderId="24" xfId="0" applyFont="1" applyBorder="1" applyAlignment="1">
      <alignment horizontal="left" vertical="center" wrapText="1"/>
    </xf>
    <xf numFmtId="14" fontId="17" fillId="10" borderId="24" xfId="0" applyNumberFormat="1" applyFont="1" applyFill="1" applyBorder="1" applyAlignment="1">
      <alignment vertical="center" wrapText="1"/>
    </xf>
    <xf numFmtId="0" fontId="24" fillId="0" borderId="24" xfId="0" applyFont="1" applyBorder="1" applyAlignment="1">
      <alignment vertical="center" wrapText="1"/>
    </xf>
    <xf numFmtId="0" fontId="17" fillId="0" borderId="40" xfId="0" applyFont="1" applyBorder="1" applyAlignment="1">
      <alignment vertical="center" wrapText="1"/>
    </xf>
    <xf numFmtId="0" fontId="17" fillId="0" borderId="23" xfId="0" applyFont="1" applyBorder="1" applyAlignment="1">
      <alignment vertical="center" wrapText="1"/>
    </xf>
    <xf numFmtId="15" fontId="17" fillId="0" borderId="23" xfId="0" applyNumberFormat="1" applyFont="1" applyBorder="1" applyAlignment="1">
      <alignment vertical="center" wrapText="1"/>
    </xf>
    <xf numFmtId="0" fontId="33" fillId="0" borderId="0" xfId="0" applyFont="1"/>
    <xf numFmtId="0" fontId="34" fillId="0" borderId="0" xfId="0" applyFont="1"/>
    <xf numFmtId="0" fontId="35" fillId="11" borderId="23" xfId="0" applyFont="1" applyFill="1" applyBorder="1"/>
    <xf numFmtId="0" fontId="35" fillId="12" borderId="23" xfId="0" applyFont="1" applyFill="1" applyBorder="1" applyAlignment="1">
      <alignment horizontal="center"/>
    </xf>
    <xf numFmtId="0" fontId="35" fillId="11" borderId="24" xfId="0" applyFont="1" applyFill="1" applyBorder="1"/>
    <xf numFmtId="0" fontId="35" fillId="12" borderId="24" xfId="0" applyFont="1" applyFill="1" applyBorder="1"/>
    <xf numFmtId="0" fontId="35" fillId="13" borderId="0" xfId="0" applyFont="1" applyFill="1" applyAlignment="1">
      <alignment horizontal="center"/>
    </xf>
    <xf numFmtId="3" fontId="35" fillId="12" borderId="24" xfId="0" applyNumberFormat="1" applyFont="1" applyFill="1" applyBorder="1" applyAlignment="1">
      <alignment horizontal="center" vertical="center"/>
    </xf>
    <xf numFmtId="0" fontId="34" fillId="13" borderId="0" xfId="0" applyFont="1" applyFill="1"/>
    <xf numFmtId="3" fontId="35" fillId="8" borderId="24" xfId="0" applyNumberFormat="1" applyFont="1" applyFill="1" applyBorder="1" applyAlignment="1">
      <alignment horizontal="center" vertical="center"/>
    </xf>
    <xf numFmtId="0" fontId="24" fillId="0" borderId="24" xfId="0" applyFont="1" applyBorder="1" applyAlignment="1">
      <alignment horizontal="right" vertical="center" wrapText="1"/>
    </xf>
    <xf numFmtId="169" fontId="24" fillId="0" borderId="24" xfId="3" applyNumberFormat="1" applyFont="1" applyBorder="1" applyAlignment="1" applyProtection="1">
      <alignment vertical="center"/>
      <protection locked="0"/>
    </xf>
    <xf numFmtId="169" fontId="29" fillId="12" borderId="24" xfId="3" applyNumberFormat="1" applyFont="1" applyFill="1" applyBorder="1" applyAlignment="1" applyProtection="1">
      <alignment vertical="center"/>
    </xf>
    <xf numFmtId="169" fontId="17" fillId="13" borderId="0" xfId="3" applyNumberFormat="1" applyFont="1" applyFill="1" applyAlignment="1" applyProtection="1">
      <alignment vertical="center"/>
    </xf>
    <xf numFmtId="0" fontId="34" fillId="0" borderId="0" xfId="0" applyFont="1" applyAlignment="1">
      <alignment vertical="center"/>
    </xf>
    <xf numFmtId="0" fontId="24" fillId="0" borderId="24" xfId="0" applyFont="1" applyBorder="1" applyAlignment="1" applyProtection="1">
      <alignment horizontal="right" wrapText="1"/>
      <protection locked="0"/>
    </xf>
    <xf numFmtId="169" fontId="24" fillId="0" borderId="24" xfId="3" applyNumberFormat="1" applyFont="1" applyBorder="1" applyAlignment="1" applyProtection="1">
      <protection locked="0"/>
    </xf>
    <xf numFmtId="169" fontId="29" fillId="12" borderId="24" xfId="3" applyNumberFormat="1" applyFont="1" applyFill="1" applyBorder="1" applyAlignment="1" applyProtection="1"/>
    <xf numFmtId="169" fontId="24" fillId="0" borderId="24" xfId="3" applyNumberFormat="1" applyFont="1" applyBorder="1" applyAlignment="1" applyProtection="1">
      <alignment horizontal="right" vertical="center"/>
      <protection locked="0"/>
    </xf>
    <xf numFmtId="169" fontId="29" fillId="12" borderId="24" xfId="3" applyNumberFormat="1" applyFont="1" applyFill="1" applyBorder="1" applyAlignment="1" applyProtection="1">
      <alignment horizontal="right" vertical="center"/>
    </xf>
    <xf numFmtId="0" fontId="34" fillId="0" borderId="0" xfId="0" applyFont="1" applyAlignment="1">
      <alignment horizontal="right" vertical="center"/>
    </xf>
    <xf numFmtId="0" fontId="36" fillId="0" borderId="0" xfId="0" applyFont="1" applyAlignment="1">
      <alignment vertical="center"/>
    </xf>
    <xf numFmtId="0" fontId="37" fillId="0" borderId="0" xfId="0" applyFont="1" applyAlignment="1">
      <alignment horizontal="center" vertical="center" wrapText="1"/>
    </xf>
    <xf numFmtId="169" fontId="29" fillId="12" borderId="0" xfId="3" applyNumberFormat="1" applyFont="1" applyFill="1" applyBorder="1" applyAlignment="1" applyProtection="1"/>
    <xf numFmtId="169" fontId="34" fillId="0" borderId="0" xfId="3" applyNumberFormat="1" applyFont="1" applyBorder="1" applyAlignment="1" applyProtection="1">
      <alignment horizontal="right"/>
    </xf>
    <xf numFmtId="169" fontId="24" fillId="13" borderId="0" xfId="3" applyNumberFormat="1" applyFont="1" applyFill="1" applyAlignment="1" applyProtection="1"/>
    <xf numFmtId="0" fontId="36" fillId="0" borderId="0" xfId="0" applyFont="1"/>
    <xf numFmtId="0" fontId="35" fillId="0" borderId="0" xfId="0" applyFont="1"/>
    <xf numFmtId="169" fontId="34" fillId="0" borderId="0" xfId="0" applyNumberFormat="1" applyFont="1"/>
    <xf numFmtId="0" fontId="35" fillId="12" borderId="0" xfId="0" applyFont="1" applyFill="1"/>
    <xf numFmtId="3" fontId="35" fillId="0" borderId="24" xfId="0" applyNumberFormat="1" applyFont="1" applyBorder="1" applyAlignment="1">
      <alignment horizontal="center" vertical="center"/>
    </xf>
    <xf numFmtId="0" fontId="34" fillId="0" borderId="24" xfId="0" applyFont="1" applyBorder="1" applyAlignment="1">
      <alignment horizontal="center" vertical="center"/>
    </xf>
    <xf numFmtId="3" fontId="34" fillId="0" borderId="0" xfId="0" applyNumberFormat="1" applyFont="1"/>
    <xf numFmtId="169" fontId="31" fillId="0" borderId="24" xfId="0" applyNumberFormat="1" applyFont="1" applyBorder="1" applyAlignment="1">
      <alignment horizontal="center" vertical="center"/>
    </xf>
    <xf numFmtId="169" fontId="17" fillId="0" borderId="24" xfId="0" applyNumberFormat="1" applyFont="1" applyBorder="1" applyAlignment="1">
      <alignment horizontal="center" vertical="center"/>
    </xf>
    <xf numFmtId="0" fontId="40" fillId="10" borderId="24" xfId="0" applyFont="1" applyFill="1" applyBorder="1" applyAlignment="1">
      <alignment horizontal="left" vertical="center" wrapText="1"/>
    </xf>
    <xf numFmtId="3" fontId="42" fillId="0" borderId="24" xfId="0" applyNumberFormat="1" applyFont="1" applyBorder="1" applyAlignment="1">
      <alignment horizontal="center" vertical="center"/>
    </xf>
    <xf numFmtId="169" fontId="17" fillId="0" borderId="24" xfId="0" applyNumberFormat="1" applyFont="1" applyBorder="1" applyAlignment="1">
      <alignment horizontal="right" vertical="center"/>
    </xf>
    <xf numFmtId="0" fontId="17" fillId="14" borderId="24" xfId="0" applyFont="1" applyFill="1" applyBorder="1" applyAlignment="1">
      <alignment wrapText="1"/>
    </xf>
    <xf numFmtId="0" fontId="34" fillId="14" borderId="45" xfId="0" applyFont="1" applyFill="1" applyBorder="1" applyAlignment="1">
      <alignment horizontal="center" vertical="center" wrapText="1"/>
    </xf>
    <xf numFmtId="0" fontId="40" fillId="14" borderId="24" xfId="0" applyFont="1" applyFill="1" applyBorder="1" applyAlignment="1">
      <alignment wrapText="1"/>
    </xf>
    <xf numFmtId="3" fontId="40" fillId="14" borderId="24" xfId="0" applyNumberFormat="1" applyFont="1" applyFill="1" applyBorder="1" applyAlignment="1">
      <alignment horizontal="center" vertical="center"/>
    </xf>
    <xf numFmtId="169" fontId="17" fillId="14" borderId="24" xfId="0" applyNumberFormat="1" applyFont="1" applyFill="1" applyBorder="1" applyAlignment="1">
      <alignment horizontal="center" vertical="center"/>
    </xf>
    <xf numFmtId="0" fontId="40" fillId="0" borderId="24" xfId="0" applyFont="1" applyBorder="1" applyAlignment="1">
      <alignment horizontal="left" vertical="center" wrapText="1" indent="2"/>
    </xf>
    <xf numFmtId="169" fontId="31" fillId="0" borderId="39" xfId="0" applyNumberFormat="1" applyFont="1" applyBorder="1" applyAlignment="1">
      <alignment horizontal="center" vertical="center"/>
    </xf>
    <xf numFmtId="0" fontId="40" fillId="15" borderId="32" xfId="0" applyFont="1" applyFill="1" applyBorder="1" applyAlignment="1">
      <alignment wrapText="1"/>
    </xf>
    <xf numFmtId="169" fontId="31" fillId="0" borderId="24" xfId="0" applyNumberFormat="1" applyFont="1" applyBorder="1" applyAlignment="1">
      <alignment vertical="top" wrapText="1"/>
    </xf>
    <xf numFmtId="1" fontId="17" fillId="0" borderId="45" xfId="0" applyNumberFormat="1" applyFont="1" applyBorder="1" applyAlignment="1">
      <alignment horizontal="right"/>
    </xf>
    <xf numFmtId="169" fontId="31" fillId="0" borderId="24" xfId="0" applyNumberFormat="1" applyFont="1" applyBorder="1" applyAlignment="1">
      <alignment horizontal="right" vertical="center"/>
    </xf>
    <xf numFmtId="0" fontId="38" fillId="0" borderId="0" xfId="0" applyFont="1"/>
    <xf numFmtId="0" fontId="0" fillId="17" borderId="24" xfId="0" applyFill="1" applyBorder="1"/>
    <xf numFmtId="0" fontId="3" fillId="17" borderId="24" xfId="0" applyFont="1" applyFill="1" applyBorder="1"/>
    <xf numFmtId="0" fontId="3" fillId="0" borderId="24" xfId="0" applyFont="1" applyBorder="1"/>
    <xf numFmtId="0" fontId="0" fillId="0" borderId="24" xfId="0" applyBorder="1"/>
    <xf numFmtId="0" fontId="0" fillId="0" borderId="24" xfId="0" applyBorder="1" applyAlignment="1">
      <alignment horizontal="left" vertical="top" wrapText="1"/>
    </xf>
    <xf numFmtId="0" fontId="0" fillId="0" borderId="24" xfId="0" applyBorder="1" applyAlignment="1">
      <alignment horizontal="left" vertical="top"/>
    </xf>
    <xf numFmtId="0" fontId="0" fillId="0" borderId="24" xfId="0" applyBorder="1" applyAlignment="1">
      <alignment vertical="top"/>
    </xf>
    <xf numFmtId="0" fontId="3" fillId="0" borderId="24" xfId="0" applyFont="1" applyBorder="1" applyAlignment="1">
      <alignment horizontal="left" vertical="top"/>
    </xf>
    <xf numFmtId="0" fontId="3" fillId="0" borderId="24" xfId="0" applyFont="1" applyBorder="1" applyAlignment="1">
      <alignment vertical="top"/>
    </xf>
    <xf numFmtId="0" fontId="0" fillId="0" borderId="23" xfId="0" applyBorder="1"/>
    <xf numFmtId="0" fontId="0" fillId="0" borderId="23" xfId="0" applyBorder="1" applyAlignment="1">
      <alignment horizontal="left" vertical="top"/>
    </xf>
    <xf numFmtId="0" fontId="0" fillId="17" borderId="53" xfId="0" applyFill="1" applyBorder="1"/>
    <xf numFmtId="0" fontId="3" fillId="17" borderId="53" xfId="0" applyFont="1" applyFill="1" applyBorder="1"/>
    <xf numFmtId="0" fontId="3" fillId="0" borderId="24" xfId="0" applyFont="1" applyBorder="1" applyAlignment="1">
      <alignment vertical="top" wrapText="1"/>
    </xf>
    <xf numFmtId="0" fontId="44" fillId="0" borderId="52" xfId="0" applyFont="1" applyBorder="1" applyAlignment="1">
      <alignment horizontal="center"/>
    </xf>
    <xf numFmtId="0" fontId="45" fillId="0" borderId="24" xfId="0" applyFont="1" applyBorder="1"/>
    <xf numFmtId="169" fontId="29" fillId="2" borderId="0" xfId="3" applyNumberFormat="1" applyFont="1" applyFill="1" applyBorder="1" applyAlignment="1" applyProtection="1">
      <alignment vertical="center"/>
    </xf>
    <xf numFmtId="0" fontId="8" fillId="0" borderId="0" xfId="0" applyFont="1"/>
    <xf numFmtId="0" fontId="0" fillId="0" borderId="0" xfId="0" applyAlignment="1">
      <alignment horizontal="left" vertical="center" indent="3"/>
    </xf>
    <xf numFmtId="0" fontId="46" fillId="0" borderId="0" xfId="1" applyFont="1" applyAlignment="1" applyProtection="1">
      <alignment horizontal="left" readingOrder="1"/>
      <protection locked="0"/>
    </xf>
    <xf numFmtId="0" fontId="29" fillId="0" borderId="45" xfId="0" applyFont="1" applyBorder="1" applyAlignment="1">
      <alignment horizontal="center" vertical="center" wrapText="1"/>
    </xf>
    <xf numFmtId="170" fontId="17" fillId="0" borderId="24" xfId="0" applyNumberFormat="1" applyFont="1" applyBorder="1" applyAlignment="1">
      <alignment vertical="center"/>
    </xf>
    <xf numFmtId="0" fontId="33" fillId="0" borderId="28" xfId="0" applyFont="1" applyBorder="1" applyAlignment="1">
      <alignment horizontal="center" vertical="center" wrapText="1"/>
    </xf>
    <xf numFmtId="0" fontId="33" fillId="0" borderId="45" xfId="0" applyFont="1" applyBorder="1" applyAlignment="1">
      <alignment horizontal="center" vertical="center" wrapText="1"/>
    </xf>
    <xf numFmtId="0" fontId="24" fillId="0" borderId="24" xfId="0" applyFont="1" applyBorder="1" applyAlignment="1">
      <alignment wrapText="1"/>
    </xf>
    <xf numFmtId="0" fontId="17" fillId="0" borderId="24" xfId="0" applyFont="1" applyBorder="1" applyAlignment="1">
      <alignment vertical="top" wrapText="1"/>
    </xf>
    <xf numFmtId="0" fontId="49" fillId="0" borderId="24" xfId="0" applyFont="1" applyBorder="1" applyAlignment="1">
      <alignment vertical="top" wrapText="1"/>
    </xf>
    <xf numFmtId="0" fontId="33" fillId="0" borderId="24" xfId="0" applyFont="1" applyBorder="1" applyAlignment="1">
      <alignment vertical="center" wrapText="1"/>
    </xf>
    <xf numFmtId="170" fontId="17" fillId="0" borderId="24" xfId="0" applyNumberFormat="1" applyFont="1" applyBorder="1" applyAlignment="1">
      <alignment vertical="center" wrapText="1"/>
    </xf>
    <xf numFmtId="0" fontId="17" fillId="0" borderId="23" xfId="1" applyFont="1" applyBorder="1" applyAlignment="1">
      <alignment vertical="center" wrapText="1"/>
    </xf>
    <xf numFmtId="0" fontId="17" fillId="0" borderId="27" xfId="1" applyFont="1" applyBorder="1" applyAlignment="1">
      <alignment vertical="center" wrapText="1"/>
    </xf>
    <xf numFmtId="0" fontId="31" fillId="0" borderId="27" xfId="1" applyFont="1" applyBorder="1" applyAlignment="1">
      <alignment horizontal="center" vertical="center" wrapText="1"/>
    </xf>
    <xf numFmtId="0" fontId="17" fillId="0" borderId="34" xfId="1" applyFont="1" applyBorder="1" applyAlignment="1">
      <alignment vertical="center" wrapText="1"/>
    </xf>
    <xf numFmtId="0" fontId="51" fillId="18" borderId="23" xfId="1" applyFont="1" applyFill="1" applyBorder="1" applyAlignment="1" applyProtection="1">
      <alignment horizontal="center" vertical="center" wrapText="1" readingOrder="1"/>
      <protection locked="0"/>
    </xf>
    <xf numFmtId="0" fontId="51" fillId="18" borderId="23" xfId="1" applyFont="1" applyFill="1" applyBorder="1" applyAlignment="1">
      <alignment vertical="center" wrapText="1"/>
    </xf>
    <xf numFmtId="0" fontId="33" fillId="0" borderId="45" xfId="0" applyFont="1" applyBorder="1" applyAlignment="1">
      <alignment horizontal="left" vertical="center" wrapText="1"/>
    </xf>
    <xf numFmtId="1" fontId="31" fillId="0" borderId="45" xfId="0" applyNumberFormat="1" applyFont="1" applyBorder="1" applyAlignment="1">
      <alignment horizontal="right"/>
    </xf>
    <xf numFmtId="3" fontId="52" fillId="0" borderId="0" xfId="0" applyNumberFormat="1" applyFont="1"/>
    <xf numFmtId="0" fontId="52" fillId="0" borderId="0" xfId="0" applyFont="1"/>
    <xf numFmtId="43" fontId="50" fillId="0" borderId="0" xfId="4" applyFont="1"/>
    <xf numFmtId="0" fontId="17" fillId="0" borderId="24" xfId="0" applyFont="1" applyBorder="1" applyAlignment="1">
      <alignment vertical="center" wrapText="1"/>
    </xf>
    <xf numFmtId="0" fontId="17" fillId="0" borderId="24" xfId="0" applyFont="1" applyBorder="1" applyAlignment="1">
      <alignment wrapText="1"/>
    </xf>
    <xf numFmtId="0" fontId="17" fillId="8" borderId="24" xfId="1" applyFont="1" applyFill="1" applyBorder="1" applyAlignment="1" applyProtection="1">
      <alignment vertical="center" wrapText="1" readingOrder="1"/>
      <protection locked="0"/>
    </xf>
    <xf numFmtId="0" fontId="17" fillId="8" borderId="24" xfId="1" applyFont="1" applyFill="1" applyBorder="1" applyAlignment="1">
      <alignment horizontal="left" vertical="center" wrapText="1" readingOrder="1"/>
    </xf>
    <xf numFmtId="171" fontId="17" fillId="0" borderId="24" xfId="0" applyNumberFormat="1" applyFont="1" applyBorder="1" applyAlignment="1">
      <alignment vertical="center" wrapText="1"/>
    </xf>
    <xf numFmtId="43" fontId="34" fillId="0" borderId="0" xfId="4" applyFont="1" applyProtection="1"/>
    <xf numFmtId="0" fontId="17" fillId="0" borderId="24" xfId="0" applyFont="1" applyBorder="1" applyAlignment="1">
      <alignment horizontal="left" wrapText="1"/>
    </xf>
    <xf numFmtId="0" fontId="31" fillId="0" borderId="24" xfId="0" applyFont="1" applyBorder="1" applyAlignment="1">
      <alignment vertical="center" wrapText="1"/>
    </xf>
    <xf numFmtId="0" fontId="17" fillId="0" borderId="37" xfId="1" applyFont="1" applyBorder="1" applyAlignment="1">
      <alignment vertical="center" wrapText="1"/>
    </xf>
    <xf numFmtId="170" fontId="17" fillId="10" borderId="24" xfId="0" applyNumberFormat="1" applyFont="1" applyFill="1" applyBorder="1" applyAlignment="1">
      <alignment vertical="center"/>
    </xf>
    <xf numFmtId="171" fontId="17" fillId="10" borderId="24" xfId="0" applyNumberFormat="1" applyFont="1" applyFill="1" applyBorder="1" applyAlignment="1">
      <alignment vertical="center" wrapText="1"/>
    </xf>
    <xf numFmtId="0" fontId="17" fillId="18" borderId="34" xfId="1" applyFont="1" applyFill="1" applyBorder="1" applyAlignment="1" applyProtection="1">
      <alignment horizontal="center" vertical="center" wrapText="1" readingOrder="1"/>
      <protection locked="0"/>
    </xf>
    <xf numFmtId="0" fontId="17" fillId="18" borderId="34" xfId="1" applyFont="1" applyFill="1" applyBorder="1" applyAlignment="1">
      <alignment vertical="center" wrapText="1"/>
    </xf>
    <xf numFmtId="170" fontId="17" fillId="0" borderId="23" xfId="0" applyNumberFormat="1" applyFont="1" applyBorder="1" applyAlignment="1">
      <alignment vertical="center"/>
    </xf>
    <xf numFmtId="0" fontId="29" fillId="8" borderId="24" xfId="0" applyFont="1" applyFill="1" applyBorder="1" applyAlignment="1">
      <alignment horizontal="left" vertical="center" wrapText="1" readingOrder="1"/>
    </xf>
    <xf numFmtId="171" fontId="17" fillId="8" borderId="24" xfId="0" applyNumberFormat="1" applyFont="1" applyFill="1" applyBorder="1" applyAlignment="1">
      <alignment vertical="center" wrapText="1"/>
    </xf>
    <xf numFmtId="169" fontId="35" fillId="0" borderId="0" xfId="0" applyNumberFormat="1" applyFont="1"/>
    <xf numFmtId="0" fontId="17" fillId="0" borderId="34" xfId="1" applyFont="1" applyBorder="1" applyAlignment="1" applyProtection="1">
      <alignment horizontal="left" vertical="center" wrapText="1" readingOrder="1"/>
      <protection locked="0"/>
    </xf>
    <xf numFmtId="0" fontId="17" fillId="0" borderId="34" xfId="1" applyFont="1" applyBorder="1" applyAlignment="1">
      <alignment horizontal="left" vertical="center" wrapText="1" readingOrder="1"/>
    </xf>
    <xf numFmtId="170" fontId="17" fillId="0" borderId="24" xfId="0" applyNumberFormat="1" applyFont="1" applyBorder="1" applyAlignment="1">
      <alignment horizontal="right"/>
    </xf>
    <xf numFmtId="170" fontId="17" fillId="0" borderId="24" xfId="0" applyNumberFormat="1" applyFont="1" applyBorder="1" applyAlignment="1">
      <alignment wrapText="1"/>
    </xf>
    <xf numFmtId="0" fontId="17" fillId="8" borderId="34" xfId="1" applyFont="1" applyFill="1" applyBorder="1" applyAlignment="1" applyProtection="1">
      <alignment horizontal="right" vertical="center" wrapText="1" readingOrder="1"/>
      <protection locked="0"/>
    </xf>
    <xf numFmtId="0" fontId="17" fillId="0" borderId="34" xfId="1" applyFont="1" applyBorder="1" applyAlignment="1" applyProtection="1">
      <alignment horizontal="right" vertical="center" wrapText="1" readingOrder="1"/>
      <protection locked="0"/>
    </xf>
    <xf numFmtId="0" fontId="24" fillId="0" borderId="24" xfId="0" applyFont="1" applyBorder="1" applyAlignment="1">
      <alignment vertical="center"/>
    </xf>
    <xf numFmtId="17" fontId="24" fillId="0" borderId="34" xfId="0" applyNumberFormat="1" applyFont="1" applyBorder="1" applyAlignment="1">
      <alignment vertical="center"/>
    </xf>
    <xf numFmtId="0" fontId="17" fillId="0" borderId="24" xfId="0" applyFont="1" applyBorder="1" applyAlignment="1">
      <alignment horizontal="center" vertical="center" wrapText="1"/>
    </xf>
    <xf numFmtId="0" fontId="17" fillId="0" borderId="29" xfId="1" applyFont="1" applyBorder="1" applyAlignment="1">
      <alignment vertical="center" wrapText="1"/>
    </xf>
    <xf numFmtId="0" fontId="17" fillId="0" borderId="34" xfId="0" applyFont="1" applyBorder="1" applyAlignment="1">
      <alignment vertical="center" wrapText="1"/>
    </xf>
    <xf numFmtId="0" fontId="17" fillId="0" borderId="24" xfId="0" applyFont="1" applyBorder="1" applyAlignment="1">
      <alignment vertical="center"/>
    </xf>
    <xf numFmtId="0" fontId="17" fillId="0" borderId="24" xfId="0" applyFont="1" applyBorder="1"/>
    <xf numFmtId="43" fontId="34" fillId="0" borderId="0" xfId="4" applyFont="1" applyFill="1"/>
    <xf numFmtId="0" fontId="48" fillId="0" borderId="0" xfId="0" applyFont="1"/>
    <xf numFmtId="0" fontId="55" fillId="0" borderId="13" xfId="0" applyFont="1" applyBorder="1" applyAlignment="1">
      <alignment wrapText="1"/>
    </xf>
    <xf numFmtId="0" fontId="55" fillId="0" borderId="14" xfId="0" applyFont="1" applyBorder="1" applyAlignment="1">
      <alignment wrapText="1"/>
    </xf>
    <xf numFmtId="0" fontId="55" fillId="0" borderId="15" xfId="0" applyFont="1" applyBorder="1" applyAlignment="1">
      <alignment wrapText="1"/>
    </xf>
    <xf numFmtId="8" fontId="53" fillId="0" borderId="7" xfId="0" applyNumberFormat="1" applyFont="1" applyBorder="1" applyAlignment="1">
      <alignment vertical="center" wrapText="1"/>
    </xf>
    <xf numFmtId="43" fontId="24" fillId="0" borderId="0" xfId="4" applyFont="1"/>
    <xf numFmtId="0" fontId="17" fillId="0" borderId="24" xfId="0" applyFont="1" applyBorder="1" applyAlignment="1">
      <alignment horizontal="right" vertical="center" wrapText="1"/>
    </xf>
    <xf numFmtId="169" fontId="17" fillId="0" borderId="39" xfId="0" applyNumberFormat="1" applyFont="1" applyBorder="1" applyAlignment="1">
      <alignment horizontal="center" vertical="center"/>
    </xf>
    <xf numFmtId="0" fontId="17" fillId="0" borderId="45" xfId="0" applyFont="1" applyBorder="1" applyAlignment="1">
      <alignment horizontal="center" vertical="center" wrapText="1"/>
    </xf>
    <xf numFmtId="0" fontId="56" fillId="0" borderId="24" xfId="0" applyFont="1" applyBorder="1" applyAlignment="1">
      <alignment vertical="top" wrapText="1"/>
    </xf>
    <xf numFmtId="0" fontId="31" fillId="0" borderId="45" xfId="0" applyFont="1" applyBorder="1" applyAlignment="1">
      <alignment horizontal="center" vertical="center" wrapText="1"/>
    </xf>
    <xf numFmtId="0" fontId="42" fillId="0" borderId="45" xfId="0" applyFont="1" applyBorder="1" applyAlignment="1">
      <alignment horizontal="center" vertical="center" wrapText="1"/>
    </xf>
    <xf numFmtId="3" fontId="42" fillId="0" borderId="39" xfId="0" applyNumberFormat="1" applyFont="1" applyBorder="1" applyAlignment="1">
      <alignment horizontal="center" vertical="center"/>
    </xf>
    <xf numFmtId="0" fontId="56" fillId="0" borderId="28" xfId="0" applyFont="1" applyBorder="1" applyAlignment="1">
      <alignment vertical="top" wrapText="1"/>
    </xf>
    <xf numFmtId="169" fontId="31" fillId="0" borderId="39" xfId="0" applyNumberFormat="1" applyFont="1" applyBorder="1" applyAlignment="1">
      <alignment horizontal="right" vertical="center"/>
    </xf>
    <xf numFmtId="0" fontId="42" fillId="14" borderId="45" xfId="0" applyFont="1" applyFill="1" applyBorder="1" applyAlignment="1">
      <alignment horizontal="center" vertical="center" wrapText="1"/>
    </xf>
    <xf numFmtId="0" fontId="42" fillId="0" borderId="0" xfId="0" applyFont="1"/>
    <xf numFmtId="0" fontId="17" fillId="14" borderId="45" xfId="0" applyFont="1" applyFill="1" applyBorder="1" applyAlignment="1">
      <alignment horizontal="right" vertical="center" wrapText="1"/>
    </xf>
    <xf numFmtId="169" fontId="17" fillId="14" borderId="24" xfId="0" applyNumberFormat="1" applyFont="1" applyFill="1" applyBorder="1" applyAlignment="1">
      <alignment horizontal="right" vertical="center"/>
    </xf>
    <xf numFmtId="169" fontId="17" fillId="14" borderId="39" xfId="0" applyNumberFormat="1" applyFont="1" applyFill="1" applyBorder="1" applyAlignment="1">
      <alignment horizontal="right" vertical="center"/>
    </xf>
    <xf numFmtId="0" fontId="40" fillId="15" borderId="41" xfId="0" applyFont="1" applyFill="1" applyBorder="1"/>
    <xf numFmtId="169" fontId="31" fillId="15" borderId="32" xfId="0" applyNumberFormat="1" applyFont="1" applyFill="1" applyBorder="1" applyAlignment="1">
      <alignment horizontal="center" vertical="center"/>
    </xf>
    <xf numFmtId="169" fontId="42" fillId="0" borderId="0" xfId="0" applyNumberFormat="1" applyFont="1"/>
    <xf numFmtId="43" fontId="42" fillId="0" borderId="0" xfId="4" applyFont="1" applyFill="1"/>
    <xf numFmtId="43" fontId="57" fillId="0" borderId="0" xfId="4" applyFont="1"/>
    <xf numFmtId="43" fontId="34" fillId="0" borderId="0" xfId="0" applyNumberFormat="1" applyFont="1"/>
    <xf numFmtId="3" fontId="17" fillId="10" borderId="24" xfId="0" applyNumberFormat="1" applyFont="1" applyFill="1" applyBorder="1" applyAlignment="1">
      <alignment vertical="center" wrapText="1"/>
    </xf>
    <xf numFmtId="17" fontId="17" fillId="10" borderId="24" xfId="0" applyNumberFormat="1" applyFont="1" applyFill="1" applyBorder="1" applyAlignment="1">
      <alignment vertical="center" wrapText="1"/>
    </xf>
    <xf numFmtId="3" fontId="17" fillId="0" borderId="24" xfId="0" applyNumberFormat="1" applyFont="1" applyBorder="1" applyAlignment="1">
      <alignment vertical="center" wrapText="1"/>
    </xf>
    <xf numFmtId="17" fontId="17" fillId="0" borderId="24" xfId="0" applyNumberFormat="1" applyFont="1" applyBorder="1" applyAlignment="1">
      <alignment vertical="center" wrapText="1"/>
    </xf>
    <xf numFmtId="3" fontId="17" fillId="0" borderId="23" xfId="0" applyNumberFormat="1" applyFont="1" applyBorder="1" applyAlignment="1">
      <alignment vertical="center" wrapText="1"/>
    </xf>
    <xf numFmtId="17" fontId="17" fillId="0" borderId="23" xfId="0" applyNumberFormat="1" applyFont="1" applyBorder="1" applyAlignment="1">
      <alignment vertical="center" wrapText="1"/>
    </xf>
    <xf numFmtId="0" fontId="17" fillId="10" borderId="23" xfId="0" applyFont="1" applyFill="1" applyBorder="1" applyAlignment="1">
      <alignment vertical="center" wrapText="1"/>
    </xf>
    <xf numFmtId="0" fontId="17" fillId="10" borderId="60" xfId="0" applyFont="1" applyFill="1" applyBorder="1" applyAlignment="1">
      <alignment vertical="center" wrapText="1"/>
    </xf>
    <xf numFmtId="0" fontId="17" fillId="10" borderId="40" xfId="0" applyFont="1" applyFill="1" applyBorder="1" applyAlignment="1">
      <alignment vertical="center" wrapText="1"/>
    </xf>
    <xf numFmtId="3" fontId="17" fillId="10" borderId="23" xfId="0" applyNumberFormat="1" applyFont="1" applyFill="1" applyBorder="1" applyAlignment="1">
      <alignment vertical="center" wrapText="1"/>
    </xf>
    <xf numFmtId="17" fontId="17" fillId="10" borderId="23" xfId="0" applyNumberFormat="1" applyFont="1" applyFill="1" applyBorder="1" applyAlignment="1">
      <alignment vertical="center" wrapText="1"/>
    </xf>
    <xf numFmtId="0" fontId="42" fillId="0" borderId="24" xfId="0" applyFont="1" applyBorder="1" applyAlignment="1">
      <alignment vertical="center" wrapText="1"/>
    </xf>
    <xf numFmtId="44" fontId="17" fillId="0" borderId="24" xfId="4" applyNumberFormat="1" applyFont="1" applyFill="1" applyBorder="1" applyAlignment="1" applyProtection="1">
      <alignment vertical="center" wrapText="1"/>
    </xf>
    <xf numFmtId="15" fontId="17" fillId="10" borderId="24" xfId="0" applyNumberFormat="1" applyFont="1" applyFill="1" applyBorder="1" applyAlignment="1">
      <alignment vertical="center" wrapText="1"/>
    </xf>
    <xf numFmtId="3" fontId="17" fillId="0" borderId="34" xfId="1" applyNumberFormat="1" applyFont="1" applyBorder="1" applyAlignment="1" applyProtection="1">
      <alignment vertical="center" wrapText="1" readingOrder="1"/>
      <protection locked="0"/>
    </xf>
    <xf numFmtId="173" fontId="12" fillId="0" borderId="0" xfId="0" applyNumberFormat="1" applyFont="1"/>
    <xf numFmtId="170" fontId="17" fillId="0" borderId="34" xfId="0" applyNumberFormat="1" applyFont="1" applyBorder="1" applyAlignment="1">
      <alignment vertical="center"/>
    </xf>
    <xf numFmtId="0" fontId="26" fillId="0" borderId="24" xfId="0" applyFont="1" applyBorder="1"/>
    <xf numFmtId="0" fontId="32" fillId="0" borderId="46" xfId="0" applyFont="1" applyBorder="1" applyAlignment="1">
      <alignment vertical="center" wrapText="1"/>
    </xf>
    <xf numFmtId="0" fontId="32" fillId="0" borderId="40" xfId="0" applyFont="1" applyBorder="1" applyAlignment="1">
      <alignment vertical="center" wrapText="1"/>
    </xf>
    <xf numFmtId="0" fontId="17" fillId="0" borderId="24" xfId="0" applyFont="1" applyBorder="1" applyAlignment="1">
      <alignment vertical="center" wrapText="1" shrinkToFit="1"/>
    </xf>
    <xf numFmtId="43" fontId="34" fillId="0" borderId="0" xfId="4" applyFont="1"/>
    <xf numFmtId="0" fontId="31" fillId="0" borderId="24" xfId="0" applyFont="1" applyBorder="1" applyAlignment="1">
      <alignment horizontal="left" vertical="center" wrapText="1"/>
    </xf>
    <xf numFmtId="3" fontId="31" fillId="0" borderId="24" xfId="0" applyNumberFormat="1" applyFont="1" applyBorder="1" applyAlignment="1">
      <alignment horizontal="right" vertical="center"/>
    </xf>
    <xf numFmtId="0" fontId="17" fillId="0" borderId="45" xfId="0" applyFont="1" applyBorder="1" applyAlignment="1">
      <alignment horizontal="right" vertical="center" wrapText="1"/>
    </xf>
    <xf numFmtId="0" fontId="29" fillId="8" borderId="36" xfId="0" applyFont="1" applyFill="1" applyBorder="1" applyAlignment="1">
      <alignment horizontal="left" vertical="center" wrapText="1" readingOrder="1"/>
    </xf>
    <xf numFmtId="170" fontId="17" fillId="0" borderId="34" xfId="0" applyNumberFormat="1" applyFont="1" applyBorder="1" applyAlignment="1">
      <alignment wrapText="1"/>
    </xf>
    <xf numFmtId="0" fontId="31" fillId="2" borderId="24" xfId="0" applyFont="1" applyFill="1" applyBorder="1" applyAlignment="1">
      <alignment vertical="center"/>
    </xf>
    <xf numFmtId="0" fontId="29" fillId="2" borderId="0" xfId="0" applyFont="1" applyFill="1" applyAlignment="1">
      <alignment horizontal="left" vertical="center" wrapText="1" readingOrder="1"/>
    </xf>
    <xf numFmtId="0" fontId="17" fillId="2" borderId="0" xfId="1" applyFont="1" applyFill="1" applyAlignment="1" applyProtection="1">
      <alignment vertical="center" wrapText="1" readingOrder="1"/>
      <protection locked="0"/>
    </xf>
    <xf numFmtId="0" fontId="24" fillId="2" borderId="0" xfId="0" applyFont="1" applyFill="1" applyAlignment="1">
      <alignment vertical="center"/>
    </xf>
    <xf numFmtId="0" fontId="24" fillId="2" borderId="0" xfId="0" applyFont="1" applyFill="1" applyAlignment="1">
      <alignment vertical="center" wrapText="1"/>
    </xf>
    <xf numFmtId="17" fontId="24" fillId="2" borderId="0" xfId="0" applyNumberFormat="1" applyFont="1" applyFill="1" applyAlignment="1">
      <alignment vertical="center"/>
    </xf>
    <xf numFmtId="0" fontId="34" fillId="19" borderId="0" xfId="0" applyFont="1" applyFill="1"/>
    <xf numFmtId="0" fontId="35" fillId="19" borderId="24" xfId="0" applyFont="1" applyFill="1" applyBorder="1" applyAlignment="1">
      <alignment horizontal="center"/>
    </xf>
    <xf numFmtId="0" fontId="40" fillId="11" borderId="24" xfId="0" applyFont="1" applyFill="1" applyBorder="1" applyAlignment="1">
      <alignment horizontal="center"/>
    </xf>
    <xf numFmtId="0" fontId="40" fillId="11" borderId="39" xfId="0" applyFont="1" applyFill="1" applyBorder="1" applyAlignment="1">
      <alignment horizontal="center"/>
    </xf>
    <xf numFmtId="170" fontId="17" fillId="21" borderId="24" xfId="0" applyNumberFormat="1" applyFont="1" applyFill="1" applyBorder="1" applyAlignment="1">
      <alignment vertical="center"/>
    </xf>
    <xf numFmtId="170" fontId="17" fillId="21" borderId="24" xfId="0" applyNumberFormat="1" applyFont="1" applyFill="1" applyBorder="1" applyAlignment="1">
      <alignment vertical="center" wrapText="1"/>
    </xf>
    <xf numFmtId="0" fontId="24" fillId="21" borderId="40" xfId="0" applyFont="1" applyFill="1" applyBorder="1" applyAlignment="1">
      <alignment horizontal="left" vertical="center" wrapText="1" readingOrder="1"/>
    </xf>
    <xf numFmtId="0" fontId="17" fillId="21" borderId="40" xfId="1" applyFont="1" applyFill="1" applyBorder="1" applyAlignment="1" applyProtection="1">
      <alignment vertical="center" wrapText="1" readingOrder="1"/>
      <protection locked="0"/>
    </xf>
    <xf numFmtId="0" fontId="17" fillId="8" borderId="34" xfId="1" applyFont="1" applyFill="1" applyBorder="1" applyAlignment="1" applyProtection="1">
      <alignment horizontal="left" vertical="center" wrapText="1" readingOrder="1"/>
      <protection locked="0"/>
    </xf>
    <xf numFmtId="0" fontId="31" fillId="0" borderId="24" xfId="1" applyFont="1" applyBorder="1" applyAlignment="1" applyProtection="1">
      <alignment horizontal="left" vertical="center" wrapText="1" readingOrder="1"/>
      <protection locked="0"/>
    </xf>
    <xf numFmtId="171" fontId="17" fillId="21" borderId="24" xfId="0" applyNumberFormat="1" applyFont="1" applyFill="1" applyBorder="1" applyAlignment="1">
      <alignment vertical="center" wrapText="1"/>
    </xf>
    <xf numFmtId="170" fontId="31" fillId="2" borderId="34" xfId="0" applyNumberFormat="1" applyFont="1" applyFill="1" applyBorder="1" applyAlignment="1">
      <alignment vertical="center"/>
    </xf>
    <xf numFmtId="0" fontId="24" fillId="0" borderId="34" xfId="0" applyFont="1" applyBorder="1" applyAlignment="1">
      <alignment vertical="center" wrapText="1"/>
    </xf>
    <xf numFmtId="0" fontId="17" fillId="21" borderId="34" xfId="1" applyFont="1" applyFill="1" applyBorder="1" applyAlignment="1">
      <alignment horizontal="left" vertical="center" wrapText="1" readingOrder="1"/>
    </xf>
    <xf numFmtId="0" fontId="17" fillId="21" borderId="34" xfId="1" applyFont="1" applyFill="1" applyBorder="1" applyAlignment="1" applyProtection="1">
      <alignment horizontal="center" vertical="center" wrapText="1" readingOrder="1"/>
      <protection locked="0"/>
    </xf>
    <xf numFmtId="3" fontId="17" fillId="0" borderId="24" xfId="0" applyNumberFormat="1" applyFont="1" applyBorder="1" applyAlignment="1">
      <alignment vertical="top" wrapText="1"/>
    </xf>
    <xf numFmtId="0" fontId="29" fillId="21" borderId="36" xfId="0" applyFont="1" applyFill="1" applyBorder="1" applyAlignment="1">
      <alignment horizontal="left" vertical="center" wrapText="1" readingOrder="1"/>
    </xf>
    <xf numFmtId="0" fontId="17" fillId="21" borderId="34" xfId="1" applyFont="1" applyFill="1" applyBorder="1" applyAlignment="1" applyProtection="1">
      <alignment vertical="center" wrapText="1" readingOrder="1"/>
      <protection locked="0"/>
    </xf>
    <xf numFmtId="0" fontId="24" fillId="21" borderId="43" xfId="0" applyFont="1" applyFill="1" applyBorder="1" applyAlignment="1">
      <alignment horizontal="left" vertical="center" wrapText="1" readingOrder="1"/>
    </xf>
    <xf numFmtId="170" fontId="17" fillId="21" borderId="34" xfId="0" applyNumberFormat="1" applyFont="1" applyFill="1" applyBorder="1" applyAlignment="1">
      <alignment vertical="center"/>
    </xf>
    <xf numFmtId="17" fontId="24" fillId="21" borderId="34" xfId="0" applyNumberFormat="1" applyFont="1" applyFill="1" applyBorder="1" applyAlignment="1">
      <alignment vertical="center"/>
    </xf>
    <xf numFmtId="170" fontId="17" fillId="21" borderId="34" xfId="0" applyNumberFormat="1" applyFont="1" applyFill="1" applyBorder="1" applyAlignment="1">
      <alignment wrapText="1"/>
    </xf>
    <xf numFmtId="0" fontId="29" fillId="21" borderId="34" xfId="0" applyFont="1" applyFill="1" applyBorder="1" applyAlignment="1">
      <alignment vertical="center"/>
    </xf>
    <xf numFmtId="170" fontId="31" fillId="21" borderId="34" xfId="0" applyNumberFormat="1" applyFont="1" applyFill="1" applyBorder="1" applyAlignment="1">
      <alignment vertical="center" wrapText="1"/>
    </xf>
    <xf numFmtId="170" fontId="31" fillId="21" borderId="34" xfId="0" applyNumberFormat="1" applyFont="1" applyFill="1" applyBorder="1" applyAlignment="1">
      <alignment vertical="center"/>
    </xf>
    <xf numFmtId="171" fontId="31" fillId="21" borderId="34" xfId="0" applyNumberFormat="1" applyFont="1" applyFill="1" applyBorder="1" applyAlignment="1">
      <alignment vertical="center" wrapText="1"/>
    </xf>
    <xf numFmtId="0" fontId="17" fillId="21" borderId="32" xfId="1" applyFont="1" applyFill="1" applyBorder="1" applyAlignment="1">
      <alignment horizontal="center" vertical="center" wrapText="1" readingOrder="1"/>
    </xf>
    <xf numFmtId="170" fontId="17" fillId="21" borderId="24" xfId="0" applyNumberFormat="1" applyFont="1" applyFill="1" applyBorder="1" applyAlignment="1">
      <alignment horizontal="center" vertical="center"/>
    </xf>
    <xf numFmtId="0" fontId="17" fillId="21" borderId="24" xfId="0" applyFont="1" applyFill="1" applyBorder="1" applyAlignment="1">
      <alignment vertical="center" wrapText="1"/>
    </xf>
    <xf numFmtId="0" fontId="17" fillId="21" borderId="34" xfId="0" applyFont="1" applyFill="1" applyBorder="1" applyAlignment="1">
      <alignment horizontal="center" vertical="center" wrapText="1"/>
    </xf>
    <xf numFmtId="173" fontId="31" fillId="21" borderId="34" xfId="3" applyNumberFormat="1" applyFont="1" applyFill="1" applyBorder="1" applyAlignment="1" applyProtection="1">
      <alignment vertical="center" wrapText="1"/>
    </xf>
    <xf numFmtId="170" fontId="31" fillId="21" borderId="24" xfId="0" applyNumberFormat="1" applyFont="1" applyFill="1" applyBorder="1" applyAlignment="1">
      <alignment vertical="center"/>
    </xf>
    <xf numFmtId="170" fontId="17" fillId="2" borderId="34" xfId="0" applyNumberFormat="1" applyFont="1" applyFill="1" applyBorder="1" applyAlignment="1">
      <alignment vertical="center"/>
    </xf>
    <xf numFmtId="0" fontId="31" fillId="2" borderId="34" xfId="0" applyFont="1" applyFill="1" applyBorder="1" applyAlignment="1">
      <alignment vertical="center" wrapText="1"/>
    </xf>
    <xf numFmtId="0" fontId="31" fillId="21" borderId="34" xfId="1" applyFont="1" applyFill="1" applyBorder="1" applyAlignment="1" applyProtection="1">
      <alignment vertical="center" wrapText="1" readingOrder="1"/>
      <protection locked="0"/>
    </xf>
    <xf numFmtId="0" fontId="31" fillId="21" borderId="34" xfId="1" applyFont="1" applyFill="1" applyBorder="1" applyAlignment="1">
      <alignment horizontal="left" vertical="center" wrapText="1" readingOrder="1"/>
    </xf>
    <xf numFmtId="0" fontId="29" fillId="2" borderId="36" xfId="0" applyFont="1" applyFill="1" applyBorder="1" applyAlignment="1">
      <alignment horizontal="left" vertical="center" wrapText="1" readingOrder="1"/>
    </xf>
    <xf numFmtId="0" fontId="17" fillId="2" borderId="34" xfId="1" applyFont="1" applyFill="1" applyBorder="1" applyAlignment="1">
      <alignment horizontal="left" vertical="center" wrapText="1" readingOrder="1"/>
    </xf>
    <xf numFmtId="0" fontId="29" fillId="21" borderId="44" xfId="0" applyFont="1" applyFill="1" applyBorder="1" applyAlignment="1">
      <alignment horizontal="left" vertical="center" wrapText="1" readingOrder="1"/>
    </xf>
    <xf numFmtId="0" fontId="17" fillId="22" borderId="0" xfId="0" applyFont="1" applyFill="1" applyAlignment="1">
      <alignment vertical="center" wrapText="1"/>
    </xf>
    <xf numFmtId="0" fontId="17" fillId="10" borderId="34" xfId="0" applyFont="1" applyFill="1" applyBorder="1" applyAlignment="1">
      <alignment vertical="center" wrapText="1"/>
    </xf>
    <xf numFmtId="0" fontId="47" fillId="0" borderId="58" xfId="0" applyFont="1" applyBorder="1" applyAlignment="1">
      <alignment vertical="center" wrapText="1"/>
    </xf>
    <xf numFmtId="3" fontId="40" fillId="0" borderId="24" xfId="0" applyNumberFormat="1" applyFont="1" applyBorder="1" applyAlignment="1">
      <alignment horizontal="center" vertical="center"/>
    </xf>
    <xf numFmtId="172" fontId="42" fillId="0" borderId="0" xfId="4" applyNumberFormat="1" applyFont="1" applyFill="1"/>
    <xf numFmtId="0" fontId="17" fillId="0" borderId="34" xfId="0" applyFont="1" applyBorder="1" applyAlignment="1">
      <alignment horizontal="center" vertical="center" wrapText="1"/>
    </xf>
    <xf numFmtId="0" fontId="17" fillId="0" borderId="34" xfId="0" applyFont="1" applyBorder="1" applyAlignment="1">
      <alignment horizontal="left" vertical="center" wrapText="1"/>
    </xf>
    <xf numFmtId="0" fontId="40" fillId="11" borderId="35" xfId="0" applyFont="1" applyFill="1" applyBorder="1" applyAlignment="1">
      <alignment horizontal="center" vertical="center" wrapText="1"/>
    </xf>
    <xf numFmtId="0" fontId="17" fillId="0" borderId="42" xfId="1" applyFont="1" applyBorder="1" applyAlignment="1">
      <alignment vertical="center" wrapText="1"/>
    </xf>
    <xf numFmtId="0" fontId="24" fillId="0" borderId="59" xfId="0" applyFont="1" applyBorder="1" applyAlignment="1">
      <alignment horizontal="left" wrapText="1"/>
    </xf>
    <xf numFmtId="170" fontId="17" fillId="0" borderId="24" xfId="0" applyNumberFormat="1" applyFont="1" applyBorder="1"/>
    <xf numFmtId="170" fontId="17" fillId="2" borderId="0" xfId="0" applyNumberFormat="1" applyFont="1" applyFill="1"/>
    <xf numFmtId="0" fontId="17" fillId="0" borderId="24" xfId="0" applyFont="1" applyBorder="1" applyAlignment="1">
      <alignment horizontal="left" vertical="top" wrapText="1"/>
    </xf>
    <xf numFmtId="0" fontId="31" fillId="21" borderId="27" xfId="0" applyFont="1" applyFill="1" applyBorder="1" applyAlignment="1">
      <alignment horizontal="left" vertical="center" wrapText="1"/>
    </xf>
    <xf numFmtId="0" fontId="31" fillId="21" borderId="34" xfId="0" applyFont="1" applyFill="1" applyBorder="1" applyAlignment="1">
      <alignment horizontal="left" wrapText="1"/>
    </xf>
    <xf numFmtId="0" fontId="31" fillId="21" borderId="23" xfId="0" applyFont="1" applyFill="1" applyBorder="1" applyAlignment="1">
      <alignment horizontal="left" vertical="center" wrapText="1"/>
    </xf>
    <xf numFmtId="0" fontId="31" fillId="21" borderId="34" xfId="0" applyFont="1" applyFill="1" applyBorder="1" applyAlignment="1">
      <alignment horizontal="left" vertical="center" wrapText="1"/>
    </xf>
    <xf numFmtId="0" fontId="17" fillId="8" borderId="23" xfId="0" applyFont="1" applyFill="1" applyBorder="1" applyAlignment="1">
      <alignment horizontal="left" vertical="center" wrapText="1"/>
    </xf>
    <xf numFmtId="9" fontId="63" fillId="8" borderId="34" xfId="0" applyNumberFormat="1" applyFont="1" applyFill="1" applyBorder="1" applyAlignment="1">
      <alignment horizontal="center" vertical="center" wrapText="1" readingOrder="1"/>
    </xf>
    <xf numFmtId="9" fontId="63" fillId="8" borderId="37" xfId="0" applyNumberFormat="1" applyFont="1" applyFill="1" applyBorder="1" applyAlignment="1">
      <alignment horizontal="center" vertical="center" wrapText="1" readingOrder="1"/>
    </xf>
    <xf numFmtId="0" fontId="24" fillId="18" borderId="24" xfId="0" applyFont="1" applyFill="1" applyBorder="1" applyAlignment="1">
      <alignment vertical="center" wrapText="1"/>
    </xf>
    <xf numFmtId="0" fontId="24" fillId="0" borderId="39" xfId="0" applyFont="1" applyBorder="1" applyAlignment="1">
      <alignment vertical="center" wrapText="1"/>
    </xf>
    <xf numFmtId="0" fontId="24" fillId="21" borderId="24" xfId="0" applyFont="1" applyFill="1" applyBorder="1" applyAlignment="1">
      <alignment horizontal="center" vertical="center" wrapText="1"/>
    </xf>
    <xf numFmtId="0" fontId="24" fillId="0" borderId="24" xfId="0" applyFont="1" applyBorder="1" applyAlignment="1">
      <alignment horizontal="center" vertical="center" wrapText="1"/>
    </xf>
    <xf numFmtId="0" fontId="24" fillId="0" borderId="59" xfId="0" applyFont="1" applyBorder="1" applyAlignment="1">
      <alignment wrapText="1"/>
    </xf>
    <xf numFmtId="0" fontId="24" fillId="0" borderId="23" xfId="0" applyFont="1" applyBorder="1" applyAlignment="1">
      <alignment horizontal="center" vertical="center" wrapText="1"/>
    </xf>
    <xf numFmtId="0" fontId="24" fillId="0" borderId="59" xfId="0" applyFont="1" applyBorder="1" applyAlignment="1">
      <alignment horizontal="center" wrapText="1"/>
    </xf>
    <xf numFmtId="170" fontId="17" fillId="0" borderId="23" xfId="0" applyNumberFormat="1" applyFont="1" applyBorder="1" applyAlignment="1">
      <alignment vertical="center" wrapText="1"/>
    </xf>
    <xf numFmtId="9" fontId="63" fillId="8" borderId="27" xfId="0" applyNumberFormat="1" applyFont="1" applyFill="1" applyBorder="1" applyAlignment="1">
      <alignment horizontal="center" vertical="center" wrapText="1" readingOrder="1"/>
    </xf>
    <xf numFmtId="0" fontId="29" fillId="0" borderId="24" xfId="0" applyFont="1" applyBorder="1" applyAlignment="1">
      <alignment horizontal="left" vertical="center" wrapText="1"/>
    </xf>
    <xf numFmtId="0" fontId="64" fillId="0" borderId="24" xfId="0" applyFont="1" applyBorder="1" applyAlignment="1">
      <alignment horizontal="left" vertical="center"/>
    </xf>
    <xf numFmtId="168" fontId="24" fillId="0" borderId="24" xfId="0" applyNumberFormat="1" applyFont="1" applyBorder="1" applyAlignment="1">
      <alignment horizontal="left" vertical="center" wrapText="1"/>
    </xf>
    <xf numFmtId="0" fontId="24" fillId="0" borderId="37" xfId="0" applyFont="1" applyBorder="1" applyAlignment="1">
      <alignment vertical="center" wrapText="1"/>
    </xf>
    <xf numFmtId="0" fontId="24" fillId="18" borderId="34" xfId="0" applyFont="1" applyFill="1" applyBorder="1" applyAlignment="1">
      <alignment vertical="center" wrapText="1"/>
    </xf>
    <xf numFmtId="0" fontId="29" fillId="21" borderId="27" xfId="0" applyFont="1" applyFill="1" applyBorder="1" applyAlignment="1">
      <alignment horizontal="center" vertical="center" wrapText="1"/>
    </xf>
    <xf numFmtId="0" fontId="24" fillId="21" borderId="34" xfId="0" applyFont="1" applyFill="1" applyBorder="1" applyAlignment="1">
      <alignment vertical="center" wrapText="1"/>
    </xf>
    <xf numFmtId="0" fontId="24" fillId="0" borderId="29" xfId="0" applyFont="1" applyBorder="1" applyAlignment="1">
      <alignment vertical="center" wrapText="1"/>
    </xf>
    <xf numFmtId="9" fontId="63" fillId="8" borderId="24" xfId="0" applyNumberFormat="1" applyFont="1" applyFill="1" applyBorder="1" applyAlignment="1">
      <alignment horizontal="center" vertical="center" readingOrder="1"/>
    </xf>
    <xf numFmtId="43" fontId="29" fillId="0" borderId="24" xfId="4" applyFont="1" applyBorder="1" applyAlignment="1">
      <alignment vertical="center" wrapText="1"/>
    </xf>
    <xf numFmtId="0" fontId="24" fillId="0" borderId="27" xfId="0" applyFont="1" applyBorder="1" applyAlignment="1">
      <alignment vertical="center"/>
    </xf>
    <xf numFmtId="0" fontId="24" fillId="0" borderId="34" xfId="0" applyFont="1" applyBorder="1" applyAlignment="1">
      <alignment vertical="center"/>
    </xf>
    <xf numFmtId="0" fontId="24" fillId="21" borderId="24" xfId="0" applyFont="1" applyFill="1" applyBorder="1" applyAlignment="1">
      <alignment vertical="center"/>
    </xf>
    <xf numFmtId="0" fontId="24" fillId="21" borderId="32" xfId="0" applyFont="1" applyFill="1" applyBorder="1" applyAlignment="1">
      <alignment vertical="center"/>
    </xf>
    <xf numFmtId="0" fontId="24" fillId="0" borderId="32" xfId="0" applyFont="1" applyBorder="1" applyAlignment="1">
      <alignment vertical="center" wrapText="1"/>
    </xf>
    <xf numFmtId="0" fontId="24" fillId="0" borderId="42" xfId="0" applyFont="1" applyBorder="1" applyAlignment="1">
      <alignment vertical="center" wrapText="1"/>
    </xf>
    <xf numFmtId="0" fontId="24" fillId="21" borderId="27" xfId="0" applyFont="1" applyFill="1" applyBorder="1" applyAlignment="1">
      <alignment vertical="center"/>
    </xf>
    <xf numFmtId="170" fontId="17" fillId="21" borderId="34" xfId="0" applyNumberFormat="1" applyFont="1" applyFill="1" applyBorder="1" applyAlignment="1">
      <alignment vertical="center" wrapText="1"/>
    </xf>
    <xf numFmtId="0" fontId="17" fillId="21" borderId="27" xfId="0" applyFont="1" applyFill="1" applyBorder="1" applyAlignment="1">
      <alignment vertical="center" wrapText="1"/>
    </xf>
    <xf numFmtId="0" fontId="24" fillId="0" borderId="27" xfId="0" applyFont="1" applyBorder="1" applyAlignment="1">
      <alignment vertical="center" wrapText="1"/>
    </xf>
    <xf numFmtId="0" fontId="24" fillId="0" borderId="30" xfId="0" applyFont="1" applyBorder="1" applyAlignment="1">
      <alignment vertical="center" wrapText="1"/>
    </xf>
    <xf numFmtId="0" fontId="24" fillId="0" borderId="59" xfId="0" applyFont="1" applyBorder="1" applyAlignment="1">
      <alignment vertical="center"/>
    </xf>
    <xf numFmtId="0" fontId="17" fillId="0" borderId="27" xfId="0" applyFont="1" applyBorder="1" applyAlignment="1">
      <alignment vertical="center" wrapText="1"/>
    </xf>
    <xf numFmtId="0" fontId="24" fillId="0" borderId="51" xfId="0" applyFont="1" applyBorder="1" applyAlignment="1">
      <alignment vertical="center" wrapText="1"/>
    </xf>
    <xf numFmtId="0" fontId="24" fillId="21" borderId="34" xfId="0" applyFont="1" applyFill="1" applyBorder="1" applyAlignment="1">
      <alignment vertical="center"/>
    </xf>
    <xf numFmtId="9" fontId="63" fillId="8" borderId="34" xfId="0" applyNumberFormat="1" applyFont="1" applyFill="1" applyBorder="1" applyAlignment="1">
      <alignment horizontal="center" vertical="center" readingOrder="1"/>
    </xf>
    <xf numFmtId="9" fontId="63" fillId="0" borderId="44" xfId="0" applyNumberFormat="1" applyFont="1" applyBorder="1" applyAlignment="1">
      <alignment horizontal="center" vertical="center" readingOrder="1"/>
    </xf>
    <xf numFmtId="9" fontId="63" fillId="21" borderId="28" xfId="0" applyNumberFormat="1" applyFont="1" applyFill="1" applyBorder="1" applyAlignment="1">
      <alignment vertical="center" readingOrder="1"/>
    </xf>
    <xf numFmtId="0" fontId="24" fillId="21" borderId="49" xfId="0" applyFont="1" applyFill="1" applyBorder="1" applyAlignment="1">
      <alignment vertical="center"/>
    </xf>
    <xf numFmtId="0" fontId="24" fillId="21" borderId="45" xfId="0" applyFont="1" applyFill="1" applyBorder="1" applyAlignment="1">
      <alignment vertical="center"/>
    </xf>
    <xf numFmtId="0" fontId="24" fillId="8" borderId="24" xfId="0" applyFont="1" applyFill="1" applyBorder="1" applyAlignment="1">
      <alignment vertical="center"/>
    </xf>
    <xf numFmtId="0" fontId="24" fillId="2" borderId="32" xfId="0" applyFont="1" applyFill="1" applyBorder="1" applyAlignment="1">
      <alignment vertical="center"/>
    </xf>
    <xf numFmtId="0" fontId="24" fillId="2" borderId="32" xfId="0" applyFont="1" applyFill="1" applyBorder="1" applyAlignment="1">
      <alignment vertical="center" wrapText="1"/>
    </xf>
    <xf numFmtId="0" fontId="24" fillId="2" borderId="42" xfId="0" applyFont="1" applyFill="1" applyBorder="1" applyAlignment="1">
      <alignment vertical="center" wrapText="1"/>
    </xf>
    <xf numFmtId="0" fontId="24" fillId="0" borderId="32" xfId="0" applyFont="1" applyBorder="1" applyAlignment="1">
      <alignment vertical="center"/>
    </xf>
    <xf numFmtId="9" fontId="63" fillId="0" borderId="34" xfId="0" applyNumberFormat="1" applyFont="1" applyBorder="1" applyAlignment="1">
      <alignment horizontal="center" vertical="center" readingOrder="1"/>
    </xf>
    <xf numFmtId="9" fontId="63" fillId="21" borderId="44" xfId="0" applyNumberFormat="1" applyFont="1" applyFill="1" applyBorder="1" applyAlignment="1">
      <alignment horizontal="center" vertical="center" readingOrder="1"/>
    </xf>
    <xf numFmtId="0" fontId="29" fillId="21" borderId="43" xfId="0" applyFont="1" applyFill="1" applyBorder="1" applyAlignment="1">
      <alignment vertical="center"/>
    </xf>
    <xf numFmtId="0" fontId="29" fillId="21" borderId="59" xfId="0" applyFont="1" applyFill="1" applyBorder="1" applyAlignment="1">
      <alignment vertical="center"/>
    </xf>
    <xf numFmtId="0" fontId="29" fillId="21" borderId="27" xfId="0" applyFont="1" applyFill="1" applyBorder="1" applyAlignment="1">
      <alignment vertical="center"/>
    </xf>
    <xf numFmtId="170" fontId="31" fillId="21" borderId="24" xfId="0" applyNumberFormat="1" applyFont="1" applyFill="1" applyBorder="1"/>
    <xf numFmtId="170" fontId="31" fillId="21" borderId="24" xfId="0" applyNumberFormat="1" applyFont="1" applyFill="1" applyBorder="1" applyAlignment="1">
      <alignment wrapText="1"/>
    </xf>
    <xf numFmtId="0" fontId="17" fillId="21" borderId="24" xfId="0" applyFont="1" applyFill="1" applyBorder="1" applyAlignment="1">
      <alignment horizontal="center" vertical="center" wrapText="1"/>
    </xf>
    <xf numFmtId="0" fontId="17" fillId="21" borderId="24" xfId="0" applyFont="1" applyFill="1" applyBorder="1" applyAlignment="1">
      <alignment horizontal="left" wrapText="1"/>
    </xf>
    <xf numFmtId="170" fontId="17" fillId="21" borderId="24" xfId="0" applyNumberFormat="1" applyFont="1" applyFill="1" applyBorder="1"/>
    <xf numFmtId="170" fontId="17" fillId="21" borderId="24" xfId="0" applyNumberFormat="1" applyFont="1" applyFill="1" applyBorder="1" applyAlignment="1">
      <alignment wrapText="1"/>
    </xf>
    <xf numFmtId="9" fontId="63" fillId="2" borderId="44" xfId="0" applyNumberFormat="1" applyFont="1" applyFill="1" applyBorder="1" applyAlignment="1">
      <alignment horizontal="center" vertical="center" readingOrder="1"/>
    </xf>
    <xf numFmtId="170" fontId="17" fillId="2" borderId="34" xfId="0" applyNumberFormat="1" applyFont="1" applyFill="1" applyBorder="1"/>
    <xf numFmtId="170" fontId="17" fillId="2" borderId="34" xfId="0" applyNumberFormat="1" applyFont="1" applyFill="1" applyBorder="1" applyAlignment="1">
      <alignment wrapText="1"/>
    </xf>
    <xf numFmtId="0" fontId="24" fillId="0" borderId="24" xfId="0" applyFont="1" applyBorder="1"/>
    <xf numFmtId="0" fontId="29" fillId="20" borderId="24" xfId="0" applyFont="1" applyFill="1" applyBorder="1"/>
    <xf numFmtId="43" fontId="29" fillId="0" borderId="24" xfId="0" applyNumberFormat="1" applyFont="1" applyBorder="1"/>
    <xf numFmtId="173" fontId="24" fillId="0" borderId="24" xfId="0" applyNumberFormat="1" applyFont="1" applyBorder="1"/>
    <xf numFmtId="0" fontId="29" fillId="0" borderId="36" xfId="0" applyFont="1" applyBorder="1" applyAlignment="1">
      <alignment horizontal="center" vertical="center" wrapText="1" readingOrder="1"/>
    </xf>
    <xf numFmtId="0" fontId="24" fillId="18" borderId="27" xfId="0" applyFont="1" applyFill="1" applyBorder="1" applyAlignment="1">
      <alignment vertical="center" wrapText="1"/>
    </xf>
    <xf numFmtId="0" fontId="29" fillId="0" borderId="52" xfId="0" applyFont="1" applyBorder="1" applyAlignment="1">
      <alignment horizontal="left" vertical="center" wrapText="1" readingOrder="1"/>
    </xf>
    <xf numFmtId="0" fontId="17" fillId="0" borderId="52" xfId="1" applyFont="1" applyBorder="1" applyAlignment="1" applyProtection="1">
      <alignment vertical="center" wrapText="1" readingOrder="1"/>
      <protection locked="0"/>
    </xf>
    <xf numFmtId="43" fontId="0" fillId="0" borderId="0" xfId="0" applyNumberFormat="1"/>
    <xf numFmtId="0" fontId="65" fillId="0" borderId="0" xfId="0" applyFont="1"/>
    <xf numFmtId="0" fontId="34" fillId="0" borderId="24" xfId="0" applyFont="1" applyBorder="1" applyAlignment="1">
      <alignment horizontal="left" vertical="center"/>
    </xf>
    <xf numFmtId="0" fontId="34" fillId="8" borderId="24" xfId="0" applyFont="1" applyFill="1" applyBorder="1" applyAlignment="1">
      <alignment horizontal="left" vertical="center" wrapText="1"/>
    </xf>
    <xf numFmtId="0" fontId="24" fillId="0" borderId="24" xfId="0" applyFont="1" applyBorder="1" applyAlignment="1">
      <alignment horizontal="left" vertical="center" wrapText="1"/>
    </xf>
    <xf numFmtId="0" fontId="24" fillId="0" borderId="24" xfId="0" applyFont="1" applyBorder="1" applyAlignment="1" applyProtection="1">
      <alignment horizontal="left" wrapText="1"/>
      <protection locked="0"/>
    </xf>
    <xf numFmtId="0" fontId="34" fillId="0" borderId="24" xfId="0" applyFont="1" applyBorder="1" applyAlignment="1">
      <alignment horizontal="left" vertical="center" wrapText="1"/>
    </xf>
    <xf numFmtId="3" fontId="34" fillId="0" borderId="24" xfId="0" applyNumberFormat="1" applyFont="1" applyBorder="1" applyAlignment="1">
      <alignment horizontal="center" vertical="center"/>
    </xf>
    <xf numFmtId="42" fontId="34" fillId="8" borderId="24" xfId="0" applyNumberFormat="1" applyFont="1" applyFill="1" applyBorder="1" applyAlignment="1">
      <alignment horizontal="center" vertical="center"/>
    </xf>
    <xf numFmtId="42" fontId="34" fillId="0" borderId="24" xfId="0" applyNumberFormat="1" applyFont="1" applyBorder="1" applyAlignment="1">
      <alignment horizontal="center" vertical="center"/>
    </xf>
    <xf numFmtId="169" fontId="33" fillId="0" borderId="0" xfId="0" applyNumberFormat="1" applyFont="1"/>
    <xf numFmtId="0" fontId="24" fillId="0" borderId="0" xfId="0" applyFont="1" applyAlignment="1">
      <alignment vertical="center"/>
    </xf>
    <xf numFmtId="43" fontId="0" fillId="0" borderId="0" xfId="4" applyFont="1"/>
    <xf numFmtId="9" fontId="67" fillId="0" borderId="44" xfId="0" applyNumberFormat="1" applyFont="1" applyBorder="1" applyAlignment="1">
      <alignment horizontal="center" vertical="center" readingOrder="1"/>
    </xf>
    <xf numFmtId="173" fontId="69" fillId="0" borderId="0" xfId="0" applyNumberFormat="1" applyFont="1"/>
    <xf numFmtId="0" fontId="29" fillId="0" borderId="52" xfId="0" applyFont="1" applyBorder="1" applyAlignment="1">
      <alignment horizontal="center" vertical="center" wrapText="1" readingOrder="1"/>
    </xf>
    <xf numFmtId="0" fontId="70" fillId="0" borderId="24" xfId="0" applyFont="1" applyBorder="1"/>
    <xf numFmtId="0" fontId="23" fillId="0" borderId="0" xfId="0" applyFont="1"/>
    <xf numFmtId="0" fontId="23" fillId="0" borderId="0" xfId="0" applyFont="1" applyAlignment="1">
      <alignment wrapText="1"/>
    </xf>
    <xf numFmtId="169" fontId="24" fillId="0" borderId="24" xfId="3" applyNumberFormat="1" applyFont="1" applyBorder="1" applyAlignment="1" applyProtection="1">
      <alignment horizontal="right"/>
      <protection locked="0"/>
    </xf>
    <xf numFmtId="44" fontId="34" fillId="0" borderId="24" xfId="0" applyNumberFormat="1" applyFont="1" applyBorder="1" applyAlignment="1">
      <alignment horizontal="center" vertical="center"/>
    </xf>
    <xf numFmtId="174" fontId="17" fillId="0" borderId="34" xfId="4" applyNumberFormat="1" applyFont="1" applyFill="1" applyBorder="1" applyAlignment="1">
      <alignment horizontal="left" vertical="center" wrapText="1"/>
    </xf>
    <xf numFmtId="174" fontId="31" fillId="21" borderId="24" xfId="4" applyNumberFormat="1" applyFont="1" applyFill="1" applyBorder="1" applyAlignment="1">
      <alignment horizontal="left" vertical="center" wrapText="1"/>
    </xf>
    <xf numFmtId="174" fontId="17" fillId="0" borderId="24" xfId="4" applyNumberFormat="1" applyFont="1" applyFill="1" applyBorder="1" applyAlignment="1" applyProtection="1">
      <alignment vertical="center" wrapText="1"/>
    </xf>
    <xf numFmtId="174" fontId="31" fillId="21" borderId="24" xfId="4" applyNumberFormat="1" applyFont="1" applyFill="1" applyBorder="1" applyAlignment="1" applyProtection="1">
      <alignment vertical="center" wrapText="1"/>
    </xf>
    <xf numFmtId="174" fontId="17" fillId="0" borderId="23" xfId="4" applyNumberFormat="1" applyFont="1" applyFill="1" applyBorder="1" applyAlignment="1" applyProtection="1">
      <alignment vertical="center" wrapText="1"/>
    </xf>
    <xf numFmtId="174" fontId="31" fillId="21" borderId="32" xfId="1" applyNumberFormat="1" applyFont="1" applyFill="1" applyBorder="1" applyAlignment="1">
      <alignment horizontal="center" vertical="center" wrapText="1" readingOrder="1"/>
    </xf>
    <xf numFmtId="174" fontId="17" fillId="0" borderId="24" xfId="0" applyNumberFormat="1" applyFont="1" applyBorder="1" applyAlignment="1">
      <alignment vertical="center" wrapText="1"/>
    </xf>
    <xf numFmtId="174" fontId="31" fillId="21" borderId="34" xfId="0" applyNumberFormat="1" applyFont="1" applyFill="1" applyBorder="1" applyAlignment="1">
      <alignment vertical="center" wrapText="1"/>
    </xf>
    <xf numFmtId="169" fontId="17" fillId="0" borderId="24" xfId="3" applyNumberFormat="1" applyFont="1" applyFill="1" applyBorder="1" applyAlignment="1">
      <alignment horizontal="left" vertical="center" wrapText="1"/>
    </xf>
    <xf numFmtId="169" fontId="17" fillId="0" borderId="24" xfId="3" applyNumberFormat="1" applyFont="1" applyBorder="1" applyAlignment="1">
      <alignment wrapText="1"/>
    </xf>
    <xf numFmtId="169" fontId="29" fillId="21" borderId="24" xfId="0" applyNumberFormat="1" applyFont="1" applyFill="1" applyBorder="1" applyAlignment="1">
      <alignment vertical="center"/>
    </xf>
    <xf numFmtId="169" fontId="17" fillId="8" borderId="24" xfId="1" applyNumberFormat="1" applyFont="1" applyFill="1" applyBorder="1" applyAlignment="1">
      <alignment horizontal="left" vertical="center" wrapText="1" readingOrder="1"/>
    </xf>
    <xf numFmtId="169" fontId="17" fillId="0" borderId="24" xfId="3" applyNumberFormat="1" applyFont="1" applyFill="1" applyBorder="1" applyAlignment="1" applyProtection="1">
      <alignment vertical="center" wrapText="1"/>
    </xf>
    <xf numFmtId="169" fontId="31" fillId="21" borderId="24" xfId="3" applyNumberFormat="1" applyFont="1" applyFill="1" applyBorder="1" applyAlignment="1" applyProtection="1">
      <alignment vertical="center" wrapText="1"/>
    </xf>
    <xf numFmtId="169" fontId="17" fillId="0" borderId="24" xfId="3" applyNumberFormat="1" applyFont="1" applyFill="1" applyBorder="1" applyAlignment="1">
      <alignment wrapText="1"/>
    </xf>
    <xf numFmtId="169" fontId="31" fillId="21" borderId="24" xfId="3" applyNumberFormat="1" applyFont="1" applyFill="1" applyBorder="1" applyAlignment="1">
      <alignment wrapText="1"/>
    </xf>
    <xf numFmtId="169" fontId="31" fillId="21" borderId="34" xfId="3" applyNumberFormat="1" applyFont="1" applyFill="1" applyBorder="1" applyAlignment="1">
      <alignment vertical="center" wrapText="1"/>
    </xf>
    <xf numFmtId="175" fontId="17" fillId="0" borderId="34" xfId="3" applyNumberFormat="1" applyFont="1" applyFill="1" applyBorder="1" applyAlignment="1" applyProtection="1">
      <alignment vertical="center" wrapText="1"/>
    </xf>
    <xf numFmtId="169" fontId="17" fillId="0" borderId="34" xfId="3" applyNumberFormat="1" applyFont="1" applyFill="1" applyBorder="1" applyAlignment="1" applyProtection="1">
      <alignment vertical="center" wrapText="1"/>
    </xf>
    <xf numFmtId="169" fontId="31" fillId="21" borderId="34" xfId="3" applyNumberFormat="1" applyFont="1" applyFill="1" applyBorder="1" applyAlignment="1">
      <alignment horizontal="left" vertical="center" wrapText="1"/>
    </xf>
    <xf numFmtId="169" fontId="17" fillId="10" borderId="34" xfId="3" applyNumberFormat="1" applyFont="1" applyFill="1" applyBorder="1" applyAlignment="1">
      <alignment vertical="center" wrapText="1"/>
    </xf>
    <xf numFmtId="169" fontId="17" fillId="10" borderId="34" xfId="3" applyNumberFormat="1" applyFont="1" applyFill="1" applyBorder="1" applyAlignment="1" applyProtection="1">
      <alignment vertical="center" wrapText="1"/>
    </xf>
    <xf numFmtId="169" fontId="17" fillId="8" borderId="34" xfId="1" applyNumberFormat="1" applyFont="1" applyFill="1" applyBorder="1" applyAlignment="1">
      <alignment horizontal="left" vertical="center" wrapText="1" readingOrder="1"/>
    </xf>
    <xf numFmtId="169" fontId="24" fillId="8" borderId="24" xfId="3" applyNumberFormat="1" applyFont="1" applyFill="1" applyBorder="1" applyAlignment="1">
      <alignment vertical="center"/>
    </xf>
    <xf numFmtId="169" fontId="29" fillId="2" borderId="32" xfId="4" applyNumberFormat="1" applyFont="1" applyFill="1" applyBorder="1" applyAlignment="1">
      <alignment vertical="center"/>
    </xf>
    <xf numFmtId="169" fontId="17" fillId="0" borderId="34" xfId="3" applyNumberFormat="1" applyFont="1" applyBorder="1" applyAlignment="1" applyProtection="1">
      <alignment horizontal="left" vertical="center" wrapText="1" readingOrder="1"/>
      <protection locked="0"/>
    </xf>
    <xf numFmtId="169" fontId="17" fillId="21" borderId="32" xfId="1" applyNumberFormat="1" applyFont="1" applyFill="1" applyBorder="1" applyAlignment="1">
      <alignment horizontal="left" vertical="center" wrapText="1" readingOrder="1"/>
    </xf>
    <xf numFmtId="169" fontId="17" fillId="0" borderId="24" xfId="3" applyNumberFormat="1" applyFont="1" applyFill="1" applyBorder="1" applyAlignment="1">
      <alignment horizontal="left" wrapText="1"/>
    </xf>
    <xf numFmtId="169" fontId="17" fillId="0" borderId="24" xfId="0" applyNumberFormat="1" applyFont="1" applyBorder="1" applyAlignment="1">
      <alignment horizontal="left" vertical="center" wrapText="1"/>
    </xf>
    <xf numFmtId="169" fontId="31" fillId="21" borderId="34" xfId="3" applyNumberFormat="1" applyFont="1" applyFill="1" applyBorder="1" applyAlignment="1">
      <alignment horizontal="left" wrapText="1"/>
    </xf>
    <xf numFmtId="175" fontId="31" fillId="21" borderId="24" xfId="3" applyNumberFormat="1" applyFont="1" applyFill="1" applyBorder="1" applyAlignment="1">
      <alignment horizontal="left" wrapText="1"/>
    </xf>
    <xf numFmtId="169" fontId="24" fillId="0" borderId="24" xfId="3" applyNumberFormat="1" applyFont="1" applyBorder="1" applyAlignment="1">
      <alignment vertical="center"/>
    </xf>
    <xf numFmtId="169" fontId="29" fillId="21" borderId="34" xfId="3" applyNumberFormat="1" applyFont="1" applyFill="1" applyBorder="1" applyAlignment="1">
      <alignment vertical="center"/>
    </xf>
    <xf numFmtId="169" fontId="17" fillId="0" borderId="34" xfId="3" applyNumberFormat="1" applyFont="1" applyFill="1" applyBorder="1" applyAlignment="1">
      <alignment horizontal="left" vertical="center" wrapText="1"/>
    </xf>
    <xf numFmtId="175" fontId="29" fillId="2" borderId="0" xfId="0" applyNumberFormat="1" applyFont="1" applyFill="1" applyAlignment="1">
      <alignment vertical="center"/>
    </xf>
    <xf numFmtId="0" fontId="17" fillId="0" borderId="28" xfId="1" applyFont="1" applyBorder="1" applyAlignment="1" applyProtection="1">
      <alignment horizontal="center" vertical="top" readingOrder="1"/>
      <protection locked="0"/>
    </xf>
    <xf numFmtId="0" fontId="3" fillId="0" borderId="0" xfId="0" applyFont="1"/>
    <xf numFmtId="0" fontId="5" fillId="3" borderId="9" xfId="0" applyFont="1" applyFill="1" applyBorder="1" applyAlignment="1">
      <alignment vertical="center" wrapText="1"/>
    </xf>
    <xf numFmtId="0" fontId="19" fillId="0" borderId="0" xfId="1" applyFont="1" applyAlignment="1" applyProtection="1">
      <alignment horizontal="left" vertical="center" readingOrder="1"/>
      <protection locked="0"/>
    </xf>
    <xf numFmtId="0" fontId="19" fillId="0" borderId="0" xfId="1" applyFont="1" applyAlignment="1" applyProtection="1">
      <alignment horizontal="left" vertical="center" wrapText="1" readingOrder="1"/>
      <protection locked="0"/>
    </xf>
    <xf numFmtId="0" fontId="20" fillId="0" borderId="0" xfId="1" applyFont="1" applyAlignment="1" applyProtection="1">
      <alignment vertical="top" wrapText="1" readingOrder="1"/>
      <protection locked="0"/>
    </xf>
    <xf numFmtId="0" fontId="21" fillId="0" borderId="0" xfId="1" applyFont="1" applyAlignment="1" applyProtection="1">
      <alignment horizontal="right" vertical="top" wrapText="1" readingOrder="1"/>
      <protection locked="0"/>
    </xf>
    <xf numFmtId="0" fontId="17" fillId="6" borderId="24" xfId="1" applyFont="1" applyFill="1" applyBorder="1" applyAlignment="1">
      <alignment horizontal="center" vertical="top" wrapText="1" readingOrder="1"/>
    </xf>
    <xf numFmtId="0" fontId="17" fillId="6" borderId="24" xfId="1" applyFont="1" applyFill="1" applyBorder="1" applyAlignment="1" applyProtection="1">
      <alignment horizontal="center" vertical="top" wrapText="1" readingOrder="1"/>
      <protection locked="0"/>
    </xf>
    <xf numFmtId="166" fontId="17" fillId="6" borderId="24" xfId="1" applyNumberFormat="1" applyFont="1" applyFill="1" applyBorder="1" applyAlignment="1" applyProtection="1">
      <alignment horizontal="right" vertical="top" wrapText="1" readingOrder="1"/>
      <protection locked="0"/>
    </xf>
    <xf numFmtId="0" fontId="17" fillId="6" borderId="25" xfId="1" applyFont="1" applyFill="1" applyBorder="1" applyAlignment="1" applyProtection="1">
      <alignment horizontal="center" vertical="top" wrapText="1" readingOrder="1"/>
      <protection locked="0"/>
    </xf>
    <xf numFmtId="166" fontId="17" fillId="6" borderId="25" xfId="1" applyNumberFormat="1" applyFont="1" applyFill="1" applyBorder="1" applyAlignment="1" applyProtection="1">
      <alignment horizontal="center" vertical="top" wrapText="1" readingOrder="1"/>
      <protection locked="0"/>
    </xf>
    <xf numFmtId="0" fontId="17" fillId="6" borderId="24" xfId="1" applyFont="1" applyFill="1" applyBorder="1" applyAlignment="1">
      <alignment horizontal="right" vertical="top" wrapText="1" readingOrder="1"/>
    </xf>
    <xf numFmtId="167" fontId="17" fillId="6" borderId="24" xfId="1" applyNumberFormat="1" applyFont="1" applyFill="1" applyBorder="1" applyAlignment="1">
      <alignment horizontal="right" vertical="top" wrapText="1" readingOrder="1"/>
    </xf>
    <xf numFmtId="0" fontId="17" fillId="0" borderId="24" xfId="1" applyFont="1" applyBorder="1" applyAlignment="1">
      <alignment horizontal="center" vertical="center" wrapText="1" readingOrder="1"/>
    </xf>
    <xf numFmtId="0" fontId="17" fillId="0" borderId="24" xfId="1" applyFont="1" applyBorder="1" applyAlignment="1" applyProtection="1">
      <alignment horizontal="center" vertical="center" wrapText="1" readingOrder="1"/>
      <protection locked="0"/>
    </xf>
    <xf numFmtId="166" fontId="17" fillId="0" borderId="24" xfId="1" applyNumberFormat="1" applyFont="1" applyBorder="1" applyAlignment="1" applyProtection="1">
      <alignment horizontal="right" vertical="center" wrapText="1" readingOrder="1"/>
      <protection locked="0"/>
    </xf>
    <xf numFmtId="0" fontId="17" fillId="0" borderId="28" xfId="1" applyFont="1" applyBorder="1" applyAlignment="1" applyProtection="1">
      <alignment horizontal="center" vertical="center" readingOrder="1"/>
      <protection locked="0"/>
    </xf>
    <xf numFmtId="166" fontId="17" fillId="0" borderId="29" xfId="1" applyNumberFormat="1" applyFont="1" applyBorder="1" applyAlignment="1" applyProtection="1">
      <alignment horizontal="center" vertical="center" wrapText="1" readingOrder="1"/>
      <protection locked="0"/>
    </xf>
    <xf numFmtId="0" fontId="17" fillId="0" borderId="24" xfId="1" applyFont="1" applyBorder="1" applyAlignment="1">
      <alignment horizontal="right" vertical="center" wrapText="1" readingOrder="1"/>
    </xf>
    <xf numFmtId="167" fontId="17" fillId="0" borderId="24" xfId="1" applyNumberFormat="1" applyFont="1" applyBorder="1" applyAlignment="1">
      <alignment horizontal="right" vertical="center" wrapText="1" readingOrder="1"/>
    </xf>
    <xf numFmtId="0" fontId="17" fillId="0" borderId="31" xfId="1" applyFont="1" applyBorder="1" applyAlignment="1" applyProtection="1">
      <alignment vertical="top" wrapText="1" readingOrder="1"/>
      <protection locked="0"/>
    </xf>
    <xf numFmtId="0" fontId="17" fillId="6" borderId="34" xfId="1" applyFont="1" applyFill="1" applyBorder="1" applyAlignment="1">
      <alignment horizontal="center" vertical="top" wrapText="1" readingOrder="1"/>
    </xf>
    <xf numFmtId="0" fontId="17" fillId="0" borderId="24" xfId="1" applyFont="1" applyBorder="1" applyAlignment="1">
      <alignment horizontal="center" vertical="top" wrapText="1" readingOrder="1"/>
    </xf>
    <xf numFmtId="0" fontId="17" fillId="0" borderId="24" xfId="1" applyFont="1" applyBorder="1" applyAlignment="1" applyProtection="1">
      <alignment horizontal="center" vertical="top" wrapText="1" readingOrder="1"/>
      <protection locked="0"/>
    </xf>
    <xf numFmtId="166" fontId="17" fillId="0" borderId="24" xfId="1" applyNumberFormat="1" applyFont="1" applyBorder="1" applyAlignment="1" applyProtection="1">
      <alignment horizontal="right" vertical="top" wrapText="1" readingOrder="1"/>
      <protection locked="0"/>
    </xf>
    <xf numFmtId="166" fontId="17" fillId="0" borderId="29" xfId="1" applyNumberFormat="1" applyFont="1" applyBorder="1" applyAlignment="1" applyProtection="1">
      <alignment horizontal="center" vertical="top" wrapText="1" readingOrder="1"/>
      <protection locked="0"/>
    </xf>
    <xf numFmtId="0" fontId="17" fillId="6" borderId="35" xfId="1" applyFont="1" applyFill="1" applyBorder="1" applyAlignment="1">
      <alignment horizontal="center" vertical="top" wrapText="1" readingOrder="1"/>
    </xf>
    <xf numFmtId="0" fontId="17" fillId="6" borderId="35" xfId="1" applyFont="1" applyFill="1" applyBorder="1" applyAlignment="1" applyProtection="1">
      <alignment horizontal="center" vertical="top" wrapText="1" readingOrder="1"/>
      <protection locked="0"/>
    </xf>
    <xf numFmtId="166" fontId="17" fillId="6" borderId="35" xfId="1" applyNumberFormat="1" applyFont="1" applyFill="1" applyBorder="1" applyAlignment="1" applyProtection="1">
      <alignment horizontal="right" vertical="top" wrapText="1" readingOrder="1"/>
      <protection locked="0"/>
    </xf>
    <xf numFmtId="0" fontId="17" fillId="6" borderId="35" xfId="1" applyFont="1" applyFill="1" applyBorder="1" applyAlignment="1">
      <alignment horizontal="right" vertical="top" wrapText="1" readingOrder="1"/>
    </xf>
    <xf numFmtId="167" fontId="17" fillId="6" borderId="35" xfId="1" applyNumberFormat="1" applyFont="1" applyFill="1" applyBorder="1" applyAlignment="1">
      <alignment horizontal="right" vertical="top" wrapText="1" readingOrder="1"/>
    </xf>
    <xf numFmtId="0" fontId="17" fillId="0" borderId="27" xfId="1" applyFont="1" applyBorder="1" applyAlignment="1" applyProtection="1">
      <alignment vertical="top" wrapText="1" readingOrder="1"/>
      <protection locked="0"/>
    </xf>
    <xf numFmtId="0" fontId="60" fillId="0" borderId="1" xfId="0" applyFont="1" applyBorder="1" applyAlignment="1">
      <alignment vertical="center" wrapText="1"/>
    </xf>
    <xf numFmtId="0" fontId="0" fillId="0" borderId="52" xfId="0" applyBorder="1"/>
    <xf numFmtId="0" fontId="62" fillId="24" borderId="24" xfId="0" applyFont="1" applyFill="1" applyBorder="1" applyAlignment="1">
      <alignment horizontal="center" vertical="center"/>
    </xf>
    <xf numFmtId="0" fontId="62" fillId="24" borderId="7" xfId="0" applyFont="1" applyFill="1" applyBorder="1" applyAlignment="1">
      <alignment horizontal="center" vertical="center"/>
    </xf>
    <xf numFmtId="0" fontId="62" fillId="23" borderId="24" xfId="0" applyFont="1" applyFill="1" applyBorder="1" applyAlignment="1">
      <alignment horizontal="center" vertical="center"/>
    </xf>
    <xf numFmtId="0" fontId="62" fillId="0" borderId="24" xfId="0" applyFont="1" applyBorder="1" applyAlignment="1">
      <alignment horizontal="center" vertical="center"/>
    </xf>
    <xf numFmtId="0" fontId="62" fillId="0" borderId="9" xfId="0" applyFont="1" applyBorder="1" applyAlignment="1">
      <alignment horizontal="center" vertical="center"/>
    </xf>
    <xf numFmtId="0" fontId="62" fillId="23" borderId="7" xfId="0" applyFont="1" applyFill="1" applyBorder="1" applyAlignment="1">
      <alignment horizontal="center" vertical="center"/>
    </xf>
    <xf numFmtId="0" fontId="62" fillId="20" borderId="7" xfId="0" applyFont="1" applyFill="1" applyBorder="1" applyAlignment="1">
      <alignment horizontal="center" vertical="center"/>
    </xf>
    <xf numFmtId="0" fontId="62" fillId="2" borderId="7" xfId="0" applyFont="1" applyFill="1" applyBorder="1" applyAlignment="1">
      <alignment horizontal="center" vertical="center"/>
    </xf>
    <xf numFmtId="0" fontId="62" fillId="25" borderId="7" xfId="0" applyFont="1" applyFill="1" applyBorder="1" applyAlignment="1">
      <alignment horizontal="center" vertical="center"/>
    </xf>
    <xf numFmtId="0" fontId="60" fillId="0" borderId="1" xfId="0" applyFont="1" applyBorder="1" applyAlignment="1">
      <alignment horizontal="center" vertical="center" wrapText="1"/>
    </xf>
    <xf numFmtId="0" fontId="71" fillId="2" borderId="7" xfId="0" applyFont="1" applyFill="1" applyBorder="1" applyAlignment="1">
      <alignment horizontal="center" vertical="center"/>
    </xf>
    <xf numFmtId="0" fontId="71" fillId="20" borderId="7" xfId="0" applyFont="1" applyFill="1" applyBorder="1" applyAlignment="1">
      <alignment horizontal="center"/>
    </xf>
    <xf numFmtId="0" fontId="71" fillId="2" borderId="7" xfId="0" applyFont="1" applyFill="1" applyBorder="1" applyAlignment="1">
      <alignment horizontal="center"/>
    </xf>
    <xf numFmtId="0" fontId="62" fillId="23" borderId="24" xfId="0" applyFont="1" applyFill="1" applyBorder="1" applyAlignment="1">
      <alignment horizontal="left" vertical="center" wrapText="1"/>
    </xf>
    <xf numFmtId="0" fontId="62" fillId="23" borderId="24" xfId="0" applyFont="1" applyFill="1" applyBorder="1" applyAlignment="1">
      <alignment horizontal="left" vertical="center"/>
    </xf>
    <xf numFmtId="0" fontId="17" fillId="0" borderId="32" xfId="1" applyFont="1" applyBorder="1" applyAlignment="1">
      <alignment horizontal="center" vertical="top" wrapText="1" readingOrder="1"/>
    </xf>
    <xf numFmtId="0" fontId="17" fillId="0" borderId="32" xfId="1" applyFont="1" applyBorder="1" applyAlignment="1" applyProtection="1">
      <alignment horizontal="center" vertical="top" wrapText="1" readingOrder="1"/>
      <protection locked="0"/>
    </xf>
    <xf numFmtId="166" fontId="17" fillId="0" borderId="32" xfId="1" applyNumberFormat="1" applyFont="1" applyBorder="1" applyAlignment="1" applyProtection="1">
      <alignment horizontal="right" vertical="top" wrapText="1" readingOrder="1"/>
      <protection locked="0"/>
    </xf>
    <xf numFmtId="0" fontId="17" fillId="0" borderId="57" xfId="1" applyFont="1" applyBorder="1" applyAlignment="1" applyProtection="1">
      <alignment horizontal="center" vertical="top" readingOrder="1"/>
      <protection locked="0"/>
    </xf>
    <xf numFmtId="166" fontId="17" fillId="0" borderId="33" xfId="1" applyNumberFormat="1" applyFont="1" applyBorder="1" applyAlignment="1" applyProtection="1">
      <alignment horizontal="center" vertical="top" wrapText="1" readingOrder="1"/>
      <protection locked="0"/>
    </xf>
    <xf numFmtId="0" fontId="17" fillId="0" borderId="32" xfId="1" applyFont="1" applyBorder="1" applyAlignment="1">
      <alignment horizontal="right" vertical="center" wrapText="1" readingOrder="1"/>
    </xf>
    <xf numFmtId="167" fontId="17" fillId="0" borderId="32" xfId="1" applyNumberFormat="1" applyFont="1" applyBorder="1" applyAlignment="1">
      <alignment horizontal="right" vertical="center" wrapText="1" readingOrder="1"/>
    </xf>
    <xf numFmtId="0" fontId="49" fillId="0" borderId="28" xfId="0" applyFont="1" applyBorder="1" applyAlignment="1">
      <alignment vertical="top" wrapText="1"/>
    </xf>
    <xf numFmtId="0" fontId="17" fillId="0" borderId="29" xfId="1" applyFont="1" applyBorder="1" applyAlignment="1" applyProtection="1">
      <alignment horizontal="center" vertical="center" readingOrder="1"/>
      <protection locked="0"/>
    </xf>
    <xf numFmtId="166" fontId="17" fillId="0" borderId="23" xfId="1" applyNumberFormat="1" applyFont="1" applyBorder="1" applyAlignment="1" applyProtection="1">
      <alignment horizontal="right" vertical="top" wrapText="1" readingOrder="1"/>
      <protection locked="0"/>
    </xf>
    <xf numFmtId="166" fontId="17" fillId="0" borderId="23" xfId="1" applyNumberFormat="1" applyFont="1" applyBorder="1" applyAlignment="1" applyProtection="1">
      <alignment horizontal="center" vertical="top" wrapText="1" readingOrder="1"/>
      <protection locked="0"/>
    </xf>
    <xf numFmtId="3" fontId="17" fillId="6" borderId="25" xfId="1" applyNumberFormat="1" applyFont="1" applyFill="1" applyBorder="1" applyAlignment="1" applyProtection="1">
      <alignment horizontal="center" vertical="top" wrapText="1" readingOrder="1"/>
      <protection locked="0"/>
    </xf>
    <xf numFmtId="0" fontId="17" fillId="0" borderId="22" xfId="1" applyFont="1" applyBorder="1" applyAlignment="1" applyProtection="1">
      <alignment vertical="top" wrapText="1" readingOrder="1"/>
      <protection locked="0"/>
    </xf>
    <xf numFmtId="0" fontId="0" fillId="0" borderId="27" xfId="0" applyBorder="1" applyAlignment="1">
      <alignment vertical="top" wrapText="1" readingOrder="1"/>
    </xf>
    <xf numFmtId="0" fontId="0" fillId="0" borderId="31" xfId="0" applyBorder="1" applyAlignment="1">
      <alignment vertical="top" wrapText="1" readingOrder="1"/>
    </xf>
    <xf numFmtId="0" fontId="17" fillId="0" borderId="23" xfId="1" applyFont="1" applyBorder="1" applyAlignment="1" applyProtection="1">
      <alignment vertical="top" wrapText="1" readingOrder="1"/>
      <protection locked="0"/>
    </xf>
    <xf numFmtId="0" fontId="50" fillId="0" borderId="35" xfId="0" applyFont="1" applyBorder="1" applyAlignment="1">
      <alignment vertical="center" wrapText="1"/>
    </xf>
    <xf numFmtId="0" fontId="50" fillId="0" borderId="24" xfId="0" applyFont="1" applyBorder="1" applyAlignment="1">
      <alignment vertical="center"/>
    </xf>
    <xf numFmtId="0" fontId="17" fillId="0" borderId="24" xfId="1" applyFont="1" applyBorder="1" applyAlignment="1" applyProtection="1">
      <alignment vertical="top" wrapText="1" readingOrder="1"/>
      <protection locked="0"/>
    </xf>
    <xf numFmtId="0" fontId="0" fillId="0" borderId="32" xfId="0" applyBorder="1" applyAlignment="1">
      <alignment vertical="top" wrapText="1" readingOrder="1"/>
    </xf>
    <xf numFmtId="0" fontId="17" fillId="0" borderId="55" xfId="1" applyFont="1" applyBorder="1" applyAlignment="1" applyProtection="1">
      <alignment vertical="top" wrapText="1" readingOrder="1"/>
      <protection locked="0"/>
    </xf>
    <xf numFmtId="0" fontId="17" fillId="0" borderId="43" xfId="1" applyFont="1" applyBorder="1" applyAlignment="1" applyProtection="1">
      <alignment vertical="top" wrapText="1" readingOrder="1"/>
      <protection locked="0"/>
    </xf>
    <xf numFmtId="0" fontId="0" fillId="0" borderId="43" xfId="0" applyBorder="1" applyAlignment="1">
      <alignment vertical="top" wrapText="1" readingOrder="1"/>
    </xf>
    <xf numFmtId="0" fontId="0" fillId="0" borderId="61" xfId="0" applyBorder="1" applyAlignment="1">
      <alignment vertical="top" wrapText="1" readingOrder="1"/>
    </xf>
    <xf numFmtId="0" fontId="5" fillId="3" borderId="12" xfId="0" applyFont="1" applyFill="1" applyBorder="1" applyAlignment="1">
      <alignment vertical="center" wrapText="1"/>
    </xf>
    <xf numFmtId="0" fontId="17" fillId="0" borderId="26" xfId="1" applyFont="1" applyBorder="1" applyAlignment="1" applyProtection="1">
      <alignment vertical="top" wrapText="1" readingOrder="1"/>
      <protection locked="0"/>
    </xf>
    <xf numFmtId="0" fontId="17" fillId="0" borderId="30" xfId="1" applyFont="1" applyBorder="1" applyAlignment="1" applyProtection="1">
      <alignment vertical="top" wrapText="1" readingOrder="1"/>
      <protection locked="0"/>
    </xf>
    <xf numFmtId="0" fontId="17" fillId="0" borderId="13" xfId="1" applyFont="1" applyBorder="1" applyAlignment="1" applyProtection="1">
      <alignment vertical="top" wrapText="1" readingOrder="1"/>
      <protection locked="0"/>
    </xf>
    <xf numFmtId="0" fontId="58" fillId="6" borderId="25" xfId="1" applyFont="1" applyFill="1" applyBorder="1" applyAlignment="1" applyProtection="1">
      <alignment horizontal="center" vertical="top" wrapText="1" readingOrder="1"/>
      <protection locked="0"/>
    </xf>
    <xf numFmtId="0" fontId="58" fillId="0" borderId="29" xfId="1" applyFont="1" applyBorder="1" applyAlignment="1" applyProtection="1">
      <alignment horizontal="center" vertical="top" readingOrder="1"/>
      <protection locked="0"/>
    </xf>
    <xf numFmtId="0" fontId="20" fillId="0" borderId="0" xfId="1" applyFont="1" applyAlignment="1" applyProtection="1">
      <alignment wrapText="1" readingOrder="1"/>
      <protection locked="0"/>
    </xf>
    <xf numFmtId="0" fontId="17" fillId="0" borderId="29" xfId="1" applyFont="1" applyBorder="1" applyAlignment="1" applyProtection="1">
      <alignment horizontal="center" vertical="top" readingOrder="1"/>
      <protection locked="0"/>
    </xf>
    <xf numFmtId="0" fontId="24" fillId="0" borderId="0" xfId="0" applyFont="1" applyAlignment="1">
      <alignment wrapText="1"/>
    </xf>
    <xf numFmtId="0" fontId="17" fillId="0" borderId="7" xfId="1" applyFont="1" applyBorder="1"/>
    <xf numFmtId="0" fontId="17" fillId="0" borderId="18" xfId="1" applyFont="1" applyBorder="1"/>
    <xf numFmtId="44" fontId="40" fillId="0" borderId="24" xfId="4" applyNumberFormat="1" applyFont="1" applyFill="1" applyBorder="1" applyAlignment="1">
      <alignment horizontal="center" vertical="center"/>
    </xf>
    <xf numFmtId="0" fontId="29" fillId="8" borderId="43" xfId="0" applyFont="1" applyFill="1" applyBorder="1" applyAlignment="1">
      <alignment horizontal="left" vertical="center" wrapText="1" readingOrder="1"/>
    </xf>
    <xf numFmtId="0" fontId="51" fillId="0" borderId="23" xfId="1" applyFont="1" applyBorder="1" applyAlignment="1">
      <alignment vertical="center" wrapText="1"/>
    </xf>
    <xf numFmtId="0" fontId="51" fillId="0" borderId="24" xfId="0" applyFont="1" applyBorder="1" applyAlignment="1">
      <alignment vertical="center" wrapText="1"/>
    </xf>
    <xf numFmtId="0" fontId="66" fillId="0" borderId="45" xfId="0" applyFont="1" applyBorder="1" applyAlignment="1">
      <alignment vertical="center" wrapText="1"/>
    </xf>
    <xf numFmtId="0" fontId="70" fillId="0" borderId="44" xfId="0" applyFont="1" applyBorder="1"/>
    <xf numFmtId="0" fontId="17" fillId="0" borderId="27" xfId="1" applyFont="1" applyBorder="1" applyAlignment="1">
      <alignment vertical="center" wrapText="1" readingOrder="1"/>
    </xf>
    <xf numFmtId="0" fontId="74" fillId="0" borderId="24" xfId="0" applyFont="1" applyBorder="1" applyAlignment="1">
      <alignment vertical="center" wrapText="1"/>
    </xf>
    <xf numFmtId="43" fontId="15" fillId="0" borderId="0" xfId="4" applyFont="1" applyFill="1" applyBorder="1" applyAlignment="1">
      <alignment vertical="center" wrapText="1"/>
    </xf>
    <xf numFmtId="0" fontId="15" fillId="10" borderId="24" xfId="0" applyFont="1" applyFill="1" applyBorder="1" applyAlignment="1">
      <alignment vertical="center" wrapText="1"/>
    </xf>
    <xf numFmtId="0" fontId="15" fillId="0" borderId="24" xfId="0" applyFont="1" applyBorder="1" applyAlignment="1">
      <alignment vertical="center" wrapText="1"/>
    </xf>
    <xf numFmtId="9" fontId="63" fillId="0" borderId="52" xfId="0" applyNumberFormat="1" applyFont="1" applyBorder="1" applyAlignment="1">
      <alignment horizontal="center" vertical="center" readingOrder="1"/>
    </xf>
    <xf numFmtId="0" fontId="17" fillId="0" borderId="51" xfId="1" applyFont="1" applyBorder="1" applyAlignment="1" applyProtection="1">
      <alignment horizontal="left" vertical="top" wrapText="1" readingOrder="1"/>
      <protection locked="0"/>
    </xf>
    <xf numFmtId="0" fontId="24" fillId="0" borderId="27" xfId="0" applyFont="1" applyBorder="1" applyAlignment="1">
      <alignment horizontal="center" wrapText="1" readingOrder="1"/>
    </xf>
    <xf numFmtId="0" fontId="17" fillId="0" borderId="34" xfId="1" quotePrefix="1" applyFont="1" applyBorder="1" applyAlignment="1" applyProtection="1">
      <alignment vertical="center" wrapText="1" readingOrder="1"/>
      <protection locked="0"/>
    </xf>
    <xf numFmtId="0" fontId="23" fillId="0" borderId="24" xfId="0" applyFont="1" applyBorder="1" applyAlignment="1">
      <alignment vertical="center" wrapText="1"/>
    </xf>
    <xf numFmtId="0" fontId="23" fillId="0" borderId="24" xfId="0" applyFont="1" applyBorder="1" applyAlignment="1">
      <alignment horizontal="left" vertical="center" wrapText="1"/>
    </xf>
    <xf numFmtId="0" fontId="68" fillId="10" borderId="0" xfId="0" applyFont="1" applyFill="1" applyAlignment="1">
      <alignment vertical="center" wrapText="1"/>
    </xf>
    <xf numFmtId="0" fontId="31" fillId="0" borderId="29" xfId="0" applyFont="1" applyBorder="1" applyAlignment="1">
      <alignment horizontal="center" vertical="center" wrapText="1"/>
    </xf>
    <xf numFmtId="0" fontId="66" fillId="0" borderId="24" xfId="0" applyFont="1" applyBorder="1" applyAlignment="1">
      <alignment horizontal="left" vertical="center" wrapText="1"/>
    </xf>
    <xf numFmtId="17" fontId="17" fillId="0" borderId="24" xfId="0" applyNumberFormat="1" applyFont="1" applyBorder="1" applyAlignment="1">
      <alignment vertical="center"/>
    </xf>
    <xf numFmtId="3" fontId="15" fillId="0" borderId="24" xfId="0" applyNumberFormat="1" applyFont="1" applyBorder="1" applyAlignment="1">
      <alignment vertical="top" wrapText="1"/>
    </xf>
    <xf numFmtId="43" fontId="15" fillId="0" borderId="24" xfId="4" applyFont="1" applyFill="1" applyBorder="1" applyAlignment="1">
      <alignment vertical="top" wrapText="1"/>
    </xf>
    <xf numFmtId="43" fontId="15" fillId="0" borderId="0" xfId="4" applyFont="1" applyFill="1" applyBorder="1" applyAlignment="1">
      <alignment vertical="top" wrapText="1"/>
    </xf>
    <xf numFmtId="0" fontId="23" fillId="0" borderId="0" xfId="0" applyFont="1" applyAlignment="1">
      <alignment vertical="top" wrapText="1"/>
    </xf>
    <xf numFmtId="173" fontId="33" fillId="0" borderId="0" xfId="0" applyNumberFormat="1" applyFont="1"/>
    <xf numFmtId="166" fontId="58" fillId="0" borderId="24" xfId="1" applyNumberFormat="1" applyFont="1" applyBorder="1" applyAlignment="1" applyProtection="1">
      <alignment horizontal="right" vertical="center" wrapText="1" readingOrder="1"/>
      <protection locked="0"/>
    </xf>
    <xf numFmtId="166" fontId="58" fillId="0" borderId="24" xfId="1" applyNumberFormat="1" applyFont="1" applyBorder="1" applyAlignment="1" applyProtection="1">
      <alignment horizontal="right" vertical="top" wrapText="1" readingOrder="1"/>
      <protection locked="0"/>
    </xf>
    <xf numFmtId="0" fontId="29" fillId="8" borderId="43" xfId="0" applyFont="1" applyFill="1" applyBorder="1" applyAlignment="1">
      <alignment vertical="center" wrapText="1" readingOrder="1"/>
    </xf>
    <xf numFmtId="0" fontId="29" fillId="8" borderId="36" xfId="0" applyFont="1" applyFill="1" applyBorder="1" applyAlignment="1">
      <alignment vertical="center" wrapText="1" readingOrder="1"/>
    </xf>
    <xf numFmtId="0" fontId="66" fillId="0" borderId="24" xfId="0" applyFont="1" applyBorder="1" applyAlignment="1">
      <alignment vertical="center" wrapText="1"/>
    </xf>
    <xf numFmtId="0" fontId="31" fillId="8" borderId="43" xfId="0" applyFont="1" applyFill="1" applyBorder="1" applyAlignment="1">
      <alignment vertical="center" wrapText="1" readingOrder="1"/>
    </xf>
    <xf numFmtId="0" fontId="29" fillId="8" borderId="58" xfId="0" applyFont="1" applyFill="1" applyBorder="1" applyAlignment="1">
      <alignment vertical="center" wrapText="1" readingOrder="1"/>
    </xf>
    <xf numFmtId="0" fontId="29" fillId="8" borderId="59" xfId="0" applyFont="1" applyFill="1" applyBorder="1" applyAlignment="1">
      <alignment vertical="center" wrapText="1" readingOrder="1"/>
    </xf>
    <xf numFmtId="1" fontId="17" fillId="2" borderId="45" xfId="0" applyNumberFormat="1" applyFont="1" applyFill="1" applyBorder="1" applyAlignment="1">
      <alignment horizontal="right"/>
    </xf>
    <xf numFmtId="169" fontId="31" fillId="2" borderId="24" xfId="0" applyNumberFormat="1" applyFont="1" applyFill="1" applyBorder="1" applyAlignment="1">
      <alignment vertical="top" wrapText="1"/>
    </xf>
    <xf numFmtId="169" fontId="31" fillId="2" borderId="24" xfId="0" applyNumberFormat="1" applyFont="1" applyFill="1" applyBorder="1" applyAlignment="1">
      <alignment horizontal="center" vertical="center"/>
    </xf>
    <xf numFmtId="0" fontId="34" fillId="2" borderId="0" xfId="0" applyFont="1" applyFill="1"/>
    <xf numFmtId="0" fontId="31" fillId="2" borderId="45" xfId="0" applyFont="1" applyFill="1" applyBorder="1" applyAlignment="1">
      <alignment horizontal="center" vertical="center" wrapText="1"/>
    </xf>
    <xf numFmtId="166" fontId="17" fillId="0" borderId="0" xfId="1" applyNumberFormat="1" applyFont="1"/>
    <xf numFmtId="0" fontId="5" fillId="3" borderId="9"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31" fillId="2" borderId="24" xfId="0" applyFont="1" applyFill="1" applyBorder="1" applyAlignment="1">
      <alignment horizontal="right" vertical="center" wrapText="1"/>
    </xf>
    <xf numFmtId="0" fontId="31" fillId="2" borderId="24" xfId="0" applyFont="1" applyFill="1" applyBorder="1" applyAlignment="1">
      <alignment vertical="top" wrapText="1"/>
    </xf>
    <xf numFmtId="0" fontId="29" fillId="2" borderId="45" xfId="0" applyFont="1" applyFill="1" applyBorder="1" applyAlignment="1">
      <alignment horizontal="center" vertical="center"/>
    </xf>
    <xf numFmtId="0" fontId="41" fillId="2" borderId="24" xfId="0" applyFont="1" applyFill="1" applyBorder="1" applyAlignment="1">
      <alignment vertical="center" wrapText="1"/>
    </xf>
    <xf numFmtId="0" fontId="31" fillId="2" borderId="24" xfId="0" applyFont="1" applyFill="1" applyBorder="1" applyAlignment="1">
      <alignment vertical="center" wrapText="1"/>
    </xf>
    <xf numFmtId="169" fontId="17" fillId="2" borderId="24" xfId="0" applyNumberFormat="1" applyFont="1" applyFill="1" applyBorder="1" applyAlignment="1">
      <alignment horizontal="center" vertical="center"/>
    </xf>
    <xf numFmtId="169" fontId="31" fillId="2" borderId="39" xfId="0" applyNumberFormat="1" applyFont="1" applyFill="1" applyBorder="1" applyAlignment="1">
      <alignment horizontal="center" vertical="center"/>
    </xf>
    <xf numFmtId="172" fontId="40" fillId="14" borderId="24" xfId="4" applyNumberFormat="1" applyFont="1" applyFill="1" applyBorder="1" applyAlignment="1">
      <alignment horizontal="center" vertical="center"/>
    </xf>
    <xf numFmtId="169" fontId="29" fillId="2" borderId="24" xfId="3" applyNumberFormat="1" applyFont="1" applyFill="1" applyBorder="1" applyAlignment="1" applyProtection="1"/>
    <xf numFmtId="169" fontId="31" fillId="2" borderId="0" xfId="3" applyNumberFormat="1" applyFont="1" applyFill="1" applyAlignment="1" applyProtection="1">
      <alignment vertical="center"/>
    </xf>
    <xf numFmtId="0" fontId="33" fillId="2" borderId="45" xfId="0" applyFont="1" applyFill="1" applyBorder="1" applyAlignment="1">
      <alignment horizontal="left" vertical="center" wrapText="1"/>
    </xf>
    <xf numFmtId="0" fontId="29" fillId="2" borderId="45" xfId="0" applyFont="1" applyFill="1" applyBorder="1" applyAlignment="1">
      <alignment horizontal="center" vertical="center" wrapText="1"/>
    </xf>
    <xf numFmtId="43" fontId="42" fillId="0" borderId="0" xfId="0" applyNumberFormat="1" applyFont="1"/>
    <xf numFmtId="0" fontId="17" fillId="0" borderId="0" xfId="1" applyFont="1" applyAlignment="1">
      <alignment vertical="center" wrapText="1"/>
    </xf>
    <xf numFmtId="173" fontId="0" fillId="0" borderId="0" xfId="0" applyNumberFormat="1"/>
    <xf numFmtId="0" fontId="17" fillId="0" borderId="34" xfId="0" applyFont="1" applyBorder="1" applyAlignment="1">
      <alignment wrapText="1"/>
    </xf>
    <xf numFmtId="165" fontId="0" fillId="0" borderId="0" xfId="0" applyNumberFormat="1" applyAlignment="1">
      <alignment horizontal="left" vertical="center"/>
    </xf>
    <xf numFmtId="165" fontId="11" fillId="0" borderId="6" xfId="0" applyNumberFormat="1" applyFont="1" applyBorder="1" applyAlignment="1">
      <alignment horizontal="left" vertical="center" wrapText="1"/>
    </xf>
    <xf numFmtId="3" fontId="17" fillId="0" borderId="27" xfId="0" applyNumberFormat="1" applyFont="1" applyBorder="1" applyAlignment="1">
      <alignment vertical="center" wrapText="1"/>
    </xf>
    <xf numFmtId="0" fontId="17" fillId="0" borderId="59" xfId="0" applyFont="1" applyBorder="1" applyAlignment="1">
      <alignment vertical="center" wrapText="1"/>
    </xf>
    <xf numFmtId="0" fontId="17" fillId="0" borderId="43" xfId="0" applyFont="1" applyBorder="1" applyAlignment="1">
      <alignment vertical="center" wrapText="1"/>
    </xf>
    <xf numFmtId="3" fontId="29" fillId="0" borderId="52" xfId="0" applyNumberFormat="1" applyFont="1" applyBorder="1" applyAlignment="1">
      <alignment horizontal="center" vertical="center" wrapText="1" readingOrder="1"/>
    </xf>
    <xf numFmtId="0" fontId="76" fillId="2" borderId="0" xfId="0" applyFont="1" applyFill="1" applyAlignment="1">
      <alignment vertical="center" wrapText="1"/>
    </xf>
    <xf numFmtId="0" fontId="77" fillId="0" borderId="0" xfId="0" applyFont="1" applyAlignment="1">
      <alignment vertical="center"/>
    </xf>
    <xf numFmtId="0" fontId="0" fillId="0" borderId="52" xfId="0" applyBorder="1" applyAlignment="1">
      <alignment horizontal="center"/>
    </xf>
    <xf numFmtId="0" fontId="78" fillId="24" borderId="24" xfId="0" applyFont="1" applyFill="1" applyBorder="1" applyAlignment="1">
      <alignment horizontal="center" vertical="center"/>
    </xf>
    <xf numFmtId="0" fontId="79" fillId="0" borderId="24" xfId="0" applyFont="1" applyBorder="1" applyAlignment="1">
      <alignment horizontal="center" vertical="center"/>
    </xf>
    <xf numFmtId="0" fontId="80" fillId="0" borderId="24" xfId="0" applyFont="1" applyBorder="1" applyAlignment="1">
      <alignment horizontal="center"/>
    </xf>
    <xf numFmtId="172" fontId="34" fillId="0" borderId="24" xfId="4" applyNumberFormat="1" applyFont="1" applyBorder="1" applyProtection="1"/>
    <xf numFmtId="172" fontId="42" fillId="0" borderId="24" xfId="4" applyNumberFormat="1" applyFont="1" applyBorder="1" applyProtection="1"/>
    <xf numFmtId="172" fontId="42" fillId="0" borderId="24" xfId="4" applyNumberFormat="1" applyFont="1" applyBorder="1" applyAlignment="1" applyProtection="1">
      <alignment vertical="center"/>
    </xf>
    <xf numFmtId="172" fontId="42" fillId="0" borderId="24" xfId="4" applyNumberFormat="1" applyFont="1" applyBorder="1" applyAlignment="1" applyProtection="1">
      <alignment horizontal="right" vertical="center"/>
    </xf>
    <xf numFmtId="172" fontId="73" fillId="2" borderId="28" xfId="4" applyNumberFormat="1" applyFont="1" applyFill="1" applyBorder="1" applyAlignment="1" applyProtection="1">
      <alignment horizontal="center" vertical="center"/>
    </xf>
    <xf numFmtId="172" fontId="73" fillId="2" borderId="24" xfId="4" applyNumberFormat="1" applyFont="1" applyFill="1" applyBorder="1" applyAlignment="1" applyProtection="1">
      <alignment horizontal="center" vertical="center"/>
    </xf>
    <xf numFmtId="172" fontId="42" fillId="0" borderId="28" xfId="4" applyNumberFormat="1" applyFont="1" applyBorder="1" applyProtection="1"/>
    <xf numFmtId="172" fontId="42" fillId="0" borderId="0" xfId="0" applyNumberFormat="1" applyFont="1"/>
    <xf numFmtId="172" fontId="31" fillId="0" borderId="0" xfId="4" applyNumberFormat="1" applyFont="1" applyFill="1" applyBorder="1" applyAlignment="1" applyProtection="1">
      <alignment vertical="center" wrapText="1"/>
    </xf>
    <xf numFmtId="172" fontId="42" fillId="0" borderId="0" xfId="4" applyNumberFormat="1" applyFont="1" applyProtection="1"/>
    <xf numFmtId="169" fontId="31" fillId="2" borderId="24" xfId="3" applyNumberFormat="1" applyFont="1" applyFill="1" applyBorder="1" applyAlignment="1" applyProtection="1">
      <alignment horizontal="center" vertical="center"/>
    </xf>
    <xf numFmtId="169" fontId="31" fillId="2" borderId="24" xfId="3" applyNumberFormat="1" applyFont="1" applyFill="1" applyBorder="1" applyAlignment="1" applyProtection="1">
      <alignment vertical="center"/>
    </xf>
    <xf numFmtId="172" fontId="31" fillId="2" borderId="0" xfId="3" applyNumberFormat="1" applyFont="1" applyFill="1" applyAlignment="1" applyProtection="1">
      <alignment vertical="center"/>
    </xf>
    <xf numFmtId="0" fontId="35" fillId="0" borderId="24" xfId="0" applyFont="1" applyBorder="1" applyAlignment="1">
      <alignment vertical="center" wrapText="1"/>
    </xf>
    <xf numFmtId="169" fontId="29" fillId="2" borderId="24" xfId="3" applyNumberFormat="1" applyFont="1" applyFill="1" applyBorder="1" applyAlignment="1" applyProtection="1">
      <alignment horizontal="center" vertical="center"/>
    </xf>
    <xf numFmtId="169" fontId="29" fillId="2" borderId="28" xfId="3" applyNumberFormat="1" applyFont="1" applyFill="1" applyBorder="1" applyAlignment="1" applyProtection="1">
      <alignment horizontal="center" vertical="center"/>
    </xf>
    <xf numFmtId="172" fontId="29" fillId="2" borderId="28" xfId="3" applyNumberFormat="1" applyFont="1" applyFill="1" applyBorder="1" applyAlignment="1" applyProtection="1">
      <alignment horizontal="center" vertical="center"/>
    </xf>
    <xf numFmtId="169" fontId="24" fillId="10" borderId="24" xfId="3" applyNumberFormat="1" applyFont="1" applyFill="1" applyBorder="1" applyAlignment="1" applyProtection="1">
      <alignment horizontal="center" vertical="center"/>
    </xf>
    <xf numFmtId="169" fontId="24" fillId="13" borderId="0" xfId="3" applyNumberFormat="1" applyFont="1" applyFill="1" applyAlignment="1" applyProtection="1">
      <alignment vertical="center"/>
    </xf>
    <xf numFmtId="172" fontId="40" fillId="2" borderId="24" xfId="4" applyNumberFormat="1" applyFont="1" applyFill="1" applyBorder="1" applyAlignment="1" applyProtection="1">
      <alignment vertical="center"/>
    </xf>
    <xf numFmtId="0" fontId="35" fillId="2" borderId="45" xfId="0" applyFont="1" applyFill="1" applyBorder="1" applyAlignment="1">
      <alignment horizontal="left" vertical="center" wrapText="1"/>
    </xf>
    <xf numFmtId="172" fontId="31" fillId="2" borderId="28" xfId="4" applyNumberFormat="1" applyFont="1" applyFill="1" applyBorder="1" applyAlignment="1" applyProtection="1">
      <alignment horizontal="center" vertical="center"/>
    </xf>
    <xf numFmtId="0" fontId="35" fillId="0" borderId="28" xfId="0" applyFont="1" applyBorder="1" applyAlignment="1">
      <alignment horizontal="center" vertical="center" wrapText="1"/>
    </xf>
    <xf numFmtId="0" fontId="35" fillId="0" borderId="45" xfId="0" applyFont="1" applyBorder="1" applyAlignment="1">
      <alignment horizontal="left" vertical="center" wrapText="1"/>
    </xf>
    <xf numFmtId="172" fontId="40" fillId="0" borderId="24" xfId="4" applyNumberFormat="1" applyFont="1" applyBorder="1" applyAlignment="1" applyProtection="1">
      <alignment vertical="center"/>
    </xf>
    <xf numFmtId="0" fontId="35" fillId="0" borderId="45" xfId="0" applyFont="1" applyBorder="1" applyAlignment="1">
      <alignment horizontal="center" vertical="center" wrapText="1"/>
    </xf>
    <xf numFmtId="169" fontId="29" fillId="20" borderId="24" xfId="3" applyNumberFormat="1" applyFont="1" applyFill="1" applyBorder="1" applyAlignment="1" applyProtection="1">
      <alignment horizontal="center" vertical="center"/>
    </xf>
    <xf numFmtId="172" fontId="29" fillId="20" borderId="24" xfId="3" applyNumberFormat="1" applyFont="1" applyFill="1" applyBorder="1" applyAlignment="1" applyProtection="1">
      <alignment horizontal="center" vertical="center"/>
    </xf>
    <xf numFmtId="169" fontId="24" fillId="2" borderId="24" xfId="3" applyNumberFormat="1" applyFont="1" applyFill="1" applyBorder="1" applyAlignment="1" applyProtection="1">
      <alignment horizontal="center" vertical="center"/>
    </xf>
    <xf numFmtId="172" fontId="17" fillId="2" borderId="28" xfId="4" applyNumberFormat="1" applyFont="1" applyFill="1" applyBorder="1" applyAlignment="1" applyProtection="1">
      <alignment horizontal="center" vertical="center"/>
    </xf>
    <xf numFmtId="0" fontId="35" fillId="0" borderId="0" xfId="0" applyFont="1" applyAlignment="1">
      <alignment horizontal="center" vertical="center" wrapText="1"/>
    </xf>
    <xf numFmtId="0" fontId="29" fillId="2" borderId="49" xfId="0" applyFont="1" applyFill="1" applyBorder="1" applyAlignment="1">
      <alignment horizontal="center" vertical="center" wrapText="1" readingOrder="1"/>
    </xf>
    <xf numFmtId="0" fontId="29" fillId="2" borderId="45" xfId="0" applyFont="1" applyFill="1" applyBorder="1" applyAlignment="1">
      <alignment horizontal="center" vertical="center" wrapText="1" readingOrder="1"/>
    </xf>
    <xf numFmtId="0" fontId="17" fillId="0" borderId="23" xfId="0" applyFont="1" applyBorder="1" applyAlignment="1">
      <alignment horizontal="left" vertical="center" wrapText="1"/>
    </xf>
    <xf numFmtId="0" fontId="17" fillId="10" borderId="34" xfId="0" applyFont="1" applyFill="1" applyBorder="1" applyAlignment="1">
      <alignment horizontal="center" vertical="center" wrapText="1"/>
    </xf>
    <xf numFmtId="0" fontId="17" fillId="0" borderId="27" xfId="0" applyFont="1" applyBorder="1" applyAlignment="1">
      <alignment horizontal="center" vertical="center" wrapText="1"/>
    </xf>
    <xf numFmtId="0" fontId="17" fillId="0" borderId="27" xfId="0" applyFont="1" applyBorder="1" applyAlignment="1">
      <alignment horizontal="left" vertical="center" wrapText="1"/>
    </xf>
    <xf numFmtId="0" fontId="17" fillId="0" borderId="27" xfId="1" applyFont="1" applyBorder="1" applyAlignment="1">
      <alignment horizontal="center" vertical="center" wrapText="1" readingOrder="1"/>
    </xf>
    <xf numFmtId="0" fontId="24" fillId="0" borderId="59" xfId="0" applyFont="1" applyBorder="1" applyAlignment="1">
      <alignment vertical="center" wrapText="1"/>
    </xf>
    <xf numFmtId="9" fontId="63" fillId="8" borderId="59" xfId="0" applyNumberFormat="1" applyFont="1" applyFill="1" applyBorder="1" applyAlignment="1">
      <alignment horizontal="center" vertical="center" wrapText="1" readingOrder="1"/>
    </xf>
    <xf numFmtId="0" fontId="31" fillId="0" borderId="40" xfId="1" applyFont="1" applyBorder="1" applyAlignment="1" applyProtection="1">
      <alignment vertical="center" wrapText="1" readingOrder="1"/>
      <protection locked="0"/>
    </xf>
    <xf numFmtId="0" fontId="17" fillId="8" borderId="27" xfId="1" applyFont="1" applyFill="1" applyBorder="1" applyAlignment="1">
      <alignment vertical="center" wrapText="1"/>
    </xf>
    <xf numFmtId="172" fontId="17" fillId="8" borderId="34" xfId="4" applyNumberFormat="1" applyFont="1" applyFill="1" applyBorder="1" applyAlignment="1" applyProtection="1">
      <alignment horizontal="left" vertical="center" wrapText="1" readingOrder="1"/>
    </xf>
    <xf numFmtId="0" fontId="24" fillId="0" borderId="46" xfId="0" applyFont="1" applyBorder="1" applyAlignment="1">
      <alignment horizontal="left" vertical="center" wrapText="1" readingOrder="1"/>
    </xf>
    <xf numFmtId="0" fontId="17" fillId="0" borderId="46" xfId="1" applyFont="1" applyBorder="1" applyAlignment="1" applyProtection="1">
      <alignment vertical="center" wrapText="1" readingOrder="1"/>
      <protection locked="0"/>
    </xf>
    <xf numFmtId="0" fontId="17" fillId="0" borderId="45" xfId="0" applyFont="1" applyBorder="1" applyAlignment="1">
      <alignment horizontal="left" vertical="center" wrapText="1"/>
    </xf>
    <xf numFmtId="0" fontId="24" fillId="0" borderId="23" xfId="0" applyFont="1" applyBorder="1" applyAlignment="1">
      <alignment vertical="center" wrapText="1"/>
    </xf>
    <xf numFmtId="0" fontId="24" fillId="18" borderId="23" xfId="0" applyFont="1" applyFill="1" applyBorder="1" applyAlignment="1">
      <alignment vertical="center" wrapText="1"/>
    </xf>
    <xf numFmtId="172" fontId="17" fillId="0" borderId="24" xfId="4" applyNumberFormat="1" applyFont="1" applyBorder="1"/>
    <xf numFmtId="0" fontId="29" fillId="0" borderId="49" xfId="0" applyFont="1" applyBorder="1" applyAlignment="1">
      <alignment horizontal="left" vertical="center" wrapText="1" readingOrder="1"/>
    </xf>
    <xf numFmtId="0" fontId="17" fillId="0" borderId="49" xfId="1" applyFont="1" applyBorder="1" applyAlignment="1" applyProtection="1">
      <alignment vertical="center" wrapText="1" readingOrder="1"/>
      <protection locked="0"/>
    </xf>
    <xf numFmtId="174" fontId="17" fillId="0" borderId="34" xfId="0" applyNumberFormat="1" applyFont="1" applyBorder="1" applyAlignment="1">
      <alignment vertical="center" wrapText="1"/>
    </xf>
    <xf numFmtId="0" fontId="24" fillId="0" borderId="27" xfId="0" applyFont="1" applyBorder="1" applyAlignment="1">
      <alignment horizontal="center" vertical="center" wrapText="1"/>
    </xf>
    <xf numFmtId="0" fontId="24" fillId="0" borderId="26" xfId="0" applyFont="1" applyBorder="1" applyAlignment="1">
      <alignment vertical="center"/>
    </xf>
    <xf numFmtId="0" fontId="24" fillId="0" borderId="46" xfId="0" applyFont="1" applyBorder="1" applyAlignment="1">
      <alignment vertical="center"/>
    </xf>
    <xf numFmtId="0" fontId="17" fillId="0" borderId="27" xfId="1" applyFont="1" applyBorder="1" applyAlignment="1">
      <alignment horizontal="left" vertical="center" wrapText="1" readingOrder="1"/>
    </xf>
    <xf numFmtId="0" fontId="17" fillId="0" borderId="29" xfId="1" applyFont="1" applyBorder="1" applyAlignment="1" applyProtection="1">
      <alignment vertical="center" wrapText="1" readingOrder="1"/>
      <protection locked="0"/>
    </xf>
    <xf numFmtId="0" fontId="24" fillId="0" borderId="44" xfId="0" applyFont="1" applyBorder="1" applyAlignment="1">
      <alignment horizontal="left" vertical="center" wrapText="1" readingOrder="1"/>
    </xf>
    <xf numFmtId="9" fontId="63" fillId="0" borderId="28" xfId="0" applyNumberFormat="1" applyFont="1" applyBorder="1" applyAlignment="1">
      <alignment horizontal="center" vertical="center" readingOrder="1"/>
    </xf>
    <xf numFmtId="0" fontId="24" fillId="0" borderId="49" xfId="0" applyFont="1" applyBorder="1" applyAlignment="1">
      <alignment vertical="center" readingOrder="1"/>
    </xf>
    <xf numFmtId="0" fontId="24" fillId="0" borderId="45" xfId="0" applyFont="1" applyBorder="1" applyAlignment="1">
      <alignment vertical="center" readingOrder="1"/>
    </xf>
    <xf numFmtId="169" fontId="31" fillId="0" borderId="34" xfId="3" applyNumberFormat="1" applyFont="1" applyFill="1" applyBorder="1" applyAlignment="1">
      <alignment horizontal="left" vertical="center" wrapText="1"/>
    </xf>
    <xf numFmtId="0" fontId="24" fillId="0" borderId="45" xfId="0" applyFont="1" applyBorder="1" applyAlignment="1">
      <alignment vertical="center" wrapText="1" readingOrder="1"/>
    </xf>
    <xf numFmtId="0" fontId="17" fillId="8" borderId="29" xfId="1" applyFont="1" applyFill="1" applyBorder="1" applyAlignment="1">
      <alignment vertical="center" wrapText="1"/>
    </xf>
    <xf numFmtId="0" fontId="82" fillId="10" borderId="24" xfId="0" applyFont="1" applyFill="1" applyBorder="1" applyAlignment="1">
      <alignment vertical="top" wrapText="1"/>
    </xf>
    <xf numFmtId="0" fontId="29" fillId="26" borderId="59" xfId="0" applyFont="1" applyFill="1" applyBorder="1" applyAlignment="1">
      <alignment horizontal="center" vertical="center" wrapText="1" readingOrder="1"/>
    </xf>
    <xf numFmtId="9" fontId="63" fillId="26" borderId="34" xfId="0" applyNumberFormat="1" applyFont="1" applyFill="1" applyBorder="1" applyAlignment="1">
      <alignment horizontal="center" vertical="center" readingOrder="1"/>
    </xf>
    <xf numFmtId="0" fontId="31" fillId="26" borderId="34" xfId="1" applyFont="1" applyFill="1" applyBorder="1" applyAlignment="1" applyProtection="1">
      <alignment vertical="center" wrapText="1" readingOrder="1"/>
      <protection locked="0"/>
    </xf>
    <xf numFmtId="0" fontId="82" fillId="0" borderId="24" xfId="0" applyFont="1" applyBorder="1" applyAlignment="1">
      <alignment vertical="top" wrapText="1"/>
    </xf>
    <xf numFmtId="0" fontId="83" fillId="26" borderId="59" xfId="0" applyFont="1" applyFill="1" applyBorder="1" applyAlignment="1">
      <alignment horizontal="left" vertical="top" wrapText="1"/>
    </xf>
    <xf numFmtId="0" fontId="17" fillId="26" borderId="34" xfId="1" applyFont="1" applyFill="1" applyBorder="1" applyAlignment="1" applyProtection="1">
      <alignment vertical="center" wrapText="1" readingOrder="1"/>
      <protection locked="0"/>
    </xf>
    <xf numFmtId="0" fontId="3" fillId="26" borderId="59" xfId="0" applyFont="1" applyFill="1" applyBorder="1" applyAlignment="1">
      <alignment horizontal="center" vertical="center" wrapText="1" readingOrder="1"/>
    </xf>
    <xf numFmtId="9" fontId="30" fillId="26" borderId="34" xfId="0" applyNumberFormat="1" applyFont="1" applyFill="1" applyBorder="1" applyAlignment="1">
      <alignment horizontal="center" vertical="center" readingOrder="1"/>
    </xf>
    <xf numFmtId="0" fontId="75" fillId="26" borderId="34" xfId="1" applyFont="1" applyFill="1" applyBorder="1" applyAlignment="1" applyProtection="1">
      <alignment vertical="center" wrapText="1" readingOrder="1"/>
      <protection locked="0"/>
    </xf>
    <xf numFmtId="0" fontId="82" fillId="0" borderId="24" xfId="0" applyFont="1" applyBorder="1" applyAlignment="1">
      <alignment horizontal="left" vertical="top" wrapText="1"/>
    </xf>
    <xf numFmtId="0" fontId="82" fillId="0" borderId="24" xfId="0" applyFont="1" applyBorder="1" applyAlignment="1">
      <alignment horizontal="left" wrapText="1"/>
    </xf>
    <xf numFmtId="0" fontId="29" fillId="26" borderId="59" xfId="0" applyFont="1" applyFill="1" applyBorder="1" applyAlignment="1">
      <alignment vertical="center" wrapText="1" readingOrder="1"/>
    </xf>
    <xf numFmtId="0" fontId="82" fillId="10" borderId="24" xfId="0" applyFont="1" applyFill="1" applyBorder="1" applyAlignment="1">
      <alignment horizontal="left" vertical="top" wrapText="1"/>
    </xf>
    <xf numFmtId="170" fontId="82" fillId="10" borderId="24" xfId="0" applyNumberFormat="1" applyFont="1" applyFill="1" applyBorder="1" applyAlignment="1">
      <alignment vertical="top"/>
    </xf>
    <xf numFmtId="171" fontId="82" fillId="10" borderId="24" xfId="0" applyNumberFormat="1" applyFont="1" applyFill="1" applyBorder="1" applyAlignment="1">
      <alignment vertical="center" wrapText="1"/>
    </xf>
    <xf numFmtId="170" fontId="83" fillId="26" borderId="24" xfId="0" applyNumberFormat="1" applyFont="1" applyFill="1" applyBorder="1" applyAlignment="1">
      <alignment vertical="top"/>
    </xf>
    <xf numFmtId="170" fontId="82" fillId="0" borderId="24" xfId="0" applyNumberFormat="1" applyFont="1" applyBorder="1" applyAlignment="1">
      <alignment wrapText="1"/>
    </xf>
    <xf numFmtId="170" fontId="83" fillId="26" borderId="24" xfId="0" applyNumberFormat="1" applyFont="1" applyFill="1" applyBorder="1" applyAlignment="1">
      <alignment wrapText="1"/>
    </xf>
    <xf numFmtId="170" fontId="82" fillId="26" borderId="24" xfId="0" applyNumberFormat="1" applyFont="1" applyFill="1" applyBorder="1" applyAlignment="1">
      <alignment vertical="top"/>
    </xf>
    <xf numFmtId="170" fontId="82" fillId="0" borderId="24" xfId="0" applyNumberFormat="1" applyFont="1" applyBorder="1"/>
    <xf numFmtId="171" fontId="82" fillId="0" borderId="24" xfId="0" applyNumberFormat="1" applyFont="1" applyBorder="1" applyAlignment="1">
      <alignment vertical="center" wrapText="1"/>
    </xf>
    <xf numFmtId="170" fontId="83" fillId="26" borderId="24" xfId="0" applyNumberFormat="1" applyFont="1" applyFill="1" applyBorder="1"/>
    <xf numFmtId="171" fontId="83" fillId="26" borderId="24" xfId="0" applyNumberFormat="1" applyFont="1" applyFill="1" applyBorder="1" applyAlignment="1">
      <alignment vertical="center" wrapText="1"/>
    </xf>
    <xf numFmtId="170" fontId="82" fillId="10" borderId="24" xfId="0" applyNumberFormat="1" applyFont="1" applyFill="1" applyBorder="1"/>
    <xf numFmtId="170" fontId="82" fillId="0" borderId="24" xfId="0" applyNumberFormat="1" applyFont="1" applyBorder="1" applyAlignment="1">
      <alignment vertical="top"/>
    </xf>
    <xf numFmtId="170" fontId="17" fillId="26" borderId="24" xfId="0" applyNumberFormat="1" applyFont="1" applyFill="1" applyBorder="1" applyAlignment="1">
      <alignment vertical="center"/>
    </xf>
    <xf numFmtId="171" fontId="17" fillId="26" borderId="24" xfId="0" applyNumberFormat="1" applyFont="1" applyFill="1" applyBorder="1" applyAlignment="1">
      <alignment vertical="center" wrapText="1"/>
    </xf>
    <xf numFmtId="170" fontId="82" fillId="0" borderId="24" xfId="0" applyNumberFormat="1" applyFont="1" applyBorder="1" applyAlignment="1">
      <alignment horizontal="left"/>
    </xf>
    <xf numFmtId="170" fontId="31" fillId="26" borderId="24" xfId="0" applyNumberFormat="1" applyFont="1" applyFill="1" applyBorder="1" applyAlignment="1">
      <alignment vertical="center"/>
    </xf>
    <xf numFmtId="171" fontId="31" fillId="26" borderId="24" xfId="0" applyNumberFormat="1" applyFont="1" applyFill="1" applyBorder="1" applyAlignment="1">
      <alignment vertical="center" wrapText="1"/>
    </xf>
    <xf numFmtId="170" fontId="23" fillId="0" borderId="24" xfId="0" applyNumberFormat="1" applyFont="1" applyBorder="1"/>
    <xf numFmtId="170" fontId="23" fillId="10" borderId="24" xfId="0" applyNumberFormat="1" applyFont="1" applyFill="1" applyBorder="1"/>
    <xf numFmtId="0" fontId="17" fillId="26" borderId="34" xfId="1" applyFont="1" applyFill="1" applyBorder="1" applyAlignment="1">
      <alignment horizontal="left" vertical="center" wrapText="1" readingOrder="1"/>
    </xf>
    <xf numFmtId="171" fontId="82" fillId="26" borderId="24" xfId="0" applyNumberFormat="1" applyFont="1" applyFill="1" applyBorder="1" applyAlignment="1">
      <alignment vertical="center" wrapText="1"/>
    </xf>
    <xf numFmtId="0" fontId="17" fillId="20" borderId="34" xfId="1" applyFont="1" applyFill="1" applyBorder="1" applyAlignment="1">
      <alignment vertical="center" wrapText="1"/>
    </xf>
    <xf numFmtId="170" fontId="17" fillId="2" borderId="24" xfId="0" applyNumberFormat="1" applyFont="1" applyFill="1" applyBorder="1" applyAlignment="1">
      <alignment vertical="center"/>
    </xf>
    <xf numFmtId="172" fontId="17" fillId="0" borderId="34" xfId="4" applyNumberFormat="1" applyFont="1" applyFill="1" applyBorder="1" applyAlignment="1" applyProtection="1">
      <alignment horizontal="left" vertical="center" wrapText="1" readingOrder="1"/>
    </xf>
    <xf numFmtId="172" fontId="31" fillId="26" borderId="34" xfId="4" applyNumberFormat="1" applyFont="1" applyFill="1" applyBorder="1" applyAlignment="1" applyProtection="1">
      <alignment horizontal="left" vertical="center" wrapText="1" readingOrder="1"/>
    </xf>
    <xf numFmtId="172" fontId="31" fillId="21" borderId="34" xfId="4" applyNumberFormat="1" applyFont="1" applyFill="1" applyBorder="1" applyAlignment="1" applyProtection="1">
      <alignment horizontal="left" vertical="center" wrapText="1" readingOrder="1"/>
    </xf>
    <xf numFmtId="0" fontId="23" fillId="0" borderId="24" xfId="0" applyFont="1" applyBorder="1" applyAlignment="1">
      <alignment wrapText="1"/>
    </xf>
    <xf numFmtId="0" fontId="29" fillId="26" borderId="43" xfId="0" applyFont="1" applyFill="1" applyBorder="1" applyAlignment="1">
      <alignment horizontal="center" vertical="center" wrapText="1" readingOrder="1"/>
    </xf>
    <xf numFmtId="0" fontId="29" fillId="26" borderId="52" xfId="0" applyFont="1" applyFill="1" applyBorder="1" applyAlignment="1">
      <alignment horizontal="left" vertical="center" wrapText="1" readingOrder="1"/>
    </xf>
    <xf numFmtId="0" fontId="31" fillId="26" borderId="52" xfId="1" applyFont="1" applyFill="1" applyBorder="1" applyAlignment="1" applyProtection="1">
      <alignment vertical="center" wrapText="1" readingOrder="1"/>
      <protection locked="0"/>
    </xf>
    <xf numFmtId="0" fontId="31" fillId="0" borderId="52" xfId="1" applyFont="1" applyBorder="1" applyAlignment="1" applyProtection="1">
      <alignment vertical="center" wrapText="1" readingOrder="1"/>
      <protection locked="0"/>
    </xf>
    <xf numFmtId="0" fontId="17" fillId="21" borderId="49" xfId="0" applyFont="1" applyFill="1" applyBorder="1" applyAlignment="1">
      <alignment wrapText="1"/>
    </xf>
    <xf numFmtId="0" fontId="23" fillId="21" borderId="49" xfId="0" applyFont="1" applyFill="1" applyBorder="1" applyAlignment="1">
      <alignment wrapText="1"/>
    </xf>
    <xf numFmtId="170" fontId="23" fillId="0" borderId="24" xfId="0" applyNumberFormat="1" applyFont="1" applyBorder="1" applyAlignment="1">
      <alignment wrapText="1"/>
    </xf>
    <xf numFmtId="170" fontId="75" fillId="26" borderId="49" xfId="0" applyNumberFormat="1" applyFont="1" applyFill="1" applyBorder="1"/>
    <xf numFmtId="170" fontId="75" fillId="26" borderId="45" xfId="0" applyNumberFormat="1" applyFont="1" applyFill="1" applyBorder="1"/>
    <xf numFmtId="170" fontId="75" fillId="26" borderId="34" xfId="0" applyNumberFormat="1" applyFont="1" applyFill="1" applyBorder="1" applyAlignment="1">
      <alignment wrapText="1"/>
    </xf>
    <xf numFmtId="170" fontId="23" fillId="0" borderId="34" xfId="0" applyNumberFormat="1" applyFont="1" applyBorder="1" applyAlignment="1">
      <alignment wrapText="1"/>
    </xf>
    <xf numFmtId="170" fontId="23" fillId="21" borderId="49" xfId="0" applyNumberFormat="1" applyFont="1" applyFill="1" applyBorder="1"/>
    <xf numFmtId="170" fontId="23" fillId="21" borderId="45" xfId="0" applyNumberFormat="1" applyFont="1" applyFill="1" applyBorder="1"/>
    <xf numFmtId="170" fontId="23" fillId="21" borderId="34" xfId="0" applyNumberFormat="1" applyFont="1" applyFill="1" applyBorder="1" applyAlignment="1">
      <alignment wrapText="1"/>
    </xf>
    <xf numFmtId="0" fontId="17" fillId="20" borderId="34" xfId="1" applyFont="1" applyFill="1" applyBorder="1" applyAlignment="1">
      <alignment horizontal="left" vertical="center" wrapText="1" readingOrder="1"/>
    </xf>
    <xf numFmtId="170" fontId="23" fillId="26" borderId="49" xfId="0" applyNumberFormat="1" applyFont="1" applyFill="1" applyBorder="1"/>
    <xf numFmtId="170" fontId="23" fillId="26" borderId="45" xfId="0" applyNumberFormat="1" applyFont="1" applyFill="1" applyBorder="1"/>
    <xf numFmtId="172" fontId="31" fillId="21" borderId="34" xfId="1" applyNumberFormat="1" applyFont="1" applyFill="1" applyBorder="1" applyAlignment="1">
      <alignment horizontal="left" vertical="center" wrapText="1" readingOrder="1"/>
    </xf>
    <xf numFmtId="0" fontId="29" fillId="8" borderId="44" xfId="0" applyFont="1" applyFill="1" applyBorder="1" applyAlignment="1">
      <alignment vertical="center" wrapText="1" readingOrder="1"/>
    </xf>
    <xf numFmtId="0" fontId="23" fillId="0" borderId="24" xfId="0" applyFont="1" applyBorder="1" applyAlignment="1">
      <alignment vertical="center"/>
    </xf>
    <xf numFmtId="0" fontId="29" fillId="26" borderId="44" xfId="0" applyFont="1" applyFill="1" applyBorder="1" applyAlignment="1">
      <alignment horizontal="left" vertical="center" wrapText="1" readingOrder="1"/>
    </xf>
    <xf numFmtId="0" fontId="75" fillId="26" borderId="24" xfId="0" applyFont="1" applyFill="1" applyBorder="1" applyAlignment="1">
      <alignment vertical="center"/>
    </xf>
    <xf numFmtId="0" fontId="31" fillId="26" borderId="49" xfId="0" applyFont="1" applyFill="1" applyBorder="1" applyAlignment="1">
      <alignment vertical="center" wrapText="1"/>
    </xf>
    <xf numFmtId="0" fontId="31" fillId="26" borderId="45" xfId="0" applyFont="1" applyFill="1" applyBorder="1" applyAlignment="1">
      <alignment vertical="center" wrapText="1"/>
    </xf>
    <xf numFmtId="0" fontId="75" fillId="0" borderId="34" xfId="0" applyFont="1" applyBorder="1" applyAlignment="1">
      <alignment vertical="center"/>
    </xf>
    <xf numFmtId="0" fontId="31" fillId="0" borderId="46" xfId="0" applyFont="1" applyBorder="1" applyAlignment="1">
      <alignment vertical="center" wrapText="1"/>
    </xf>
    <xf numFmtId="0" fontId="0" fillId="0" borderId="34" xfId="0" applyBorder="1" applyAlignment="1">
      <alignment horizontal="center" vertical="center" wrapText="1"/>
    </xf>
    <xf numFmtId="0" fontId="0" fillId="0" borderId="24" xfId="0" applyBorder="1" applyAlignment="1">
      <alignment wrapText="1"/>
    </xf>
    <xf numFmtId="0" fontId="0" fillId="0" borderId="24" xfId="0" applyBorder="1" applyAlignment="1">
      <alignment horizontal="left" vertical="center" wrapText="1"/>
    </xf>
    <xf numFmtId="0" fontId="0" fillId="0" borderId="24" xfId="0" applyBorder="1" applyAlignment="1">
      <alignment horizontal="center" vertical="center" wrapText="1"/>
    </xf>
    <xf numFmtId="0" fontId="0" fillId="0" borderId="59" xfId="0" applyBorder="1" applyAlignment="1">
      <alignment horizontal="center" vertical="center" wrapText="1"/>
    </xf>
    <xf numFmtId="0" fontId="75" fillId="26" borderId="34" xfId="0" applyFont="1" applyFill="1" applyBorder="1" applyAlignment="1">
      <alignment vertical="center"/>
    </xf>
    <xf numFmtId="0" fontId="31" fillId="26" borderId="29" xfId="0" applyFont="1" applyFill="1" applyBorder="1" applyAlignment="1">
      <alignment horizontal="center" vertical="center" wrapText="1"/>
    </xf>
    <xf numFmtId="169" fontId="17" fillId="26" borderId="34" xfId="3" applyNumberFormat="1" applyFont="1" applyFill="1" applyBorder="1" applyAlignment="1">
      <alignment horizontal="left" vertical="center" wrapText="1"/>
    </xf>
    <xf numFmtId="170" fontId="17" fillId="26" borderId="24" xfId="0" applyNumberFormat="1" applyFont="1" applyFill="1" applyBorder="1"/>
    <xf numFmtId="170" fontId="17" fillId="26" borderId="24" xfId="0" applyNumberFormat="1" applyFont="1" applyFill="1" applyBorder="1" applyAlignment="1">
      <alignment wrapText="1"/>
    </xf>
    <xf numFmtId="170" fontId="17" fillId="2" borderId="24" xfId="0" applyNumberFormat="1" applyFont="1" applyFill="1" applyBorder="1"/>
    <xf numFmtId="170" fontId="17" fillId="2" borderId="24" xfId="0" applyNumberFormat="1" applyFont="1" applyFill="1" applyBorder="1" applyAlignment="1">
      <alignment wrapText="1"/>
    </xf>
    <xf numFmtId="169" fontId="17" fillId="21" borderId="34" xfId="3" applyNumberFormat="1" applyFont="1" applyFill="1" applyBorder="1" applyAlignment="1">
      <alignment horizontal="left" vertical="center" wrapText="1"/>
    </xf>
    <xf numFmtId="170" fontId="23" fillId="0" borderId="24" xfId="0" applyNumberFormat="1" applyFont="1" applyBorder="1" applyAlignment="1">
      <alignment vertical="center"/>
    </xf>
    <xf numFmtId="170" fontId="0" fillId="0" borderId="24" xfId="0" applyNumberFormat="1" applyBorder="1" applyAlignment="1">
      <alignment vertical="center"/>
    </xf>
    <xf numFmtId="170" fontId="23" fillId="26" borderId="34" xfId="0" applyNumberFormat="1" applyFont="1" applyFill="1" applyBorder="1" applyAlignment="1">
      <alignment wrapText="1"/>
    </xf>
    <xf numFmtId="172" fontId="31" fillId="26" borderId="34" xfId="1" applyNumberFormat="1" applyFont="1" applyFill="1" applyBorder="1" applyAlignment="1">
      <alignment horizontal="left" vertical="center" wrapText="1" readingOrder="1"/>
    </xf>
    <xf numFmtId="43" fontId="17" fillId="26" borderId="34" xfId="4" applyFont="1" applyFill="1" applyBorder="1" applyAlignment="1">
      <alignment horizontal="left" vertical="center" wrapText="1"/>
    </xf>
    <xf numFmtId="172" fontId="31" fillId="26" borderId="34" xfId="4" applyNumberFormat="1" applyFont="1" applyFill="1" applyBorder="1" applyAlignment="1">
      <alignment horizontal="left" vertical="center" wrapText="1"/>
    </xf>
    <xf numFmtId="43" fontId="17" fillId="0" borderId="34" xfId="4" applyFont="1" applyFill="1" applyBorder="1" applyAlignment="1">
      <alignment horizontal="left" vertical="center" wrapText="1"/>
    </xf>
    <xf numFmtId="172" fontId="17" fillId="0" borderId="34" xfId="4" applyNumberFormat="1" applyFont="1" applyFill="1" applyBorder="1" applyAlignment="1">
      <alignment horizontal="left" vertical="center" wrapText="1"/>
    </xf>
    <xf numFmtId="0" fontId="0" fillId="0" borderId="24" xfId="0" applyBorder="1" applyAlignment="1">
      <alignment horizontal="left" wrapText="1"/>
    </xf>
    <xf numFmtId="0" fontId="29" fillId="8" borderId="24" xfId="0" applyFont="1" applyFill="1" applyBorder="1" applyAlignment="1">
      <alignment vertical="center" wrapText="1" readingOrder="1"/>
    </xf>
    <xf numFmtId="0" fontId="23" fillId="0" borderId="24" xfId="0" applyFont="1" applyBorder="1" applyAlignment="1">
      <alignment horizontal="center" vertical="top" wrapText="1"/>
    </xf>
    <xf numFmtId="0" fontId="23" fillId="0" borderId="23" xfId="0" applyFont="1" applyBorder="1" applyAlignment="1">
      <alignment horizontal="center" vertical="top" wrapText="1"/>
    </xf>
    <xf numFmtId="0" fontId="23" fillId="0" borderId="24" xfId="0" applyFont="1" applyBorder="1" applyAlignment="1">
      <alignment horizontal="left" vertical="top" wrapText="1"/>
    </xf>
    <xf numFmtId="0" fontId="0" fillId="26" borderId="24" xfId="0" applyFill="1" applyBorder="1" applyAlignment="1">
      <alignment wrapText="1"/>
    </xf>
    <xf numFmtId="0" fontId="23" fillId="0" borderId="24" xfId="0" applyFont="1" applyBorder="1" applyAlignment="1">
      <alignment horizontal="left" wrapText="1"/>
    </xf>
    <xf numFmtId="9" fontId="63" fillId="26" borderId="44" xfId="0" applyNumberFormat="1" applyFont="1" applyFill="1" applyBorder="1" applyAlignment="1">
      <alignment horizontal="center" vertical="center" readingOrder="1"/>
    </xf>
    <xf numFmtId="0" fontId="29" fillId="8" borderId="34" xfId="0" applyFont="1" applyFill="1" applyBorder="1" applyAlignment="1">
      <alignment horizontal="center" vertical="center" wrapText="1" readingOrder="1"/>
    </xf>
    <xf numFmtId="0" fontId="0" fillId="0" borderId="23" xfId="0" applyBorder="1" applyAlignment="1">
      <alignment wrapText="1"/>
    </xf>
    <xf numFmtId="0" fontId="24" fillId="8" borderId="24" xfId="0" applyFont="1" applyFill="1" applyBorder="1" applyAlignment="1">
      <alignment vertical="center" wrapText="1" readingOrder="1"/>
    </xf>
    <xf numFmtId="0" fontId="0" fillId="0" borderId="27" xfId="0" applyBorder="1" applyAlignment="1">
      <alignment vertical="center" wrapText="1"/>
    </xf>
    <xf numFmtId="0" fontId="24" fillId="8" borderId="59" xfId="0" applyFont="1" applyFill="1" applyBorder="1" applyAlignment="1">
      <alignment vertical="center" wrapText="1" readingOrder="1"/>
    </xf>
    <xf numFmtId="0" fontId="31" fillId="0" borderId="29" xfId="1" applyFont="1" applyBorder="1" applyAlignment="1" applyProtection="1">
      <alignment vertical="center" wrapText="1" readingOrder="1"/>
      <protection locked="0"/>
    </xf>
    <xf numFmtId="0" fontId="3" fillId="0" borderId="30"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0" xfId="0" applyFont="1" applyAlignment="1">
      <alignment horizontal="center" vertical="center" wrapText="1"/>
    </xf>
    <xf numFmtId="0" fontId="3" fillId="26" borderId="29" xfId="0" applyFont="1" applyFill="1" applyBorder="1" applyAlignment="1">
      <alignment horizontal="center" vertical="center" wrapText="1"/>
    </xf>
    <xf numFmtId="0" fontId="31" fillId="0" borderId="29" xfId="1" applyFont="1" applyBorder="1" applyAlignment="1" applyProtection="1">
      <alignment horizontal="center" vertical="center" wrapText="1" readingOrder="1"/>
      <protection locked="0"/>
    </xf>
    <xf numFmtId="0" fontId="84" fillId="8" borderId="24" xfId="0" applyFont="1" applyFill="1" applyBorder="1" applyAlignment="1">
      <alignment horizontal="center" vertical="center" wrapText="1" readingOrder="1"/>
    </xf>
    <xf numFmtId="0" fontId="84" fillId="8" borderId="59" xfId="0" applyFont="1" applyFill="1" applyBorder="1" applyAlignment="1">
      <alignment horizontal="center" vertical="center" wrapText="1" readingOrder="1"/>
    </xf>
    <xf numFmtId="0" fontId="24" fillId="8" borderId="59" xfId="0" applyFont="1" applyFill="1" applyBorder="1" applyAlignment="1">
      <alignment horizontal="center" vertical="center" wrapText="1" readingOrder="1"/>
    </xf>
    <xf numFmtId="0" fontId="23" fillId="0" borderId="23" xfId="0" applyFont="1" applyBorder="1" applyAlignment="1">
      <alignment horizontal="left" vertical="top" wrapText="1"/>
    </xf>
    <xf numFmtId="0" fontId="0" fillId="0" borderId="24" xfId="0" applyBorder="1" applyAlignment="1">
      <alignment vertical="center" wrapText="1"/>
    </xf>
    <xf numFmtId="170" fontId="23" fillId="26" borderId="24" xfId="0" applyNumberFormat="1" applyFont="1" applyFill="1" applyBorder="1"/>
    <xf numFmtId="170" fontId="23" fillId="26" borderId="24" xfId="0" applyNumberFormat="1" applyFont="1" applyFill="1" applyBorder="1" applyAlignment="1">
      <alignment wrapText="1"/>
    </xf>
    <xf numFmtId="170" fontId="17" fillId="26" borderId="23" xfId="0" applyNumberFormat="1" applyFont="1" applyFill="1" applyBorder="1"/>
    <xf numFmtId="170" fontId="17" fillId="26" borderId="23" xfId="0" applyNumberFormat="1" applyFont="1" applyFill="1" applyBorder="1" applyAlignment="1">
      <alignment wrapText="1"/>
    </xf>
    <xf numFmtId="170" fontId="23" fillId="0" borderId="23" xfId="0" applyNumberFormat="1" applyFont="1" applyBorder="1"/>
    <xf numFmtId="170" fontId="23" fillId="0" borderId="23" xfId="0" applyNumberFormat="1" applyFont="1" applyBorder="1" applyAlignment="1">
      <alignment wrapText="1"/>
    </xf>
    <xf numFmtId="170" fontId="75" fillId="26" borderId="23" xfId="0" applyNumberFormat="1" applyFont="1" applyFill="1" applyBorder="1"/>
    <xf numFmtId="170" fontId="75" fillId="26" borderId="23" xfId="0" applyNumberFormat="1" applyFont="1" applyFill="1" applyBorder="1" applyAlignment="1">
      <alignment wrapText="1"/>
    </xf>
    <xf numFmtId="170" fontId="31" fillId="26" borderId="24" xfId="0" applyNumberFormat="1" applyFont="1" applyFill="1" applyBorder="1"/>
    <xf numFmtId="170" fontId="31" fillId="26" borderId="24" xfId="0" applyNumberFormat="1" applyFont="1" applyFill="1" applyBorder="1" applyAlignment="1">
      <alignment wrapText="1"/>
    </xf>
    <xf numFmtId="17" fontId="0" fillId="0" borderId="24" xfId="0" applyNumberFormat="1" applyBorder="1" applyAlignment="1">
      <alignment horizontal="left"/>
    </xf>
    <xf numFmtId="0" fontId="31" fillId="26" borderId="29" xfId="1" applyFont="1" applyFill="1" applyBorder="1" applyAlignment="1" applyProtection="1">
      <alignment horizontal="center" vertical="center" wrapText="1" readingOrder="1"/>
      <protection locked="0"/>
    </xf>
    <xf numFmtId="0" fontId="17" fillId="26" borderId="34" xfId="1" applyFont="1" applyFill="1" applyBorder="1" applyAlignment="1" applyProtection="1">
      <alignment horizontal="center" vertical="center" wrapText="1" readingOrder="1"/>
      <protection locked="0"/>
    </xf>
    <xf numFmtId="170" fontId="23" fillId="26" borderId="23" xfId="0" applyNumberFormat="1" applyFont="1" applyFill="1" applyBorder="1"/>
    <xf numFmtId="170" fontId="23" fillId="26" borderId="23" xfId="0" applyNumberFormat="1" applyFont="1" applyFill="1" applyBorder="1" applyAlignment="1">
      <alignment wrapText="1"/>
    </xf>
    <xf numFmtId="169" fontId="31" fillId="26" borderId="34" xfId="3" applyNumberFormat="1" applyFont="1" applyFill="1" applyBorder="1" applyAlignment="1">
      <alignment horizontal="left" vertical="center" wrapText="1"/>
    </xf>
    <xf numFmtId="0" fontId="0" fillId="0" borderId="59" xfId="0" applyBorder="1" applyAlignment="1">
      <alignment wrapText="1"/>
    </xf>
    <xf numFmtId="0" fontId="68" fillId="10" borderId="30" xfId="0" applyFont="1" applyFill="1" applyBorder="1" applyAlignment="1">
      <alignment horizontal="center" vertical="center" wrapText="1"/>
    </xf>
    <xf numFmtId="9" fontId="67" fillId="26" borderId="44" xfId="0" applyNumberFormat="1" applyFont="1" applyFill="1" applyBorder="1" applyAlignment="1">
      <alignment horizontal="center" vertical="center" readingOrder="1"/>
    </xf>
    <xf numFmtId="0" fontId="17" fillId="26" borderId="34" xfId="1" quotePrefix="1" applyFont="1" applyFill="1" applyBorder="1" applyAlignment="1" applyProtection="1">
      <alignment vertical="center" wrapText="1" readingOrder="1"/>
      <protection locked="0"/>
    </xf>
    <xf numFmtId="0" fontId="0" fillId="0" borderId="24" xfId="0" applyBorder="1" applyAlignment="1">
      <alignment horizontal="center" wrapText="1"/>
    </xf>
    <xf numFmtId="0" fontId="68" fillId="10" borderId="34" xfId="0" applyFont="1" applyFill="1" applyBorder="1" applyAlignment="1">
      <alignment vertical="center" wrapText="1"/>
    </xf>
    <xf numFmtId="0" fontId="0" fillId="0" borderId="59" xfId="0" applyBorder="1" applyAlignment="1">
      <alignment horizontal="left" vertical="center" wrapText="1"/>
    </xf>
    <xf numFmtId="0" fontId="68" fillId="10" borderId="27" xfId="0" applyFont="1" applyFill="1" applyBorder="1" applyAlignment="1">
      <alignment vertical="center" wrapText="1"/>
    </xf>
    <xf numFmtId="0" fontId="0" fillId="10" borderId="24" xfId="0" applyFill="1" applyBorder="1" applyAlignment="1">
      <alignment wrapText="1"/>
    </xf>
    <xf numFmtId="0" fontId="68" fillId="0" borderId="0" xfId="0" applyFont="1" applyAlignment="1">
      <alignment vertical="center" wrapText="1"/>
    </xf>
    <xf numFmtId="0" fontId="0" fillId="0" borderId="23" xfId="0" applyBorder="1" applyAlignment="1">
      <alignment horizontal="left" vertical="center" wrapText="1"/>
    </xf>
    <xf numFmtId="0" fontId="86" fillId="0" borderId="24" xfId="0" applyFont="1" applyBorder="1" applyAlignment="1">
      <alignment wrapText="1"/>
    </xf>
    <xf numFmtId="0" fontId="86" fillId="0" borderId="24" xfId="0" applyFont="1" applyBorder="1" applyAlignment="1">
      <alignment horizontal="left" wrapText="1"/>
    </xf>
    <xf numFmtId="0" fontId="86" fillId="0" borderId="23" xfId="0" applyFont="1" applyBorder="1" applyAlignment="1">
      <alignment wrapText="1"/>
    </xf>
    <xf numFmtId="0" fontId="86" fillId="0" borderId="23" xfId="0" applyFont="1" applyBorder="1" applyAlignment="1">
      <alignment horizontal="left" wrapText="1"/>
    </xf>
    <xf numFmtId="170" fontId="82" fillId="0" borderId="23" xfId="0" applyNumberFormat="1" applyFont="1" applyBorder="1" applyAlignment="1">
      <alignment horizontal="left"/>
    </xf>
    <xf numFmtId="0" fontId="0" fillId="0" borderId="24" xfId="0" applyBorder="1" applyAlignment="1">
      <alignment horizontal="left"/>
    </xf>
    <xf numFmtId="0" fontId="0" fillId="26" borderId="24" xfId="0" applyFill="1" applyBorder="1" applyAlignment="1">
      <alignment horizontal="left"/>
    </xf>
    <xf numFmtId="0" fontId="0" fillId="26" borderId="24" xfId="0" applyFill="1" applyBorder="1" applyAlignment="1">
      <alignment vertical="center" wrapText="1"/>
    </xf>
    <xf numFmtId="0" fontId="0" fillId="10" borderId="24" xfId="0" applyFill="1" applyBorder="1"/>
    <xf numFmtId="0" fontId="0" fillId="26" borderId="24" xfId="0" applyFill="1" applyBorder="1"/>
    <xf numFmtId="0" fontId="0" fillId="10" borderId="24" xfId="0" applyFill="1" applyBorder="1" applyAlignment="1">
      <alignment horizontal="left"/>
    </xf>
    <xf numFmtId="0" fontId="0" fillId="0" borderId="23" xfId="0" applyBorder="1" applyAlignment="1">
      <alignment horizontal="left"/>
    </xf>
    <xf numFmtId="0" fontId="0" fillId="26" borderId="23" xfId="0" applyFill="1" applyBorder="1" applyAlignment="1">
      <alignment horizontal="left"/>
    </xf>
    <xf numFmtId="169" fontId="31" fillId="2" borderId="34" xfId="3" applyNumberFormat="1" applyFont="1" applyFill="1" applyBorder="1" applyAlignment="1">
      <alignment horizontal="left" vertical="center" wrapText="1"/>
    </xf>
    <xf numFmtId="0" fontId="29" fillId="2" borderId="43" xfId="0" applyFont="1" applyFill="1" applyBorder="1" applyAlignment="1">
      <alignment horizontal="left" vertical="center" wrapText="1" readingOrder="1"/>
    </xf>
    <xf numFmtId="0" fontId="29" fillId="0" borderId="60" xfId="0" applyFont="1" applyBorder="1" applyAlignment="1">
      <alignment vertical="center" wrapText="1" readingOrder="1"/>
    </xf>
    <xf numFmtId="0" fontId="67" fillId="0" borderId="52" xfId="0" applyFont="1" applyBorder="1" applyAlignment="1">
      <alignment horizontal="center" vertical="center" wrapText="1" readingOrder="1"/>
    </xf>
    <xf numFmtId="0" fontId="29" fillId="0" borderId="43" xfId="0" applyFont="1" applyBorder="1" applyAlignment="1">
      <alignment vertical="center" wrapText="1" readingOrder="1"/>
    </xf>
    <xf numFmtId="0" fontId="87" fillId="0" borderId="24" xfId="0" applyFont="1" applyBorder="1" applyAlignment="1">
      <alignment horizontal="left" vertical="center" wrapText="1"/>
    </xf>
    <xf numFmtId="0" fontId="31" fillId="0" borderId="52" xfId="0" applyFont="1" applyBorder="1" applyAlignment="1">
      <alignment horizontal="center" vertical="center" wrapText="1" readingOrder="1"/>
    </xf>
    <xf numFmtId="0" fontId="87" fillId="0" borderId="24" xfId="0" applyFont="1" applyBorder="1" applyAlignment="1">
      <alignment vertical="center" wrapText="1"/>
    </xf>
    <xf numFmtId="0" fontId="29" fillId="0" borderId="24" xfId="0" applyFont="1" applyBorder="1" applyAlignment="1">
      <alignment vertical="center" wrapText="1" readingOrder="1"/>
    </xf>
    <xf numFmtId="170" fontId="67" fillId="0" borderId="24" xfId="0" applyNumberFormat="1" applyFont="1" applyBorder="1" applyAlignment="1">
      <alignment vertical="center"/>
    </xf>
    <xf numFmtId="17" fontId="67" fillId="0" borderId="24" xfId="0" applyNumberFormat="1" applyFont="1" applyBorder="1" applyAlignment="1">
      <alignment vertical="center"/>
    </xf>
    <xf numFmtId="0" fontId="67" fillId="0" borderId="24" xfId="0" applyFont="1" applyBorder="1" applyAlignment="1">
      <alignment vertical="center" wrapText="1"/>
    </xf>
    <xf numFmtId="0" fontId="87" fillId="0" borderId="23" xfId="0" applyFont="1" applyBorder="1" applyAlignment="1">
      <alignment vertical="center" wrapText="1"/>
    </xf>
    <xf numFmtId="169" fontId="31" fillId="20" borderId="34" xfId="3" applyNumberFormat="1" applyFont="1" applyFill="1" applyBorder="1" applyAlignment="1">
      <alignment horizontal="left" vertical="center" wrapText="1"/>
    </xf>
    <xf numFmtId="170" fontId="17" fillId="20" borderId="34" xfId="0" applyNumberFormat="1" applyFont="1" applyFill="1" applyBorder="1"/>
    <xf numFmtId="170" fontId="17" fillId="20" borderId="34" xfId="0" applyNumberFormat="1" applyFont="1" applyFill="1" applyBorder="1" applyAlignment="1">
      <alignment vertical="center"/>
    </xf>
    <xf numFmtId="170" fontId="17" fillId="20" borderId="34" xfId="0" applyNumberFormat="1" applyFont="1" applyFill="1" applyBorder="1" applyAlignment="1">
      <alignment wrapText="1"/>
    </xf>
    <xf numFmtId="0" fontId="17" fillId="20" borderId="34" xfId="1" applyFont="1" applyFill="1" applyBorder="1" applyAlignment="1" applyProtection="1">
      <alignment horizontal="center" vertical="center" wrapText="1" readingOrder="1"/>
      <protection locked="0"/>
    </xf>
    <xf numFmtId="0" fontId="24" fillId="20" borderId="34" xfId="0" applyFont="1" applyFill="1" applyBorder="1" applyAlignment="1">
      <alignment vertical="center" wrapText="1"/>
    </xf>
    <xf numFmtId="0" fontId="24" fillId="20" borderId="29" xfId="0" applyFont="1" applyFill="1" applyBorder="1" applyAlignment="1">
      <alignment vertical="center" wrapText="1"/>
    </xf>
    <xf numFmtId="0" fontId="23" fillId="0" borderId="23" xfId="0" applyFont="1" applyBorder="1" applyAlignment="1">
      <alignment vertical="center" wrapText="1"/>
    </xf>
    <xf numFmtId="0" fontId="23" fillId="0" borderId="0" xfId="0" applyFont="1" applyAlignment="1">
      <alignment vertical="center" wrapText="1"/>
    </xf>
    <xf numFmtId="0" fontId="32" fillId="0" borderId="0" xfId="0" applyFont="1" applyAlignment="1">
      <alignment vertical="center" wrapText="1"/>
    </xf>
    <xf numFmtId="0" fontId="23" fillId="0" borderId="28" xfId="0" applyFont="1" applyBorder="1" applyAlignment="1">
      <alignment vertical="center" wrapText="1"/>
    </xf>
    <xf numFmtId="17" fontId="23" fillId="0" borderId="24" xfId="0" applyNumberFormat="1" applyFont="1" applyBorder="1" applyAlignment="1">
      <alignment vertical="center" wrapText="1"/>
    </xf>
    <xf numFmtId="15" fontId="23" fillId="0" borderId="24" xfId="0" applyNumberFormat="1" applyFont="1" applyBorder="1" applyAlignment="1">
      <alignment vertical="center" wrapText="1"/>
    </xf>
    <xf numFmtId="3" fontId="23" fillId="0" borderId="23" xfId="0" applyNumberFormat="1" applyFont="1" applyBorder="1" applyAlignment="1">
      <alignment vertical="center" wrapText="1"/>
    </xf>
    <xf numFmtId="17" fontId="17" fillId="10" borderId="26" xfId="0" applyNumberFormat="1" applyFont="1" applyFill="1" applyBorder="1" applyAlignment="1">
      <alignment vertical="center" wrapText="1"/>
    </xf>
    <xf numFmtId="15" fontId="17" fillId="10" borderId="23" xfId="0" applyNumberFormat="1" applyFont="1" applyFill="1" applyBorder="1" applyAlignment="1">
      <alignment vertical="center" wrapText="1"/>
    </xf>
    <xf numFmtId="0" fontId="17" fillId="0" borderId="60" xfId="0" applyFont="1" applyBorder="1" applyAlignment="1">
      <alignment vertical="center" wrapText="1"/>
    </xf>
    <xf numFmtId="0" fontId="17" fillId="9" borderId="24" xfId="0" applyFont="1" applyFill="1" applyBorder="1" applyAlignment="1">
      <alignment horizontal="center" vertical="center" wrapText="1"/>
    </xf>
    <xf numFmtId="0" fontId="32" fillId="9" borderId="49" xfId="0" applyFont="1" applyFill="1" applyBorder="1" applyAlignment="1">
      <alignment vertical="center"/>
    </xf>
    <xf numFmtId="0" fontId="32" fillId="9" borderId="54" xfId="0" applyFont="1" applyFill="1" applyBorder="1" applyAlignment="1">
      <alignment vertical="center"/>
    </xf>
    <xf numFmtId="0" fontId="17" fillId="0" borderId="39" xfId="0" applyFont="1" applyBorder="1" applyAlignment="1">
      <alignment vertical="center" wrapText="1"/>
    </xf>
    <xf numFmtId="14" fontId="17" fillId="0" borderId="24" xfId="0" applyNumberFormat="1" applyFont="1" applyBorder="1" applyAlignment="1">
      <alignment vertical="center" wrapText="1"/>
    </xf>
    <xf numFmtId="17" fontId="17" fillId="0" borderId="27" xfId="0" applyNumberFormat="1" applyFont="1" applyBorder="1" applyAlignment="1">
      <alignment vertical="center" wrapText="1"/>
    </xf>
    <xf numFmtId="0" fontId="17" fillId="0" borderId="50" xfId="0" applyFont="1" applyBorder="1" applyAlignment="1">
      <alignment vertical="center" wrapText="1"/>
    </xf>
    <xf numFmtId="0" fontId="17" fillId="22" borderId="24" xfId="0" applyFont="1" applyFill="1" applyBorder="1" applyAlignment="1">
      <alignment horizontal="center" vertical="center" wrapText="1"/>
    </xf>
    <xf numFmtId="3" fontId="17" fillId="0" borderId="23" xfId="0" applyNumberFormat="1" applyFont="1" applyBorder="1" applyAlignment="1">
      <alignment horizontal="right" vertical="center" wrapText="1"/>
    </xf>
    <xf numFmtId="0" fontId="89" fillId="0" borderId="0" xfId="0" applyFont="1"/>
    <xf numFmtId="0" fontId="89" fillId="0" borderId="24" xfId="0" applyFont="1" applyBorder="1"/>
    <xf numFmtId="0" fontId="90" fillId="0" borderId="0" xfId="0" applyFont="1"/>
    <xf numFmtId="17" fontId="17" fillId="0" borderId="0" xfId="0" applyNumberFormat="1" applyFont="1" applyAlignment="1">
      <alignment vertical="center" wrapText="1"/>
    </xf>
    <xf numFmtId="0" fontId="35" fillId="2" borderId="28" xfId="0" applyFont="1" applyFill="1" applyBorder="1" applyAlignment="1">
      <alignment horizontal="center" vertical="center" wrapText="1"/>
    </xf>
    <xf numFmtId="0" fontId="33" fillId="2" borderId="28" xfId="0" applyFont="1" applyFill="1" applyBorder="1" applyAlignment="1">
      <alignment horizontal="center" vertical="center" wrapText="1"/>
    </xf>
    <xf numFmtId="0" fontId="91" fillId="0" borderId="0" xfId="1" applyFont="1"/>
    <xf numFmtId="172" fontId="29" fillId="12" borderId="0" xfId="3" applyNumberFormat="1" applyFont="1" applyFill="1" applyBorder="1" applyAlignment="1" applyProtection="1"/>
    <xf numFmtId="172" fontId="34" fillId="0" borderId="0" xfId="3" applyNumberFormat="1" applyFont="1" applyBorder="1" applyAlignment="1" applyProtection="1">
      <alignment horizontal="center"/>
    </xf>
    <xf numFmtId="172" fontId="34" fillId="0" borderId="0" xfId="3" applyNumberFormat="1" applyFont="1" applyFill="1" applyBorder="1" applyProtection="1"/>
    <xf numFmtId="172" fontId="24" fillId="10" borderId="24" xfId="3" applyNumberFormat="1" applyFont="1" applyFill="1" applyBorder="1" applyAlignment="1" applyProtection="1">
      <alignment horizontal="center"/>
    </xf>
    <xf numFmtId="172" fontId="29" fillId="2" borderId="0" xfId="3" applyNumberFormat="1" applyFont="1" applyFill="1" applyBorder="1" applyAlignment="1" applyProtection="1">
      <alignment vertical="center"/>
    </xf>
    <xf numFmtId="172" fontId="24" fillId="2" borderId="24" xfId="3" applyNumberFormat="1" applyFont="1" applyFill="1" applyBorder="1" applyAlignment="1" applyProtection="1">
      <alignment horizontal="center" vertical="center"/>
    </xf>
    <xf numFmtId="172" fontId="29" fillId="2" borderId="24" xfId="3" applyNumberFormat="1" applyFont="1" applyFill="1" applyBorder="1" applyAlignment="1" applyProtection="1">
      <alignment horizontal="center" vertical="center"/>
    </xf>
    <xf numFmtId="172" fontId="29" fillId="12" borderId="24" xfId="4" applyNumberFormat="1" applyFont="1" applyFill="1" applyBorder="1" applyAlignment="1" applyProtection="1">
      <alignment vertical="center"/>
    </xf>
    <xf numFmtId="172" fontId="24" fillId="10" borderId="24" xfId="4" applyNumberFormat="1" applyFont="1" applyFill="1" applyBorder="1" applyAlignment="1" applyProtection="1">
      <alignment horizontal="center" vertical="center"/>
    </xf>
    <xf numFmtId="172" fontId="29" fillId="12" borderId="24" xfId="4" applyNumberFormat="1" applyFont="1" applyFill="1" applyBorder="1" applyAlignment="1" applyProtection="1"/>
    <xf numFmtId="172" fontId="29" fillId="2" borderId="24" xfId="4" applyNumberFormat="1" applyFont="1" applyFill="1" applyBorder="1" applyAlignment="1" applyProtection="1">
      <alignment horizontal="center" vertical="center"/>
    </xf>
    <xf numFmtId="172" fontId="29" fillId="2" borderId="24" xfId="4" applyNumberFormat="1" applyFont="1" applyFill="1" applyBorder="1" applyAlignment="1" applyProtection="1"/>
    <xf numFmtId="172" fontId="24" fillId="0" borderId="24" xfId="4" applyNumberFormat="1" applyFont="1" applyBorder="1" applyAlignment="1" applyProtection="1">
      <protection locked="0"/>
    </xf>
    <xf numFmtId="172" fontId="29" fillId="12" borderId="24" xfId="4" applyNumberFormat="1" applyFont="1" applyFill="1" applyBorder="1" applyAlignment="1" applyProtection="1">
      <alignment horizontal="right" vertical="center"/>
    </xf>
    <xf numFmtId="172" fontId="24" fillId="0" borderId="24" xfId="4" applyNumberFormat="1" applyFont="1" applyBorder="1" applyAlignment="1" applyProtection="1">
      <alignment horizontal="right" vertical="center"/>
      <protection locked="0"/>
    </xf>
    <xf numFmtId="172" fontId="34" fillId="0" borderId="24" xfId="4" applyNumberFormat="1" applyFont="1" applyFill="1" applyBorder="1" applyAlignment="1" applyProtection="1">
      <alignment horizontal="center" vertical="center"/>
    </xf>
    <xf numFmtId="172" fontId="24" fillId="0" borderId="24" xfId="4" applyNumberFormat="1" applyFont="1" applyFill="1" applyBorder="1" applyAlignment="1" applyProtection="1">
      <protection locked="0"/>
    </xf>
    <xf numFmtId="172" fontId="24" fillId="0" borderId="24" xfId="4" applyNumberFormat="1" applyFont="1" applyBorder="1" applyAlignment="1" applyProtection="1">
      <alignment vertical="center"/>
      <protection locked="0"/>
    </xf>
    <xf numFmtId="172" fontId="24" fillId="0" borderId="24" xfId="4" applyNumberFormat="1" applyFont="1" applyFill="1" applyBorder="1" applyAlignment="1" applyProtection="1">
      <alignment vertical="center"/>
      <protection locked="0"/>
    </xf>
    <xf numFmtId="172" fontId="40" fillId="0" borderId="24" xfId="4" applyNumberFormat="1" applyFont="1" applyFill="1" applyBorder="1" applyAlignment="1" applyProtection="1">
      <alignment horizontal="center" vertical="center"/>
    </xf>
    <xf numFmtId="172" fontId="42" fillId="0" borderId="24" xfId="4" applyNumberFormat="1" applyFont="1" applyFill="1" applyBorder="1" applyAlignment="1" applyProtection="1">
      <alignment horizontal="center" vertical="center"/>
    </xf>
    <xf numFmtId="172" fontId="35" fillId="12" borderId="24" xfId="4" applyNumberFormat="1" applyFont="1" applyFill="1" applyBorder="1" applyAlignment="1" applyProtection="1">
      <alignment horizontal="center" vertical="center"/>
    </xf>
    <xf numFmtId="172" fontId="35" fillId="0" borderId="24" xfId="4" applyNumberFormat="1" applyFont="1" applyFill="1" applyBorder="1" applyAlignment="1" applyProtection="1">
      <alignment horizontal="center" vertical="center"/>
    </xf>
    <xf numFmtId="172" fontId="31" fillId="2" borderId="24" xfId="4" applyNumberFormat="1" applyFont="1" applyFill="1" applyBorder="1" applyAlignment="1" applyProtection="1">
      <alignment vertical="center"/>
    </xf>
    <xf numFmtId="172" fontId="31" fillId="2" borderId="24" xfId="4" applyNumberFormat="1" applyFont="1" applyFill="1" applyBorder="1" applyAlignment="1" applyProtection="1">
      <alignment horizontal="center" vertical="center"/>
    </xf>
    <xf numFmtId="172" fontId="24" fillId="0" borderId="24" xfId="4" applyNumberFormat="1" applyFont="1" applyFill="1" applyBorder="1" applyAlignment="1" applyProtection="1">
      <alignment horizontal="right"/>
      <protection locked="0"/>
    </xf>
    <xf numFmtId="172" fontId="34" fillId="0" borderId="24" xfId="4" applyNumberFormat="1" applyFont="1" applyFill="1" applyBorder="1" applyAlignment="1" applyProtection="1">
      <alignment horizontal="right"/>
    </xf>
    <xf numFmtId="172" fontId="24" fillId="0" borderId="24" xfId="4" applyNumberFormat="1" applyFont="1" applyBorder="1" applyAlignment="1" applyProtection="1">
      <alignment horizontal="right"/>
      <protection locked="0"/>
    </xf>
    <xf numFmtId="172" fontId="24" fillId="0" borderId="24" xfId="4" applyNumberFormat="1" applyFont="1" applyBorder="1" applyAlignment="1" applyProtection="1">
      <alignment horizontal="left"/>
      <protection locked="0"/>
    </xf>
    <xf numFmtId="172" fontId="24" fillId="0" borderId="24" xfId="4" applyNumberFormat="1" applyFont="1" applyBorder="1" applyAlignment="1" applyProtection="1">
      <alignment horizontal="left" vertical="center"/>
      <protection locked="0"/>
    </xf>
    <xf numFmtId="172" fontId="34" fillId="0" borderId="24" xfId="4" applyNumberFormat="1" applyFont="1" applyFill="1" applyBorder="1" applyAlignment="1" applyProtection="1">
      <alignment horizontal="left" vertical="center"/>
    </xf>
    <xf numFmtId="43" fontId="35" fillId="12" borderId="24" xfId="4" applyFont="1" applyFill="1" applyBorder="1" applyAlignment="1" applyProtection="1">
      <alignment horizontal="center" vertical="center"/>
    </xf>
    <xf numFmtId="43" fontId="35" fillId="0" borderId="24" xfId="4" applyFont="1" applyFill="1" applyBorder="1" applyAlignment="1" applyProtection="1">
      <alignment horizontal="center" vertical="center"/>
    </xf>
    <xf numFmtId="169" fontId="58" fillId="0" borderId="24" xfId="3" applyNumberFormat="1" applyFont="1" applyFill="1" applyBorder="1" applyAlignment="1" applyProtection="1">
      <alignment vertical="center" wrapText="1"/>
    </xf>
    <xf numFmtId="3" fontId="17" fillId="0" borderId="52" xfId="1" applyNumberFormat="1" applyFont="1" applyBorder="1" applyAlignment="1" applyProtection="1">
      <alignment vertical="center" wrapText="1" readingOrder="1"/>
      <protection locked="0"/>
    </xf>
    <xf numFmtId="3" fontId="31" fillId="0" borderId="52" xfId="1" applyNumberFormat="1" applyFont="1" applyBorder="1" applyAlignment="1" applyProtection="1">
      <alignment vertical="center" wrapText="1" readingOrder="1"/>
      <protection locked="0"/>
    </xf>
    <xf numFmtId="3" fontId="31" fillId="0" borderId="29" xfId="1" applyNumberFormat="1" applyFont="1" applyBorder="1" applyAlignment="1" applyProtection="1">
      <alignment horizontal="center" vertical="center" wrapText="1" readingOrder="1"/>
      <protection locked="0"/>
    </xf>
    <xf numFmtId="169" fontId="0" fillId="0" borderId="0" xfId="0" applyNumberFormat="1" applyAlignment="1">
      <alignment vertical="center"/>
    </xf>
    <xf numFmtId="172" fontId="57" fillId="0" borderId="0" xfId="4" applyNumberFormat="1" applyFont="1"/>
    <xf numFmtId="172" fontId="42" fillId="0" borderId="0" xfId="4" applyNumberFormat="1" applyFont="1"/>
    <xf numFmtId="172" fontId="36" fillId="0" borderId="0" xfId="0" applyNumberFormat="1" applyFont="1" applyAlignment="1">
      <alignment vertical="center"/>
    </xf>
    <xf numFmtId="169" fontId="36" fillId="0" borderId="0" xfId="0" applyNumberFormat="1" applyFont="1" applyAlignment="1">
      <alignment vertical="center"/>
    </xf>
    <xf numFmtId="43" fontId="17" fillId="0" borderId="0" xfId="4" applyFont="1" applyFill="1" applyAlignment="1">
      <alignment vertical="center" wrapText="1"/>
    </xf>
    <xf numFmtId="43" fontId="17" fillId="0" borderId="0" xfId="0" applyNumberFormat="1" applyFont="1" applyAlignment="1">
      <alignment vertical="center" wrapText="1"/>
    </xf>
    <xf numFmtId="0" fontId="17" fillId="0" borderId="51" xfId="0" applyFont="1" applyBorder="1" applyAlignment="1">
      <alignment vertical="center" wrapText="1"/>
    </xf>
    <xf numFmtId="3" fontId="17" fillId="0" borderId="34" xfId="0" applyNumberFormat="1" applyFont="1" applyBorder="1" applyAlignment="1">
      <alignment horizontal="right" vertical="center" wrapText="1"/>
    </xf>
    <xf numFmtId="17" fontId="17" fillId="0" borderId="24" xfId="0" applyNumberFormat="1" applyFont="1" applyBorder="1" applyAlignment="1">
      <alignment horizontal="left" vertical="center" wrapText="1"/>
    </xf>
    <xf numFmtId="3" fontId="23" fillId="0" borderId="24" xfId="0" applyNumberFormat="1" applyFont="1" applyBorder="1" applyAlignment="1">
      <alignment vertical="center" wrapText="1"/>
    </xf>
    <xf numFmtId="14" fontId="23" fillId="0" borderId="24" xfId="0" applyNumberFormat="1" applyFont="1" applyBorder="1" applyAlignment="1">
      <alignment vertical="center" wrapText="1"/>
    </xf>
    <xf numFmtId="0" fontId="23" fillId="0" borderId="39" xfId="0" applyFont="1" applyBorder="1" applyAlignment="1">
      <alignment vertical="center" wrapText="1"/>
    </xf>
    <xf numFmtId="0" fontId="17" fillId="0" borderId="30" xfId="0" applyFont="1" applyBorder="1" applyAlignment="1">
      <alignment vertical="center" wrapText="1"/>
    </xf>
    <xf numFmtId="14" fontId="17" fillId="0" borderId="23" xfId="0" applyNumberFormat="1" applyFont="1" applyBorder="1" applyAlignment="1">
      <alignment vertical="center" wrapText="1"/>
    </xf>
    <xf numFmtId="0" fontId="23" fillId="0" borderId="24" xfId="0" applyFont="1" applyBorder="1"/>
    <xf numFmtId="172" fontId="17" fillId="0" borderId="24" xfId="4" applyNumberFormat="1" applyFont="1" applyFill="1" applyBorder="1"/>
    <xf numFmtId="17" fontId="23" fillId="0" borderId="24" xfId="0" applyNumberFormat="1" applyFont="1" applyBorder="1"/>
    <xf numFmtId="0" fontId="42" fillId="0" borderId="26" xfId="0" applyFont="1" applyBorder="1" applyAlignment="1">
      <alignment vertical="center" wrapText="1"/>
    </xf>
    <xf numFmtId="17" fontId="17" fillId="0" borderId="26" xfId="0" applyNumberFormat="1" applyFont="1" applyBorder="1" applyAlignment="1">
      <alignment vertical="center" wrapText="1"/>
    </xf>
    <xf numFmtId="0" fontId="17" fillId="9" borderId="23" xfId="0" applyFont="1" applyFill="1" applyBorder="1" applyAlignment="1">
      <alignment horizontal="center" vertical="center" wrapText="1"/>
    </xf>
    <xf numFmtId="0" fontId="17" fillId="9" borderId="34" xfId="0" applyFont="1" applyFill="1" applyBorder="1" applyAlignment="1">
      <alignment horizontal="center" vertical="center" wrapText="1"/>
    </xf>
    <xf numFmtId="0" fontId="17" fillId="9" borderId="27" xfId="0" applyFont="1" applyFill="1" applyBorder="1" applyAlignment="1">
      <alignment horizontal="center" vertical="center" wrapText="1"/>
    </xf>
    <xf numFmtId="0" fontId="17" fillId="9" borderId="34" xfId="2" applyFont="1" applyFill="1" applyBorder="1" applyAlignment="1">
      <alignment horizontal="center" vertical="center" wrapText="1"/>
    </xf>
    <xf numFmtId="0" fontId="17" fillId="9" borderId="51" xfId="0" applyFont="1" applyFill="1" applyBorder="1" applyAlignment="1">
      <alignment horizontal="center" vertical="center" wrapText="1"/>
    </xf>
    <xf numFmtId="0" fontId="17" fillId="2" borderId="23" xfId="0" applyFont="1" applyFill="1" applyBorder="1" applyAlignment="1">
      <alignment vertical="center" wrapText="1"/>
    </xf>
    <xf numFmtId="0" fontId="17" fillId="0" borderId="49" xfId="0" applyFont="1" applyBorder="1" applyAlignment="1">
      <alignment vertical="center" wrapText="1"/>
    </xf>
    <xf numFmtId="0" fontId="17" fillId="0" borderId="49" xfId="0" applyFont="1" applyBorder="1" applyAlignment="1">
      <alignment horizontal="left" vertical="center" wrapText="1"/>
    </xf>
    <xf numFmtId="3" fontId="17" fillId="0" borderId="49" xfId="0" applyNumberFormat="1" applyFont="1" applyBorder="1" applyAlignment="1">
      <alignment vertical="center" wrapText="1"/>
    </xf>
    <xf numFmtId="17" fontId="17" fillId="0" borderId="49" xfId="0" applyNumberFormat="1" applyFont="1" applyBorder="1" applyAlignment="1">
      <alignment vertical="center" wrapText="1"/>
    </xf>
    <xf numFmtId="0" fontId="17" fillId="0" borderId="0" xfId="0" applyFont="1" applyBorder="1" applyAlignment="1">
      <alignment vertical="center" wrapText="1"/>
    </xf>
    <xf numFmtId="17" fontId="17" fillId="0" borderId="0" xfId="0" applyNumberFormat="1" applyFont="1" applyBorder="1" applyAlignment="1">
      <alignment vertical="center" wrapText="1"/>
    </xf>
    <xf numFmtId="0" fontId="17" fillId="0" borderId="45" xfId="0" applyFont="1" applyFill="1" applyBorder="1" applyAlignment="1">
      <alignment horizontal="center" vertical="center" wrapText="1"/>
    </xf>
    <xf numFmtId="0" fontId="17" fillId="0" borderId="38" xfId="0" applyFont="1" applyFill="1" applyBorder="1" applyAlignment="1">
      <alignment vertical="center" wrapText="1"/>
    </xf>
    <xf numFmtId="0" fontId="17" fillId="0" borderId="44" xfId="2"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7" fillId="0" borderId="24" xfId="0" applyFont="1" applyFill="1" applyBorder="1" applyAlignment="1">
      <alignment horizontal="left" wrapText="1"/>
    </xf>
    <xf numFmtId="0" fontId="17" fillId="9" borderId="44" xfId="0" applyFont="1" applyFill="1" applyBorder="1" applyAlignment="1">
      <alignment horizontal="center" vertical="center" wrapText="1"/>
    </xf>
    <xf numFmtId="0" fontId="17" fillId="0" borderId="24" xfId="0" applyFont="1" applyFill="1" applyBorder="1" applyAlignment="1">
      <alignment vertical="center" wrapText="1"/>
    </xf>
    <xf numFmtId="0" fontId="17" fillId="0" borderId="60" xfId="0" applyFont="1" applyFill="1" applyBorder="1" applyAlignment="1">
      <alignment vertical="center" wrapText="1"/>
    </xf>
    <xf numFmtId="0" fontId="17" fillId="0" borderId="40" xfId="0" applyFont="1" applyFill="1" applyBorder="1" applyAlignment="1">
      <alignment vertical="center" wrapText="1"/>
    </xf>
    <xf numFmtId="0" fontId="17" fillId="0" borderId="23" xfId="0" applyFont="1" applyFill="1" applyBorder="1" applyAlignment="1">
      <alignment vertical="center" wrapText="1"/>
    </xf>
    <xf numFmtId="0" fontId="17" fillId="0" borderId="24" xfId="0" applyFont="1" applyFill="1" applyBorder="1" applyAlignment="1">
      <alignment horizontal="left" vertical="center" wrapText="1"/>
    </xf>
    <xf numFmtId="0" fontId="17" fillId="0" borderId="45" xfId="0" applyFont="1" applyFill="1" applyBorder="1" applyAlignment="1">
      <alignment horizontal="left" vertical="center" wrapText="1"/>
    </xf>
    <xf numFmtId="0" fontId="17" fillId="0" borderId="44" xfId="0" applyFont="1" applyFill="1" applyBorder="1" applyAlignment="1">
      <alignment horizontal="left" vertical="center" wrapText="1"/>
    </xf>
    <xf numFmtId="0" fontId="17" fillId="0" borderId="44" xfId="2" applyFont="1" applyFill="1" applyBorder="1" applyAlignment="1">
      <alignment horizontal="left" vertical="center" wrapText="1"/>
    </xf>
    <xf numFmtId="0" fontId="17" fillId="0" borderId="49" xfId="0" applyFont="1" applyFill="1" applyBorder="1" applyAlignment="1">
      <alignment vertical="center" wrapText="1"/>
    </xf>
    <xf numFmtId="0" fontId="17" fillId="0" borderId="52" xfId="2" applyFont="1" applyFill="1" applyBorder="1" applyAlignment="1">
      <alignment horizontal="center" vertical="center" wrapText="1"/>
    </xf>
    <xf numFmtId="0" fontId="17" fillId="0" borderId="49" xfId="0" applyFont="1" applyFill="1" applyBorder="1" applyAlignment="1">
      <alignment horizontal="center" vertical="center" wrapText="1"/>
    </xf>
    <xf numFmtId="0" fontId="17" fillId="0" borderId="49" xfId="0" applyFont="1" applyFill="1" applyBorder="1" applyAlignment="1">
      <alignment horizontal="left" vertical="center" wrapText="1"/>
    </xf>
    <xf numFmtId="0" fontId="23" fillId="0" borderId="45" xfId="0" applyFont="1" applyFill="1" applyBorder="1" applyAlignment="1">
      <alignment horizontal="center" vertical="center" wrapText="1"/>
    </xf>
    <xf numFmtId="0" fontId="23" fillId="0" borderId="45" xfId="0" applyFont="1" applyFill="1" applyBorder="1" applyAlignment="1">
      <alignment vertical="center" wrapText="1"/>
    </xf>
    <xf numFmtId="0" fontId="23" fillId="0" borderId="44" xfId="2" applyFont="1" applyFill="1" applyBorder="1" applyAlignment="1">
      <alignment horizontal="center" vertical="center" wrapText="1"/>
    </xf>
    <xf numFmtId="0" fontId="23" fillId="0" borderId="24" xfId="0" applyFont="1" applyFill="1" applyBorder="1" applyAlignment="1">
      <alignment horizontal="center" vertical="center" wrapText="1"/>
    </xf>
    <xf numFmtId="0" fontId="23" fillId="0" borderId="24" xfId="0" applyFont="1" applyFill="1" applyBorder="1" applyAlignment="1">
      <alignment horizontal="left" vertical="center" wrapText="1"/>
    </xf>
    <xf numFmtId="0" fontId="23" fillId="0" borderId="24" xfId="0" applyFont="1" applyFill="1" applyBorder="1" applyAlignment="1">
      <alignment vertical="center" wrapText="1"/>
    </xf>
    <xf numFmtId="0" fontId="17" fillId="0" borderId="45" xfId="0" applyFont="1" applyFill="1" applyBorder="1" applyAlignment="1">
      <alignment vertical="center" wrapText="1"/>
    </xf>
    <xf numFmtId="0" fontId="48" fillId="0" borderId="24" xfId="0" applyFont="1" applyFill="1" applyBorder="1" applyAlignment="1">
      <alignment horizontal="left" vertical="center" wrapText="1"/>
    </xf>
    <xf numFmtId="0" fontId="23" fillId="0" borderId="59" xfId="2" applyFont="1" applyFill="1" applyBorder="1" applyAlignment="1">
      <alignment horizontal="center" vertical="center" wrapText="1"/>
    </xf>
    <xf numFmtId="0" fontId="23" fillId="0" borderId="23" xfId="0" applyFont="1" applyFill="1" applyBorder="1" applyAlignment="1">
      <alignment horizontal="center" vertical="center" wrapText="1"/>
    </xf>
    <xf numFmtId="0" fontId="23" fillId="0" borderId="23" xfId="0" applyFont="1" applyFill="1" applyBorder="1" applyAlignment="1">
      <alignment vertical="center" wrapText="1"/>
    </xf>
    <xf numFmtId="0" fontId="17" fillId="0" borderId="0" xfId="0" applyFont="1" applyFill="1" applyAlignment="1">
      <alignment vertical="center" wrapText="1"/>
    </xf>
    <xf numFmtId="0" fontId="23" fillId="0" borderId="24" xfId="0" applyFont="1" applyFill="1" applyBorder="1" applyAlignment="1">
      <alignment wrapText="1"/>
    </xf>
    <xf numFmtId="0" fontId="17" fillId="0" borderId="43" xfId="0" applyFont="1" applyFill="1" applyBorder="1" applyAlignment="1">
      <alignment vertical="center" wrapText="1"/>
    </xf>
    <xf numFmtId="0" fontId="17" fillId="0" borderId="59" xfId="0" applyFont="1" applyFill="1" applyBorder="1" applyAlignment="1">
      <alignment vertical="center" wrapText="1"/>
    </xf>
    <xf numFmtId="0" fontId="17" fillId="0" borderId="27" xfId="0" applyFont="1" applyFill="1" applyBorder="1" applyAlignment="1">
      <alignment vertical="center" wrapText="1"/>
    </xf>
    <xf numFmtId="0" fontId="23" fillId="0" borderId="24" xfId="0" applyFont="1" applyFill="1" applyBorder="1" applyAlignment="1">
      <alignment horizontal="left" vertical="top" wrapText="1"/>
    </xf>
    <xf numFmtId="0" fontId="9" fillId="0" borderId="12" xfId="0" applyFont="1" applyBorder="1" applyAlignment="1">
      <alignment horizontal="center" vertical="center"/>
    </xf>
    <xf numFmtId="0" fontId="9" fillId="0" borderId="16" xfId="0" applyFont="1" applyBorder="1" applyAlignment="1">
      <alignment horizontal="center" vertical="center"/>
    </xf>
    <xf numFmtId="0" fontId="9" fillId="0" borderId="70"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vertical="center" wrapText="1"/>
    </xf>
    <xf numFmtId="0" fontId="9" fillId="0" borderId="16" xfId="0" applyFont="1" applyBorder="1" applyAlignment="1">
      <alignment vertical="center" wrapText="1"/>
    </xf>
    <xf numFmtId="0" fontId="5" fillId="0" borderId="21" xfId="0" applyFont="1" applyBorder="1" applyAlignment="1">
      <alignment vertical="center" wrapText="1"/>
    </xf>
    <xf numFmtId="0" fontId="5" fillId="0" borderId="17" xfId="0" applyFont="1" applyBorder="1" applyAlignment="1">
      <alignment vertical="center" wrapText="1"/>
    </xf>
    <xf numFmtId="0" fontId="54" fillId="0" borderId="10" xfId="0" applyFont="1" applyBorder="1" applyAlignment="1">
      <alignment horizontal="left" vertical="top" wrapText="1"/>
    </xf>
    <xf numFmtId="0" fontId="54" fillId="0" borderId="3" xfId="0" applyFont="1" applyBorder="1" applyAlignment="1">
      <alignment horizontal="left" vertical="top" wrapText="1"/>
    </xf>
    <xf numFmtId="0" fontId="54" fillId="0" borderId="4" xfId="0" applyFont="1" applyBorder="1" applyAlignment="1">
      <alignment horizontal="left" vertical="top" wrapText="1"/>
    </xf>
    <xf numFmtId="0" fontId="54" fillId="0" borderId="54" xfId="0" applyFont="1" applyBorder="1" applyAlignment="1">
      <alignment horizontal="left" wrapText="1"/>
    </xf>
    <xf numFmtId="0" fontId="54" fillId="0" borderId="49" xfId="0" applyFont="1" applyBorder="1" applyAlignment="1">
      <alignment horizontal="left" wrapText="1"/>
    </xf>
    <xf numFmtId="0" fontId="54" fillId="0" borderId="67" xfId="0" applyFont="1" applyBorder="1" applyAlignment="1">
      <alignment horizontal="left" wrapText="1"/>
    </xf>
    <xf numFmtId="0" fontId="54" fillId="0" borderId="64" xfId="0" applyFont="1" applyBorder="1" applyAlignment="1">
      <alignment horizontal="left" vertical="center" wrapText="1"/>
    </xf>
    <xf numFmtId="0" fontId="54" fillId="0" borderId="65" xfId="0" applyFont="1" applyBorder="1" applyAlignment="1">
      <alignment horizontal="left" vertical="center" wrapText="1"/>
    </xf>
    <xf numFmtId="0" fontId="54" fillId="0" borderId="66" xfId="0" applyFont="1" applyBorder="1" applyAlignment="1">
      <alignment horizontal="left" vertical="center" wrapText="1"/>
    </xf>
    <xf numFmtId="0" fontId="54" fillId="0" borderId="28" xfId="0" applyFont="1" applyBorder="1" applyAlignment="1">
      <alignment horizontal="left" wrapText="1"/>
    </xf>
    <xf numFmtId="0" fontId="54" fillId="0" borderId="45" xfId="0" applyFont="1" applyBorder="1" applyAlignment="1">
      <alignment horizontal="left" wrapText="1"/>
    </xf>
    <xf numFmtId="0" fontId="54" fillId="0" borderId="64" xfId="0" applyFont="1" applyBorder="1" applyAlignment="1">
      <alignment horizontal="left" wrapText="1"/>
    </xf>
    <xf numFmtId="0" fontId="54" fillId="0" borderId="65" xfId="0" applyFont="1" applyBorder="1" applyAlignment="1">
      <alignment horizontal="left" wrapText="1"/>
    </xf>
    <xf numFmtId="0" fontId="54" fillId="0" borderId="66" xfId="0" applyFont="1" applyBorder="1" applyAlignment="1">
      <alignment horizontal="left" wrapText="1"/>
    </xf>
    <xf numFmtId="0" fontId="54" fillId="0" borderId="54" xfId="0" applyFont="1" applyBorder="1" applyAlignment="1">
      <alignment horizontal="left" vertical="center" wrapText="1"/>
    </xf>
    <xf numFmtId="0" fontId="54" fillId="0" borderId="49" xfId="0" applyFont="1" applyBorder="1" applyAlignment="1">
      <alignment horizontal="left" vertical="center" wrapText="1"/>
    </xf>
    <xf numFmtId="0" fontId="54" fillId="0" borderId="67" xfId="0" applyFont="1" applyBorder="1" applyAlignment="1">
      <alignment horizontal="left" vertical="center" wrapText="1"/>
    </xf>
    <xf numFmtId="0" fontId="9" fillId="4" borderId="2" xfId="0" applyFont="1" applyFill="1" applyBorder="1" applyAlignment="1">
      <alignment vertical="center" wrapText="1"/>
    </xf>
    <xf numFmtId="0" fontId="9" fillId="4" borderId="3" xfId="0" applyFont="1" applyFill="1" applyBorder="1" applyAlignment="1">
      <alignment vertical="center" wrapText="1"/>
    </xf>
    <xf numFmtId="0" fontId="9" fillId="4" borderId="4" xfId="0" applyFont="1" applyFill="1" applyBorder="1" applyAlignment="1">
      <alignment vertical="center" wrapText="1"/>
    </xf>
    <xf numFmtId="0" fontId="14" fillId="0" borderId="10" xfId="0" applyFont="1" applyBorder="1" applyAlignment="1">
      <alignment horizontal="justify" vertical="center"/>
    </xf>
    <xf numFmtId="0" fontId="14" fillId="0" borderId="3" xfId="0" applyFont="1" applyBorder="1" applyAlignment="1">
      <alignment horizontal="justify" vertical="center"/>
    </xf>
    <xf numFmtId="0" fontId="14" fillId="0" borderId="11" xfId="0" applyFont="1" applyBorder="1" applyAlignment="1">
      <alignment horizontal="justify" vertical="center"/>
    </xf>
    <xf numFmtId="0" fontId="5" fillId="3" borderId="12" xfId="0" applyFont="1" applyFill="1" applyBorder="1" applyAlignment="1">
      <alignment vertical="center"/>
    </xf>
    <xf numFmtId="0" fontId="5" fillId="3" borderId="16" xfId="0" applyFont="1" applyFill="1" applyBorder="1" applyAlignment="1">
      <alignment vertical="center"/>
    </xf>
    <xf numFmtId="0" fontId="5" fillId="3" borderId="9" xfId="0" applyFont="1" applyFill="1" applyBorder="1" applyAlignment="1">
      <alignment vertical="center"/>
    </xf>
    <xf numFmtId="0" fontId="54" fillId="0" borderId="13" xfId="5" applyFont="1" applyBorder="1" applyAlignment="1">
      <alignment horizontal="left" vertical="top" wrapText="1"/>
    </xf>
    <xf numFmtId="0" fontId="54" fillId="0" borderId="14" xfId="5" applyFont="1" applyBorder="1" applyAlignment="1">
      <alignment horizontal="left" vertical="top" wrapText="1"/>
    </xf>
    <xf numFmtId="0" fontId="54" fillId="0" borderId="15" xfId="5" applyFont="1" applyBorder="1" applyAlignment="1">
      <alignment horizontal="left" vertical="top" wrapText="1"/>
    </xf>
    <xf numFmtId="0" fontId="54" fillId="0" borderId="17" xfId="5" applyFont="1" applyBorder="1" applyAlignment="1">
      <alignment horizontal="left" vertical="top" wrapText="1"/>
    </xf>
    <xf numFmtId="0" fontId="54" fillId="0" borderId="0" xfId="5" applyFont="1" applyAlignment="1">
      <alignment horizontal="left" vertical="top" wrapText="1"/>
    </xf>
    <xf numFmtId="0" fontId="54" fillId="0" borderId="18" xfId="5" applyFont="1" applyBorder="1" applyAlignment="1">
      <alignment horizontal="left" vertical="top" wrapText="1"/>
    </xf>
    <xf numFmtId="0" fontId="54" fillId="0" borderId="19" xfId="5" applyFont="1" applyBorder="1" applyAlignment="1">
      <alignment horizontal="left" vertical="top" wrapText="1"/>
    </xf>
    <xf numFmtId="0" fontId="54" fillId="0" borderId="6" xfId="5" applyFont="1" applyBorder="1" applyAlignment="1">
      <alignment horizontal="left" vertical="top" wrapText="1"/>
    </xf>
    <xf numFmtId="0" fontId="54" fillId="0" borderId="7" xfId="5" applyFont="1" applyBorder="1" applyAlignment="1">
      <alignment horizontal="left" vertical="top" wrapText="1"/>
    </xf>
    <xf numFmtId="0" fontId="17" fillId="0" borderId="50" xfId="1" applyFont="1" applyBorder="1" applyAlignment="1" applyProtection="1">
      <alignment horizontal="left" vertical="top" wrapText="1" readingOrder="1"/>
      <protection locked="0"/>
    </xf>
    <xf numFmtId="0" fontId="17" fillId="0" borderId="51" xfId="1" applyFont="1" applyBorder="1" applyAlignment="1" applyProtection="1">
      <alignment horizontal="left" vertical="top" wrapText="1" readingOrder="1"/>
      <protection locked="0"/>
    </xf>
    <xf numFmtId="0" fontId="17" fillId="0" borderId="23" xfId="1" applyFont="1" applyBorder="1" applyAlignment="1" applyProtection="1">
      <alignment horizontal="center" wrapText="1" readingOrder="1"/>
      <protection locked="0"/>
    </xf>
    <xf numFmtId="0" fontId="24" fillId="0" borderId="27" xfId="0" applyFont="1" applyBorder="1" applyAlignment="1">
      <alignment horizontal="center" wrapText="1" readingOrder="1"/>
    </xf>
    <xf numFmtId="0" fontId="5" fillId="3" borderId="10"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17" fillId="0" borderId="56" xfId="1" applyFont="1" applyBorder="1" applyAlignment="1" applyProtection="1">
      <alignment horizontal="left" vertical="top" wrapText="1" readingOrder="1"/>
      <protection locked="0"/>
    </xf>
    <xf numFmtId="0" fontId="24" fillId="0" borderId="31" xfId="0" applyFont="1" applyBorder="1" applyAlignment="1">
      <alignment horizontal="center" wrapText="1" readingOrder="1"/>
    </xf>
    <xf numFmtId="0" fontId="5" fillId="3" borderId="12"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3" borderId="12" xfId="0" applyFont="1" applyFill="1" applyBorder="1" applyAlignment="1">
      <alignment horizontal="center" wrapText="1"/>
    </xf>
    <xf numFmtId="0" fontId="5" fillId="3" borderId="9" xfId="0" applyFont="1" applyFill="1" applyBorder="1" applyAlignment="1">
      <alignment horizontal="center" wrapText="1"/>
    </xf>
    <xf numFmtId="0" fontId="17" fillId="0" borderId="22" xfId="1" applyFont="1" applyBorder="1" applyAlignment="1" applyProtection="1">
      <alignment horizontal="center" wrapText="1" readingOrder="1"/>
      <protection locked="0"/>
    </xf>
    <xf numFmtId="0" fontId="17" fillId="0" borderId="8" xfId="1" applyFont="1" applyBorder="1" applyAlignment="1" applyProtection="1">
      <alignment horizontal="left" vertical="top" wrapText="1" readingOrder="1"/>
      <protection locked="0"/>
    </xf>
    <xf numFmtId="166" fontId="17" fillId="0" borderId="23" xfId="1" applyNumberFormat="1" applyFont="1" applyBorder="1" applyAlignment="1" applyProtection="1">
      <alignment horizontal="right" wrapText="1" readingOrder="1"/>
      <protection locked="0"/>
    </xf>
    <xf numFmtId="0" fontId="0" fillId="0" borderId="27" xfId="0" applyBorder="1" applyAlignment="1">
      <alignment horizontal="right" wrapText="1" readingOrder="1"/>
    </xf>
    <xf numFmtId="0" fontId="0" fillId="0" borderId="34" xfId="0" applyBorder="1" applyAlignment="1">
      <alignment horizontal="right" wrapText="1" readingOrder="1"/>
    </xf>
    <xf numFmtId="166" fontId="17" fillId="0" borderId="23" xfId="1" applyNumberFormat="1" applyFont="1" applyBorder="1" applyAlignment="1" applyProtection="1">
      <alignment horizontal="center" wrapText="1" readingOrder="1"/>
      <protection locked="0"/>
    </xf>
    <xf numFmtId="0" fontId="0" fillId="0" borderId="27" xfId="0" applyBorder="1" applyAlignment="1">
      <alignment horizontal="center" wrapText="1" readingOrder="1"/>
    </xf>
    <xf numFmtId="0" fontId="0" fillId="0" borderId="31" xfId="0" applyBorder="1" applyAlignment="1">
      <alignment horizontal="center" wrapText="1" readingOrder="1"/>
    </xf>
    <xf numFmtId="0" fontId="24" fillId="0" borderId="34" xfId="0" applyFont="1" applyBorder="1" applyAlignment="1">
      <alignment horizontal="center" wrapText="1" readingOrder="1"/>
    </xf>
    <xf numFmtId="0" fontId="17" fillId="0" borderId="22" xfId="1" applyFont="1" applyBorder="1" applyAlignment="1" applyProtection="1">
      <alignment horizontal="left" vertical="top" wrapText="1" readingOrder="1"/>
      <protection locked="0"/>
    </xf>
    <xf numFmtId="0" fontId="17" fillId="0" borderId="27" xfId="1" applyFont="1" applyBorder="1" applyAlignment="1" applyProtection="1">
      <alignment horizontal="left" vertical="top" wrapText="1" readingOrder="1"/>
      <protection locked="0"/>
    </xf>
    <xf numFmtId="0" fontId="0" fillId="0" borderId="31" xfId="0" applyBorder="1" applyAlignment="1">
      <alignment horizontal="left" vertical="top" wrapText="1" readingOrder="1"/>
    </xf>
    <xf numFmtId="0" fontId="17" fillId="0" borderId="23" xfId="1" applyFont="1" applyBorder="1" applyAlignment="1">
      <alignment horizontal="center" vertical="center" wrapText="1" readingOrder="1"/>
    </xf>
    <xf numFmtId="0" fontId="0" fillId="0" borderId="34" xfId="0" applyBorder="1" applyAlignment="1">
      <alignment horizontal="center" vertical="center" wrapText="1" readingOrder="1"/>
    </xf>
    <xf numFmtId="166" fontId="17" fillId="0" borderId="23" xfId="1" applyNumberFormat="1" applyFont="1" applyBorder="1" applyAlignment="1" applyProtection="1">
      <alignment horizontal="right" vertical="center" wrapText="1" readingOrder="1"/>
      <protection locked="0"/>
    </xf>
    <xf numFmtId="0" fontId="0" fillId="0" borderId="34" xfId="0" applyBorder="1" applyAlignment="1">
      <alignment horizontal="right" vertical="center" wrapText="1" readingOrder="1"/>
    </xf>
    <xf numFmtId="166" fontId="17" fillId="0" borderId="23" xfId="1" applyNumberFormat="1" applyFont="1" applyBorder="1" applyAlignment="1" applyProtection="1">
      <alignment horizontal="center" vertical="center" wrapText="1" readingOrder="1"/>
      <protection locked="0"/>
    </xf>
    <xf numFmtId="0" fontId="0" fillId="0" borderId="31" xfId="0" applyBorder="1" applyAlignment="1">
      <alignment horizontal="center" vertical="center" wrapText="1" readingOrder="1"/>
    </xf>
    <xf numFmtId="0" fontId="29" fillId="2" borderId="54" xfId="0" applyFont="1" applyFill="1" applyBorder="1" applyAlignment="1">
      <alignment horizontal="center" vertical="center" wrapText="1" readingOrder="1"/>
    </xf>
    <xf numFmtId="0" fontId="29" fillId="2" borderId="49" xfId="0" applyFont="1" applyFill="1" applyBorder="1" applyAlignment="1">
      <alignment horizontal="center" vertical="center" wrapText="1" readingOrder="1"/>
    </xf>
    <xf numFmtId="0" fontId="29" fillId="2" borderId="45" xfId="0" applyFont="1" applyFill="1" applyBorder="1" applyAlignment="1">
      <alignment horizontal="center" vertical="center" wrapText="1" readingOrder="1"/>
    </xf>
    <xf numFmtId="0" fontId="17" fillId="0" borderId="23" xfId="0" applyFont="1" applyBorder="1" applyAlignment="1">
      <alignment horizontal="left" vertical="center" wrapText="1"/>
    </xf>
    <xf numFmtId="0" fontId="17" fillId="0" borderId="27" xfId="0" applyFont="1" applyBorder="1" applyAlignment="1">
      <alignment horizontal="left" vertical="center" wrapText="1"/>
    </xf>
    <xf numFmtId="0" fontId="17" fillId="0" borderId="46" xfId="0" applyFont="1" applyBorder="1" applyAlignment="1">
      <alignment horizontal="center" vertical="center" wrapText="1"/>
    </xf>
    <xf numFmtId="0" fontId="17" fillId="0" borderId="0" xfId="0" applyFont="1" applyAlignment="1">
      <alignment horizontal="center" vertical="center" wrapText="1"/>
    </xf>
    <xf numFmtId="0" fontId="29" fillId="21" borderId="29" xfId="0" applyFont="1" applyFill="1" applyBorder="1" applyAlignment="1">
      <alignment horizontal="center" vertical="center" wrapText="1" readingOrder="1"/>
    </xf>
    <xf numFmtId="0" fontId="29" fillId="21" borderId="52" xfId="0" applyFont="1" applyFill="1" applyBorder="1" applyAlignment="1">
      <alignment horizontal="center" vertical="center" wrapText="1" readingOrder="1"/>
    </xf>
    <xf numFmtId="0" fontId="29" fillId="21" borderId="44" xfId="0" applyFont="1" applyFill="1" applyBorder="1" applyAlignment="1">
      <alignment horizontal="center" vertical="center" wrapText="1" readingOrder="1"/>
    </xf>
    <xf numFmtId="0" fontId="31" fillId="21" borderId="28" xfId="0" applyFont="1" applyFill="1" applyBorder="1" applyAlignment="1">
      <alignment horizontal="center" vertical="center" wrapText="1"/>
    </xf>
    <xf numFmtId="0" fontId="31" fillId="21" borderId="49" xfId="0" applyFont="1" applyFill="1" applyBorder="1" applyAlignment="1">
      <alignment horizontal="center" vertical="center" wrapText="1"/>
    </xf>
    <xf numFmtId="0" fontId="31" fillId="21" borderId="45" xfId="0" applyFont="1" applyFill="1" applyBorder="1" applyAlignment="1">
      <alignment horizontal="center" vertical="center" wrapText="1"/>
    </xf>
    <xf numFmtId="0" fontId="75" fillId="0" borderId="29" xfId="0" applyFont="1" applyBorder="1" applyAlignment="1">
      <alignment horizontal="center" vertical="center"/>
    </xf>
    <xf numFmtId="0" fontId="75" fillId="0" borderId="52" xfId="0" applyFont="1" applyBorder="1" applyAlignment="1">
      <alignment horizontal="center" vertical="center"/>
    </xf>
    <xf numFmtId="0" fontId="75" fillId="0" borderId="44" xfId="0" applyFont="1" applyBorder="1" applyAlignment="1">
      <alignment horizontal="center" vertical="center"/>
    </xf>
    <xf numFmtId="0" fontId="29" fillId="8" borderId="60" xfId="0" applyFont="1" applyFill="1" applyBorder="1" applyAlignment="1">
      <alignment horizontal="center" vertical="center" wrapText="1" readingOrder="1"/>
    </xf>
    <xf numFmtId="0" fontId="29" fillId="8" borderId="43" xfId="0" applyFont="1" applyFill="1" applyBorder="1" applyAlignment="1">
      <alignment horizontal="center" vertical="center" wrapText="1" readingOrder="1"/>
    </xf>
    <xf numFmtId="0" fontId="29" fillId="8" borderId="36" xfId="0" applyFont="1" applyFill="1" applyBorder="1" applyAlignment="1">
      <alignment horizontal="center" vertical="center" wrapText="1" readingOrder="1"/>
    </xf>
    <xf numFmtId="0" fontId="29" fillId="21" borderId="28" xfId="0" applyFont="1" applyFill="1" applyBorder="1" applyAlignment="1">
      <alignment horizontal="center" vertical="center" wrapText="1" readingOrder="1"/>
    </xf>
    <xf numFmtId="0" fontId="29" fillId="21" borderId="49" xfId="0" applyFont="1" applyFill="1" applyBorder="1" applyAlignment="1">
      <alignment horizontal="center" vertical="center" wrapText="1" readingOrder="1"/>
    </xf>
    <xf numFmtId="0" fontId="29" fillId="21" borderId="45" xfId="0" applyFont="1" applyFill="1" applyBorder="1" applyAlignment="1">
      <alignment horizontal="center" vertical="center" wrapText="1" readingOrder="1"/>
    </xf>
    <xf numFmtId="0" fontId="75" fillId="0" borderId="46" xfId="0" applyFont="1" applyBorder="1" applyAlignment="1">
      <alignment horizontal="center"/>
    </xf>
    <xf numFmtId="0" fontId="75" fillId="0" borderId="40" xfId="0" applyFont="1" applyBorder="1" applyAlignment="1">
      <alignment horizontal="center"/>
    </xf>
    <xf numFmtId="0" fontId="31" fillId="0" borderId="43" xfId="0" applyFont="1" applyBorder="1" applyAlignment="1">
      <alignment horizontal="center" vertical="center" wrapText="1" readingOrder="1"/>
    </xf>
    <xf numFmtId="0" fontId="23" fillId="0" borderId="24" xfId="0" applyFont="1" applyBorder="1" applyAlignment="1">
      <alignment horizontal="center" vertical="center"/>
    </xf>
    <xf numFmtId="0" fontId="75" fillId="0" borderId="46" xfId="0" applyFont="1" applyBorder="1" applyAlignment="1">
      <alignment horizontal="center" vertical="center"/>
    </xf>
    <xf numFmtId="0" fontId="75" fillId="0" borderId="40" xfId="0" applyFont="1" applyBorder="1" applyAlignment="1">
      <alignment horizontal="center" vertical="center"/>
    </xf>
    <xf numFmtId="0" fontId="23" fillId="0" borderId="59" xfId="0" applyFont="1" applyBorder="1" applyAlignment="1">
      <alignment horizontal="center" vertical="center"/>
    </xf>
    <xf numFmtId="0" fontId="68" fillId="10" borderId="27" xfId="0" applyFont="1" applyFill="1" applyBorder="1" applyAlignment="1">
      <alignment horizontal="center" vertical="center" wrapText="1"/>
    </xf>
    <xf numFmtId="0" fontId="68" fillId="26" borderId="30" xfId="0" applyFont="1" applyFill="1" applyBorder="1" applyAlignment="1">
      <alignment horizontal="center" vertical="center" wrapText="1"/>
    </xf>
    <xf numFmtId="0" fontId="68" fillId="26" borderId="59" xfId="0" applyFont="1" applyFill="1" applyBorder="1" applyAlignment="1">
      <alignment horizontal="center" vertical="center" wrapText="1"/>
    </xf>
    <xf numFmtId="0" fontId="17" fillId="0" borderId="24" xfId="0" applyFont="1" applyBorder="1" applyAlignment="1">
      <alignment horizontal="center" vertical="center" wrapText="1"/>
    </xf>
    <xf numFmtId="0" fontId="85" fillId="26" borderId="30" xfId="0" applyFont="1" applyFill="1" applyBorder="1" applyAlignment="1">
      <alignment horizontal="center" vertical="center" wrapText="1"/>
    </xf>
    <xf numFmtId="0" fontId="85" fillId="26" borderId="59" xfId="0" applyFont="1" applyFill="1" applyBorder="1" applyAlignment="1">
      <alignment horizontal="center" vertical="center" wrapText="1"/>
    </xf>
    <xf numFmtId="0" fontId="0" fillId="0" borderId="23" xfId="0" applyBorder="1" applyAlignment="1">
      <alignment horizontal="center" vertical="center" wrapText="1"/>
    </xf>
    <xf numFmtId="0" fontId="0" fillId="0" borderId="27" xfId="0" applyBorder="1" applyAlignment="1">
      <alignment horizontal="center" vertical="center" wrapText="1"/>
    </xf>
    <xf numFmtId="0" fontId="0" fillId="0" borderId="34" xfId="0" applyBorder="1" applyAlignment="1">
      <alignment horizontal="center" vertical="center" wrapText="1"/>
    </xf>
    <xf numFmtId="0" fontId="0" fillId="0" borderId="23" xfId="0" applyBorder="1" applyAlignment="1">
      <alignment horizontal="center" wrapText="1"/>
    </xf>
    <xf numFmtId="0" fontId="0" fillId="0" borderId="27" xfId="0" applyBorder="1" applyAlignment="1">
      <alignment horizontal="center" wrapText="1"/>
    </xf>
    <xf numFmtId="0" fontId="0" fillId="0" borderId="34" xfId="0" applyBorder="1" applyAlignment="1">
      <alignment horizontal="center" wrapText="1"/>
    </xf>
    <xf numFmtId="0" fontId="0" fillId="0" borderId="23" xfId="0" applyBorder="1" applyAlignment="1">
      <alignment horizontal="center" vertical="top" wrapText="1"/>
    </xf>
    <xf numFmtId="0" fontId="0" fillId="0" borderId="27" xfId="0" applyBorder="1" applyAlignment="1">
      <alignment horizontal="center" vertical="top" wrapText="1"/>
    </xf>
    <xf numFmtId="0" fontId="0" fillId="0" borderId="34" xfId="0" applyBorder="1" applyAlignment="1">
      <alignment horizontal="center" vertical="top" wrapText="1"/>
    </xf>
    <xf numFmtId="0" fontId="68" fillId="10" borderId="22" xfId="0" applyFont="1" applyFill="1" applyBorder="1" applyAlignment="1">
      <alignment horizontal="center" vertical="center" wrapText="1"/>
    </xf>
    <xf numFmtId="0" fontId="68" fillId="26" borderId="29" xfId="0" applyFont="1" applyFill="1" applyBorder="1" applyAlignment="1">
      <alignment horizontal="center" vertical="center" wrapText="1"/>
    </xf>
    <xf numFmtId="0" fontId="68" fillId="26" borderId="44" xfId="0" applyFont="1" applyFill="1" applyBorder="1" applyAlignment="1">
      <alignment horizontal="center" vertical="center" wrapText="1"/>
    </xf>
    <xf numFmtId="0" fontId="68" fillId="10" borderId="23" xfId="0" applyFont="1" applyFill="1" applyBorder="1" applyAlignment="1">
      <alignment horizontal="center" vertical="center" wrapText="1"/>
    </xf>
    <xf numFmtId="0" fontId="17" fillId="26" borderId="30" xfId="1" quotePrefix="1" applyFont="1" applyFill="1" applyBorder="1" applyAlignment="1" applyProtection="1">
      <alignment horizontal="center" vertical="center" wrapText="1" readingOrder="1"/>
      <protection locked="0"/>
    </xf>
    <xf numFmtId="0" fontId="17" fillId="26" borderId="0" xfId="1" quotePrefix="1" applyFont="1" applyFill="1" applyAlignment="1" applyProtection="1">
      <alignment horizontal="center" vertical="center" wrapText="1" readingOrder="1"/>
      <protection locked="0"/>
    </xf>
    <xf numFmtId="0" fontId="17" fillId="26" borderId="59" xfId="1" quotePrefix="1" applyFont="1" applyFill="1" applyBorder="1" applyAlignment="1" applyProtection="1">
      <alignment horizontal="center" vertical="center" wrapText="1" readingOrder="1"/>
      <protection locked="0"/>
    </xf>
    <xf numFmtId="0" fontId="31" fillId="26" borderId="49" xfId="1" applyFont="1" applyFill="1" applyBorder="1" applyAlignment="1" applyProtection="1">
      <alignment horizontal="center" vertical="center" wrapText="1" readingOrder="1"/>
      <protection locked="0"/>
    </xf>
    <xf numFmtId="0" fontId="31" fillId="26" borderId="45" xfId="1" applyFont="1" applyFill="1" applyBorder="1" applyAlignment="1" applyProtection="1">
      <alignment horizontal="center" vertical="center" wrapText="1" readingOrder="1"/>
      <protection locked="0"/>
    </xf>
    <xf numFmtId="0" fontId="68" fillId="10" borderId="26" xfId="0" applyFont="1" applyFill="1" applyBorder="1" applyAlignment="1">
      <alignment horizontal="center" vertical="center" wrapText="1"/>
    </xf>
    <xf numFmtId="0" fontId="68" fillId="10" borderId="30" xfId="0" applyFont="1" applyFill="1" applyBorder="1" applyAlignment="1">
      <alignment horizontal="center" vertical="center" wrapText="1"/>
    </xf>
    <xf numFmtId="0" fontId="68" fillId="26" borderId="30" xfId="0" applyFont="1" applyFill="1" applyBorder="1" applyAlignment="1">
      <alignment horizontal="left" vertical="center" wrapText="1"/>
    </xf>
    <xf numFmtId="0" fontId="68" fillId="26" borderId="59" xfId="0" applyFont="1" applyFill="1" applyBorder="1" applyAlignment="1">
      <alignment horizontal="left" vertical="center" wrapText="1"/>
    </xf>
    <xf numFmtId="0" fontId="3" fillId="0" borderId="23" xfId="0" applyFont="1" applyBorder="1" applyAlignment="1">
      <alignment horizontal="center" vertical="top" wrapText="1"/>
    </xf>
    <xf numFmtId="0" fontId="3" fillId="0" borderId="34" xfId="0" applyFont="1" applyBorder="1" applyAlignment="1">
      <alignment horizontal="center" vertical="top" wrapText="1"/>
    </xf>
    <xf numFmtId="0" fontId="3" fillId="26" borderId="28" xfId="0" applyFont="1" applyFill="1" applyBorder="1" applyAlignment="1">
      <alignment horizontal="center" vertical="top" wrapText="1"/>
    </xf>
    <xf numFmtId="0" fontId="3" fillId="26" borderId="45" xfId="0" applyFont="1" applyFill="1" applyBorder="1" applyAlignment="1">
      <alignment horizontal="center" vertical="top" wrapText="1"/>
    </xf>
    <xf numFmtId="0" fontId="24" fillId="8" borderId="24" xfId="0" applyFont="1" applyFill="1" applyBorder="1" applyAlignment="1">
      <alignment horizontal="center" vertical="center" wrapText="1" readingOrder="1"/>
    </xf>
    <xf numFmtId="0" fontId="0" fillId="26" borderId="29" xfId="0" applyFill="1" applyBorder="1" applyAlignment="1">
      <alignment horizontal="center" vertical="center" wrapText="1"/>
    </xf>
    <xf numFmtId="0" fontId="0" fillId="26" borderId="44" xfId="0" applyFill="1" applyBorder="1" applyAlignment="1">
      <alignment horizontal="center" vertical="center" wrapText="1"/>
    </xf>
    <xf numFmtId="0" fontId="0" fillId="0" borderId="46" xfId="0" applyBorder="1" applyAlignment="1">
      <alignment horizontal="center" vertical="center" wrapText="1"/>
    </xf>
    <xf numFmtId="0" fontId="0" fillId="0" borderId="0" xfId="0" applyAlignment="1">
      <alignment horizontal="center" vertical="center" wrapText="1"/>
    </xf>
    <xf numFmtId="0" fontId="0" fillId="0" borderId="52" xfId="0" applyBorder="1" applyAlignment="1">
      <alignment horizontal="center" vertical="center" wrapText="1"/>
    </xf>
    <xf numFmtId="0" fontId="24" fillId="8" borderId="59" xfId="0" applyFont="1" applyFill="1" applyBorder="1" applyAlignment="1">
      <alignment horizontal="center" vertical="center" wrapText="1" readingOrder="1"/>
    </xf>
    <xf numFmtId="0" fontId="24" fillId="8" borderId="44" xfId="0" applyFont="1" applyFill="1" applyBorder="1" applyAlignment="1">
      <alignment horizontal="center" vertical="center" wrapText="1" readingOrder="1"/>
    </xf>
    <xf numFmtId="0" fontId="24" fillId="8" borderId="23" xfId="0" applyFont="1" applyFill="1" applyBorder="1" applyAlignment="1">
      <alignment horizontal="center" vertical="center" wrapText="1" readingOrder="1"/>
    </xf>
    <xf numFmtId="0" fontId="24" fillId="8" borderId="27" xfId="0" applyFont="1" applyFill="1" applyBorder="1" applyAlignment="1">
      <alignment horizontal="center" vertical="center" wrapText="1" readingOrder="1"/>
    </xf>
    <xf numFmtId="0" fontId="24" fillId="8" borderId="34" xfId="0" applyFont="1" applyFill="1" applyBorder="1" applyAlignment="1">
      <alignment horizontal="center" vertical="center" wrapText="1" readingOrder="1"/>
    </xf>
    <xf numFmtId="0" fontId="3" fillId="26" borderId="29" xfId="0" applyFont="1" applyFill="1" applyBorder="1" applyAlignment="1">
      <alignment horizontal="center" vertical="center" wrapText="1"/>
    </xf>
    <xf numFmtId="0" fontId="3" fillId="26" borderId="52" xfId="0" applyFont="1" applyFill="1" applyBorder="1" applyAlignment="1">
      <alignment horizontal="center" vertical="center" wrapText="1"/>
    </xf>
    <xf numFmtId="0" fontId="3" fillId="26" borderId="44" xfId="0" applyFont="1" applyFill="1" applyBorder="1" applyAlignment="1">
      <alignment horizontal="center" vertical="center" wrapText="1"/>
    </xf>
    <xf numFmtId="0" fontId="3" fillId="26" borderId="0" xfId="0" applyFont="1" applyFill="1" applyAlignment="1">
      <alignment horizontal="center" vertical="center" wrapText="1"/>
    </xf>
    <xf numFmtId="0" fontId="3" fillId="26" borderId="59" xfId="0" applyFont="1" applyFill="1" applyBorder="1" applyAlignment="1">
      <alignment horizontal="center" vertical="center" wrapText="1"/>
    </xf>
    <xf numFmtId="0" fontId="0" fillId="26" borderId="30" xfId="0" applyFill="1" applyBorder="1" applyAlignment="1">
      <alignment horizontal="center" vertical="center" wrapText="1"/>
    </xf>
    <xf numFmtId="0" fontId="0" fillId="26" borderId="59" xfId="0" applyFill="1" applyBorder="1" applyAlignment="1">
      <alignment horizontal="center" vertical="center" wrapText="1"/>
    </xf>
    <xf numFmtId="0" fontId="0" fillId="0" borderId="40" xfId="0" applyBorder="1" applyAlignment="1">
      <alignment horizontal="center" vertical="center" wrapText="1"/>
    </xf>
    <xf numFmtId="0" fontId="0" fillId="0" borderId="59" xfId="0" applyBorder="1" applyAlignment="1">
      <alignment horizontal="center" vertical="center" wrapText="1"/>
    </xf>
    <xf numFmtId="0" fontId="3" fillId="26" borderId="30" xfId="0" applyFont="1" applyFill="1" applyBorder="1" applyAlignment="1">
      <alignment horizontal="center" vertical="center" wrapText="1"/>
    </xf>
    <xf numFmtId="0" fontId="29" fillId="8" borderId="23" xfId="0" applyFont="1" applyFill="1" applyBorder="1" applyAlignment="1">
      <alignment horizontal="center" vertical="center" wrapText="1" readingOrder="1"/>
    </xf>
    <xf numFmtId="0" fontId="29" fillId="8" borderId="34" xfId="0" applyFont="1" applyFill="1" applyBorder="1" applyAlignment="1">
      <alignment horizontal="center" vertical="center" wrapText="1" readingOrder="1"/>
    </xf>
    <xf numFmtId="0" fontId="17" fillId="0" borderId="23" xfId="0" applyFont="1" applyBorder="1" applyAlignment="1">
      <alignment horizontal="center" vertical="center" wrapText="1"/>
    </xf>
    <xf numFmtId="0" fontId="17" fillId="0" borderId="34" xfId="0" applyFont="1" applyBorder="1" applyAlignment="1">
      <alignment horizontal="center" vertical="center" wrapText="1"/>
    </xf>
    <xf numFmtId="0" fontId="17" fillId="26" borderId="30" xfId="0" applyFont="1" applyFill="1" applyBorder="1" applyAlignment="1">
      <alignment horizontal="center" vertical="center" wrapText="1"/>
    </xf>
    <xf numFmtId="0" fontId="17" fillId="26" borderId="59" xfId="0" applyFont="1" applyFill="1" applyBorder="1" applyAlignment="1">
      <alignment horizontal="center" vertical="center" wrapText="1"/>
    </xf>
    <xf numFmtId="0" fontId="31" fillId="26" borderId="30" xfId="0" applyFont="1" applyFill="1" applyBorder="1" applyAlignment="1">
      <alignment horizontal="center" vertical="center" wrapText="1"/>
    </xf>
    <xf numFmtId="0" fontId="31" fillId="26" borderId="59" xfId="0" applyFont="1" applyFill="1" applyBorder="1" applyAlignment="1">
      <alignment horizontal="center" vertical="center" wrapText="1"/>
    </xf>
    <xf numFmtId="0" fontId="31" fillId="26" borderId="28" xfId="0" applyFont="1" applyFill="1" applyBorder="1" applyAlignment="1">
      <alignment horizontal="center" vertical="center" wrapText="1"/>
    </xf>
    <xf numFmtId="0" fontId="31" fillId="26" borderId="45" xfId="0" applyFont="1" applyFill="1" applyBorder="1" applyAlignment="1">
      <alignment horizontal="center" vertical="center" wrapText="1"/>
    </xf>
    <xf numFmtId="0" fontId="31" fillId="26" borderId="28" xfId="1" applyFont="1" applyFill="1" applyBorder="1" applyAlignment="1" applyProtection="1">
      <alignment horizontal="center" vertical="center" wrapText="1" readingOrder="1"/>
      <protection locked="0"/>
    </xf>
    <xf numFmtId="0" fontId="29" fillId="8" borderId="27" xfId="0" applyFont="1" applyFill="1" applyBorder="1" applyAlignment="1">
      <alignment horizontal="center" vertical="center" wrapText="1" readingOrder="1"/>
    </xf>
    <xf numFmtId="0" fontId="17" fillId="0" borderId="27" xfId="0" applyFont="1" applyBorder="1" applyAlignment="1">
      <alignment horizontal="center" vertical="center" wrapText="1"/>
    </xf>
    <xf numFmtId="0" fontId="24" fillId="8" borderId="40" xfId="0" applyFont="1" applyFill="1" applyBorder="1" applyAlignment="1">
      <alignment horizontal="center" vertical="center" wrapText="1" readingOrder="1"/>
    </xf>
    <xf numFmtId="0" fontId="23" fillId="0" borderId="40" xfId="0" applyFont="1" applyBorder="1" applyAlignment="1">
      <alignment horizontal="center" vertical="center" wrapText="1"/>
    </xf>
    <xf numFmtId="0" fontId="23" fillId="0" borderId="59" xfId="0" applyFont="1" applyBorder="1" applyAlignment="1">
      <alignment horizontal="center" vertical="center" wrapText="1"/>
    </xf>
    <xf numFmtId="0" fontId="23" fillId="26" borderId="0" xfId="0" applyFont="1" applyFill="1" applyAlignment="1">
      <alignment horizontal="center" vertical="center" wrapText="1"/>
    </xf>
    <xf numFmtId="0" fontId="23" fillId="26" borderId="59" xfId="0" applyFont="1" applyFill="1" applyBorder="1" applyAlignment="1">
      <alignment horizontal="center" vertical="center" wrapText="1"/>
    </xf>
    <xf numFmtId="0" fontId="48" fillId="0" borderId="23" xfId="0" applyFont="1" applyBorder="1" applyAlignment="1">
      <alignment horizontal="center" vertical="center" wrapText="1"/>
    </xf>
    <xf numFmtId="0" fontId="48" fillId="0" borderId="27" xfId="0" applyFont="1" applyBorder="1" applyAlignment="1">
      <alignment horizontal="center" vertical="center" wrapText="1"/>
    </xf>
    <xf numFmtId="0" fontId="48" fillId="0" borderId="34" xfId="0" applyFont="1" applyBorder="1" applyAlignment="1">
      <alignment horizontal="center" vertical="center" wrapText="1"/>
    </xf>
    <xf numFmtId="0" fontId="75" fillId="21" borderId="49" xfId="0" applyFont="1" applyFill="1" applyBorder="1" applyAlignment="1">
      <alignment horizontal="center" vertical="center" wrapText="1"/>
    </xf>
    <xf numFmtId="0" fontId="75" fillId="21" borderId="45" xfId="0" applyFont="1" applyFill="1" applyBorder="1" applyAlignment="1">
      <alignment horizontal="center" vertical="center" wrapText="1"/>
    </xf>
    <xf numFmtId="0" fontId="29" fillId="8" borderId="24" xfId="0" applyFont="1" applyFill="1" applyBorder="1" applyAlignment="1">
      <alignment horizontal="center" vertical="center" wrapText="1" readingOrder="1"/>
    </xf>
    <xf numFmtId="0" fontId="23" fillId="0" borderId="23" xfId="0" applyFont="1" applyBorder="1" applyAlignment="1">
      <alignment vertical="center" wrapText="1"/>
    </xf>
    <xf numFmtId="0" fontId="23" fillId="0" borderId="27" xfId="0" applyFont="1" applyBorder="1" applyAlignment="1">
      <alignment vertical="center" wrapText="1"/>
    </xf>
    <xf numFmtId="0" fontId="23" fillId="0" borderId="34" xfId="0" applyFont="1" applyBorder="1" applyAlignment="1">
      <alignment vertical="center" wrapText="1"/>
    </xf>
    <xf numFmtId="0" fontId="29" fillId="26" borderId="28" xfId="0" applyFont="1" applyFill="1" applyBorder="1" applyAlignment="1">
      <alignment horizontal="center" vertical="center" wrapText="1" readingOrder="1"/>
    </xf>
    <xf numFmtId="0" fontId="29" fillId="26" borderId="49" xfId="0" applyFont="1" applyFill="1" applyBorder="1" applyAlignment="1">
      <alignment horizontal="center" vertical="center" wrapText="1" readingOrder="1"/>
    </xf>
    <xf numFmtId="0" fontId="17" fillId="0" borderId="40" xfId="0" applyFont="1" applyBorder="1" applyAlignment="1">
      <alignment horizontal="center" vertical="center" wrapText="1"/>
    </xf>
    <xf numFmtId="0" fontId="17" fillId="0" borderId="59" xfId="0" applyFont="1" applyBorder="1" applyAlignment="1">
      <alignment horizontal="center" vertical="center" wrapText="1"/>
    </xf>
    <xf numFmtId="0" fontId="17" fillId="0" borderId="44" xfId="0" applyFont="1" applyBorder="1" applyAlignment="1">
      <alignment horizontal="center" vertical="center" wrapText="1"/>
    </xf>
    <xf numFmtId="0" fontId="29" fillId="8" borderId="59" xfId="0" applyFont="1" applyFill="1" applyBorder="1" applyAlignment="1">
      <alignment horizontal="center" vertical="center" wrapText="1" readingOrder="1"/>
    </xf>
    <xf numFmtId="0" fontId="31" fillId="26" borderId="49" xfId="0" applyFont="1" applyFill="1" applyBorder="1" applyAlignment="1">
      <alignment horizontal="center" wrapText="1"/>
    </xf>
    <xf numFmtId="0" fontId="29" fillId="0" borderId="0" xfId="0" applyFont="1" applyAlignment="1">
      <alignment horizontal="center" vertical="center" wrapText="1" readingOrder="1"/>
    </xf>
    <xf numFmtId="0" fontId="29" fillId="0" borderId="52" xfId="0" applyFont="1" applyBorder="1" applyAlignment="1">
      <alignment horizontal="center" vertical="center" wrapText="1" readingOrder="1"/>
    </xf>
    <xf numFmtId="0" fontId="31" fillId="0" borderId="40" xfId="0" applyFont="1" applyBorder="1" applyAlignment="1">
      <alignment horizontal="center" wrapText="1"/>
    </xf>
    <xf numFmtId="0" fontId="31" fillId="0" borderId="59" xfId="0" applyFont="1" applyBorder="1" applyAlignment="1">
      <alignment horizontal="center" wrapText="1"/>
    </xf>
    <xf numFmtId="0" fontId="31" fillId="0" borderId="44" xfId="0" applyFont="1" applyBorder="1" applyAlignment="1">
      <alignment horizontal="center" wrapText="1"/>
    </xf>
    <xf numFmtId="0" fontId="17" fillId="10" borderId="23" xfId="0" applyFont="1" applyFill="1" applyBorder="1" applyAlignment="1">
      <alignment horizontal="center" vertical="center" wrapText="1"/>
    </xf>
    <xf numFmtId="0" fontId="17" fillId="10" borderId="27" xfId="0" applyFont="1" applyFill="1" applyBorder="1" applyAlignment="1">
      <alignment horizontal="center" vertical="center" wrapText="1"/>
    </xf>
    <xf numFmtId="0" fontId="17" fillId="10" borderId="34" xfId="0" applyFont="1" applyFill="1" applyBorder="1" applyAlignment="1">
      <alignment horizontal="center" vertical="center" wrapText="1"/>
    </xf>
    <xf numFmtId="0" fontId="3" fillId="21" borderId="28" xfId="0" applyFont="1" applyFill="1" applyBorder="1" applyAlignment="1">
      <alignment horizontal="center" vertical="center" wrapText="1"/>
    </xf>
    <xf numFmtId="0" fontId="3" fillId="21" borderId="49" xfId="0" applyFont="1" applyFill="1" applyBorder="1" applyAlignment="1">
      <alignment horizontal="center" vertical="center" wrapText="1"/>
    </xf>
    <xf numFmtId="0" fontId="3" fillId="21" borderId="45" xfId="0" applyFont="1" applyFill="1" applyBorder="1" applyAlignment="1">
      <alignment horizontal="center" vertical="center" wrapText="1"/>
    </xf>
    <xf numFmtId="9" fontId="63" fillId="21" borderId="28" xfId="0" applyNumberFormat="1" applyFont="1" applyFill="1" applyBorder="1" applyAlignment="1">
      <alignment horizontal="left" vertical="center" readingOrder="1"/>
    </xf>
    <xf numFmtId="0" fontId="24" fillId="21" borderId="49" xfId="0" applyFont="1" applyFill="1" applyBorder="1" applyAlignment="1">
      <alignment horizontal="left" vertical="center"/>
    </xf>
    <xf numFmtId="0" fontId="24" fillId="21" borderId="45" xfId="0" applyFont="1" applyFill="1" applyBorder="1" applyAlignment="1">
      <alignment horizontal="left" vertical="center"/>
    </xf>
    <xf numFmtId="0" fontId="41" fillId="7" borderId="19" xfId="0" applyFont="1" applyFill="1" applyBorder="1" applyAlignment="1">
      <alignment horizontal="left" vertical="center" wrapText="1"/>
    </xf>
    <xf numFmtId="0" fontId="41" fillId="7" borderId="6" xfId="0" applyFont="1" applyFill="1" applyBorder="1" applyAlignment="1">
      <alignment horizontal="left" vertical="center" wrapText="1"/>
    </xf>
    <xf numFmtId="0" fontId="41" fillId="7" borderId="7" xfId="0" applyFont="1" applyFill="1" applyBorder="1" applyAlignment="1">
      <alignment horizontal="left" vertical="center" wrapText="1"/>
    </xf>
    <xf numFmtId="0" fontId="82" fillId="0" borderId="23" xfId="0" applyFont="1" applyBorder="1" applyAlignment="1">
      <alignment horizontal="center" vertical="center" wrapText="1"/>
    </xf>
    <xf numFmtId="0" fontId="82" fillId="0" borderId="27" xfId="0" applyFont="1" applyBorder="1" applyAlignment="1">
      <alignment horizontal="center" vertical="center" wrapText="1"/>
    </xf>
    <xf numFmtId="0" fontId="82" fillId="0" borderId="34" xfId="0" applyFont="1" applyBorder="1" applyAlignment="1">
      <alignment horizontal="center" vertical="center" wrapText="1"/>
    </xf>
    <xf numFmtId="0" fontId="83" fillId="26" borderId="28" xfId="0" applyFont="1" applyFill="1" applyBorder="1" applyAlignment="1">
      <alignment horizontal="center" wrapText="1"/>
    </xf>
    <xf numFmtId="0" fontId="83" fillId="26" borderId="45" xfId="0" applyFont="1" applyFill="1" applyBorder="1" applyAlignment="1">
      <alignment horizontal="center" wrapText="1"/>
    </xf>
    <xf numFmtId="0" fontId="82" fillId="0" borderId="23" xfId="0" applyFont="1" applyBorder="1" applyAlignment="1">
      <alignment horizontal="center" wrapText="1"/>
    </xf>
    <xf numFmtId="0" fontId="82" fillId="0" borderId="34" xfId="0" applyFont="1" applyBorder="1" applyAlignment="1">
      <alignment horizontal="center" wrapText="1"/>
    </xf>
    <xf numFmtId="0" fontId="75" fillId="26" borderId="28" xfId="0" applyFont="1" applyFill="1" applyBorder="1" applyAlignment="1">
      <alignment horizontal="center" vertical="center" wrapText="1"/>
    </xf>
    <xf numFmtId="0" fontId="75" fillId="26" borderId="45" xfId="0" applyFont="1" applyFill="1" applyBorder="1" applyAlignment="1">
      <alignment horizontal="center" vertical="center" wrapText="1"/>
    </xf>
    <xf numFmtId="0" fontId="82" fillId="0" borderId="40" xfId="0" applyFont="1" applyBorder="1" applyAlignment="1">
      <alignment horizontal="left" vertical="top" wrapText="1"/>
    </xf>
    <xf numFmtId="0" fontId="82" fillId="0" borderId="59" xfId="0" applyFont="1" applyBorder="1" applyAlignment="1">
      <alignment horizontal="left" vertical="top" wrapText="1"/>
    </xf>
    <xf numFmtId="0" fontId="29" fillId="8" borderId="60" xfId="0" applyFont="1" applyFill="1" applyBorder="1" applyAlignment="1">
      <alignment horizontal="left" vertical="center" wrapText="1" readingOrder="1"/>
    </xf>
    <xf numFmtId="0" fontId="29" fillId="8" borderId="43" xfId="0" applyFont="1" applyFill="1" applyBorder="1" applyAlignment="1">
      <alignment horizontal="left" vertical="center" wrapText="1" readingOrder="1"/>
    </xf>
    <xf numFmtId="9" fontId="63" fillId="21" borderId="28" xfId="0" applyNumberFormat="1" applyFont="1" applyFill="1" applyBorder="1" applyAlignment="1">
      <alignment horizontal="center" vertical="center" readingOrder="1"/>
    </xf>
    <xf numFmtId="0" fontId="24" fillId="21" borderId="49" xfId="0" applyFont="1" applyFill="1" applyBorder="1" applyAlignment="1">
      <alignment vertical="center" readingOrder="1"/>
    </xf>
    <xf numFmtId="0" fontId="24" fillId="21" borderId="45" xfId="0" applyFont="1" applyFill="1" applyBorder="1" applyAlignment="1">
      <alignment vertical="center" readingOrder="1"/>
    </xf>
    <xf numFmtId="0" fontId="24" fillId="0" borderId="40" xfId="0" applyFont="1" applyBorder="1" applyAlignment="1">
      <alignment horizontal="center" vertical="center" wrapText="1"/>
    </xf>
    <xf numFmtId="0" fontId="24" fillId="0" borderId="59" xfId="0" applyFont="1" applyBorder="1" applyAlignment="1">
      <alignment horizontal="center" vertical="center" wrapText="1"/>
    </xf>
    <xf numFmtId="0" fontId="17" fillId="0" borderId="24" xfId="1" applyFont="1" applyBorder="1" applyAlignment="1">
      <alignment horizontal="center" vertical="center" wrapText="1" readingOrder="1"/>
    </xf>
    <xf numFmtId="0" fontId="41" fillId="7" borderId="10" xfId="0" applyFont="1" applyFill="1" applyBorder="1" applyAlignment="1">
      <alignment horizontal="left" vertical="center" wrapText="1"/>
    </xf>
    <xf numFmtId="0" fontId="41" fillId="7" borderId="3" xfId="0" applyFont="1" applyFill="1" applyBorder="1" applyAlignment="1">
      <alignment horizontal="left" vertical="center" wrapText="1"/>
    </xf>
    <xf numFmtId="0" fontId="41" fillId="7" borderId="4" xfId="0" applyFont="1" applyFill="1" applyBorder="1" applyAlignment="1">
      <alignment horizontal="left" vertical="center" wrapText="1"/>
    </xf>
    <xf numFmtId="0" fontId="29" fillId="21" borderId="6" xfId="0" applyFont="1" applyFill="1" applyBorder="1" applyAlignment="1">
      <alignment horizontal="left" wrapText="1"/>
    </xf>
    <xf numFmtId="0" fontId="29" fillId="21" borderId="6" xfId="0" applyFont="1" applyFill="1" applyBorder="1"/>
    <xf numFmtId="0" fontId="29" fillId="21" borderId="68" xfId="0" applyFont="1" applyFill="1" applyBorder="1"/>
    <xf numFmtId="0" fontId="29" fillId="8" borderId="55" xfId="0" applyFont="1" applyFill="1" applyBorder="1" applyAlignment="1">
      <alignment horizontal="left" vertical="center" wrapText="1" readingOrder="1"/>
    </xf>
    <xf numFmtId="0" fontId="24" fillId="0" borderId="43" xfId="0" applyFont="1" applyBorder="1" applyAlignment="1">
      <alignment horizontal="left" vertical="center" readingOrder="1"/>
    </xf>
    <xf numFmtId="0" fontId="24" fillId="0" borderId="61" xfId="0" applyFont="1" applyBorder="1" applyAlignment="1">
      <alignment horizontal="left" vertical="center" readingOrder="1"/>
    </xf>
    <xf numFmtId="0" fontId="24" fillId="0" borderId="43" xfId="0" applyFont="1" applyBorder="1" applyAlignment="1">
      <alignment horizontal="left" vertical="center" wrapText="1" readingOrder="1"/>
    </xf>
    <xf numFmtId="0" fontId="24" fillId="0" borderId="36" xfId="0" applyFont="1" applyBorder="1" applyAlignment="1">
      <alignment horizontal="left" vertical="center" wrapText="1" readingOrder="1"/>
    </xf>
    <xf numFmtId="0" fontId="29" fillId="0" borderId="57" xfId="0" applyFont="1" applyBorder="1" applyAlignment="1">
      <alignment horizontal="left" vertical="center" wrapText="1" readingOrder="1"/>
    </xf>
    <xf numFmtId="0" fontId="29" fillId="0" borderId="63" xfId="0" applyFont="1" applyBorder="1" applyAlignment="1">
      <alignment vertical="center"/>
    </xf>
    <xf numFmtId="0" fontId="29" fillId="0" borderId="41" xfId="0" applyFont="1" applyBorder="1" applyAlignment="1">
      <alignment vertical="center"/>
    </xf>
    <xf numFmtId="0" fontId="29" fillId="21" borderId="28" xfId="0" applyFont="1" applyFill="1" applyBorder="1" applyAlignment="1">
      <alignment horizontal="left" vertical="center" wrapText="1" readingOrder="1"/>
    </xf>
    <xf numFmtId="0" fontId="24" fillId="21" borderId="49" xfId="0" applyFont="1" applyFill="1" applyBorder="1" applyAlignment="1">
      <alignment vertical="center" wrapText="1"/>
    </xf>
    <xf numFmtId="0" fontId="24" fillId="21" borderId="45" xfId="0" applyFont="1" applyFill="1" applyBorder="1" applyAlignment="1">
      <alignment vertical="center" wrapText="1"/>
    </xf>
    <xf numFmtId="0" fontId="29" fillId="21" borderId="57" xfId="0" applyFont="1" applyFill="1" applyBorder="1" applyAlignment="1">
      <alignment horizontal="left" vertical="center" wrapText="1" readingOrder="1"/>
    </xf>
    <xf numFmtId="0" fontId="29" fillId="21" borderId="63" xfId="0" applyFont="1" applyFill="1" applyBorder="1" applyAlignment="1">
      <alignment vertical="center" wrapText="1" readingOrder="1"/>
    </xf>
    <xf numFmtId="0" fontId="29" fillId="21" borderId="41" xfId="0" applyFont="1" applyFill="1" applyBorder="1" applyAlignment="1">
      <alignment vertical="center" wrapText="1" readingOrder="1"/>
    </xf>
    <xf numFmtId="0" fontId="29" fillId="21" borderId="26" xfId="0" applyFont="1" applyFill="1" applyBorder="1" applyAlignment="1">
      <alignment vertical="center"/>
    </xf>
    <xf numFmtId="0" fontId="29" fillId="21" borderId="46" xfId="0" applyFont="1" applyFill="1" applyBorder="1" applyAlignment="1">
      <alignment vertical="center"/>
    </xf>
    <xf numFmtId="0" fontId="29" fillId="21" borderId="40" xfId="0" applyFont="1" applyFill="1" applyBorder="1" applyAlignment="1">
      <alignment vertical="center"/>
    </xf>
    <xf numFmtId="0" fontId="31" fillId="0" borderId="23" xfId="0" applyFont="1" applyBorder="1" applyAlignment="1">
      <alignment horizontal="center" vertical="center" wrapText="1"/>
    </xf>
    <xf numFmtId="0" fontId="31" fillId="0" borderId="27" xfId="0" applyFont="1" applyBorder="1" applyAlignment="1">
      <alignment horizontal="center" vertical="center" wrapText="1"/>
    </xf>
    <xf numFmtId="0" fontId="17" fillId="0" borderId="23" xfId="1" applyFont="1" applyBorder="1" applyAlignment="1" applyProtection="1">
      <alignment horizontal="center" vertical="center" wrapText="1" readingOrder="1"/>
      <protection locked="0"/>
    </xf>
    <xf numFmtId="0" fontId="17" fillId="0" borderId="27" xfId="1" applyFont="1" applyBorder="1" applyAlignment="1" applyProtection="1">
      <alignment horizontal="center" vertical="center" wrapText="1" readingOrder="1"/>
      <protection locked="0"/>
    </xf>
    <xf numFmtId="0" fontId="17" fillId="0" borderId="34" xfId="1" applyFont="1" applyBorder="1" applyAlignment="1" applyProtection="1">
      <alignment horizontal="center" vertical="center" wrapText="1" readingOrder="1"/>
      <protection locked="0"/>
    </xf>
    <xf numFmtId="0" fontId="27" fillId="3" borderId="19" xfId="0" applyFont="1" applyFill="1" applyBorder="1" applyAlignment="1">
      <alignment horizontal="center" vertical="center"/>
    </xf>
    <xf numFmtId="0" fontId="27" fillId="3" borderId="6" xfId="0" applyFont="1" applyFill="1" applyBorder="1" applyAlignment="1">
      <alignment horizontal="center" vertical="center"/>
    </xf>
    <xf numFmtId="0" fontId="5" fillId="7" borderId="10" xfId="0" applyFont="1" applyFill="1" applyBorder="1" applyAlignment="1">
      <alignment horizontal="left" vertical="center" wrapText="1"/>
    </xf>
    <xf numFmtId="0" fontId="5" fillId="7" borderId="3" xfId="0" applyFont="1" applyFill="1" applyBorder="1" applyAlignment="1">
      <alignment horizontal="left" vertical="center" wrapText="1"/>
    </xf>
    <xf numFmtId="0" fontId="5" fillId="7" borderId="4" xfId="0" applyFont="1" applyFill="1" applyBorder="1" applyAlignment="1">
      <alignment horizontal="left" vertical="center" wrapText="1"/>
    </xf>
    <xf numFmtId="0" fontId="31" fillId="0" borderId="24" xfId="0" applyFont="1" applyBorder="1" applyAlignment="1">
      <alignment horizontal="center" vertical="center" wrapText="1"/>
    </xf>
    <xf numFmtId="0" fontId="5" fillId="3" borderId="3" xfId="0" applyFont="1" applyFill="1" applyBorder="1" applyAlignment="1">
      <alignment horizontal="center" vertical="center" wrapText="1"/>
    </xf>
    <xf numFmtId="0" fontId="24" fillId="0" borderId="24" xfId="0" applyFont="1" applyBorder="1" applyAlignment="1">
      <alignment horizontal="center" vertical="center" wrapText="1"/>
    </xf>
    <xf numFmtId="0" fontId="31" fillId="21" borderId="28" xfId="0" applyFont="1" applyFill="1" applyBorder="1" applyAlignment="1">
      <alignment vertical="center" wrapText="1"/>
    </xf>
    <xf numFmtId="0" fontId="31" fillId="21" borderId="45" xfId="0" applyFont="1" applyFill="1" applyBorder="1" applyAlignment="1">
      <alignment vertical="center" wrapText="1"/>
    </xf>
    <xf numFmtId="0" fontId="29" fillId="21" borderId="71" xfId="0" applyFont="1" applyFill="1" applyBorder="1" applyAlignment="1">
      <alignment horizontal="center" vertical="center" wrapText="1" readingOrder="1"/>
    </xf>
    <xf numFmtId="0" fontId="29" fillId="21" borderId="63" xfId="0" applyFont="1" applyFill="1" applyBorder="1" applyAlignment="1">
      <alignment horizontal="center" vertical="center" wrapText="1" readingOrder="1"/>
    </xf>
    <xf numFmtId="0" fontId="29" fillId="21" borderId="41" xfId="0" applyFont="1" applyFill="1" applyBorder="1" applyAlignment="1">
      <alignment horizontal="center" vertical="center" wrapText="1" readingOrder="1"/>
    </xf>
    <xf numFmtId="0" fontId="17" fillId="0" borderId="24" xfId="0" applyFont="1" applyBorder="1" applyAlignment="1">
      <alignment horizontal="left" vertical="center" wrapText="1"/>
    </xf>
    <xf numFmtId="0" fontId="81" fillId="0" borderId="46" xfId="0" applyFont="1" applyBorder="1" applyAlignment="1">
      <alignment horizontal="center" vertical="center" wrapText="1"/>
    </xf>
    <xf numFmtId="0" fontId="81" fillId="0" borderId="52" xfId="0" applyFont="1" applyBorder="1" applyAlignment="1">
      <alignment horizontal="center" vertical="center" wrapText="1"/>
    </xf>
    <xf numFmtId="170" fontId="17" fillId="0" borderId="23" xfId="0" applyNumberFormat="1" applyFont="1" applyBorder="1" applyAlignment="1">
      <alignment horizontal="center" vertical="center" wrapText="1"/>
    </xf>
    <xf numFmtId="170" fontId="17" fillId="0" borderId="27" xfId="0" applyNumberFormat="1" applyFont="1" applyBorder="1" applyAlignment="1">
      <alignment horizontal="center" vertical="center" wrapText="1"/>
    </xf>
    <xf numFmtId="0" fontId="24" fillId="0" borderId="46" xfId="0" applyFont="1" applyBorder="1" applyAlignment="1">
      <alignment vertical="center" wrapText="1"/>
    </xf>
    <xf numFmtId="0" fontId="24" fillId="0" borderId="52" xfId="0" applyFont="1" applyBorder="1" applyAlignment="1">
      <alignment vertical="center" wrapText="1"/>
    </xf>
    <xf numFmtId="171" fontId="17" fillId="0" borderId="23" xfId="0" applyNumberFormat="1" applyFont="1" applyBorder="1" applyAlignment="1">
      <alignment horizontal="center" vertical="center" wrapText="1"/>
    </xf>
    <xf numFmtId="171" fontId="17" fillId="0" borderId="27" xfId="0" applyNumberFormat="1" applyFont="1" applyBorder="1" applyAlignment="1">
      <alignment horizontal="center" vertical="center" wrapText="1"/>
    </xf>
    <xf numFmtId="171" fontId="17" fillId="0" borderId="34" xfId="0" applyNumberFormat="1" applyFont="1" applyBorder="1" applyAlignment="1">
      <alignment horizontal="center" vertical="center" wrapText="1"/>
    </xf>
    <xf numFmtId="0" fontId="29" fillId="8" borderId="40" xfId="0" applyFont="1" applyFill="1" applyBorder="1" applyAlignment="1">
      <alignment horizontal="left" vertical="center" wrapText="1" readingOrder="1"/>
    </xf>
    <xf numFmtId="0" fontId="24" fillId="0" borderId="59" xfId="0" applyFont="1" applyBorder="1" applyAlignment="1">
      <alignment vertical="center"/>
    </xf>
    <xf numFmtId="0" fontId="24" fillId="0" borderId="44" xfId="0" applyFont="1" applyBorder="1" applyAlignment="1">
      <alignment vertical="center"/>
    </xf>
    <xf numFmtId="0" fontId="31" fillId="0" borderId="58" xfId="0" applyFont="1" applyBorder="1" applyAlignment="1">
      <alignment horizontal="center" vertical="center" wrapText="1"/>
    </xf>
    <xf numFmtId="0" fontId="31" fillId="0" borderId="59" xfId="0" applyFont="1" applyBorder="1" applyAlignment="1">
      <alignment horizontal="center" vertical="center" wrapText="1"/>
    </xf>
    <xf numFmtId="0" fontId="31" fillId="0" borderId="68" xfId="0" applyFont="1" applyBorder="1" applyAlignment="1">
      <alignment horizontal="center" vertical="center" wrapText="1"/>
    </xf>
    <xf numFmtId="0" fontId="24" fillId="21" borderId="49" xfId="0" applyFont="1" applyFill="1" applyBorder="1" applyAlignment="1">
      <alignment vertical="center"/>
    </xf>
    <xf numFmtId="0" fontId="24" fillId="21" borderId="45" xfId="0" applyFont="1" applyFill="1" applyBorder="1" applyAlignment="1">
      <alignment vertical="center"/>
    </xf>
    <xf numFmtId="0" fontId="29" fillId="2" borderId="62" xfId="0" applyFont="1" applyFill="1" applyBorder="1" applyAlignment="1">
      <alignment vertical="center"/>
    </xf>
    <xf numFmtId="0" fontId="24" fillId="2" borderId="63" xfId="0" applyFont="1" applyFill="1" applyBorder="1" applyAlignment="1">
      <alignment vertical="center"/>
    </xf>
    <xf numFmtId="0" fontId="24" fillId="2" borderId="41" xfId="0" applyFont="1" applyFill="1" applyBorder="1" applyAlignment="1">
      <alignment vertical="center"/>
    </xf>
    <xf numFmtId="0" fontId="31" fillId="21" borderId="28" xfId="0" applyFont="1" applyFill="1" applyBorder="1" applyAlignment="1">
      <alignment horizontal="center" vertical="top" wrapText="1"/>
    </xf>
    <xf numFmtId="0" fontId="31" fillId="21" borderId="49" xfId="0" applyFont="1" applyFill="1" applyBorder="1" applyAlignment="1">
      <alignment horizontal="center" vertical="top" wrapText="1"/>
    </xf>
    <xf numFmtId="0" fontId="31" fillId="21" borderId="45" xfId="0" applyFont="1" applyFill="1" applyBorder="1" applyAlignment="1">
      <alignment horizontal="center" vertical="top" wrapText="1"/>
    </xf>
    <xf numFmtId="0" fontId="29" fillId="0" borderId="46" xfId="0" applyFont="1" applyBorder="1" applyAlignment="1">
      <alignment horizontal="center" vertical="center" wrapText="1"/>
    </xf>
    <xf numFmtId="0" fontId="29" fillId="0" borderId="0" xfId="0" applyFont="1" applyAlignment="1">
      <alignment horizontal="center" vertical="center" wrapText="1"/>
    </xf>
    <xf numFmtId="0" fontId="29" fillId="21" borderId="49" xfId="0" applyFont="1" applyFill="1" applyBorder="1" applyAlignment="1">
      <alignment horizontal="left" vertical="center" wrapText="1" readingOrder="1"/>
    </xf>
    <xf numFmtId="0" fontId="29" fillId="21" borderId="45" xfId="0" applyFont="1" applyFill="1" applyBorder="1" applyAlignment="1">
      <alignment horizontal="left" vertical="center" wrapText="1" readingOrder="1"/>
    </xf>
    <xf numFmtId="0" fontId="29" fillId="21" borderId="69" xfId="0" applyFont="1" applyFill="1" applyBorder="1" applyAlignment="1">
      <alignment horizontal="left" vertical="center" wrapText="1" readingOrder="1"/>
    </xf>
    <xf numFmtId="0" fontId="29" fillId="21" borderId="14" xfId="0" applyFont="1" applyFill="1" applyBorder="1" applyAlignment="1">
      <alignment horizontal="left" vertical="center" wrapText="1" readingOrder="1"/>
    </xf>
    <xf numFmtId="0" fontId="29" fillId="21" borderId="58" xfId="0" applyFont="1" applyFill="1" applyBorder="1" applyAlignment="1">
      <alignment horizontal="left" vertical="center" wrapText="1" readingOrder="1"/>
    </xf>
    <xf numFmtId="0" fontId="29" fillId="21" borderId="52" xfId="0" applyFont="1" applyFill="1" applyBorder="1" applyAlignment="1">
      <alignment horizontal="center" vertical="center"/>
    </xf>
    <xf numFmtId="0" fontId="29" fillId="21" borderId="44" xfId="0" applyFont="1" applyFill="1" applyBorder="1" applyAlignment="1">
      <alignment horizontal="center" vertical="center"/>
    </xf>
    <xf numFmtId="0" fontId="17" fillId="0" borderId="27" xfId="1" applyFont="1" applyBorder="1" applyAlignment="1">
      <alignment horizontal="center" vertical="center" wrapText="1" readingOrder="1"/>
    </xf>
    <xf numFmtId="0" fontId="17" fillId="0" borderId="34" xfId="1" applyFont="1" applyBorder="1" applyAlignment="1">
      <alignment horizontal="center" vertical="center" wrapText="1" readingOrder="1"/>
    </xf>
    <xf numFmtId="0" fontId="24" fillId="0" borderId="23" xfId="0" applyFont="1" applyBorder="1" applyAlignment="1">
      <alignment horizontal="center" vertical="center" wrapText="1"/>
    </xf>
    <xf numFmtId="0" fontId="24" fillId="0" borderId="27" xfId="0" applyFont="1" applyBorder="1" applyAlignment="1">
      <alignment horizontal="center" vertical="center" wrapText="1"/>
    </xf>
    <xf numFmtId="0" fontId="24" fillId="0" borderId="34" xfId="0" applyFont="1" applyBorder="1" applyAlignment="1">
      <alignment horizontal="center" vertical="center" wrapText="1"/>
    </xf>
    <xf numFmtId="0" fontId="29" fillId="21" borderId="49" xfId="0" applyFont="1" applyFill="1" applyBorder="1" applyAlignment="1">
      <alignment horizontal="left" vertical="center"/>
    </xf>
    <xf numFmtId="0" fontId="29" fillId="21" borderId="45" xfId="0" applyFont="1" applyFill="1" applyBorder="1" applyAlignment="1">
      <alignment horizontal="left" vertical="center"/>
    </xf>
    <xf numFmtId="0" fontId="17" fillId="22" borderId="28" xfId="0" applyFont="1" applyFill="1" applyBorder="1" applyAlignment="1">
      <alignment horizontal="center" vertical="center" wrapText="1"/>
    </xf>
    <xf numFmtId="0" fontId="17" fillId="22" borderId="45" xfId="0" applyFont="1" applyFill="1" applyBorder="1" applyAlignment="1">
      <alignment horizontal="center" vertical="center" wrapText="1"/>
    </xf>
    <xf numFmtId="0" fontId="17" fillId="22" borderId="23" xfId="0" applyFont="1" applyFill="1" applyBorder="1" applyAlignment="1">
      <alignment horizontal="center" vertical="center" wrapText="1"/>
    </xf>
    <xf numFmtId="0" fontId="17" fillId="22" borderId="27" xfId="0" applyFont="1" applyFill="1" applyBorder="1" applyAlignment="1">
      <alignment horizontal="center" vertical="center" wrapText="1"/>
    </xf>
    <xf numFmtId="0" fontId="17" fillId="22" borderId="34" xfId="0" applyFont="1" applyFill="1" applyBorder="1" applyAlignment="1">
      <alignment horizontal="center" vertical="center" wrapText="1"/>
    </xf>
    <xf numFmtId="0" fontId="17" fillId="9" borderId="23" xfId="0" applyFont="1" applyFill="1" applyBorder="1" applyAlignment="1">
      <alignment horizontal="center" vertical="center" wrapText="1"/>
    </xf>
    <xf numFmtId="0" fontId="17" fillId="9" borderId="34" xfId="0" applyFont="1" applyFill="1" applyBorder="1" applyAlignment="1">
      <alignment horizontal="center" vertical="center" wrapText="1"/>
    </xf>
    <xf numFmtId="0" fontId="17" fillId="9" borderId="27" xfId="0" applyFont="1" applyFill="1" applyBorder="1" applyAlignment="1">
      <alignment horizontal="center" vertical="center" wrapText="1"/>
    </xf>
    <xf numFmtId="0" fontId="17" fillId="9" borderId="28" xfId="0" applyFont="1" applyFill="1" applyBorder="1" applyAlignment="1">
      <alignment horizontal="center" vertical="center" wrapText="1"/>
    </xf>
    <xf numFmtId="0" fontId="17" fillId="9" borderId="45" xfId="0" applyFont="1" applyFill="1" applyBorder="1" applyAlignment="1">
      <alignment horizontal="center" vertical="center" wrapText="1"/>
    </xf>
    <xf numFmtId="0" fontId="17" fillId="22" borderId="49" xfId="0" applyFont="1" applyFill="1" applyBorder="1" applyAlignment="1">
      <alignment horizontal="center" vertical="center" wrapText="1"/>
    </xf>
    <xf numFmtId="0" fontId="17" fillId="9" borderId="50" xfId="0" applyFont="1" applyFill="1" applyBorder="1" applyAlignment="1">
      <alignment horizontal="center" vertical="center" wrapText="1"/>
    </xf>
    <xf numFmtId="0" fontId="17" fillId="9" borderId="51" xfId="0" applyFont="1" applyFill="1" applyBorder="1" applyAlignment="1">
      <alignment horizontal="center" vertical="center" wrapText="1"/>
    </xf>
    <xf numFmtId="0" fontId="17" fillId="9" borderId="37" xfId="0" applyFont="1" applyFill="1" applyBorder="1" applyAlignment="1">
      <alignment horizontal="center" vertical="center" wrapText="1"/>
    </xf>
    <xf numFmtId="0" fontId="17" fillId="9" borderId="49" xfId="0" applyFont="1" applyFill="1" applyBorder="1" applyAlignment="1">
      <alignment horizontal="center" vertical="center" wrapText="1"/>
    </xf>
    <xf numFmtId="0" fontId="32" fillId="9" borderId="64" xfId="0" applyFont="1" applyFill="1" applyBorder="1" applyAlignment="1">
      <alignment horizontal="left" vertical="center" wrapText="1"/>
    </xf>
    <xf numFmtId="0" fontId="32" fillId="9" borderId="65" xfId="0" applyFont="1" applyFill="1" applyBorder="1" applyAlignment="1">
      <alignment horizontal="left" vertical="center" wrapText="1"/>
    </xf>
    <xf numFmtId="0" fontId="32" fillId="9" borderId="47" xfId="0" applyFont="1" applyFill="1" applyBorder="1" applyAlignment="1">
      <alignment horizontal="left" vertical="center" wrapText="1"/>
    </xf>
    <xf numFmtId="0" fontId="32" fillId="9" borderId="25" xfId="0" applyFont="1" applyFill="1" applyBorder="1" applyAlignment="1">
      <alignment horizontal="left" vertical="center" wrapText="1"/>
    </xf>
    <xf numFmtId="0" fontId="32" fillId="9" borderId="66" xfId="0" applyFont="1" applyFill="1" applyBorder="1" applyAlignment="1">
      <alignment horizontal="left" vertical="center" wrapText="1"/>
    </xf>
    <xf numFmtId="0" fontId="17" fillId="9" borderId="23" xfId="2" applyFont="1" applyFill="1" applyBorder="1" applyAlignment="1">
      <alignment horizontal="center" vertical="center" wrapText="1"/>
    </xf>
    <xf numFmtId="0" fontId="17" fillId="9" borderId="27" xfId="2" applyFont="1" applyFill="1" applyBorder="1" applyAlignment="1">
      <alignment horizontal="center" vertical="center" wrapText="1"/>
    </xf>
    <xf numFmtId="0" fontId="17" fillId="9" borderId="34" xfId="2" applyFont="1" applyFill="1" applyBorder="1" applyAlignment="1">
      <alignment horizontal="center" vertical="center" wrapText="1"/>
    </xf>
    <xf numFmtId="0" fontId="17" fillId="9" borderId="60" xfId="0" applyFont="1" applyFill="1" applyBorder="1" applyAlignment="1">
      <alignment horizontal="center" vertical="center" wrapText="1"/>
    </xf>
    <xf numFmtId="0" fontId="17" fillId="9" borderId="43" xfId="0" applyFont="1" applyFill="1" applyBorder="1" applyAlignment="1">
      <alignment horizontal="center" vertical="center" wrapText="1"/>
    </xf>
    <xf numFmtId="0" fontId="17" fillId="9" borderId="36" xfId="0" applyFont="1" applyFill="1" applyBorder="1" applyAlignment="1">
      <alignment horizontal="center" vertical="center" wrapText="1"/>
    </xf>
    <xf numFmtId="0" fontId="17" fillId="22" borderId="60" xfId="0" applyFont="1" applyFill="1" applyBorder="1" applyAlignment="1">
      <alignment horizontal="center" vertical="center" wrapText="1"/>
    </xf>
    <xf numFmtId="0" fontId="17" fillId="22" borderId="43" xfId="0" applyFont="1" applyFill="1" applyBorder="1" applyAlignment="1">
      <alignment horizontal="center" vertical="center" wrapText="1"/>
    </xf>
    <xf numFmtId="0" fontId="17" fillId="22" borderId="36" xfId="0" applyFont="1" applyFill="1" applyBorder="1" applyAlignment="1">
      <alignment horizontal="center" vertical="center" wrapText="1"/>
    </xf>
    <xf numFmtId="0" fontId="17" fillId="22" borderId="50" xfId="0" applyFont="1" applyFill="1" applyBorder="1" applyAlignment="1">
      <alignment horizontal="center" vertical="center" wrapText="1"/>
    </xf>
    <xf numFmtId="0" fontId="17" fillId="22" borderId="51" xfId="0" applyFont="1" applyFill="1" applyBorder="1" applyAlignment="1">
      <alignment horizontal="center" vertical="center" wrapText="1"/>
    </xf>
    <xf numFmtId="0" fontId="17" fillId="22" borderId="37" xfId="0" applyFont="1" applyFill="1" applyBorder="1" applyAlignment="1">
      <alignment horizontal="center" vertical="center" wrapText="1"/>
    </xf>
    <xf numFmtId="0" fontId="32" fillId="22" borderId="73" xfId="0" applyFont="1" applyFill="1" applyBorder="1" applyAlignment="1">
      <alignment horizontal="left" vertical="center" wrapText="1"/>
    </xf>
    <xf numFmtId="0" fontId="32" fillId="22" borderId="52" xfId="0" applyFont="1" applyFill="1" applyBorder="1" applyAlignment="1">
      <alignment horizontal="left" vertical="center" wrapText="1"/>
    </xf>
    <xf numFmtId="0" fontId="32" fillId="22" borderId="72" xfId="0" applyFont="1" applyFill="1" applyBorder="1" applyAlignment="1">
      <alignment horizontal="left" vertical="center" wrapText="1"/>
    </xf>
    <xf numFmtId="0" fontId="17" fillId="22" borderId="23" xfId="2" applyFont="1" applyFill="1" applyBorder="1" applyAlignment="1">
      <alignment horizontal="center" vertical="center" wrapText="1"/>
    </xf>
    <xf numFmtId="0" fontId="17" fillId="22" borderId="27" xfId="2" applyFont="1" applyFill="1" applyBorder="1" applyAlignment="1">
      <alignment horizontal="center" vertical="center" wrapText="1"/>
    </xf>
    <xf numFmtId="0" fontId="17" fillId="22" borderId="34" xfId="2" applyFont="1" applyFill="1" applyBorder="1" applyAlignment="1">
      <alignment horizontal="center" vertical="center" wrapText="1"/>
    </xf>
    <xf numFmtId="0" fontId="35" fillId="11" borderId="24" xfId="0" applyFont="1" applyFill="1" applyBorder="1" applyAlignment="1">
      <alignment horizontal="center" vertical="center"/>
    </xf>
    <xf numFmtId="0" fontId="72" fillId="2" borderId="28" xfId="0" applyFont="1" applyFill="1" applyBorder="1" applyAlignment="1">
      <alignment horizontal="center" vertical="center" wrapText="1"/>
    </xf>
    <xf numFmtId="0" fontId="72" fillId="2" borderId="45" xfId="0" applyFont="1" applyFill="1" applyBorder="1" applyAlignment="1">
      <alignment horizontal="center" vertical="center" wrapText="1"/>
    </xf>
    <xf numFmtId="0" fontId="35" fillId="11" borderId="22" xfId="0" applyFont="1" applyFill="1" applyBorder="1" applyAlignment="1">
      <alignment horizontal="center" vertical="center" wrapText="1"/>
    </xf>
    <xf numFmtId="0" fontId="35" fillId="11" borderId="34" xfId="0" applyFont="1" applyFill="1" applyBorder="1" applyAlignment="1">
      <alignment horizontal="center" vertical="center" wrapText="1"/>
    </xf>
    <xf numFmtId="0" fontId="35" fillId="11" borderId="22" xfId="0" applyFont="1" applyFill="1" applyBorder="1" applyAlignment="1">
      <alignment horizontal="center" vertical="center"/>
    </xf>
    <xf numFmtId="0" fontId="35" fillId="11" borderId="34" xfId="0" applyFont="1" applyFill="1" applyBorder="1" applyAlignment="1">
      <alignment horizontal="center" vertical="center"/>
    </xf>
    <xf numFmtId="0" fontId="40" fillId="2" borderId="28" xfId="0" applyFont="1" applyFill="1" applyBorder="1" applyAlignment="1">
      <alignment horizontal="center" vertical="center" wrapText="1"/>
    </xf>
    <xf numFmtId="0" fontId="40" fillId="2" borderId="45" xfId="0" applyFont="1" applyFill="1" applyBorder="1" applyAlignment="1">
      <alignment horizontal="center" vertical="center" wrapText="1"/>
    </xf>
    <xf numFmtId="0" fontId="33" fillId="2" borderId="28" xfId="0" applyFont="1" applyFill="1" applyBorder="1" applyAlignment="1">
      <alignment horizontal="center" vertical="center" wrapText="1"/>
    </xf>
    <xf numFmtId="0" fontId="33" fillId="2" borderId="45" xfId="0" applyFont="1" applyFill="1" applyBorder="1" applyAlignment="1">
      <alignment horizontal="center" vertical="center" wrapText="1"/>
    </xf>
    <xf numFmtId="0" fontId="37" fillId="20" borderId="28" xfId="0" applyFont="1" applyFill="1" applyBorder="1" applyAlignment="1">
      <alignment horizontal="center" vertical="center" wrapText="1"/>
    </xf>
    <xf numFmtId="0" fontId="37" fillId="20" borderId="45" xfId="0" applyFont="1" applyFill="1" applyBorder="1" applyAlignment="1">
      <alignment horizontal="center" vertical="center" wrapText="1"/>
    </xf>
    <xf numFmtId="0" fontId="37" fillId="2" borderId="46" xfId="0" applyFont="1" applyFill="1" applyBorder="1" applyAlignment="1">
      <alignment horizontal="center" vertical="center" wrapText="1"/>
    </xf>
    <xf numFmtId="0" fontId="35" fillId="2" borderId="28" xfId="0" applyFont="1" applyFill="1" applyBorder="1" applyAlignment="1">
      <alignment horizontal="center" vertical="center" wrapText="1"/>
    </xf>
    <xf numFmtId="0" fontId="35" fillId="2" borderId="45" xfId="0" applyFont="1" applyFill="1" applyBorder="1" applyAlignment="1">
      <alignment horizontal="center" vertical="center" wrapText="1"/>
    </xf>
    <xf numFmtId="0" fontId="35" fillId="20" borderId="28" xfId="0" applyFont="1" applyFill="1" applyBorder="1" applyAlignment="1">
      <alignment horizontal="center" vertical="center" wrapText="1"/>
    </xf>
    <xf numFmtId="0" fontId="35" fillId="20" borderId="45" xfId="0" applyFont="1" applyFill="1" applyBorder="1" applyAlignment="1">
      <alignment horizontal="center" vertical="center" wrapText="1"/>
    </xf>
    <xf numFmtId="0" fontId="35" fillId="2" borderId="46" xfId="0" applyFont="1" applyFill="1" applyBorder="1" applyAlignment="1">
      <alignment horizontal="center" vertical="center" wrapText="1"/>
    </xf>
    <xf numFmtId="0" fontId="35" fillId="19" borderId="52" xfId="0" applyFont="1" applyFill="1" applyBorder="1" applyAlignment="1">
      <alignment horizontal="center"/>
    </xf>
    <xf numFmtId="0" fontId="40" fillId="11" borderId="35" xfId="0" applyFont="1" applyFill="1" applyBorder="1" applyAlignment="1">
      <alignment horizontal="center" vertical="center" wrapText="1"/>
    </xf>
    <xf numFmtId="0" fontId="40" fillId="11" borderId="48" xfId="0" applyFont="1" applyFill="1" applyBorder="1" applyAlignment="1">
      <alignment horizontal="center" vertical="center" wrapText="1"/>
    </xf>
    <xf numFmtId="0" fontId="40" fillId="11" borderId="22" xfId="0" applyFont="1" applyFill="1" applyBorder="1" applyAlignment="1">
      <alignment horizontal="center" vertical="center" wrapText="1"/>
    </xf>
    <xf numFmtId="0" fontId="40" fillId="11" borderId="34" xfId="0" applyFont="1" applyFill="1" applyBorder="1" applyAlignment="1">
      <alignment horizontal="center" vertical="center" wrapText="1"/>
    </xf>
    <xf numFmtId="0" fontId="40" fillId="11" borderId="22" xfId="0" applyFont="1" applyFill="1" applyBorder="1" applyAlignment="1">
      <alignment horizontal="center" vertical="center"/>
    </xf>
    <xf numFmtId="0" fontId="40" fillId="11" borderId="34" xfId="0" applyFont="1" applyFill="1" applyBorder="1" applyAlignment="1">
      <alignment horizontal="center" vertical="center"/>
    </xf>
    <xf numFmtId="0" fontId="76" fillId="2" borderId="18" xfId="0" applyFont="1" applyFill="1" applyBorder="1" applyAlignment="1">
      <alignment vertical="center" wrapText="1"/>
    </xf>
    <xf numFmtId="0" fontId="5" fillId="3" borderId="13"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61" fillId="23" borderId="6" xfId="0" applyFont="1" applyFill="1" applyBorder="1" applyAlignment="1">
      <alignment horizontal="left" vertical="center"/>
    </xf>
    <xf numFmtId="0" fontId="62" fillId="24" borderId="12" xfId="0" applyFont="1" applyFill="1" applyBorder="1" applyAlignment="1">
      <alignment horizontal="center" vertical="center"/>
    </xf>
    <xf numFmtId="0" fontId="62" fillId="24" borderId="20" xfId="0" applyFont="1" applyFill="1" applyBorder="1" applyAlignment="1">
      <alignment horizontal="center" vertical="center"/>
    </xf>
    <xf numFmtId="0" fontId="62" fillId="24" borderId="10" xfId="0" applyFont="1" applyFill="1" applyBorder="1" applyAlignment="1">
      <alignment horizontal="center" vertical="center"/>
    </xf>
    <xf numFmtId="0" fontId="62" fillId="24" borderId="11" xfId="0" applyFont="1" applyFill="1" applyBorder="1" applyAlignment="1">
      <alignment horizontal="center" vertical="center"/>
    </xf>
    <xf numFmtId="0" fontId="43" fillId="0" borderId="52" xfId="0" applyFont="1" applyBorder="1" applyAlignment="1">
      <alignment horizontal="center"/>
    </xf>
    <xf numFmtId="0" fontId="39" fillId="16" borderId="28" xfId="0" applyFont="1" applyFill="1" applyBorder="1" applyAlignment="1">
      <alignment horizontal="left"/>
    </xf>
    <xf numFmtId="0" fontId="39" fillId="16" borderId="45" xfId="0" applyFont="1" applyFill="1" applyBorder="1" applyAlignment="1">
      <alignment horizontal="left"/>
    </xf>
    <xf numFmtId="0" fontId="44" fillId="0" borderId="0" xfId="0" applyFont="1" applyAlignment="1">
      <alignment horizontal="center"/>
    </xf>
  </cellXfs>
  <cellStyles count="8">
    <cellStyle name="Comma" xfId="4" builtinId="3"/>
    <cellStyle name="Currency" xfId="3" builtinId="4"/>
    <cellStyle name="Normal" xfId="0" builtinId="0"/>
    <cellStyle name="Normal 2" xfId="1"/>
    <cellStyle name="Normal 3" xfId="5"/>
    <cellStyle name="Normal 3 2" xfId="6"/>
    <cellStyle name="Normal 3 3" xfId="7"/>
    <cellStyle name="Normal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23" Type="http://schemas.openxmlformats.org/officeDocument/2006/relationships/customXml" Target="../customXml/item6.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20%20AOP%20Oct%202019\Revised%202020%20AOP%20Jan%202020\2020%20Procurment%20Plan%20with%20not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lawrence/Downloads/Revised%20Procurement%20Plan%20incorporate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Revised%202020%20AOP%20&amp;%202020%202021%20Fiscal%2020.5.2020\CSJP%202020%20AOP%20Revised%20May%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mart Guide"/>
      <sheetName val="1. Project Overview"/>
      <sheetName val="2. Results Matrix"/>
      <sheetName val="3. Implementation Plan"/>
      <sheetName val="4. Procurement Plan"/>
      <sheetName val="5. Financial Plan"/>
      <sheetName val="6. Consolidated Financial Plan"/>
      <sheetName val="7. Risk Plan"/>
      <sheetName val="AOP Checklist"/>
      <sheetName val="Table of Contents"/>
    </sheetNames>
    <sheetDataSet>
      <sheetData sheetId="0"/>
      <sheetData sheetId="1"/>
      <sheetData sheetId="2">
        <row r="9">
          <cell r="A9" t="str">
            <v>1.1.1.1</v>
          </cell>
        </row>
        <row r="13">
          <cell r="A13" t="str">
            <v>IDB code: 1.2</v>
          </cell>
        </row>
        <row r="81">
          <cell r="A81" t="str">
            <v>IDB code: 5.3</v>
          </cell>
        </row>
      </sheetData>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mart Guide"/>
      <sheetName val="1. Project Overview"/>
      <sheetName val="2. Results Matrix"/>
      <sheetName val="3. Implementation Plan"/>
      <sheetName val="4. Procurement Plan"/>
      <sheetName val="5. Financial Plan"/>
      <sheetName val="6. Consolidated Financial Plan"/>
      <sheetName val="7. Risk Plan"/>
      <sheetName val="AOP Checklist"/>
      <sheetName val="Table of Contents"/>
    </sheetNames>
    <sheetDataSet>
      <sheetData sheetId="0"/>
      <sheetData sheetId="1"/>
      <sheetData sheetId="2"/>
      <sheetData sheetId="3">
        <row r="11">
          <cell r="F11">
            <v>18571</v>
          </cell>
        </row>
        <row r="12">
          <cell r="F12">
            <v>18754</v>
          </cell>
        </row>
        <row r="23">
          <cell r="F23">
            <v>2857</v>
          </cell>
        </row>
        <row r="24">
          <cell r="F24">
            <v>41889</v>
          </cell>
        </row>
        <row r="40">
          <cell r="F40">
            <v>39959</v>
          </cell>
        </row>
        <row r="42">
          <cell r="F42">
            <v>2220</v>
          </cell>
        </row>
        <row r="45">
          <cell r="F45">
            <v>8589</v>
          </cell>
        </row>
        <row r="47">
          <cell r="F47">
            <v>37686</v>
          </cell>
        </row>
        <row r="48">
          <cell r="F48">
            <v>665</v>
          </cell>
        </row>
        <row r="49">
          <cell r="F49">
            <v>3858</v>
          </cell>
        </row>
        <row r="51">
          <cell r="F51">
            <v>105</v>
          </cell>
        </row>
        <row r="52">
          <cell r="F52">
            <v>11080</v>
          </cell>
        </row>
        <row r="53">
          <cell r="F53">
            <v>2115</v>
          </cell>
        </row>
        <row r="54">
          <cell r="F54">
            <v>2016</v>
          </cell>
        </row>
        <row r="55">
          <cell r="F55">
            <v>9158</v>
          </cell>
        </row>
        <row r="56">
          <cell r="F56">
            <v>2289</v>
          </cell>
        </row>
        <row r="57">
          <cell r="F57">
            <v>5093</v>
          </cell>
        </row>
        <row r="58">
          <cell r="F58">
            <v>1735</v>
          </cell>
        </row>
        <row r="59">
          <cell r="F59">
            <v>319</v>
          </cell>
        </row>
        <row r="60">
          <cell r="F60">
            <v>8373</v>
          </cell>
        </row>
        <row r="61">
          <cell r="F61">
            <v>9541</v>
          </cell>
        </row>
        <row r="62">
          <cell r="F62">
            <v>2308</v>
          </cell>
        </row>
        <row r="63">
          <cell r="F63">
            <v>1324</v>
          </cell>
        </row>
        <row r="64">
          <cell r="F64">
            <v>2145</v>
          </cell>
        </row>
        <row r="96">
          <cell r="F96">
            <v>152127</v>
          </cell>
        </row>
        <row r="103">
          <cell r="F103">
            <v>17055</v>
          </cell>
        </row>
        <row r="104">
          <cell r="F104">
            <v>1442</v>
          </cell>
        </row>
        <row r="105">
          <cell r="F105">
            <v>3607</v>
          </cell>
        </row>
        <row r="106">
          <cell r="F106">
            <v>452</v>
          </cell>
        </row>
        <row r="107">
          <cell r="F107">
            <v>179</v>
          </cell>
        </row>
        <row r="283">
          <cell r="F283">
            <v>292858</v>
          </cell>
        </row>
        <row r="284">
          <cell r="F284">
            <v>42714</v>
          </cell>
        </row>
        <row r="288">
          <cell r="F288">
            <v>13294</v>
          </cell>
        </row>
        <row r="289">
          <cell r="F289">
            <v>1652</v>
          </cell>
        </row>
        <row r="290">
          <cell r="F290">
            <v>1909</v>
          </cell>
        </row>
        <row r="291">
          <cell r="F291">
            <v>4483</v>
          </cell>
        </row>
        <row r="292">
          <cell r="F292">
            <v>2566</v>
          </cell>
        </row>
        <row r="295">
          <cell r="F295">
            <v>14286</v>
          </cell>
        </row>
        <row r="296">
          <cell r="F296">
            <v>4571</v>
          </cell>
        </row>
        <row r="301">
          <cell r="F301">
            <v>3214.29</v>
          </cell>
        </row>
        <row r="329">
          <cell r="F329">
            <v>9322</v>
          </cell>
        </row>
        <row r="330">
          <cell r="F330">
            <v>2700</v>
          </cell>
        </row>
      </sheetData>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workbookViewId="0">
      <selection activeCell="B13" sqref="B13"/>
    </sheetView>
  </sheetViews>
  <sheetFormatPr defaultColWidth="8.875" defaultRowHeight="15.75"/>
  <cols>
    <col min="1" max="1" width="3.5" customWidth="1"/>
    <col min="2" max="2" width="183.375" customWidth="1"/>
  </cols>
  <sheetData>
    <row r="1" spans="1:2">
      <c r="B1" s="1" t="s">
        <v>0</v>
      </c>
    </row>
    <row r="2" spans="1:2">
      <c r="B2" s="2" t="s">
        <v>1</v>
      </c>
    </row>
    <row r="3" spans="1:2" ht="16.5" thickBot="1">
      <c r="B3" s="3"/>
    </row>
    <row r="4" spans="1:2" ht="16.5" thickBot="1">
      <c r="B4" s="4" t="s">
        <v>2</v>
      </c>
    </row>
    <row r="5" spans="1:2">
      <c r="A5">
        <v>1</v>
      </c>
      <c r="B5" t="s">
        <v>3</v>
      </c>
    </row>
    <row r="6" spans="1:2" ht="47.25">
      <c r="A6">
        <v>2</v>
      </c>
      <c r="B6" s="5" t="s">
        <v>4</v>
      </c>
    </row>
    <row r="7" spans="1:2" ht="31.5">
      <c r="A7">
        <v>3</v>
      </c>
      <c r="B7" s="5" t="s">
        <v>5</v>
      </c>
    </row>
    <row r="8" spans="1:2">
      <c r="A8">
        <v>4</v>
      </c>
      <c r="B8" t="s">
        <v>6</v>
      </c>
    </row>
    <row r="9" spans="1:2">
      <c r="A9">
        <v>5</v>
      </c>
      <c r="B9" t="s">
        <v>7</v>
      </c>
    </row>
    <row r="10" spans="1:2" ht="16.5" thickBot="1"/>
    <row r="11" spans="1:2" ht="16.5" thickBot="1">
      <c r="B11" s="4" t="s">
        <v>8</v>
      </c>
    </row>
    <row r="12" spans="1:2">
      <c r="A12">
        <v>1</v>
      </c>
      <c r="B12" t="s">
        <v>9</v>
      </c>
    </row>
    <row r="13" spans="1:2">
      <c r="A13">
        <v>2</v>
      </c>
      <c r="B13" t="s">
        <v>10</v>
      </c>
    </row>
    <row r="14" spans="1:2">
      <c r="A14">
        <v>3</v>
      </c>
      <c r="B14" t="s">
        <v>11</v>
      </c>
    </row>
    <row r="15" spans="1:2">
      <c r="A15">
        <v>4</v>
      </c>
      <c r="B15" t="s">
        <v>12</v>
      </c>
    </row>
    <row r="16" spans="1:2">
      <c r="A16">
        <v>6</v>
      </c>
      <c r="B16" t="s">
        <v>13</v>
      </c>
    </row>
    <row r="17" spans="1:2" ht="16.5" thickBot="1"/>
    <row r="18" spans="1:2" ht="16.5" thickBot="1">
      <c r="B18" s="4" t="s">
        <v>14</v>
      </c>
    </row>
    <row r="19" spans="1:2">
      <c r="A19">
        <v>1</v>
      </c>
      <c r="B19" t="s">
        <v>15</v>
      </c>
    </row>
    <row r="20" spans="1:2">
      <c r="A20">
        <v>2</v>
      </c>
      <c r="B20" t="s">
        <v>16</v>
      </c>
    </row>
    <row r="21" spans="1:2">
      <c r="A21">
        <v>3</v>
      </c>
      <c r="B21" t="s">
        <v>17</v>
      </c>
    </row>
    <row r="22" spans="1:2">
      <c r="A22">
        <v>4</v>
      </c>
      <c r="B22" t="s">
        <v>18</v>
      </c>
    </row>
    <row r="23" spans="1:2">
      <c r="A23">
        <v>5</v>
      </c>
      <c r="B23" t="s">
        <v>19</v>
      </c>
    </row>
    <row r="24" spans="1:2">
      <c r="A24">
        <v>6</v>
      </c>
      <c r="B24" t="s">
        <v>20</v>
      </c>
    </row>
    <row r="25" spans="1:2">
      <c r="A25">
        <v>7</v>
      </c>
      <c r="B25" s="5" t="s">
        <v>21</v>
      </c>
    </row>
    <row r="26" spans="1:2" ht="16.5" thickBot="1"/>
    <row r="27" spans="1:2" ht="16.5" thickBot="1">
      <c r="B27" s="4" t="s">
        <v>22</v>
      </c>
    </row>
    <row r="28" spans="1:2">
      <c r="A28">
        <v>1</v>
      </c>
      <c r="B28" t="s">
        <v>23</v>
      </c>
    </row>
    <row r="29" spans="1:2">
      <c r="A29">
        <v>2</v>
      </c>
      <c r="B29" t="s">
        <v>24</v>
      </c>
    </row>
    <row r="30" spans="1:2">
      <c r="A30">
        <v>3</v>
      </c>
      <c r="B30" t="s">
        <v>25</v>
      </c>
    </row>
    <row r="31" spans="1:2" ht="16.5" thickBot="1"/>
    <row r="32" spans="1:2" ht="16.5" thickBot="1">
      <c r="B32" s="4" t="s">
        <v>241</v>
      </c>
    </row>
    <row r="33" spans="1:2">
      <c r="A33">
        <v>1</v>
      </c>
      <c r="B33" t="s">
        <v>26</v>
      </c>
    </row>
    <row r="34" spans="1:2">
      <c r="A34">
        <v>2</v>
      </c>
      <c r="B34" t="s">
        <v>242</v>
      </c>
    </row>
    <row r="35" spans="1:2">
      <c r="A35">
        <v>3</v>
      </c>
      <c r="B35" s="5" t="s">
        <v>27</v>
      </c>
    </row>
    <row r="36" spans="1:2">
      <c r="A36">
        <v>4</v>
      </c>
      <c r="B36" s="5" t="s">
        <v>243</v>
      </c>
    </row>
    <row r="37" spans="1:2" ht="16.5" thickBot="1"/>
    <row r="38" spans="1:2" ht="16.5" thickBot="1">
      <c r="B38" s="4" t="s">
        <v>244</v>
      </c>
    </row>
    <row r="39" spans="1:2">
      <c r="A39">
        <v>1</v>
      </c>
      <c r="B39" t="s">
        <v>28</v>
      </c>
    </row>
    <row r="40" spans="1:2">
      <c r="A40">
        <v>2</v>
      </c>
      <c r="B40" t="s">
        <v>29</v>
      </c>
    </row>
    <row r="41" spans="1:2">
      <c r="A41">
        <v>3</v>
      </c>
    </row>
    <row r="42" spans="1:2" ht="16.5" thickBot="1"/>
    <row r="43" spans="1:2" ht="16.5" thickBot="1">
      <c r="B43" s="4" t="s">
        <v>247</v>
      </c>
    </row>
    <row r="44" spans="1:2">
      <c r="A44">
        <v>1</v>
      </c>
      <c r="B44" t="s">
        <v>248</v>
      </c>
    </row>
    <row r="45" spans="1:2">
      <c r="A45">
        <v>2</v>
      </c>
      <c r="B45" t="s">
        <v>255</v>
      </c>
    </row>
    <row r="46" spans="1:2">
      <c r="A46">
        <v>3</v>
      </c>
      <c r="B46" t="s">
        <v>249</v>
      </c>
    </row>
    <row r="47" spans="1:2">
      <c r="A47">
        <v>4</v>
      </c>
      <c r="B47" t="s">
        <v>250</v>
      </c>
    </row>
    <row r="48" spans="1:2">
      <c r="A48">
        <v>5</v>
      </c>
      <c r="B48" t="s">
        <v>251</v>
      </c>
    </row>
    <row r="49" spans="1:2">
      <c r="A49">
        <v>6</v>
      </c>
      <c r="B49" t="s">
        <v>252</v>
      </c>
    </row>
    <row r="50" spans="1:2">
      <c r="A50">
        <v>7</v>
      </c>
      <c r="B50" t="s">
        <v>253</v>
      </c>
    </row>
    <row r="51" spans="1:2">
      <c r="A51">
        <v>8</v>
      </c>
      <c r="B51" t="s">
        <v>256</v>
      </c>
    </row>
    <row r="52" spans="1:2">
      <c r="A52">
        <v>9</v>
      </c>
      <c r="B52" t="s">
        <v>254</v>
      </c>
    </row>
    <row r="53" spans="1:2">
      <c r="A53">
        <v>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topLeftCell="A3" workbookViewId="0">
      <selection activeCell="I33" sqref="I33"/>
    </sheetView>
  </sheetViews>
  <sheetFormatPr defaultColWidth="8.875" defaultRowHeight="15.75"/>
  <cols>
    <col min="1" max="1" width="14.375" bestFit="1" customWidth="1"/>
    <col min="2" max="2" width="44.375" customWidth="1"/>
  </cols>
  <sheetData>
    <row r="1" spans="1:2" ht="31.5">
      <c r="A1" s="1330" t="s">
        <v>221</v>
      </c>
      <c r="B1" s="1330"/>
    </row>
    <row r="2" spans="1:2" ht="31.5">
      <c r="A2" s="1330" t="s">
        <v>222</v>
      </c>
      <c r="B2" s="1330"/>
    </row>
    <row r="3" spans="1:2" ht="31.5">
      <c r="A3" s="129"/>
      <c r="B3" s="129"/>
    </row>
    <row r="4" spans="1:2" ht="21">
      <c r="A4" s="130" t="s">
        <v>223</v>
      </c>
      <c r="B4" s="130" t="s">
        <v>224</v>
      </c>
    </row>
    <row r="5" spans="1:2" ht="21">
      <c r="A5" s="130" t="s">
        <v>225</v>
      </c>
      <c r="B5" s="130" t="s">
        <v>226</v>
      </c>
    </row>
    <row r="6" spans="1:2" ht="21">
      <c r="A6" s="130" t="s">
        <v>227</v>
      </c>
      <c r="B6" s="130" t="s">
        <v>229</v>
      </c>
    </row>
    <row r="7" spans="1:2" ht="21">
      <c r="A7" s="130" t="s">
        <v>228</v>
      </c>
      <c r="B7" s="130" t="s">
        <v>187</v>
      </c>
    </row>
    <row r="8" spans="1:2" ht="21">
      <c r="A8" s="130" t="s">
        <v>230</v>
      </c>
      <c r="B8" s="130" t="s">
        <v>231</v>
      </c>
    </row>
    <row r="9" spans="1:2" ht="21">
      <c r="A9" s="130" t="s">
        <v>180</v>
      </c>
      <c r="B9" s="130" t="s">
        <v>233</v>
      </c>
    </row>
    <row r="10" spans="1:2" ht="21">
      <c r="A10" s="130" t="s">
        <v>232</v>
      </c>
      <c r="B10" s="130" t="s">
        <v>236</v>
      </c>
    </row>
    <row r="11" spans="1:2" ht="21">
      <c r="A11" s="130" t="s">
        <v>234</v>
      </c>
      <c r="B11" s="130" t="s">
        <v>235</v>
      </c>
    </row>
  </sheetData>
  <mergeCells count="2">
    <mergeCell ref="A1:B1"/>
    <mergeCell ref="A2:B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workbookViewId="0">
      <selection activeCell="O13" sqref="O13"/>
    </sheetView>
  </sheetViews>
  <sheetFormatPr defaultColWidth="8.875" defaultRowHeight="15.75"/>
  <cols>
    <col min="1" max="1" width="30.375" customWidth="1"/>
    <col min="2" max="2" width="18" bestFit="1" customWidth="1"/>
    <col min="3" max="3" width="26.5" customWidth="1"/>
    <col min="4" max="4" width="15.125" customWidth="1"/>
    <col min="5" max="5" width="15.875" customWidth="1"/>
    <col min="6" max="6" width="26.875" hidden="1" customWidth="1"/>
    <col min="7" max="9" width="8.875" hidden="1" customWidth="1"/>
    <col min="10" max="10" width="12.25" hidden="1" customWidth="1"/>
  </cols>
  <sheetData>
    <row r="1" spans="1:10">
      <c r="A1" s="6" t="s">
        <v>30</v>
      </c>
      <c r="B1" s="132" t="s">
        <v>258</v>
      </c>
    </row>
    <row r="2" spans="1:10">
      <c r="A2" s="427" t="s">
        <v>31</v>
      </c>
      <c r="B2" s="132" t="s">
        <v>260</v>
      </c>
    </row>
    <row r="3" spans="1:10" ht="16.5" thickBot="1">
      <c r="I3" s="133"/>
    </row>
    <row r="4" spans="1:10" ht="16.5" thickBot="1">
      <c r="A4" s="972" t="s">
        <v>32</v>
      </c>
      <c r="B4" s="973"/>
      <c r="C4" s="973"/>
      <c r="D4" s="974"/>
    </row>
    <row r="5" spans="1:10" ht="16.5" thickBot="1">
      <c r="A5" s="7" t="s">
        <v>33</v>
      </c>
      <c r="B5" s="569">
        <v>41808</v>
      </c>
      <c r="C5" s="8" t="s">
        <v>852</v>
      </c>
      <c r="D5" s="190">
        <v>49404184</v>
      </c>
      <c r="J5" s="191"/>
    </row>
    <row r="6" spans="1:10" ht="16.5" thickBot="1">
      <c r="A6" s="9" t="s">
        <v>34</v>
      </c>
      <c r="B6" s="570">
        <v>41984</v>
      </c>
      <c r="C6" s="10" t="s">
        <v>35</v>
      </c>
      <c r="D6" s="190">
        <v>46305681.729999997</v>
      </c>
      <c r="F6" s="11"/>
    </row>
    <row r="7" spans="1:10" ht="16.5" thickBot="1">
      <c r="A7" s="9" t="s">
        <v>36</v>
      </c>
      <c r="B7" s="570">
        <v>41991</v>
      </c>
      <c r="C7" s="10" t="s">
        <v>37</v>
      </c>
      <c r="D7" s="190">
        <v>226273</v>
      </c>
    </row>
    <row r="8" spans="1:10" ht="30.75" thickBot="1">
      <c r="A8" s="9" t="s">
        <v>38</v>
      </c>
      <c r="B8" s="570">
        <v>43810</v>
      </c>
      <c r="C8" s="10" t="s">
        <v>39</v>
      </c>
      <c r="D8" s="570">
        <v>44176</v>
      </c>
      <c r="F8" s="11"/>
    </row>
    <row r="9" spans="1:10" ht="16.5" thickBot="1">
      <c r="A9" s="9" t="s">
        <v>40</v>
      </c>
      <c r="B9" s="570">
        <v>43810</v>
      </c>
      <c r="C9" s="8" t="s">
        <v>41</v>
      </c>
      <c r="D9" s="12" t="s">
        <v>851</v>
      </c>
    </row>
    <row r="10" spans="1:10" ht="16.5" thickBot="1">
      <c r="A10" s="9" t="s">
        <v>42</v>
      </c>
      <c r="B10" s="13"/>
      <c r="C10" s="10" t="s">
        <v>43</v>
      </c>
      <c r="D10" s="12"/>
    </row>
    <row r="11" spans="1:10" ht="16.5" thickBot="1"/>
    <row r="12" spans="1:10" ht="16.5" thickBot="1">
      <c r="A12" s="428" t="s">
        <v>44</v>
      </c>
      <c r="B12" s="975" t="s">
        <v>259</v>
      </c>
      <c r="C12" s="976"/>
      <c r="D12" s="976"/>
      <c r="E12" s="976"/>
      <c r="F12" s="976"/>
      <c r="G12" s="976"/>
      <c r="H12" s="976"/>
      <c r="I12" s="976"/>
      <c r="J12" s="977"/>
    </row>
    <row r="13" spans="1:10" ht="89.25" customHeight="1" thickBot="1">
      <c r="A13" s="428" t="s">
        <v>45</v>
      </c>
      <c r="B13" s="975" t="s">
        <v>265</v>
      </c>
      <c r="C13" s="976"/>
      <c r="D13" s="976"/>
      <c r="E13" s="976"/>
      <c r="F13" s="976"/>
      <c r="G13" s="976"/>
      <c r="H13" s="976"/>
      <c r="I13" s="976"/>
      <c r="J13" s="977"/>
    </row>
    <row r="14" spans="1:10">
      <c r="A14" s="978" t="s">
        <v>46</v>
      </c>
      <c r="B14" s="981" t="s">
        <v>850</v>
      </c>
      <c r="C14" s="982"/>
      <c r="D14" s="982"/>
      <c r="E14" s="982"/>
      <c r="F14" s="982"/>
      <c r="G14" s="982"/>
      <c r="H14" s="982"/>
      <c r="I14" s="982"/>
      <c r="J14" s="983"/>
    </row>
    <row r="15" spans="1:10">
      <c r="A15" s="979"/>
      <c r="B15" s="984"/>
      <c r="C15" s="985"/>
      <c r="D15" s="985"/>
      <c r="E15" s="985"/>
      <c r="F15" s="985"/>
      <c r="G15" s="985"/>
      <c r="H15" s="985"/>
      <c r="I15" s="985"/>
      <c r="J15" s="986"/>
    </row>
    <row r="16" spans="1:10">
      <c r="A16" s="979"/>
      <c r="B16" s="984"/>
      <c r="C16" s="985"/>
      <c r="D16" s="985"/>
      <c r="E16" s="985"/>
      <c r="F16" s="985"/>
      <c r="G16" s="985"/>
      <c r="H16" s="985"/>
      <c r="I16" s="985"/>
      <c r="J16" s="986"/>
    </row>
    <row r="17" spans="1:10">
      <c r="A17" s="979"/>
      <c r="B17" s="984"/>
      <c r="C17" s="985"/>
      <c r="D17" s="985"/>
      <c r="E17" s="985"/>
      <c r="F17" s="985"/>
      <c r="G17" s="985"/>
      <c r="H17" s="985"/>
      <c r="I17" s="985"/>
      <c r="J17" s="986"/>
    </row>
    <row r="18" spans="1:10">
      <c r="A18" s="979"/>
      <c r="B18" s="984"/>
      <c r="C18" s="985"/>
      <c r="D18" s="985"/>
      <c r="E18" s="985"/>
      <c r="F18" s="985"/>
      <c r="G18" s="985"/>
      <c r="H18" s="985"/>
      <c r="I18" s="985"/>
      <c r="J18" s="986"/>
    </row>
    <row r="19" spans="1:10">
      <c r="A19" s="979"/>
      <c r="B19" s="984"/>
      <c r="C19" s="985"/>
      <c r="D19" s="985"/>
      <c r="E19" s="985"/>
      <c r="F19" s="985"/>
      <c r="G19" s="985"/>
      <c r="H19" s="985"/>
      <c r="I19" s="985"/>
      <c r="J19" s="986"/>
    </row>
    <row r="20" spans="1:10" ht="256.5" customHeight="1" thickBot="1">
      <c r="A20" s="980"/>
      <c r="B20" s="987"/>
      <c r="C20" s="988"/>
      <c r="D20" s="988"/>
      <c r="E20" s="988"/>
      <c r="F20" s="988"/>
      <c r="G20" s="988"/>
      <c r="H20" s="988"/>
      <c r="I20" s="988"/>
      <c r="J20" s="989"/>
    </row>
    <row r="21" spans="1:10" ht="19.5" thickBot="1">
      <c r="A21" s="947" t="s">
        <v>47</v>
      </c>
      <c r="B21" s="187"/>
      <c r="C21" s="188"/>
      <c r="D21" s="188"/>
      <c r="E21" s="188"/>
      <c r="F21" s="188"/>
      <c r="G21" s="188"/>
      <c r="H21" s="188"/>
      <c r="I21" s="188"/>
      <c r="J21" s="189"/>
    </row>
    <row r="22" spans="1:10" ht="88.5" customHeight="1" thickBot="1">
      <c r="A22" s="948"/>
      <c r="B22" s="955" t="s">
        <v>849</v>
      </c>
      <c r="C22" s="956"/>
      <c r="D22" s="956"/>
      <c r="E22" s="956"/>
      <c r="F22" s="956"/>
      <c r="G22" s="956"/>
      <c r="H22" s="956"/>
      <c r="I22" s="956"/>
      <c r="J22" s="957"/>
    </row>
    <row r="23" spans="1:10" ht="56.25" customHeight="1" thickBot="1">
      <c r="A23" s="948"/>
      <c r="B23" s="955" t="s">
        <v>848</v>
      </c>
      <c r="C23" s="956"/>
      <c r="D23" s="956"/>
      <c r="E23" s="956"/>
      <c r="F23" s="956"/>
      <c r="G23" s="956"/>
      <c r="H23" s="956"/>
      <c r="I23" s="956"/>
      <c r="J23" s="957"/>
    </row>
    <row r="24" spans="1:10" ht="87.75" customHeight="1">
      <c r="A24" s="951" t="s">
        <v>48</v>
      </c>
      <c r="B24" s="961" t="s">
        <v>847</v>
      </c>
      <c r="C24" s="962"/>
      <c r="D24" s="962"/>
      <c r="E24" s="962"/>
      <c r="F24" s="962"/>
      <c r="G24" s="962"/>
      <c r="H24" s="962"/>
      <c r="I24" s="962"/>
      <c r="J24" s="963"/>
    </row>
    <row r="25" spans="1:10" ht="55.5" customHeight="1" thickBot="1">
      <c r="A25" s="952"/>
      <c r="B25" s="969" t="s">
        <v>846</v>
      </c>
      <c r="C25" s="970"/>
      <c r="D25" s="970"/>
      <c r="E25" s="970"/>
      <c r="F25" s="970"/>
      <c r="G25" s="970"/>
      <c r="H25" s="970"/>
      <c r="I25" s="970"/>
      <c r="J25" s="971"/>
    </row>
    <row r="26" spans="1:10" ht="93" customHeight="1">
      <c r="A26" s="949" t="s">
        <v>49</v>
      </c>
      <c r="B26" s="966" t="s">
        <v>845</v>
      </c>
      <c r="C26" s="967"/>
      <c r="D26" s="967"/>
      <c r="E26" s="967"/>
      <c r="F26" s="967"/>
      <c r="G26" s="967"/>
      <c r="H26" s="967"/>
      <c r="I26" s="967"/>
      <c r="J26" s="968"/>
    </row>
    <row r="27" spans="1:10" ht="75" customHeight="1" thickBot="1">
      <c r="A27" s="950"/>
      <c r="B27" s="958" t="s">
        <v>844</v>
      </c>
      <c r="C27" s="959"/>
      <c r="D27" s="959"/>
      <c r="E27" s="959"/>
      <c r="F27" s="959"/>
      <c r="G27" s="959"/>
      <c r="H27" s="959"/>
      <c r="I27" s="959"/>
      <c r="J27" s="960"/>
    </row>
    <row r="28" spans="1:10" ht="63" customHeight="1">
      <c r="A28" s="953" t="s">
        <v>519</v>
      </c>
      <c r="B28" s="961" t="s">
        <v>843</v>
      </c>
      <c r="C28" s="962"/>
      <c r="D28" s="962"/>
      <c r="E28" s="962"/>
      <c r="F28" s="962"/>
      <c r="G28" s="962"/>
      <c r="H28" s="962"/>
      <c r="I28" s="962"/>
      <c r="J28" s="963"/>
    </row>
    <row r="29" spans="1:10" ht="71.25" customHeight="1">
      <c r="A29" s="954"/>
      <c r="B29" s="964" t="s">
        <v>842</v>
      </c>
      <c r="C29" s="959"/>
      <c r="D29" s="959"/>
      <c r="E29" s="959"/>
      <c r="F29" s="959"/>
      <c r="G29" s="959"/>
      <c r="H29" s="959"/>
      <c r="I29" s="959"/>
      <c r="J29" s="965"/>
    </row>
    <row r="30" spans="1:10">
      <c r="A30" s="186"/>
      <c r="B30" s="186"/>
      <c r="C30" s="186"/>
      <c r="D30" s="186"/>
      <c r="E30" s="186"/>
      <c r="F30" s="186"/>
      <c r="G30" s="186"/>
      <c r="H30" s="186"/>
      <c r="I30" s="186"/>
      <c r="J30" s="186"/>
    </row>
    <row r="31" spans="1:10">
      <c r="A31" s="186"/>
      <c r="B31" s="186"/>
      <c r="C31" s="186"/>
      <c r="D31" s="186"/>
      <c r="E31" s="186"/>
      <c r="F31" s="186"/>
      <c r="G31" s="186"/>
      <c r="H31" s="186"/>
      <c r="I31" s="186"/>
      <c r="J31" s="186"/>
    </row>
    <row r="32" spans="1:10">
      <c r="A32" s="186"/>
      <c r="B32" s="186"/>
      <c r="C32" s="186"/>
      <c r="D32" s="186"/>
      <c r="E32" s="186"/>
      <c r="F32" s="186"/>
      <c r="G32" s="186"/>
      <c r="H32" s="186"/>
      <c r="I32" s="186"/>
      <c r="J32" s="186"/>
    </row>
    <row r="33" spans="1:10">
      <c r="A33" s="186"/>
      <c r="B33" s="186"/>
      <c r="C33" s="186"/>
      <c r="D33" s="186"/>
      <c r="E33" s="186"/>
      <c r="F33" s="186"/>
      <c r="G33" s="186"/>
      <c r="H33" s="186"/>
      <c r="I33" s="186"/>
      <c r="J33" s="186"/>
    </row>
    <row r="34" spans="1:10">
      <c r="A34" s="186"/>
      <c r="B34" s="186"/>
      <c r="C34" s="186"/>
      <c r="D34" s="186"/>
      <c r="E34" s="186"/>
      <c r="F34" s="186"/>
      <c r="G34" s="186"/>
      <c r="H34" s="186"/>
      <c r="I34" s="186"/>
      <c r="J34" s="186"/>
    </row>
    <row r="35" spans="1:10">
      <c r="A35" s="186"/>
      <c r="B35" s="186"/>
      <c r="C35" s="186"/>
      <c r="D35" s="186"/>
      <c r="E35" s="186"/>
      <c r="F35" s="186"/>
      <c r="G35" s="186"/>
      <c r="H35" s="186"/>
      <c r="I35" s="186"/>
      <c r="J35" s="186"/>
    </row>
    <row r="36" spans="1:10">
      <c r="A36" s="186"/>
      <c r="B36" s="186"/>
      <c r="C36" s="186"/>
      <c r="D36" s="186"/>
      <c r="E36" s="186"/>
      <c r="F36" s="186"/>
      <c r="G36" s="186"/>
      <c r="H36" s="186"/>
      <c r="I36" s="186"/>
      <c r="J36" s="186"/>
    </row>
    <row r="37" spans="1:10">
      <c r="A37" s="186"/>
      <c r="B37" s="186"/>
      <c r="C37" s="186"/>
      <c r="D37" s="186"/>
      <c r="E37" s="186"/>
      <c r="F37" s="186"/>
      <c r="G37" s="186"/>
      <c r="H37" s="186"/>
      <c r="I37" s="186"/>
      <c r="J37" s="186"/>
    </row>
    <row r="38" spans="1:10">
      <c r="A38" s="186"/>
      <c r="B38" s="186"/>
      <c r="C38" s="186"/>
      <c r="D38" s="186"/>
      <c r="E38" s="186"/>
      <c r="F38" s="186"/>
      <c r="G38" s="186"/>
      <c r="H38" s="186"/>
      <c r="I38" s="186"/>
      <c r="J38" s="186"/>
    </row>
  </sheetData>
  <mergeCells count="17">
    <mergeCell ref="A4:D4"/>
    <mergeCell ref="B12:J12"/>
    <mergeCell ref="B13:J13"/>
    <mergeCell ref="A14:A20"/>
    <mergeCell ref="B14:J20"/>
    <mergeCell ref="A21:A23"/>
    <mergeCell ref="A26:A27"/>
    <mergeCell ref="A24:A25"/>
    <mergeCell ref="A28:A29"/>
    <mergeCell ref="B22:J22"/>
    <mergeCell ref="B23:J23"/>
    <mergeCell ref="B27:J27"/>
    <mergeCell ref="B28:J28"/>
    <mergeCell ref="B29:J29"/>
    <mergeCell ref="B24:J24"/>
    <mergeCell ref="B26:J26"/>
    <mergeCell ref="B25:J25"/>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6"/>
  <sheetViews>
    <sheetView workbookViewId="0">
      <pane xSplit="3" ySplit="8" topLeftCell="D9" activePane="bottomRight" state="frozen"/>
      <selection pane="topRight" activeCell="D1" sqref="D1"/>
      <selection pane="bottomLeft" activeCell="A9" sqref="A9"/>
      <selection pane="bottomRight" activeCell="S11" sqref="S11"/>
    </sheetView>
  </sheetViews>
  <sheetFormatPr defaultColWidth="8.875" defaultRowHeight="12.75"/>
  <cols>
    <col min="1" max="1" width="10.25" style="14" customWidth="1"/>
    <col min="2" max="2" width="19.375" style="14" customWidth="1"/>
    <col min="3" max="3" width="15.875" style="14" customWidth="1"/>
    <col min="4" max="4" width="10.125" style="14" customWidth="1"/>
    <col min="5" max="5" width="7.875" style="14" customWidth="1"/>
    <col min="6" max="6" width="10.875" style="14" bestFit="1" customWidth="1"/>
    <col min="7" max="7" width="9.375" style="14" customWidth="1"/>
    <col min="8" max="8" width="11.375" style="14" customWidth="1"/>
    <col min="9" max="9" width="7" style="14" customWidth="1"/>
    <col min="10" max="10" width="11.375" style="14" customWidth="1"/>
    <col min="11" max="11" width="7.875" style="14" customWidth="1"/>
    <col min="12" max="12" width="9.625" style="14" customWidth="1"/>
    <col min="13" max="13" width="7.875" style="14" hidden="1" customWidth="1"/>
    <col min="14" max="14" width="9.875" style="14" hidden="1" customWidth="1"/>
    <col min="15" max="15" width="7.125" style="14" hidden="1" customWidth="1"/>
    <col min="16" max="16" width="7.75" style="14" hidden="1" customWidth="1"/>
    <col min="17" max="17" width="7.375" style="14" customWidth="1"/>
    <col min="18" max="18" width="8.5" style="14" customWidth="1"/>
    <col min="19" max="19" width="25.625" style="14" customWidth="1"/>
    <col min="20" max="20" width="8.875" style="14"/>
    <col min="21" max="21" width="4" style="14" bestFit="1" customWidth="1"/>
    <col min="22" max="22" width="19.5" style="14" customWidth="1"/>
    <col min="23" max="23" width="20.625" style="14" customWidth="1"/>
    <col min="24" max="24" width="8.875" style="14"/>
    <col min="25" max="25" width="29.5" style="14" customWidth="1"/>
    <col min="26" max="16384" width="8.875" style="14"/>
  </cols>
  <sheetData>
    <row r="1" spans="1:25" ht="24.75" customHeight="1">
      <c r="A1" s="20" t="s">
        <v>258</v>
      </c>
    </row>
    <row r="2" spans="1:25" ht="24" customHeight="1">
      <c r="A2" s="229" t="s">
        <v>550</v>
      </c>
      <c r="B2" s="15"/>
      <c r="C2" s="16"/>
    </row>
    <row r="3" spans="1:25" ht="15" customHeight="1">
      <c r="A3" s="134" t="s">
        <v>261</v>
      </c>
      <c r="B3" s="17"/>
      <c r="C3" s="16"/>
      <c r="D3" s="16"/>
      <c r="E3" s="16"/>
      <c r="F3" s="16"/>
      <c r="G3" s="16"/>
      <c r="H3" s="16"/>
      <c r="I3" s="16"/>
      <c r="J3" s="16"/>
      <c r="K3" s="16"/>
      <c r="L3" s="16"/>
      <c r="M3" s="16"/>
      <c r="N3" s="16"/>
      <c r="O3" s="16"/>
      <c r="P3" s="16"/>
      <c r="Q3" s="16"/>
      <c r="R3" s="16"/>
      <c r="S3" s="16"/>
      <c r="T3" s="16"/>
      <c r="U3" s="16"/>
      <c r="V3" s="16"/>
      <c r="W3" s="16"/>
      <c r="X3" s="16"/>
      <c r="Y3" s="16"/>
    </row>
    <row r="4" spans="1:25" ht="15" customHeight="1">
      <c r="D4" s="16"/>
      <c r="E4" s="16"/>
      <c r="F4" s="16"/>
      <c r="G4" s="842" t="s">
        <v>1413</v>
      </c>
      <c r="H4" s="16"/>
      <c r="I4" s="16"/>
      <c r="J4" s="16"/>
      <c r="K4" s="16"/>
      <c r="L4" s="16"/>
      <c r="M4" s="16"/>
      <c r="N4" s="16"/>
      <c r="O4" s="16"/>
      <c r="P4" s="16"/>
      <c r="Q4" s="16"/>
      <c r="R4" s="16"/>
      <c r="S4" s="16"/>
      <c r="T4" s="16"/>
      <c r="U4" s="16"/>
      <c r="V4" s="16"/>
      <c r="W4" s="16"/>
      <c r="X4" s="16"/>
      <c r="Y4" s="16"/>
    </row>
    <row r="5" spans="1:25">
      <c r="A5" s="16"/>
      <c r="B5" s="16"/>
      <c r="C5" s="16"/>
      <c r="D5" s="16"/>
      <c r="E5" s="16"/>
      <c r="F5" s="16"/>
      <c r="G5" s="16"/>
      <c r="H5" s="16"/>
      <c r="I5" s="16"/>
      <c r="J5" s="550"/>
      <c r="K5" s="16"/>
      <c r="L5" s="16"/>
      <c r="M5" s="16"/>
      <c r="N5" s="16"/>
      <c r="O5" s="16"/>
      <c r="P5" s="16"/>
      <c r="Q5" s="16"/>
      <c r="R5" s="16"/>
      <c r="S5" s="16"/>
    </row>
    <row r="6" spans="1:25" ht="15.75" thickBot="1">
      <c r="A6" s="429" t="s">
        <v>826</v>
      </c>
      <c r="B6" s="430"/>
      <c r="C6" s="506"/>
      <c r="D6" s="431"/>
      <c r="E6" s="431"/>
      <c r="F6" s="431"/>
      <c r="G6" s="431"/>
      <c r="H6" s="431"/>
      <c r="I6" s="431"/>
      <c r="J6" s="431"/>
      <c r="K6" s="431"/>
      <c r="L6" s="431"/>
      <c r="M6" s="431"/>
      <c r="N6" s="431"/>
      <c r="O6" s="431"/>
      <c r="P6" s="431"/>
      <c r="Q6" s="431"/>
      <c r="R6" s="432"/>
      <c r="S6" s="16"/>
    </row>
    <row r="7" spans="1:25" ht="15.75" thickBot="1">
      <c r="A7" s="1000" t="s">
        <v>50</v>
      </c>
      <c r="B7" s="1000" t="s">
        <v>51</v>
      </c>
      <c r="C7" s="1002" t="s">
        <v>52</v>
      </c>
      <c r="D7" s="996"/>
      <c r="E7" s="994">
        <v>2018</v>
      </c>
      <c r="F7" s="995"/>
      <c r="G7" s="994">
        <v>2019</v>
      </c>
      <c r="H7" s="995"/>
      <c r="I7" s="994" t="s">
        <v>838</v>
      </c>
      <c r="J7" s="995"/>
      <c r="K7" s="994" t="s">
        <v>837</v>
      </c>
      <c r="L7" s="995"/>
      <c r="M7" s="994"/>
      <c r="N7" s="995"/>
      <c r="O7" s="994">
        <v>2023</v>
      </c>
      <c r="P7" s="995"/>
      <c r="Q7" s="994" t="s">
        <v>839</v>
      </c>
      <c r="R7" s="995"/>
      <c r="S7" s="996" t="s">
        <v>54</v>
      </c>
    </row>
    <row r="8" spans="1:25" ht="63.75" customHeight="1" thickBot="1">
      <c r="A8" s="1001"/>
      <c r="B8" s="1001"/>
      <c r="C8" s="1003"/>
      <c r="D8" s="997"/>
      <c r="E8" s="18" t="s">
        <v>55</v>
      </c>
      <c r="F8" s="4" t="s">
        <v>56</v>
      </c>
      <c r="G8" s="18" t="s">
        <v>55</v>
      </c>
      <c r="H8" s="18" t="s">
        <v>56</v>
      </c>
      <c r="I8" s="18" t="s">
        <v>55</v>
      </c>
      <c r="J8" s="4" t="s">
        <v>56</v>
      </c>
      <c r="K8" s="18" t="s">
        <v>55</v>
      </c>
      <c r="L8" s="4" t="s">
        <v>56</v>
      </c>
      <c r="M8" s="18" t="s">
        <v>55</v>
      </c>
      <c r="N8" s="4" t="s">
        <v>56</v>
      </c>
      <c r="O8" s="18" t="s">
        <v>55</v>
      </c>
      <c r="P8" s="4" t="s">
        <v>56</v>
      </c>
      <c r="Q8" s="428" t="s">
        <v>55</v>
      </c>
      <c r="R8" s="428" t="s">
        <v>56</v>
      </c>
      <c r="S8" s="997"/>
    </row>
    <row r="9" spans="1:25">
      <c r="A9" s="496" t="s">
        <v>357</v>
      </c>
      <c r="B9" s="1013" t="s">
        <v>358</v>
      </c>
      <c r="C9" s="992" t="s">
        <v>359</v>
      </c>
      <c r="D9" s="433" t="s">
        <v>57</v>
      </c>
      <c r="E9" s="434">
        <v>25</v>
      </c>
      <c r="F9" s="435">
        <v>126632</v>
      </c>
      <c r="G9" s="436">
        <v>0</v>
      </c>
      <c r="H9" s="437">
        <v>26174</v>
      </c>
      <c r="I9" s="434">
        <v>0</v>
      </c>
      <c r="J9" s="435">
        <v>0</v>
      </c>
      <c r="K9" s="434">
        <v>0</v>
      </c>
      <c r="L9" s="435">
        <v>0</v>
      </c>
      <c r="M9" s="434">
        <v>0</v>
      </c>
      <c r="N9" s="435">
        <v>0</v>
      </c>
      <c r="O9" s="434">
        <v>0</v>
      </c>
      <c r="P9" s="435">
        <v>0</v>
      </c>
      <c r="Q9" s="438">
        <f>E9+G9+I9+K9+M9+O9</f>
        <v>25</v>
      </c>
      <c r="R9" s="439">
        <f>F9+H9+J9+L9+N9+P9</f>
        <v>152806</v>
      </c>
      <c r="S9" s="998"/>
    </row>
    <row r="10" spans="1:25" ht="30.75" customHeight="1">
      <c r="A10" s="497" t="s">
        <v>655</v>
      </c>
      <c r="B10" s="1014"/>
      <c r="C10" s="993"/>
      <c r="D10" s="1016" t="s">
        <v>58</v>
      </c>
      <c r="E10" s="441">
        <v>36</v>
      </c>
      <c r="F10" s="1018">
        <v>358207</v>
      </c>
      <c r="G10" s="443">
        <v>18</v>
      </c>
      <c r="H10" s="1020">
        <v>490043</v>
      </c>
      <c r="I10" s="441"/>
      <c r="J10" s="537">
        <v>35714</v>
      </c>
      <c r="K10" s="441"/>
      <c r="L10" s="442">
        <v>0</v>
      </c>
      <c r="M10" s="441"/>
      <c r="N10" s="442">
        <v>0</v>
      </c>
      <c r="O10" s="441"/>
      <c r="P10" s="442">
        <v>0</v>
      </c>
      <c r="Q10" s="445">
        <f>E10+G10+I10+K10+M10+O10</f>
        <v>54</v>
      </c>
      <c r="R10" s="446">
        <f>F10+H10+J10+L10+N10+P10</f>
        <v>883964</v>
      </c>
      <c r="S10" s="991"/>
    </row>
    <row r="11" spans="1:25" ht="16.5" thickBot="1">
      <c r="A11" s="499"/>
      <c r="B11" s="1015"/>
      <c r="C11" s="524" t="s">
        <v>360</v>
      </c>
      <c r="D11" s="1017"/>
      <c r="E11" s="441">
        <v>225</v>
      </c>
      <c r="F11" s="1019"/>
      <c r="G11" s="484">
        <v>536</v>
      </c>
      <c r="H11" s="1021"/>
      <c r="I11" s="441"/>
      <c r="J11" s="442"/>
      <c r="K11" s="441"/>
      <c r="L11" s="442"/>
      <c r="M11" s="441"/>
      <c r="N11" s="442"/>
      <c r="O11" s="441"/>
      <c r="P11" s="442"/>
      <c r="Q11" s="445"/>
      <c r="R11" s="446"/>
      <c r="S11" s="523" t="s">
        <v>835</v>
      </c>
    </row>
    <row r="12" spans="1:25" ht="38.25">
      <c r="A12" s="496" t="s">
        <v>361</v>
      </c>
      <c r="B12" s="488" t="s">
        <v>362</v>
      </c>
      <c r="C12" s="992" t="s">
        <v>363</v>
      </c>
      <c r="D12" s="448" t="s">
        <v>59</v>
      </c>
      <c r="E12" s="434">
        <v>8</v>
      </c>
      <c r="F12" s="435">
        <v>73913</v>
      </c>
      <c r="G12" s="436">
        <v>0</v>
      </c>
      <c r="H12" s="437">
        <v>39130</v>
      </c>
      <c r="I12" s="434">
        <v>0</v>
      </c>
      <c r="J12" s="435">
        <v>0</v>
      </c>
      <c r="K12" s="434">
        <v>0</v>
      </c>
      <c r="L12" s="435"/>
      <c r="M12" s="434">
        <v>0</v>
      </c>
      <c r="N12" s="435"/>
      <c r="O12" s="434">
        <v>0</v>
      </c>
      <c r="P12" s="435"/>
      <c r="Q12" s="438">
        <f t="shared" ref="Q12:R19" si="0">E12+G12+I12+K12+M12+O12</f>
        <v>8</v>
      </c>
      <c r="R12" s="439">
        <f t="shared" si="0"/>
        <v>113043</v>
      </c>
      <c r="S12" s="990"/>
    </row>
    <row r="13" spans="1:25" ht="13.5" thickBot="1">
      <c r="A13" s="497" t="s">
        <v>654</v>
      </c>
      <c r="B13" s="458"/>
      <c r="C13" s="993"/>
      <c r="D13" s="449" t="s">
        <v>60</v>
      </c>
      <c r="E13" s="450">
        <v>252</v>
      </c>
      <c r="F13" s="451">
        <v>20452</v>
      </c>
      <c r="G13" s="426">
        <v>144</v>
      </c>
      <c r="H13" s="452">
        <v>14436</v>
      </c>
      <c r="I13" s="450">
        <v>36</v>
      </c>
      <c r="J13" s="451">
        <v>3300</v>
      </c>
      <c r="K13" s="450"/>
      <c r="L13" s="451"/>
      <c r="M13" s="450"/>
      <c r="N13" s="451"/>
      <c r="O13" s="450"/>
      <c r="P13" s="451"/>
      <c r="Q13" s="445">
        <f t="shared" si="0"/>
        <v>432</v>
      </c>
      <c r="R13" s="446">
        <f t="shared" si="0"/>
        <v>38188</v>
      </c>
      <c r="S13" s="991"/>
    </row>
    <row r="14" spans="1:25" ht="63.75">
      <c r="A14" s="496" t="s">
        <v>364</v>
      </c>
      <c r="B14" s="488" t="s">
        <v>365</v>
      </c>
      <c r="C14" s="992" t="s">
        <v>366</v>
      </c>
      <c r="D14" s="448" t="s">
        <v>59</v>
      </c>
      <c r="E14" s="434">
        <v>35</v>
      </c>
      <c r="F14" s="435">
        <v>587710</v>
      </c>
      <c r="G14" s="436">
        <v>0</v>
      </c>
      <c r="H14" s="437">
        <v>564444</v>
      </c>
      <c r="I14" s="434">
        <v>0</v>
      </c>
      <c r="J14" s="435">
        <v>0</v>
      </c>
      <c r="K14" s="434">
        <v>0</v>
      </c>
      <c r="L14" s="435">
        <v>0</v>
      </c>
      <c r="M14" s="434">
        <v>0</v>
      </c>
      <c r="N14" s="435">
        <v>0</v>
      </c>
      <c r="O14" s="434">
        <v>0</v>
      </c>
      <c r="P14" s="435">
        <v>0</v>
      </c>
      <c r="Q14" s="438">
        <f t="shared" si="0"/>
        <v>35</v>
      </c>
      <c r="R14" s="439">
        <f t="shared" si="0"/>
        <v>1152154</v>
      </c>
      <c r="S14" s="990"/>
    </row>
    <row r="15" spans="1:25" ht="13.5" thickBot="1">
      <c r="A15" s="497" t="s">
        <v>653</v>
      </c>
      <c r="B15" s="458"/>
      <c r="C15" s="993"/>
      <c r="D15" s="449" t="s">
        <v>60</v>
      </c>
      <c r="E15" s="450">
        <v>1740</v>
      </c>
      <c r="F15" s="451">
        <v>300722</v>
      </c>
      <c r="G15" s="426">
        <v>3230</v>
      </c>
      <c r="H15" s="452">
        <v>384752</v>
      </c>
      <c r="I15" s="450">
        <v>1305</v>
      </c>
      <c r="J15" s="538">
        <v>278961</v>
      </c>
      <c r="K15" s="450"/>
      <c r="L15" s="451">
        <v>0</v>
      </c>
      <c r="M15" s="450"/>
      <c r="N15" s="451">
        <v>0</v>
      </c>
      <c r="O15" s="450"/>
      <c r="P15" s="451">
        <v>0</v>
      </c>
      <c r="Q15" s="445">
        <f t="shared" si="0"/>
        <v>6275</v>
      </c>
      <c r="R15" s="446">
        <f t="shared" si="0"/>
        <v>964435</v>
      </c>
      <c r="S15" s="991"/>
    </row>
    <row r="16" spans="1:25" ht="38.25">
      <c r="A16" s="496" t="s">
        <v>367</v>
      </c>
      <c r="B16" s="488" t="s">
        <v>368</v>
      </c>
      <c r="C16" s="992" t="s">
        <v>369</v>
      </c>
      <c r="D16" s="448" t="s">
        <v>59</v>
      </c>
      <c r="E16" s="434">
        <v>10</v>
      </c>
      <c r="F16" s="435">
        <v>66087</v>
      </c>
      <c r="G16" s="436">
        <v>0</v>
      </c>
      <c r="H16" s="437">
        <v>0</v>
      </c>
      <c r="I16" s="434">
        <v>0</v>
      </c>
      <c r="J16" s="435">
        <v>0</v>
      </c>
      <c r="K16" s="434">
        <v>0</v>
      </c>
      <c r="L16" s="435">
        <v>0</v>
      </c>
      <c r="M16" s="434">
        <v>0</v>
      </c>
      <c r="N16" s="435">
        <v>0</v>
      </c>
      <c r="O16" s="434">
        <v>0</v>
      </c>
      <c r="P16" s="435">
        <v>0</v>
      </c>
      <c r="Q16" s="438">
        <f t="shared" si="0"/>
        <v>10</v>
      </c>
      <c r="R16" s="439">
        <f t="shared" si="0"/>
        <v>66087</v>
      </c>
      <c r="S16" s="990"/>
    </row>
    <row r="17" spans="1:19" ht="13.5" thickBot="1">
      <c r="A17" s="497" t="s">
        <v>652</v>
      </c>
      <c r="B17" s="458"/>
      <c r="C17" s="993"/>
      <c r="D17" s="449" t="s">
        <v>60</v>
      </c>
      <c r="E17" s="450">
        <v>47</v>
      </c>
      <c r="F17" s="451">
        <v>653714</v>
      </c>
      <c r="G17" s="426">
        <v>48</v>
      </c>
      <c r="H17" s="452">
        <v>1063853</v>
      </c>
      <c r="I17" s="450">
        <v>48</v>
      </c>
      <c r="J17" s="451">
        <v>403571</v>
      </c>
      <c r="K17" s="450"/>
      <c r="L17" s="451">
        <v>0</v>
      </c>
      <c r="M17" s="450"/>
      <c r="N17" s="451">
        <v>0</v>
      </c>
      <c r="O17" s="450"/>
      <c r="P17" s="451">
        <v>0</v>
      </c>
      <c r="Q17" s="445">
        <f t="shared" si="0"/>
        <v>143</v>
      </c>
      <c r="R17" s="446">
        <f t="shared" si="0"/>
        <v>2121138</v>
      </c>
      <c r="S17" s="991"/>
    </row>
    <row r="18" spans="1:19" ht="51">
      <c r="A18" s="496" t="s">
        <v>370</v>
      </c>
      <c r="B18" s="488" t="s">
        <v>371</v>
      </c>
      <c r="C18" s="1004" t="s">
        <v>372</v>
      </c>
      <c r="D18" s="453" t="s">
        <v>59</v>
      </c>
      <c r="E18" s="454">
        <v>30</v>
      </c>
      <c r="F18" s="455">
        <v>21799</v>
      </c>
      <c r="G18" s="504">
        <v>0</v>
      </c>
      <c r="H18" s="437">
        <v>10899</v>
      </c>
      <c r="I18" s="454">
        <v>0</v>
      </c>
      <c r="J18" s="455">
        <v>0</v>
      </c>
      <c r="K18" s="454">
        <v>0</v>
      </c>
      <c r="L18" s="455">
        <v>0</v>
      </c>
      <c r="M18" s="454">
        <v>0</v>
      </c>
      <c r="N18" s="455">
        <v>0</v>
      </c>
      <c r="O18" s="454">
        <v>0</v>
      </c>
      <c r="P18" s="455">
        <v>0</v>
      </c>
      <c r="Q18" s="456">
        <f t="shared" si="0"/>
        <v>30</v>
      </c>
      <c r="R18" s="457">
        <f t="shared" si="0"/>
        <v>32698</v>
      </c>
      <c r="S18" s="998"/>
    </row>
    <row r="19" spans="1:19">
      <c r="A19" s="497" t="s">
        <v>651</v>
      </c>
      <c r="B19" s="458"/>
      <c r="C19" s="993"/>
      <c r="D19" s="449" t="s">
        <v>60</v>
      </c>
      <c r="E19" s="450">
        <v>80</v>
      </c>
      <c r="F19" s="1006">
        <v>454650</v>
      </c>
      <c r="G19" s="426">
        <v>40</v>
      </c>
      <c r="H19" s="1009">
        <v>119504</v>
      </c>
      <c r="I19" s="450"/>
      <c r="J19" s="451">
        <v>0</v>
      </c>
      <c r="K19" s="450"/>
      <c r="L19" s="451">
        <v>0</v>
      </c>
      <c r="M19" s="450"/>
      <c r="N19" s="451">
        <v>0</v>
      </c>
      <c r="O19" s="450"/>
      <c r="P19" s="451">
        <v>0</v>
      </c>
      <c r="Q19" s="445">
        <f t="shared" si="0"/>
        <v>120</v>
      </c>
      <c r="R19" s="446">
        <f t="shared" si="0"/>
        <v>574154</v>
      </c>
      <c r="S19" s="991"/>
    </row>
    <row r="20" spans="1:19" ht="25.5">
      <c r="A20" s="498"/>
      <c r="B20" s="489"/>
      <c r="C20" s="524" t="s">
        <v>373</v>
      </c>
      <c r="D20" s="449" t="s">
        <v>60</v>
      </c>
      <c r="E20" s="450">
        <v>1125</v>
      </c>
      <c r="F20" s="1007"/>
      <c r="G20" s="507">
        <v>1200</v>
      </c>
      <c r="H20" s="1010"/>
      <c r="I20" s="450"/>
      <c r="J20" s="451"/>
      <c r="K20" s="450"/>
      <c r="L20" s="451"/>
      <c r="M20" s="450"/>
      <c r="N20" s="451"/>
      <c r="O20" s="450"/>
      <c r="P20" s="451"/>
      <c r="Q20" s="445">
        <f t="shared" ref="Q20:Q28" si="1">E20+G20+I20+K20+M20+O20</f>
        <v>2325</v>
      </c>
      <c r="R20" s="446"/>
      <c r="S20" s="523"/>
    </row>
    <row r="21" spans="1:19" ht="15.75">
      <c r="A21" s="498"/>
      <c r="B21" s="489"/>
      <c r="C21" s="524" t="s">
        <v>374</v>
      </c>
      <c r="D21" s="449" t="s">
        <v>60</v>
      </c>
      <c r="E21" s="450">
        <v>40</v>
      </c>
      <c r="F21" s="1007"/>
      <c r="G21" s="507">
        <v>20</v>
      </c>
      <c r="H21" s="1010"/>
      <c r="I21" s="450"/>
      <c r="J21" s="451"/>
      <c r="K21" s="450"/>
      <c r="L21" s="451"/>
      <c r="M21" s="450"/>
      <c r="N21" s="451"/>
      <c r="O21" s="450"/>
      <c r="P21" s="451"/>
      <c r="Q21" s="445">
        <f t="shared" si="1"/>
        <v>60</v>
      </c>
      <c r="R21" s="446"/>
      <c r="S21" s="523"/>
    </row>
    <row r="22" spans="1:19" ht="26.25" thickBot="1">
      <c r="A22" s="499"/>
      <c r="B22" s="490"/>
      <c r="C22" s="524" t="s">
        <v>375</v>
      </c>
      <c r="D22" s="449" t="s">
        <v>60</v>
      </c>
      <c r="E22" s="450">
        <v>250</v>
      </c>
      <c r="F22" s="1008"/>
      <c r="G22" s="505">
        <v>200</v>
      </c>
      <c r="H22" s="1011"/>
      <c r="I22" s="450"/>
      <c r="J22" s="451"/>
      <c r="K22" s="450"/>
      <c r="L22" s="451"/>
      <c r="M22" s="450"/>
      <c r="N22" s="451"/>
      <c r="O22" s="450"/>
      <c r="P22" s="451"/>
      <c r="Q22" s="445">
        <f t="shared" si="1"/>
        <v>450</v>
      </c>
      <c r="R22" s="446"/>
      <c r="S22" s="523"/>
    </row>
    <row r="23" spans="1:19" ht="89.25">
      <c r="A23" s="496" t="s">
        <v>376</v>
      </c>
      <c r="B23" s="488" t="s">
        <v>377</v>
      </c>
      <c r="C23" s="1004" t="s">
        <v>378</v>
      </c>
      <c r="D23" s="448" t="s">
        <v>59</v>
      </c>
      <c r="E23" s="434">
        <v>1</v>
      </c>
      <c r="F23" s="435">
        <v>392916</v>
      </c>
      <c r="G23" s="436">
        <v>1</v>
      </c>
      <c r="H23" s="437">
        <v>250612</v>
      </c>
      <c r="I23" s="434">
        <v>0</v>
      </c>
      <c r="J23" s="435">
        <v>0</v>
      </c>
      <c r="K23" s="434">
        <v>0</v>
      </c>
      <c r="L23" s="435">
        <v>0</v>
      </c>
      <c r="M23" s="434">
        <v>0</v>
      </c>
      <c r="N23" s="435">
        <v>0</v>
      </c>
      <c r="O23" s="434">
        <v>0</v>
      </c>
      <c r="P23" s="435">
        <v>0</v>
      </c>
      <c r="Q23" s="438">
        <f t="shared" si="1"/>
        <v>2</v>
      </c>
      <c r="R23" s="439">
        <f t="shared" ref="R23:R28" si="2">F23+H23+J23+L23+N23+P23</f>
        <v>643528</v>
      </c>
      <c r="S23" s="990"/>
    </row>
    <row r="24" spans="1:19" ht="13.5" thickBot="1">
      <c r="A24" s="497" t="s">
        <v>650</v>
      </c>
      <c r="B24" s="458"/>
      <c r="C24" s="993"/>
      <c r="D24" s="449" t="s">
        <v>60</v>
      </c>
      <c r="E24" s="450">
        <v>5</v>
      </c>
      <c r="F24" s="451">
        <v>278542</v>
      </c>
      <c r="G24" s="426">
        <v>5</v>
      </c>
      <c r="H24" s="452">
        <v>550189</v>
      </c>
      <c r="I24" s="450">
        <v>5</v>
      </c>
      <c r="J24" s="451">
        <v>221714</v>
      </c>
      <c r="K24" s="450"/>
      <c r="L24" s="451">
        <v>0</v>
      </c>
      <c r="M24" s="450"/>
      <c r="N24" s="451">
        <v>0</v>
      </c>
      <c r="O24" s="450"/>
      <c r="P24" s="451">
        <v>0</v>
      </c>
      <c r="Q24" s="445">
        <f t="shared" si="1"/>
        <v>15</v>
      </c>
      <c r="R24" s="446">
        <f t="shared" si="2"/>
        <v>1050445</v>
      </c>
      <c r="S24" s="991"/>
    </row>
    <row r="25" spans="1:19" ht="38.25">
      <c r="A25" s="496" t="s">
        <v>379</v>
      </c>
      <c r="B25" s="488" t="s">
        <v>380</v>
      </c>
      <c r="C25" s="992" t="s">
        <v>381</v>
      </c>
      <c r="D25" s="448" t="s">
        <v>59</v>
      </c>
      <c r="E25" s="434">
        <v>4</v>
      </c>
      <c r="F25" s="435">
        <v>29565</v>
      </c>
      <c r="G25" s="436">
        <v>0</v>
      </c>
      <c r="H25" s="437">
        <v>0</v>
      </c>
      <c r="I25" s="434">
        <v>0</v>
      </c>
      <c r="J25" s="435">
        <v>0</v>
      </c>
      <c r="K25" s="434">
        <v>0</v>
      </c>
      <c r="L25" s="435">
        <v>0</v>
      </c>
      <c r="M25" s="434">
        <v>0</v>
      </c>
      <c r="N25" s="435">
        <v>0</v>
      </c>
      <c r="O25" s="434">
        <v>0</v>
      </c>
      <c r="P25" s="435">
        <v>0</v>
      </c>
      <c r="Q25" s="438">
        <f t="shared" si="1"/>
        <v>4</v>
      </c>
      <c r="R25" s="439">
        <f t="shared" si="2"/>
        <v>29565</v>
      </c>
      <c r="S25" s="990"/>
    </row>
    <row r="26" spans="1:19" ht="13.5" thickBot="1">
      <c r="A26" s="497" t="s">
        <v>649</v>
      </c>
      <c r="B26" s="458"/>
      <c r="C26" s="993"/>
      <c r="D26" s="449" t="s">
        <v>60</v>
      </c>
      <c r="E26" s="450">
        <v>2</v>
      </c>
      <c r="F26" s="451">
        <v>5797</v>
      </c>
      <c r="G26" s="426">
        <v>2</v>
      </c>
      <c r="H26" s="452">
        <v>2963</v>
      </c>
      <c r="I26" s="450">
        <v>1</v>
      </c>
      <c r="J26" s="451">
        <v>77898</v>
      </c>
      <c r="K26" s="450"/>
      <c r="L26" s="451">
        <v>0</v>
      </c>
      <c r="M26" s="450"/>
      <c r="N26" s="451">
        <v>0</v>
      </c>
      <c r="O26" s="450"/>
      <c r="P26" s="451">
        <v>0</v>
      </c>
      <c r="Q26" s="445">
        <f t="shared" si="1"/>
        <v>5</v>
      </c>
      <c r="R26" s="446">
        <f t="shared" si="2"/>
        <v>86658</v>
      </c>
      <c r="S26" s="991"/>
    </row>
    <row r="27" spans="1:19" ht="63.75">
      <c r="A27" s="496" t="s">
        <v>382</v>
      </c>
      <c r="B27" s="488" t="s">
        <v>383</v>
      </c>
      <c r="C27" s="1004" t="s">
        <v>384</v>
      </c>
      <c r="D27" s="453" t="s">
        <v>59</v>
      </c>
      <c r="E27" s="454">
        <v>10</v>
      </c>
      <c r="F27" s="455">
        <v>0</v>
      </c>
      <c r="G27" s="436">
        <v>0</v>
      </c>
      <c r="H27" s="437">
        <v>0</v>
      </c>
      <c r="I27" s="454">
        <v>0</v>
      </c>
      <c r="J27" s="455">
        <v>0</v>
      </c>
      <c r="K27" s="454">
        <v>0</v>
      </c>
      <c r="L27" s="455">
        <v>0</v>
      </c>
      <c r="M27" s="454">
        <v>0</v>
      </c>
      <c r="N27" s="455">
        <v>0</v>
      </c>
      <c r="O27" s="454">
        <v>0</v>
      </c>
      <c r="P27" s="455">
        <v>0</v>
      </c>
      <c r="Q27" s="456">
        <f t="shared" si="1"/>
        <v>10</v>
      </c>
      <c r="R27" s="457">
        <f t="shared" si="2"/>
        <v>0</v>
      </c>
      <c r="S27" s="998"/>
    </row>
    <row r="28" spans="1:19">
      <c r="A28" s="497" t="s">
        <v>648</v>
      </c>
      <c r="B28" s="458"/>
      <c r="C28" s="993"/>
      <c r="D28" s="449" t="s">
        <v>60</v>
      </c>
      <c r="E28" s="450">
        <v>10</v>
      </c>
      <c r="F28" s="451">
        <v>87971</v>
      </c>
      <c r="G28" s="426">
        <v>2</v>
      </c>
      <c r="H28" s="452">
        <v>175316</v>
      </c>
      <c r="I28" s="450"/>
      <c r="J28" s="451">
        <v>0</v>
      </c>
      <c r="K28" s="450"/>
      <c r="L28" s="451">
        <v>0</v>
      </c>
      <c r="M28" s="450"/>
      <c r="N28" s="451">
        <v>0</v>
      </c>
      <c r="O28" s="450"/>
      <c r="P28" s="451">
        <v>0</v>
      </c>
      <c r="Q28" s="445">
        <f t="shared" si="1"/>
        <v>12</v>
      </c>
      <c r="R28" s="446">
        <f t="shared" si="2"/>
        <v>263287</v>
      </c>
      <c r="S28" s="991"/>
    </row>
    <row r="29" spans="1:19" ht="15.75" thickBot="1">
      <c r="A29" s="429" t="s">
        <v>468</v>
      </c>
      <c r="B29" s="430"/>
      <c r="C29" s="506"/>
      <c r="D29" s="431"/>
      <c r="E29" s="431"/>
      <c r="F29" s="431"/>
      <c r="G29" s="431"/>
      <c r="H29" s="431"/>
      <c r="I29" s="431"/>
      <c r="J29" s="431"/>
      <c r="K29" s="431"/>
      <c r="L29" s="431"/>
      <c r="M29" s="431"/>
      <c r="N29" s="431"/>
      <c r="O29" s="431"/>
      <c r="P29" s="431"/>
      <c r="Q29" s="431"/>
      <c r="R29" s="432"/>
      <c r="S29" s="509"/>
    </row>
    <row r="30" spans="1:19" ht="15.75" thickBot="1">
      <c r="A30" s="500" t="s">
        <v>50</v>
      </c>
      <c r="B30" s="1000" t="s">
        <v>51</v>
      </c>
      <c r="C30" s="1002" t="s">
        <v>52</v>
      </c>
      <c r="D30" s="996"/>
      <c r="E30" s="994">
        <v>2018</v>
      </c>
      <c r="F30" s="995"/>
      <c r="G30" s="994">
        <v>2019</v>
      </c>
      <c r="H30" s="995"/>
      <c r="I30" s="994">
        <v>2020</v>
      </c>
      <c r="J30" s="995"/>
      <c r="K30" s="994">
        <v>2021</v>
      </c>
      <c r="L30" s="995"/>
      <c r="M30" s="994">
        <v>2022</v>
      </c>
      <c r="N30" s="995"/>
      <c r="O30" s="994">
        <v>2023</v>
      </c>
      <c r="P30" s="995"/>
      <c r="Q30" s="994" t="s">
        <v>53</v>
      </c>
      <c r="R30" s="995"/>
      <c r="S30" s="996" t="s">
        <v>739</v>
      </c>
    </row>
    <row r="31" spans="1:19" ht="30.75" thickBot="1">
      <c r="A31" s="428"/>
      <c r="B31" s="1001"/>
      <c r="C31" s="1003"/>
      <c r="D31" s="997"/>
      <c r="E31" s="18" t="s">
        <v>55</v>
      </c>
      <c r="F31" s="4" t="s">
        <v>56</v>
      </c>
      <c r="G31" s="18" t="s">
        <v>55</v>
      </c>
      <c r="H31" s="18" t="s">
        <v>56</v>
      </c>
      <c r="I31" s="18" t="s">
        <v>55</v>
      </c>
      <c r="J31" s="4" t="s">
        <v>56</v>
      </c>
      <c r="K31" s="18" t="s">
        <v>55</v>
      </c>
      <c r="L31" s="4" t="s">
        <v>56</v>
      </c>
      <c r="M31" s="18" t="s">
        <v>55</v>
      </c>
      <c r="N31" s="4" t="s">
        <v>56</v>
      </c>
      <c r="O31" s="18" t="s">
        <v>55</v>
      </c>
      <c r="P31" s="4" t="s">
        <v>56</v>
      </c>
      <c r="Q31" s="428" t="s">
        <v>55</v>
      </c>
      <c r="R31" s="428" t="s">
        <v>56</v>
      </c>
      <c r="S31" s="997"/>
    </row>
    <row r="32" spans="1:19" ht="102">
      <c r="A32" s="501" t="s">
        <v>469</v>
      </c>
      <c r="B32" s="488" t="s">
        <v>470</v>
      </c>
      <c r="C32" s="992" t="s">
        <v>471</v>
      </c>
      <c r="D32" s="433" t="s">
        <v>57</v>
      </c>
      <c r="E32" s="434"/>
      <c r="F32" s="435">
        <v>0</v>
      </c>
      <c r="G32" s="436">
        <v>0</v>
      </c>
      <c r="H32" s="437">
        <v>0</v>
      </c>
      <c r="I32" s="434">
        <v>0</v>
      </c>
      <c r="J32" s="435">
        <v>0</v>
      </c>
      <c r="K32" s="434">
        <v>0</v>
      </c>
      <c r="L32" s="435">
        <v>0</v>
      </c>
      <c r="M32" s="434">
        <v>0</v>
      </c>
      <c r="N32" s="435">
        <v>0</v>
      </c>
      <c r="O32" s="434">
        <v>0</v>
      </c>
      <c r="P32" s="435">
        <v>0</v>
      </c>
      <c r="Q32" s="438">
        <f t="shared" ref="Q32:Q53" si="3">E32+G32+I32+K32+M32+O32</f>
        <v>0</v>
      </c>
      <c r="R32" s="439">
        <f t="shared" ref="R32:R53" si="4">F32+H32+J32+L32+N32+P32</f>
        <v>0</v>
      </c>
      <c r="S32" s="998"/>
    </row>
    <row r="33" spans="1:19" ht="39" thickBot="1">
      <c r="A33" s="497" t="s">
        <v>647</v>
      </c>
      <c r="B33" s="458"/>
      <c r="C33" s="993"/>
      <c r="D33" s="440" t="s">
        <v>58</v>
      </c>
      <c r="E33" s="441">
        <v>1</v>
      </c>
      <c r="F33" s="442">
        <v>21903</v>
      </c>
      <c r="G33" s="443">
        <v>0</v>
      </c>
      <c r="H33" s="444">
        <v>7490</v>
      </c>
      <c r="I33" s="441"/>
      <c r="J33" s="442">
        <v>2318</v>
      </c>
      <c r="K33" s="441"/>
      <c r="L33" s="442">
        <v>0</v>
      </c>
      <c r="M33" s="441"/>
      <c r="N33" s="442">
        <v>0</v>
      </c>
      <c r="O33" s="441"/>
      <c r="P33" s="442">
        <v>0</v>
      </c>
      <c r="Q33" s="445">
        <f t="shared" si="3"/>
        <v>1</v>
      </c>
      <c r="R33" s="446">
        <f t="shared" si="4"/>
        <v>31711</v>
      </c>
      <c r="S33" s="991"/>
    </row>
    <row r="34" spans="1:19" ht="76.5">
      <c r="A34" s="501" t="s">
        <v>472</v>
      </c>
      <c r="B34" s="491" t="s">
        <v>473</v>
      </c>
      <c r="C34" s="992" t="s">
        <v>474</v>
      </c>
      <c r="D34" s="448" t="s">
        <v>59</v>
      </c>
      <c r="E34" s="434">
        <v>0</v>
      </c>
      <c r="F34" s="435">
        <v>0</v>
      </c>
      <c r="G34" s="436">
        <v>0</v>
      </c>
      <c r="H34" s="437">
        <v>0</v>
      </c>
      <c r="I34" s="434">
        <v>0</v>
      </c>
      <c r="J34" s="435">
        <v>0</v>
      </c>
      <c r="K34" s="434">
        <v>0</v>
      </c>
      <c r="L34" s="435">
        <v>0</v>
      </c>
      <c r="M34" s="434">
        <v>0</v>
      </c>
      <c r="N34" s="435">
        <v>0</v>
      </c>
      <c r="O34" s="434">
        <v>0</v>
      </c>
      <c r="P34" s="435">
        <v>0</v>
      </c>
      <c r="Q34" s="438">
        <f t="shared" si="3"/>
        <v>0</v>
      </c>
      <c r="R34" s="439">
        <f t="shared" si="4"/>
        <v>0</v>
      </c>
      <c r="S34" s="990"/>
    </row>
    <row r="35" spans="1:19" ht="13.5" thickBot="1">
      <c r="A35" s="502"/>
      <c r="B35" s="447"/>
      <c r="C35" s="993"/>
      <c r="D35" s="449" t="s">
        <v>60</v>
      </c>
      <c r="E35" s="450">
        <v>0</v>
      </c>
      <c r="F35" s="451">
        <v>0</v>
      </c>
      <c r="G35" s="426">
        <v>0</v>
      </c>
      <c r="H35" s="452">
        <v>0</v>
      </c>
      <c r="I35" s="450"/>
      <c r="J35" s="451">
        <v>0</v>
      </c>
      <c r="K35" s="450"/>
      <c r="L35" s="451">
        <v>0</v>
      </c>
      <c r="M35" s="450"/>
      <c r="N35" s="451">
        <v>0</v>
      </c>
      <c r="O35" s="450"/>
      <c r="P35" s="451">
        <v>0</v>
      </c>
      <c r="Q35" s="445">
        <f t="shared" si="3"/>
        <v>0</v>
      </c>
      <c r="R35" s="446">
        <f t="shared" si="4"/>
        <v>0</v>
      </c>
      <c r="S35" s="991"/>
    </row>
    <row r="36" spans="1:19" ht="60">
      <c r="A36" s="501" t="s">
        <v>475</v>
      </c>
      <c r="B36" s="492" t="s">
        <v>476</v>
      </c>
      <c r="C36" s="992" t="s">
        <v>477</v>
      </c>
      <c r="D36" s="448" t="s">
        <v>59</v>
      </c>
      <c r="E36" s="434">
        <v>0</v>
      </c>
      <c r="F36" s="435">
        <v>0</v>
      </c>
      <c r="G36" s="436">
        <v>0</v>
      </c>
      <c r="H36" s="437">
        <v>0</v>
      </c>
      <c r="I36" s="434">
        <v>0</v>
      </c>
      <c r="J36" s="435">
        <v>0</v>
      </c>
      <c r="K36" s="434">
        <v>0</v>
      </c>
      <c r="L36" s="435">
        <v>0</v>
      </c>
      <c r="M36" s="434">
        <v>0</v>
      </c>
      <c r="N36" s="435">
        <v>0</v>
      </c>
      <c r="O36" s="434">
        <v>0</v>
      </c>
      <c r="P36" s="435">
        <v>0</v>
      </c>
      <c r="Q36" s="438">
        <f t="shared" si="3"/>
        <v>0</v>
      </c>
      <c r="R36" s="439">
        <f t="shared" si="4"/>
        <v>0</v>
      </c>
      <c r="S36" s="990"/>
    </row>
    <row r="37" spans="1:19" ht="26.25" thickBot="1">
      <c r="A37" s="497" t="s">
        <v>646</v>
      </c>
      <c r="B37" s="493"/>
      <c r="C37" s="993"/>
      <c r="D37" s="449" t="s">
        <v>60</v>
      </c>
      <c r="E37" s="450">
        <v>0</v>
      </c>
      <c r="F37" s="451">
        <v>0</v>
      </c>
      <c r="G37" s="426">
        <v>0</v>
      </c>
      <c r="H37" s="452">
        <v>0</v>
      </c>
      <c r="I37" s="450"/>
      <c r="J37" s="451">
        <v>0</v>
      </c>
      <c r="K37" s="450"/>
      <c r="L37" s="451">
        <v>0</v>
      </c>
      <c r="M37" s="450"/>
      <c r="N37" s="451">
        <v>0</v>
      </c>
      <c r="O37" s="450"/>
      <c r="P37" s="451">
        <v>0</v>
      </c>
      <c r="Q37" s="445">
        <f t="shared" si="3"/>
        <v>0</v>
      </c>
      <c r="R37" s="446">
        <f t="shared" si="4"/>
        <v>0</v>
      </c>
      <c r="S37" s="991"/>
    </row>
    <row r="38" spans="1:19" ht="51">
      <c r="A38" s="501" t="s">
        <v>478</v>
      </c>
      <c r="B38" s="494" t="s">
        <v>479</v>
      </c>
      <c r="C38" s="992" t="s">
        <v>480</v>
      </c>
      <c r="D38" s="448" t="s">
        <v>59</v>
      </c>
      <c r="E38" s="434">
        <v>8</v>
      </c>
      <c r="F38" s="435">
        <v>0</v>
      </c>
      <c r="G38" s="436">
        <v>0</v>
      </c>
      <c r="H38" s="437">
        <v>0</v>
      </c>
      <c r="I38" s="434">
        <v>0</v>
      </c>
      <c r="J38" s="435">
        <v>0</v>
      </c>
      <c r="K38" s="434">
        <v>0</v>
      </c>
      <c r="L38" s="435">
        <v>0</v>
      </c>
      <c r="M38" s="434">
        <v>0</v>
      </c>
      <c r="N38" s="435">
        <v>0</v>
      </c>
      <c r="O38" s="434">
        <v>0</v>
      </c>
      <c r="P38" s="435">
        <v>0</v>
      </c>
      <c r="Q38" s="438">
        <f t="shared" si="3"/>
        <v>8</v>
      </c>
      <c r="R38" s="439">
        <f t="shared" si="4"/>
        <v>0</v>
      </c>
      <c r="S38" s="990"/>
    </row>
    <row r="39" spans="1:19" ht="26.25" thickBot="1">
      <c r="A39" s="497" t="s">
        <v>645</v>
      </c>
      <c r="B39" s="495"/>
      <c r="C39" s="999"/>
      <c r="D39" s="449" t="s">
        <v>60</v>
      </c>
      <c r="E39" s="450">
        <v>0</v>
      </c>
      <c r="F39" s="451">
        <v>0</v>
      </c>
      <c r="G39" s="426">
        <v>0</v>
      </c>
      <c r="H39" s="452">
        <v>0</v>
      </c>
      <c r="I39" s="450"/>
      <c r="J39" s="451">
        <v>0</v>
      </c>
      <c r="K39" s="450"/>
      <c r="L39" s="451">
        <v>0</v>
      </c>
      <c r="M39" s="450"/>
      <c r="N39" s="451">
        <v>0</v>
      </c>
      <c r="O39" s="450"/>
      <c r="P39" s="451">
        <v>0</v>
      </c>
      <c r="Q39" s="445">
        <f t="shared" si="3"/>
        <v>0</v>
      </c>
      <c r="R39" s="446">
        <f t="shared" si="4"/>
        <v>0</v>
      </c>
      <c r="S39" s="991"/>
    </row>
    <row r="40" spans="1:19" ht="114.75">
      <c r="A40" s="496" t="s">
        <v>385</v>
      </c>
      <c r="B40" s="488" t="s">
        <v>386</v>
      </c>
      <c r="C40" s="992" t="s">
        <v>387</v>
      </c>
      <c r="D40" s="448" t="s">
        <v>59</v>
      </c>
      <c r="E40" s="434">
        <v>3</v>
      </c>
      <c r="F40" s="435">
        <v>60870</v>
      </c>
      <c r="G40" s="436">
        <v>0</v>
      </c>
      <c r="H40" s="437">
        <v>0</v>
      </c>
      <c r="I40" s="434">
        <v>0</v>
      </c>
      <c r="J40" s="435">
        <v>0</v>
      </c>
      <c r="K40" s="434">
        <v>0</v>
      </c>
      <c r="L40" s="435">
        <v>0</v>
      </c>
      <c r="M40" s="434">
        <v>0</v>
      </c>
      <c r="N40" s="435">
        <v>0</v>
      </c>
      <c r="O40" s="434">
        <v>0</v>
      </c>
      <c r="P40" s="435">
        <v>0</v>
      </c>
      <c r="Q40" s="438">
        <f t="shared" si="3"/>
        <v>3</v>
      </c>
      <c r="R40" s="439">
        <f t="shared" si="4"/>
        <v>60870</v>
      </c>
      <c r="S40" s="990"/>
    </row>
    <row r="41" spans="1:19" ht="13.5" thickBot="1">
      <c r="A41" s="497" t="s">
        <v>644</v>
      </c>
      <c r="B41" s="458"/>
      <c r="C41" s="993"/>
      <c r="D41" s="449" t="s">
        <v>60</v>
      </c>
      <c r="E41" s="450">
        <v>0</v>
      </c>
      <c r="F41" s="451">
        <v>0</v>
      </c>
      <c r="G41" s="426">
        <v>0</v>
      </c>
      <c r="H41" s="452">
        <v>0</v>
      </c>
      <c r="I41" s="450"/>
      <c r="J41" s="451">
        <v>0</v>
      </c>
      <c r="K41" s="450"/>
      <c r="L41" s="451">
        <v>0</v>
      </c>
      <c r="M41" s="450"/>
      <c r="N41" s="451">
        <v>0</v>
      </c>
      <c r="O41" s="450"/>
      <c r="P41" s="451">
        <v>0</v>
      </c>
      <c r="Q41" s="445">
        <f t="shared" si="3"/>
        <v>0</v>
      </c>
      <c r="R41" s="446">
        <f t="shared" si="4"/>
        <v>0</v>
      </c>
      <c r="S41" s="991"/>
    </row>
    <row r="42" spans="1:19" ht="102">
      <c r="A42" s="496" t="s">
        <v>385</v>
      </c>
      <c r="B42" s="488" t="s">
        <v>388</v>
      </c>
      <c r="C42" s="992" t="s">
        <v>389</v>
      </c>
      <c r="D42" s="448" t="s">
        <v>59</v>
      </c>
      <c r="E42" s="434">
        <v>10</v>
      </c>
      <c r="F42" s="435">
        <v>223478</v>
      </c>
      <c r="G42" s="436">
        <v>0</v>
      </c>
      <c r="H42" s="437">
        <v>86957</v>
      </c>
      <c r="I42" s="434">
        <v>0</v>
      </c>
      <c r="J42" s="435">
        <v>0</v>
      </c>
      <c r="K42" s="434">
        <v>0</v>
      </c>
      <c r="L42" s="435">
        <v>0</v>
      </c>
      <c r="M42" s="434">
        <v>0</v>
      </c>
      <c r="N42" s="435">
        <v>0</v>
      </c>
      <c r="O42" s="434">
        <v>0</v>
      </c>
      <c r="P42" s="435">
        <v>0</v>
      </c>
      <c r="Q42" s="438">
        <f t="shared" si="3"/>
        <v>10</v>
      </c>
      <c r="R42" s="439">
        <f t="shared" si="4"/>
        <v>310435</v>
      </c>
      <c r="S42" s="990"/>
    </row>
    <row r="43" spans="1:19" ht="13.5" thickBot="1">
      <c r="A43" s="497" t="s">
        <v>643</v>
      </c>
      <c r="B43" s="458"/>
      <c r="C43" s="993"/>
      <c r="D43" s="449" t="s">
        <v>60</v>
      </c>
      <c r="E43" s="450">
        <v>0</v>
      </c>
      <c r="F43" s="451">
        <v>0</v>
      </c>
      <c r="G43" s="426">
        <v>27</v>
      </c>
      <c r="H43" s="452">
        <v>116592.59</v>
      </c>
      <c r="I43" s="450"/>
      <c r="J43" s="451">
        <v>0</v>
      </c>
      <c r="K43" s="450"/>
      <c r="L43" s="451">
        <v>0</v>
      </c>
      <c r="M43" s="450"/>
      <c r="N43" s="451">
        <v>0</v>
      </c>
      <c r="O43" s="450"/>
      <c r="P43" s="451">
        <v>0</v>
      </c>
      <c r="Q43" s="445">
        <f t="shared" si="3"/>
        <v>27</v>
      </c>
      <c r="R43" s="446">
        <f t="shared" si="4"/>
        <v>116592.59</v>
      </c>
      <c r="S43" s="991"/>
    </row>
    <row r="44" spans="1:19" ht="63.75">
      <c r="A44" s="496" t="s">
        <v>390</v>
      </c>
      <c r="B44" s="488" t="s">
        <v>391</v>
      </c>
      <c r="C44" s="992" t="s">
        <v>392</v>
      </c>
      <c r="D44" s="448" t="s">
        <v>59</v>
      </c>
      <c r="E44" s="434">
        <v>2</v>
      </c>
      <c r="F44" s="435">
        <v>0</v>
      </c>
      <c r="G44" s="436">
        <v>0</v>
      </c>
      <c r="H44" s="437">
        <v>0</v>
      </c>
      <c r="I44" s="434">
        <v>0</v>
      </c>
      <c r="J44" s="435">
        <v>0</v>
      </c>
      <c r="K44" s="434">
        <v>0</v>
      </c>
      <c r="L44" s="435">
        <v>0</v>
      </c>
      <c r="M44" s="434">
        <v>0</v>
      </c>
      <c r="N44" s="435">
        <v>0</v>
      </c>
      <c r="O44" s="434">
        <v>0</v>
      </c>
      <c r="P44" s="435">
        <v>0</v>
      </c>
      <c r="Q44" s="438">
        <f t="shared" si="3"/>
        <v>2</v>
      </c>
      <c r="R44" s="439">
        <f t="shared" si="4"/>
        <v>0</v>
      </c>
      <c r="S44" s="990"/>
    </row>
    <row r="45" spans="1:19" ht="13.5" thickBot="1">
      <c r="A45" s="497" t="s">
        <v>642</v>
      </c>
      <c r="B45" s="458"/>
      <c r="C45" s="993"/>
      <c r="D45" s="449" t="s">
        <v>60</v>
      </c>
      <c r="E45" s="450">
        <v>6</v>
      </c>
      <c r="F45" s="451">
        <v>561435</v>
      </c>
      <c r="G45" s="426">
        <v>3</v>
      </c>
      <c r="H45" s="452">
        <v>750843</v>
      </c>
      <c r="I45" s="450">
        <v>3</v>
      </c>
      <c r="J45" s="451">
        <v>453966</v>
      </c>
      <c r="K45" s="450">
        <v>1</v>
      </c>
      <c r="L45" s="451">
        <v>40239</v>
      </c>
      <c r="M45" s="450"/>
      <c r="N45" s="451">
        <v>0</v>
      </c>
      <c r="O45" s="450"/>
      <c r="P45" s="451">
        <v>0</v>
      </c>
      <c r="Q45" s="445">
        <f t="shared" si="3"/>
        <v>13</v>
      </c>
      <c r="R45" s="446">
        <f t="shared" si="4"/>
        <v>1806483</v>
      </c>
      <c r="S45" s="991"/>
    </row>
    <row r="46" spans="1:19" ht="63.75">
      <c r="A46" s="496" t="s">
        <v>393</v>
      </c>
      <c r="B46" s="488" t="s">
        <v>394</v>
      </c>
      <c r="C46" s="992" t="s">
        <v>395</v>
      </c>
      <c r="D46" s="448" t="s">
        <v>59</v>
      </c>
      <c r="E46" s="434">
        <v>6</v>
      </c>
      <c r="F46" s="435">
        <v>30435</v>
      </c>
      <c r="G46" s="436">
        <v>0</v>
      </c>
      <c r="H46" s="437">
        <v>0</v>
      </c>
      <c r="I46" s="434">
        <v>0</v>
      </c>
      <c r="J46" s="435">
        <v>0</v>
      </c>
      <c r="K46" s="434">
        <v>0</v>
      </c>
      <c r="L46" s="435">
        <v>0</v>
      </c>
      <c r="M46" s="434">
        <v>0</v>
      </c>
      <c r="N46" s="435">
        <v>0</v>
      </c>
      <c r="O46" s="434">
        <v>0</v>
      </c>
      <c r="P46" s="435">
        <v>0</v>
      </c>
      <c r="Q46" s="438">
        <f t="shared" si="3"/>
        <v>6</v>
      </c>
      <c r="R46" s="439">
        <f t="shared" si="4"/>
        <v>30435</v>
      </c>
      <c r="S46" s="990" t="s">
        <v>836</v>
      </c>
    </row>
    <row r="47" spans="1:19" ht="13.5" thickBot="1">
      <c r="A47" s="497" t="s">
        <v>641</v>
      </c>
      <c r="B47" s="458"/>
      <c r="C47" s="993"/>
      <c r="D47" s="449" t="s">
        <v>60</v>
      </c>
      <c r="E47" s="450">
        <v>0</v>
      </c>
      <c r="F47" s="451">
        <v>0</v>
      </c>
      <c r="G47" s="426">
        <v>13</v>
      </c>
      <c r="H47" s="452">
        <v>50841</v>
      </c>
      <c r="I47" s="450"/>
      <c r="J47" s="451">
        <v>133572</v>
      </c>
      <c r="K47" s="450">
        <v>15714</v>
      </c>
      <c r="L47" s="451">
        <v>0</v>
      </c>
      <c r="M47" s="450"/>
      <c r="N47" s="451">
        <v>0</v>
      </c>
      <c r="O47" s="450"/>
      <c r="P47" s="451">
        <v>0</v>
      </c>
      <c r="Q47" s="445">
        <f t="shared" si="3"/>
        <v>15727</v>
      </c>
      <c r="R47" s="446">
        <f t="shared" si="4"/>
        <v>184413</v>
      </c>
      <c r="S47" s="991"/>
    </row>
    <row r="48" spans="1:19" ht="63.75">
      <c r="A48" s="496" t="s">
        <v>393</v>
      </c>
      <c r="B48" s="488" t="s">
        <v>396</v>
      </c>
      <c r="C48" s="992" t="s">
        <v>397</v>
      </c>
      <c r="D48" s="448" t="s">
        <v>59</v>
      </c>
      <c r="E48" s="434">
        <v>4</v>
      </c>
      <c r="F48" s="435">
        <v>9130</v>
      </c>
      <c r="G48" s="436">
        <v>0</v>
      </c>
      <c r="H48" s="437">
        <v>0</v>
      </c>
      <c r="I48" s="434">
        <v>0</v>
      </c>
      <c r="J48" s="435">
        <v>0</v>
      </c>
      <c r="K48" s="434">
        <v>0</v>
      </c>
      <c r="L48" s="435">
        <v>0</v>
      </c>
      <c r="M48" s="434">
        <v>0</v>
      </c>
      <c r="N48" s="435">
        <v>0</v>
      </c>
      <c r="O48" s="434">
        <v>0</v>
      </c>
      <c r="P48" s="435">
        <v>0</v>
      </c>
      <c r="Q48" s="438">
        <f t="shared" si="3"/>
        <v>4</v>
      </c>
      <c r="R48" s="439">
        <f t="shared" si="4"/>
        <v>9130</v>
      </c>
      <c r="S48" s="990"/>
    </row>
    <row r="49" spans="1:19" ht="13.5" thickBot="1">
      <c r="A49" s="497" t="s">
        <v>640</v>
      </c>
      <c r="B49" s="458"/>
      <c r="C49" s="993"/>
      <c r="D49" s="449" t="s">
        <v>60</v>
      </c>
      <c r="E49" s="450">
        <v>6</v>
      </c>
      <c r="F49" s="451">
        <v>5362.32</v>
      </c>
      <c r="G49" s="426">
        <v>2</v>
      </c>
      <c r="H49" s="452">
        <v>2962.96</v>
      </c>
      <c r="I49" s="450"/>
      <c r="J49" s="451">
        <v>0</v>
      </c>
      <c r="K49" s="450"/>
      <c r="L49" s="451">
        <v>0</v>
      </c>
      <c r="M49" s="450"/>
      <c r="N49" s="451">
        <v>0</v>
      </c>
      <c r="O49" s="450"/>
      <c r="P49" s="451">
        <v>0</v>
      </c>
      <c r="Q49" s="445">
        <f t="shared" si="3"/>
        <v>8</v>
      </c>
      <c r="R49" s="446">
        <f t="shared" si="4"/>
        <v>8325.2799999999988</v>
      </c>
      <c r="S49" s="991"/>
    </row>
    <row r="50" spans="1:19" ht="38.25">
      <c r="A50" s="496" t="s">
        <v>398</v>
      </c>
      <c r="B50" s="488" t="s">
        <v>399</v>
      </c>
      <c r="C50" s="992" t="s">
        <v>400</v>
      </c>
      <c r="D50" s="448" t="s">
        <v>59</v>
      </c>
      <c r="E50" s="434">
        <v>5</v>
      </c>
      <c r="F50" s="435">
        <v>50435</v>
      </c>
      <c r="G50" s="436">
        <v>0</v>
      </c>
      <c r="H50" s="437">
        <v>0</v>
      </c>
      <c r="I50" s="434">
        <v>0</v>
      </c>
      <c r="J50" s="435">
        <v>0</v>
      </c>
      <c r="K50" s="434">
        <v>0</v>
      </c>
      <c r="L50" s="435">
        <v>0</v>
      </c>
      <c r="M50" s="434">
        <v>0</v>
      </c>
      <c r="N50" s="435">
        <v>0</v>
      </c>
      <c r="O50" s="434">
        <v>0</v>
      </c>
      <c r="P50" s="435">
        <v>0</v>
      </c>
      <c r="Q50" s="438">
        <f t="shared" si="3"/>
        <v>5</v>
      </c>
      <c r="R50" s="439">
        <f t="shared" si="4"/>
        <v>50435</v>
      </c>
      <c r="S50" s="990"/>
    </row>
    <row r="51" spans="1:19" ht="13.5" thickBot="1">
      <c r="A51" s="497" t="s">
        <v>639</v>
      </c>
      <c r="B51" s="458"/>
      <c r="C51" s="993"/>
      <c r="D51" s="449" t="s">
        <v>60</v>
      </c>
      <c r="E51" s="450">
        <v>0</v>
      </c>
      <c r="F51" s="451">
        <v>0</v>
      </c>
      <c r="G51" s="426">
        <v>0</v>
      </c>
      <c r="H51" s="452">
        <v>0</v>
      </c>
      <c r="I51" s="450"/>
      <c r="J51" s="451">
        <v>0</v>
      </c>
      <c r="K51" s="450"/>
      <c r="L51" s="451">
        <v>0</v>
      </c>
      <c r="M51" s="450"/>
      <c r="N51" s="451">
        <v>0</v>
      </c>
      <c r="O51" s="450"/>
      <c r="P51" s="451">
        <v>0</v>
      </c>
      <c r="Q51" s="445">
        <f t="shared" si="3"/>
        <v>0</v>
      </c>
      <c r="R51" s="446">
        <f t="shared" si="4"/>
        <v>0</v>
      </c>
      <c r="S51" s="991"/>
    </row>
    <row r="52" spans="1:19" ht="38.25">
      <c r="A52" s="496" t="s">
        <v>401</v>
      </c>
      <c r="B52" s="488" t="s">
        <v>402</v>
      </c>
      <c r="C52" s="992" t="s">
        <v>403</v>
      </c>
      <c r="D52" s="448" t="s">
        <v>59</v>
      </c>
      <c r="E52" s="434">
        <v>5</v>
      </c>
      <c r="F52" s="435">
        <v>30939</v>
      </c>
      <c r="G52" s="436">
        <v>0</v>
      </c>
      <c r="H52" s="437">
        <v>0</v>
      </c>
      <c r="I52" s="434">
        <v>0</v>
      </c>
      <c r="J52" s="435">
        <v>0</v>
      </c>
      <c r="K52" s="434">
        <v>0</v>
      </c>
      <c r="L52" s="435">
        <v>0</v>
      </c>
      <c r="M52" s="434">
        <v>0</v>
      </c>
      <c r="N52" s="435">
        <v>0</v>
      </c>
      <c r="O52" s="434">
        <v>0</v>
      </c>
      <c r="P52" s="435">
        <v>0</v>
      </c>
      <c r="Q52" s="438">
        <f t="shared" si="3"/>
        <v>5</v>
      </c>
      <c r="R52" s="439">
        <f t="shared" si="4"/>
        <v>30939</v>
      </c>
      <c r="S52" s="990"/>
    </row>
    <row r="53" spans="1:19">
      <c r="A53" s="497" t="s">
        <v>638</v>
      </c>
      <c r="B53" s="458"/>
      <c r="C53" s="993"/>
      <c r="D53" s="449" t="s">
        <v>60</v>
      </c>
      <c r="E53" s="450">
        <v>33</v>
      </c>
      <c r="F53" s="451">
        <v>23913.040000000001</v>
      </c>
      <c r="G53" s="426">
        <v>20</v>
      </c>
      <c r="H53" s="452">
        <v>13703.7</v>
      </c>
      <c r="I53" s="450"/>
      <c r="J53" s="451">
        <v>0</v>
      </c>
      <c r="K53" s="450"/>
      <c r="L53" s="451">
        <v>0</v>
      </c>
      <c r="M53" s="450"/>
      <c r="N53" s="451">
        <v>0</v>
      </c>
      <c r="O53" s="450"/>
      <c r="P53" s="451">
        <v>0</v>
      </c>
      <c r="Q53" s="445">
        <f t="shared" si="3"/>
        <v>53</v>
      </c>
      <c r="R53" s="446">
        <f t="shared" si="4"/>
        <v>37616.740000000005</v>
      </c>
      <c r="S53" s="991"/>
    </row>
    <row r="54" spans="1:19" ht="15.75" thickBot="1">
      <c r="A54" s="429" t="s">
        <v>262</v>
      </c>
      <c r="B54" s="430"/>
      <c r="C54" s="506"/>
      <c r="D54" s="431"/>
      <c r="E54" s="431"/>
      <c r="F54" s="431"/>
      <c r="G54" s="431"/>
      <c r="H54" s="431"/>
      <c r="I54" s="431"/>
      <c r="J54" s="431"/>
      <c r="K54" s="431"/>
      <c r="L54" s="431"/>
      <c r="M54" s="431"/>
      <c r="N54" s="431"/>
      <c r="O54" s="431"/>
      <c r="P54" s="431"/>
      <c r="Q54" s="431"/>
      <c r="R54" s="432"/>
      <c r="S54" s="510"/>
    </row>
    <row r="55" spans="1:19" ht="15.75" thickBot="1">
      <c r="A55" s="500" t="s">
        <v>50</v>
      </c>
      <c r="B55" s="1000" t="s">
        <v>51</v>
      </c>
      <c r="C55" s="1002" t="s">
        <v>52</v>
      </c>
      <c r="D55" s="996"/>
      <c r="E55" s="994">
        <v>2018</v>
      </c>
      <c r="F55" s="995"/>
      <c r="G55" s="994">
        <v>2019</v>
      </c>
      <c r="H55" s="995"/>
      <c r="I55" s="994">
        <v>2020</v>
      </c>
      <c r="J55" s="995"/>
      <c r="K55" s="994">
        <v>2021</v>
      </c>
      <c r="L55" s="995"/>
      <c r="M55" s="994">
        <v>2022</v>
      </c>
      <c r="N55" s="995"/>
      <c r="O55" s="994">
        <v>2023</v>
      </c>
      <c r="P55" s="995"/>
      <c r="Q55" s="994" t="s">
        <v>53</v>
      </c>
      <c r="R55" s="995"/>
      <c r="S55" s="996" t="s">
        <v>54</v>
      </c>
    </row>
    <row r="56" spans="1:19" ht="30.75" thickBot="1">
      <c r="A56" s="428"/>
      <c r="B56" s="1001"/>
      <c r="C56" s="1003"/>
      <c r="D56" s="997"/>
      <c r="E56" s="18" t="s">
        <v>55</v>
      </c>
      <c r="F56" s="4" t="s">
        <v>56</v>
      </c>
      <c r="G56" s="18" t="s">
        <v>55</v>
      </c>
      <c r="H56" s="18" t="s">
        <v>56</v>
      </c>
      <c r="I56" s="18" t="s">
        <v>55</v>
      </c>
      <c r="J56" s="4" t="s">
        <v>56</v>
      </c>
      <c r="K56" s="18" t="s">
        <v>55</v>
      </c>
      <c r="L56" s="4" t="s">
        <v>56</v>
      </c>
      <c r="M56" s="18" t="s">
        <v>55</v>
      </c>
      <c r="N56" s="4" t="s">
        <v>56</v>
      </c>
      <c r="O56" s="18" t="s">
        <v>55</v>
      </c>
      <c r="P56" s="4" t="s">
        <v>56</v>
      </c>
      <c r="Q56" s="428" t="s">
        <v>55</v>
      </c>
      <c r="R56" s="428" t="s">
        <v>56</v>
      </c>
      <c r="S56" s="997"/>
    </row>
    <row r="57" spans="1:19" ht="51">
      <c r="A57" s="501" t="s">
        <v>404</v>
      </c>
      <c r="B57" s="488" t="s">
        <v>405</v>
      </c>
      <c r="C57" s="992" t="s">
        <v>406</v>
      </c>
      <c r="D57" s="433" t="s">
        <v>57</v>
      </c>
      <c r="E57" s="434">
        <v>0</v>
      </c>
      <c r="F57" s="435">
        <v>65217</v>
      </c>
      <c r="G57" s="436">
        <v>0</v>
      </c>
      <c r="H57" s="437">
        <v>0</v>
      </c>
      <c r="I57" s="434">
        <v>0</v>
      </c>
      <c r="J57" s="435">
        <v>0</v>
      </c>
      <c r="K57" s="434">
        <v>0</v>
      </c>
      <c r="L57" s="435">
        <v>0</v>
      </c>
      <c r="M57" s="434">
        <v>0</v>
      </c>
      <c r="N57" s="435">
        <v>0</v>
      </c>
      <c r="O57" s="434">
        <v>0</v>
      </c>
      <c r="P57" s="435">
        <v>0</v>
      </c>
      <c r="Q57" s="438">
        <f t="shared" ref="Q57:Q72" si="5">E57+G57+I57+K57+M57+O57</f>
        <v>0</v>
      </c>
      <c r="R57" s="439">
        <f t="shared" ref="R57:R72" si="6">F57+H57+J57+L57+N57+P57</f>
        <v>65217</v>
      </c>
      <c r="S57" s="990"/>
    </row>
    <row r="58" spans="1:19" ht="39" thickBot="1">
      <c r="A58" s="497" t="s">
        <v>637</v>
      </c>
      <c r="B58" s="458"/>
      <c r="C58" s="993"/>
      <c r="D58" s="440" t="s">
        <v>58</v>
      </c>
      <c r="E58" s="441">
        <v>10</v>
      </c>
      <c r="F58" s="442">
        <v>5125</v>
      </c>
      <c r="G58" s="443">
        <v>4</v>
      </c>
      <c r="H58" s="444">
        <v>2593</v>
      </c>
      <c r="I58" s="441">
        <v>4</v>
      </c>
      <c r="J58" s="442">
        <v>2143</v>
      </c>
      <c r="K58" s="441"/>
      <c r="L58" s="442">
        <v>0</v>
      </c>
      <c r="M58" s="441"/>
      <c r="N58" s="442">
        <v>0</v>
      </c>
      <c r="O58" s="441"/>
      <c r="P58" s="442">
        <v>0</v>
      </c>
      <c r="Q58" s="445">
        <f t="shared" si="5"/>
        <v>18</v>
      </c>
      <c r="R58" s="446">
        <f t="shared" si="6"/>
        <v>9861</v>
      </c>
      <c r="S58" s="991"/>
    </row>
    <row r="59" spans="1:19" ht="38.25">
      <c r="A59" s="501" t="s">
        <v>407</v>
      </c>
      <c r="B59" s="488" t="s">
        <v>408</v>
      </c>
      <c r="C59" s="992" t="s">
        <v>409</v>
      </c>
      <c r="D59" s="448" t="s">
        <v>59</v>
      </c>
      <c r="E59" s="434">
        <v>40</v>
      </c>
      <c r="F59" s="435">
        <v>56522</v>
      </c>
      <c r="G59" s="436">
        <v>0</v>
      </c>
      <c r="H59" s="437">
        <v>83044</v>
      </c>
      <c r="I59" s="434">
        <v>0</v>
      </c>
      <c r="J59" s="435">
        <v>0</v>
      </c>
      <c r="K59" s="434">
        <v>0</v>
      </c>
      <c r="L59" s="435">
        <v>0</v>
      </c>
      <c r="M59" s="434">
        <v>0</v>
      </c>
      <c r="N59" s="435">
        <v>0</v>
      </c>
      <c r="O59" s="434">
        <v>0</v>
      </c>
      <c r="P59" s="435">
        <v>0</v>
      </c>
      <c r="Q59" s="438">
        <f t="shared" si="5"/>
        <v>40</v>
      </c>
      <c r="R59" s="439">
        <f t="shared" si="6"/>
        <v>139566</v>
      </c>
      <c r="S59" s="990"/>
    </row>
    <row r="60" spans="1:19" ht="26.25" thickBot="1">
      <c r="A60" s="497" t="s">
        <v>636</v>
      </c>
      <c r="B60" s="458"/>
      <c r="C60" s="1012"/>
      <c r="D60" s="449" t="s">
        <v>60</v>
      </c>
      <c r="E60" s="450">
        <v>700</v>
      </c>
      <c r="F60" s="451">
        <v>2755037</v>
      </c>
      <c r="G60" s="426">
        <v>788</v>
      </c>
      <c r="H60" s="452">
        <v>1744608</v>
      </c>
      <c r="I60" s="450">
        <v>400</v>
      </c>
      <c r="J60" s="451">
        <v>253429</v>
      </c>
      <c r="K60" s="450"/>
      <c r="L60" s="451">
        <v>0</v>
      </c>
      <c r="M60" s="450"/>
      <c r="N60" s="451">
        <v>0</v>
      </c>
      <c r="O60" s="450"/>
      <c r="P60" s="451">
        <v>0</v>
      </c>
      <c r="Q60" s="445">
        <f t="shared" si="5"/>
        <v>1888</v>
      </c>
      <c r="R60" s="446">
        <f t="shared" si="6"/>
        <v>4753074</v>
      </c>
      <c r="S60" s="991"/>
    </row>
    <row r="61" spans="1:19" ht="51">
      <c r="A61" s="501" t="s">
        <v>410</v>
      </c>
      <c r="B61" s="488" t="s">
        <v>411</v>
      </c>
      <c r="C61" s="992" t="s">
        <v>412</v>
      </c>
      <c r="D61" s="448" t="s">
        <v>59</v>
      </c>
      <c r="E61" s="434">
        <v>0</v>
      </c>
      <c r="F61" s="435">
        <v>181914</v>
      </c>
      <c r="G61" s="436">
        <v>0</v>
      </c>
      <c r="H61" s="437">
        <v>136434</v>
      </c>
      <c r="I61" s="434">
        <v>0</v>
      </c>
      <c r="J61" s="435">
        <v>0</v>
      </c>
      <c r="K61" s="434">
        <v>0</v>
      </c>
      <c r="L61" s="435">
        <v>0</v>
      </c>
      <c r="M61" s="434">
        <v>0</v>
      </c>
      <c r="N61" s="435">
        <v>0</v>
      </c>
      <c r="O61" s="434">
        <v>0</v>
      </c>
      <c r="P61" s="435">
        <v>0</v>
      </c>
      <c r="Q61" s="438">
        <f t="shared" si="5"/>
        <v>0</v>
      </c>
      <c r="R61" s="439">
        <f t="shared" si="6"/>
        <v>318348</v>
      </c>
      <c r="S61" s="990"/>
    </row>
    <row r="62" spans="1:19" ht="26.25" thickBot="1">
      <c r="A62" s="497" t="s">
        <v>635</v>
      </c>
      <c r="B62" s="458"/>
      <c r="C62" s="993"/>
      <c r="D62" s="449" t="s">
        <v>60</v>
      </c>
      <c r="E62" s="450">
        <v>30</v>
      </c>
      <c r="F62" s="451">
        <v>157377</v>
      </c>
      <c r="G62" s="426">
        <v>26</v>
      </c>
      <c r="H62" s="452">
        <v>45642</v>
      </c>
      <c r="I62" s="450"/>
      <c r="J62" s="451">
        <v>0</v>
      </c>
      <c r="K62" s="450"/>
      <c r="L62" s="451">
        <v>0</v>
      </c>
      <c r="M62" s="450"/>
      <c r="N62" s="451">
        <v>0</v>
      </c>
      <c r="O62" s="450"/>
      <c r="P62" s="451">
        <v>0</v>
      </c>
      <c r="Q62" s="445">
        <f t="shared" si="5"/>
        <v>56</v>
      </c>
      <c r="R62" s="446">
        <f t="shared" si="6"/>
        <v>203019</v>
      </c>
      <c r="S62" s="991"/>
    </row>
    <row r="63" spans="1:19" ht="51">
      <c r="A63" s="501" t="s">
        <v>413</v>
      </c>
      <c r="B63" s="488" t="s">
        <v>414</v>
      </c>
      <c r="C63" s="992" t="s">
        <v>415</v>
      </c>
      <c r="D63" s="448" t="s">
        <v>59</v>
      </c>
      <c r="E63" s="434">
        <v>0</v>
      </c>
      <c r="F63" s="435">
        <v>130000</v>
      </c>
      <c r="G63" s="436">
        <v>0</v>
      </c>
      <c r="H63" s="437">
        <v>120000</v>
      </c>
      <c r="I63" s="434">
        <v>0</v>
      </c>
      <c r="J63" s="435">
        <v>0</v>
      </c>
      <c r="K63" s="434">
        <v>0</v>
      </c>
      <c r="L63" s="435">
        <v>0</v>
      </c>
      <c r="M63" s="434">
        <v>0</v>
      </c>
      <c r="N63" s="435">
        <v>0</v>
      </c>
      <c r="O63" s="434">
        <v>0</v>
      </c>
      <c r="P63" s="435">
        <v>0</v>
      </c>
      <c r="Q63" s="438">
        <f t="shared" si="5"/>
        <v>0</v>
      </c>
      <c r="R63" s="439">
        <f t="shared" si="6"/>
        <v>250000</v>
      </c>
      <c r="S63" s="990"/>
    </row>
    <row r="64" spans="1:19" ht="26.25" thickBot="1">
      <c r="A64" s="497" t="s">
        <v>634</v>
      </c>
      <c r="B64" s="458"/>
      <c r="C64" s="993"/>
      <c r="D64" s="449" t="s">
        <v>60</v>
      </c>
      <c r="E64" s="450">
        <v>300</v>
      </c>
      <c r="F64" s="451">
        <v>111462</v>
      </c>
      <c r="G64" s="426">
        <v>300</v>
      </c>
      <c r="H64" s="452">
        <v>62821</v>
      </c>
      <c r="I64" s="450">
        <v>300</v>
      </c>
      <c r="J64" s="451">
        <v>3571</v>
      </c>
      <c r="K64" s="450"/>
      <c r="L64" s="451">
        <v>0</v>
      </c>
      <c r="M64" s="450"/>
      <c r="N64" s="451">
        <v>0</v>
      </c>
      <c r="O64" s="450"/>
      <c r="P64" s="451">
        <v>0</v>
      </c>
      <c r="Q64" s="445">
        <f t="shared" si="5"/>
        <v>900</v>
      </c>
      <c r="R64" s="446">
        <f t="shared" si="6"/>
        <v>177854</v>
      </c>
      <c r="S64" s="991"/>
    </row>
    <row r="65" spans="1:19" ht="76.5">
      <c r="A65" s="501" t="s">
        <v>416</v>
      </c>
      <c r="B65" s="488" t="s">
        <v>417</v>
      </c>
      <c r="C65" s="992" t="s">
        <v>409</v>
      </c>
      <c r="D65" s="448" t="s">
        <v>59</v>
      </c>
      <c r="E65" s="434">
        <v>300</v>
      </c>
      <c r="F65" s="435">
        <v>1174684</v>
      </c>
      <c r="G65" s="436">
        <v>0</v>
      </c>
      <c r="H65" s="437">
        <v>447306</v>
      </c>
      <c r="I65" s="434">
        <v>0</v>
      </c>
      <c r="J65" s="435">
        <v>0</v>
      </c>
      <c r="K65" s="434">
        <v>0</v>
      </c>
      <c r="L65" s="435">
        <v>0</v>
      </c>
      <c r="M65" s="434">
        <v>0</v>
      </c>
      <c r="N65" s="435">
        <v>0</v>
      </c>
      <c r="O65" s="434">
        <v>0</v>
      </c>
      <c r="P65" s="435">
        <v>0</v>
      </c>
      <c r="Q65" s="438">
        <f t="shared" si="5"/>
        <v>300</v>
      </c>
      <c r="R65" s="439">
        <f t="shared" si="6"/>
        <v>1621990</v>
      </c>
      <c r="S65" s="990"/>
    </row>
    <row r="66" spans="1:19" ht="26.25" thickBot="1">
      <c r="A66" s="497" t="s">
        <v>633</v>
      </c>
      <c r="B66" s="458"/>
      <c r="C66" s="993"/>
      <c r="D66" s="449" t="s">
        <v>60</v>
      </c>
      <c r="E66" s="450">
        <v>300</v>
      </c>
      <c r="F66" s="451">
        <v>675217</v>
      </c>
      <c r="G66" s="426">
        <v>300</v>
      </c>
      <c r="H66" s="452">
        <v>1070267</v>
      </c>
      <c r="I66" s="450">
        <v>350</v>
      </c>
      <c r="J66" s="451">
        <v>342857</v>
      </c>
      <c r="K66" s="450"/>
      <c r="L66" s="451">
        <v>0</v>
      </c>
      <c r="M66" s="450"/>
      <c r="N66" s="451">
        <v>0</v>
      </c>
      <c r="O66" s="450"/>
      <c r="P66" s="451">
        <v>0</v>
      </c>
      <c r="Q66" s="445">
        <f t="shared" si="5"/>
        <v>950</v>
      </c>
      <c r="R66" s="446">
        <f t="shared" si="6"/>
        <v>2088341</v>
      </c>
      <c r="S66" s="991"/>
    </row>
    <row r="67" spans="1:19" ht="51">
      <c r="A67" s="501" t="s">
        <v>418</v>
      </c>
      <c r="B67" s="488" t="s">
        <v>419</v>
      </c>
      <c r="C67" s="992" t="s">
        <v>420</v>
      </c>
      <c r="D67" s="448" t="s">
        <v>59</v>
      </c>
      <c r="E67" s="434">
        <v>50</v>
      </c>
      <c r="F67" s="435">
        <v>180000</v>
      </c>
      <c r="G67" s="436">
        <v>0</v>
      </c>
      <c r="H67" s="437">
        <v>0</v>
      </c>
      <c r="I67" s="434">
        <v>0</v>
      </c>
      <c r="J67" s="435">
        <v>0</v>
      </c>
      <c r="K67" s="434">
        <v>0</v>
      </c>
      <c r="L67" s="435">
        <v>0</v>
      </c>
      <c r="M67" s="434">
        <v>0</v>
      </c>
      <c r="N67" s="435">
        <v>0</v>
      </c>
      <c r="O67" s="434">
        <v>0</v>
      </c>
      <c r="P67" s="435">
        <v>0</v>
      </c>
      <c r="Q67" s="438">
        <f t="shared" si="5"/>
        <v>50</v>
      </c>
      <c r="R67" s="439">
        <f t="shared" si="6"/>
        <v>180000</v>
      </c>
      <c r="S67" s="990"/>
    </row>
    <row r="68" spans="1:19" ht="13.5" thickBot="1">
      <c r="A68" s="497" t="s">
        <v>632</v>
      </c>
      <c r="B68" s="458"/>
      <c r="C68" s="993"/>
      <c r="D68" s="449" t="s">
        <v>60</v>
      </c>
      <c r="E68" s="450">
        <v>420</v>
      </c>
      <c r="F68" s="451">
        <v>50857</v>
      </c>
      <c r="G68" s="426">
        <v>330</v>
      </c>
      <c r="H68" s="452">
        <v>8329</v>
      </c>
      <c r="I68" s="450">
        <v>30</v>
      </c>
      <c r="J68" s="451">
        <v>714</v>
      </c>
      <c r="K68" s="450"/>
      <c r="L68" s="451">
        <v>0</v>
      </c>
      <c r="M68" s="450"/>
      <c r="N68" s="451">
        <v>0</v>
      </c>
      <c r="O68" s="450"/>
      <c r="P68" s="451">
        <v>0</v>
      </c>
      <c r="Q68" s="445">
        <f t="shared" si="5"/>
        <v>780</v>
      </c>
      <c r="R68" s="446">
        <f t="shared" si="6"/>
        <v>59900</v>
      </c>
      <c r="S68" s="991"/>
    </row>
    <row r="69" spans="1:19" ht="89.25">
      <c r="A69" s="501" t="s">
        <v>421</v>
      </c>
      <c r="B69" s="488" t="s">
        <v>422</v>
      </c>
      <c r="C69" s="992" t="s">
        <v>423</v>
      </c>
      <c r="D69" s="448" t="s">
        <v>59</v>
      </c>
      <c r="E69" s="434">
        <v>200</v>
      </c>
      <c r="F69" s="435">
        <v>917566</v>
      </c>
      <c r="G69" s="436">
        <v>0</v>
      </c>
      <c r="H69" s="437">
        <v>427736</v>
      </c>
      <c r="I69" s="434">
        <v>0</v>
      </c>
      <c r="J69" s="435">
        <v>0</v>
      </c>
      <c r="K69" s="434">
        <v>0</v>
      </c>
      <c r="L69" s="435">
        <v>0</v>
      </c>
      <c r="M69" s="434">
        <v>0</v>
      </c>
      <c r="N69" s="435">
        <v>0</v>
      </c>
      <c r="O69" s="434">
        <v>0</v>
      </c>
      <c r="P69" s="435">
        <v>0</v>
      </c>
      <c r="Q69" s="438">
        <f t="shared" si="5"/>
        <v>200</v>
      </c>
      <c r="R69" s="439">
        <f t="shared" si="6"/>
        <v>1345302</v>
      </c>
      <c r="S69" s="990"/>
    </row>
    <row r="70" spans="1:19" ht="26.25" thickBot="1">
      <c r="A70" s="497" t="s">
        <v>631</v>
      </c>
      <c r="B70" s="458"/>
      <c r="C70" s="993"/>
      <c r="D70" s="449" t="s">
        <v>60</v>
      </c>
      <c r="E70" s="450">
        <v>430</v>
      </c>
      <c r="F70" s="451">
        <v>764123</v>
      </c>
      <c r="G70" s="426">
        <v>420</v>
      </c>
      <c r="H70" s="452">
        <v>1003768</v>
      </c>
      <c r="I70" s="450">
        <v>27</v>
      </c>
      <c r="J70" s="451">
        <v>30107</v>
      </c>
      <c r="K70" s="450"/>
      <c r="L70" s="451">
        <v>0</v>
      </c>
      <c r="M70" s="450"/>
      <c r="N70" s="451">
        <v>0</v>
      </c>
      <c r="O70" s="450"/>
      <c r="P70" s="451">
        <v>0</v>
      </c>
      <c r="Q70" s="445">
        <f t="shared" si="5"/>
        <v>877</v>
      </c>
      <c r="R70" s="446">
        <f t="shared" si="6"/>
        <v>1797998</v>
      </c>
      <c r="S70" s="991"/>
    </row>
    <row r="71" spans="1:19" ht="89.25">
      <c r="A71" s="501" t="s">
        <v>424</v>
      </c>
      <c r="B71" s="488" t="s">
        <v>425</v>
      </c>
      <c r="C71" s="1004" t="s">
        <v>426</v>
      </c>
      <c r="D71" s="453" t="s">
        <v>59</v>
      </c>
      <c r="E71" s="454">
        <v>2</v>
      </c>
      <c r="F71" s="455">
        <v>20000</v>
      </c>
      <c r="G71" s="436">
        <v>0</v>
      </c>
      <c r="H71" s="437">
        <v>10000</v>
      </c>
      <c r="I71" s="454">
        <v>0</v>
      </c>
      <c r="J71" s="455">
        <v>0</v>
      </c>
      <c r="K71" s="454">
        <v>0</v>
      </c>
      <c r="L71" s="455">
        <v>0</v>
      </c>
      <c r="M71" s="454">
        <v>0</v>
      </c>
      <c r="N71" s="455">
        <v>0</v>
      </c>
      <c r="O71" s="454">
        <v>0</v>
      </c>
      <c r="P71" s="455">
        <v>0</v>
      </c>
      <c r="Q71" s="456">
        <f t="shared" si="5"/>
        <v>2</v>
      </c>
      <c r="R71" s="457">
        <f t="shared" si="6"/>
        <v>30000</v>
      </c>
      <c r="S71" s="998"/>
    </row>
    <row r="72" spans="1:19">
      <c r="A72" s="497" t="s">
        <v>630</v>
      </c>
      <c r="B72" s="458"/>
      <c r="C72" s="993"/>
      <c r="D72" s="449" t="s">
        <v>60</v>
      </c>
      <c r="E72" s="450">
        <v>10</v>
      </c>
      <c r="F72" s="485">
        <v>30246</v>
      </c>
      <c r="G72" s="426">
        <v>1</v>
      </c>
      <c r="H72" s="486">
        <v>40453</v>
      </c>
      <c r="I72" s="450"/>
      <c r="J72" s="451">
        <v>0</v>
      </c>
      <c r="K72" s="450"/>
      <c r="L72" s="451">
        <v>0</v>
      </c>
      <c r="M72" s="450"/>
      <c r="N72" s="451">
        <v>0</v>
      </c>
      <c r="O72" s="450"/>
      <c r="P72" s="451">
        <v>0</v>
      </c>
      <c r="Q72" s="445">
        <f t="shared" si="5"/>
        <v>11</v>
      </c>
      <c r="R72" s="446">
        <f t="shared" si="6"/>
        <v>70699</v>
      </c>
      <c r="S72" s="991"/>
    </row>
    <row r="73" spans="1:19" ht="15.75" thickBot="1">
      <c r="A73" s="429" t="s">
        <v>263</v>
      </c>
      <c r="B73" s="430"/>
      <c r="C73" s="506"/>
      <c r="D73" s="431"/>
      <c r="E73" s="431"/>
      <c r="F73" s="431"/>
      <c r="G73" s="431"/>
      <c r="H73" s="431"/>
      <c r="I73" s="431"/>
      <c r="J73" s="431"/>
      <c r="K73" s="431"/>
      <c r="L73" s="431"/>
      <c r="M73" s="431"/>
      <c r="N73" s="431"/>
      <c r="O73" s="431"/>
      <c r="P73" s="431"/>
      <c r="Q73" s="431"/>
      <c r="R73" s="432"/>
      <c r="S73" s="509"/>
    </row>
    <row r="74" spans="1:19" ht="15.75" thickBot="1">
      <c r="A74" s="500" t="s">
        <v>50</v>
      </c>
      <c r="B74" s="1000" t="s">
        <v>51</v>
      </c>
      <c r="C74" s="1002" t="s">
        <v>52</v>
      </c>
      <c r="D74" s="996"/>
      <c r="E74" s="994">
        <v>2018</v>
      </c>
      <c r="F74" s="995"/>
      <c r="G74" s="994">
        <v>2019</v>
      </c>
      <c r="H74" s="995"/>
      <c r="I74" s="994">
        <v>2020</v>
      </c>
      <c r="J74" s="995"/>
      <c r="K74" s="994">
        <v>2021</v>
      </c>
      <c r="L74" s="995"/>
      <c r="M74" s="994">
        <v>2022</v>
      </c>
      <c r="N74" s="995"/>
      <c r="O74" s="994">
        <v>2023</v>
      </c>
      <c r="P74" s="995"/>
      <c r="Q74" s="994" t="s">
        <v>53</v>
      </c>
      <c r="R74" s="995"/>
      <c r="S74" s="996" t="s">
        <v>739</v>
      </c>
    </row>
    <row r="75" spans="1:19" ht="30.75" thickBot="1">
      <c r="A75" s="428"/>
      <c r="B75" s="1001"/>
      <c r="C75" s="1003"/>
      <c r="D75" s="997"/>
      <c r="E75" s="18" t="s">
        <v>55</v>
      </c>
      <c r="F75" s="4" t="s">
        <v>56</v>
      </c>
      <c r="G75" s="18" t="s">
        <v>55</v>
      </c>
      <c r="H75" s="18" t="s">
        <v>56</v>
      </c>
      <c r="I75" s="18" t="s">
        <v>55</v>
      </c>
      <c r="J75" s="4" t="s">
        <v>56</v>
      </c>
      <c r="K75" s="18" t="s">
        <v>55</v>
      </c>
      <c r="L75" s="4" t="s">
        <v>56</v>
      </c>
      <c r="M75" s="18" t="s">
        <v>55</v>
      </c>
      <c r="N75" s="4" t="s">
        <v>56</v>
      </c>
      <c r="O75" s="18" t="s">
        <v>55</v>
      </c>
      <c r="P75" s="4" t="s">
        <v>56</v>
      </c>
      <c r="Q75" s="428" t="s">
        <v>55</v>
      </c>
      <c r="R75" s="428" t="s">
        <v>56</v>
      </c>
      <c r="S75" s="997"/>
    </row>
    <row r="76" spans="1:19" ht="51">
      <c r="A76" s="501" t="s">
        <v>427</v>
      </c>
      <c r="B76" s="488" t="s">
        <v>428</v>
      </c>
      <c r="C76" s="992" t="s">
        <v>429</v>
      </c>
      <c r="D76" s="433" t="s">
        <v>57</v>
      </c>
      <c r="E76" s="434">
        <v>572</v>
      </c>
      <c r="F76" s="435">
        <v>358000</v>
      </c>
      <c r="G76" s="436">
        <v>0</v>
      </c>
      <c r="H76" s="437">
        <v>0</v>
      </c>
      <c r="I76" s="434">
        <v>0</v>
      </c>
      <c r="J76" s="435">
        <v>0</v>
      </c>
      <c r="K76" s="434">
        <v>0</v>
      </c>
      <c r="L76" s="435">
        <v>0</v>
      </c>
      <c r="M76" s="434">
        <v>0</v>
      </c>
      <c r="N76" s="435">
        <v>0</v>
      </c>
      <c r="O76" s="434">
        <v>0</v>
      </c>
      <c r="P76" s="435">
        <v>0</v>
      </c>
      <c r="Q76" s="438">
        <f t="shared" ref="Q76:Q107" si="7">E76+G76+I76+K76+M76+O76</f>
        <v>572</v>
      </c>
      <c r="R76" s="439">
        <f t="shared" ref="R76:R107" si="8">F76+H76+J76+L76+N76+P76</f>
        <v>358000</v>
      </c>
      <c r="S76" s="998"/>
    </row>
    <row r="77" spans="1:19" ht="39" thickBot="1">
      <c r="A77" s="497" t="s">
        <v>629</v>
      </c>
      <c r="B77" s="458"/>
      <c r="C77" s="993"/>
      <c r="D77" s="440" t="s">
        <v>58</v>
      </c>
      <c r="E77" s="441">
        <v>591</v>
      </c>
      <c r="F77" s="442">
        <v>97218</v>
      </c>
      <c r="G77" s="443">
        <v>557</v>
      </c>
      <c r="H77" s="444">
        <v>187427.81</v>
      </c>
      <c r="I77" s="441"/>
      <c r="J77" s="442">
        <v>0</v>
      </c>
      <c r="K77" s="441"/>
      <c r="L77" s="442">
        <v>0</v>
      </c>
      <c r="M77" s="441"/>
      <c r="N77" s="442">
        <v>0</v>
      </c>
      <c r="O77" s="441"/>
      <c r="P77" s="442">
        <v>0</v>
      </c>
      <c r="Q77" s="445">
        <f t="shared" si="7"/>
        <v>1148</v>
      </c>
      <c r="R77" s="446">
        <f t="shared" si="8"/>
        <v>284645.81</v>
      </c>
      <c r="S77" s="991"/>
    </row>
    <row r="78" spans="1:19" ht="63.75">
      <c r="A78" s="501" t="s">
        <v>740</v>
      </c>
      <c r="B78" s="508" t="s">
        <v>628</v>
      </c>
      <c r="C78" s="992" t="s">
        <v>627</v>
      </c>
      <c r="D78" s="448" t="s">
        <v>59</v>
      </c>
      <c r="E78" s="434">
        <v>1080</v>
      </c>
      <c r="F78" s="435">
        <v>130550</v>
      </c>
      <c r="G78" s="436">
        <v>1080</v>
      </c>
      <c r="H78" s="435">
        <v>130550</v>
      </c>
      <c r="I78" s="434">
        <v>0</v>
      </c>
      <c r="J78" s="435">
        <v>0</v>
      </c>
      <c r="K78" s="434">
        <v>0</v>
      </c>
      <c r="L78" s="435">
        <v>0</v>
      </c>
      <c r="M78" s="434">
        <v>0</v>
      </c>
      <c r="N78" s="435">
        <v>0</v>
      </c>
      <c r="O78" s="434">
        <v>0</v>
      </c>
      <c r="P78" s="435">
        <v>0</v>
      </c>
      <c r="Q78" s="438">
        <f t="shared" si="7"/>
        <v>2160</v>
      </c>
      <c r="R78" s="439">
        <f t="shared" si="8"/>
        <v>261100</v>
      </c>
      <c r="S78" s="990"/>
    </row>
    <row r="79" spans="1:19" ht="13.5" thickBot="1">
      <c r="A79" s="497" t="s">
        <v>626</v>
      </c>
      <c r="B79" s="447"/>
      <c r="C79" s="993"/>
      <c r="D79" s="449" t="s">
        <v>60</v>
      </c>
      <c r="E79" s="450">
        <v>0</v>
      </c>
      <c r="F79" s="451">
        <v>0</v>
      </c>
      <c r="G79" s="426">
        <v>0</v>
      </c>
      <c r="H79" s="452">
        <v>0</v>
      </c>
      <c r="I79" s="450"/>
      <c r="J79" s="442">
        <v>0</v>
      </c>
      <c r="K79" s="441"/>
      <c r="L79" s="442">
        <v>0</v>
      </c>
      <c r="M79" s="441"/>
      <c r="N79" s="442">
        <v>0</v>
      </c>
      <c r="O79" s="441"/>
      <c r="P79" s="442">
        <v>0</v>
      </c>
      <c r="Q79" s="445">
        <f t="shared" si="7"/>
        <v>0</v>
      </c>
      <c r="R79" s="446">
        <f t="shared" si="8"/>
        <v>0</v>
      </c>
      <c r="S79" s="991"/>
    </row>
    <row r="80" spans="1:19" ht="63.75">
      <c r="A80" s="501" t="s">
        <v>740</v>
      </c>
      <c r="B80" s="508" t="s">
        <v>625</v>
      </c>
      <c r="C80" s="992" t="s">
        <v>624</v>
      </c>
      <c r="D80" s="448" t="s">
        <v>59</v>
      </c>
      <c r="E80" s="434">
        <v>350</v>
      </c>
      <c r="F80" s="435">
        <v>52174</v>
      </c>
      <c r="G80" s="436">
        <v>0</v>
      </c>
      <c r="H80" s="437">
        <v>0</v>
      </c>
      <c r="I80" s="434">
        <v>0</v>
      </c>
      <c r="J80" s="435">
        <v>0</v>
      </c>
      <c r="K80" s="434">
        <v>0</v>
      </c>
      <c r="L80" s="435">
        <v>0</v>
      </c>
      <c r="M80" s="434">
        <v>0</v>
      </c>
      <c r="N80" s="435">
        <v>0</v>
      </c>
      <c r="O80" s="434">
        <v>0</v>
      </c>
      <c r="P80" s="435">
        <v>0</v>
      </c>
      <c r="Q80" s="438">
        <f t="shared" si="7"/>
        <v>350</v>
      </c>
      <c r="R80" s="439">
        <f t="shared" si="8"/>
        <v>52174</v>
      </c>
      <c r="S80" s="990"/>
    </row>
    <row r="81" spans="1:19" ht="13.5" thickBot="1">
      <c r="A81" s="497" t="s">
        <v>623</v>
      </c>
      <c r="B81" s="447"/>
      <c r="C81" s="993"/>
      <c r="D81" s="449" t="s">
        <v>60</v>
      </c>
      <c r="E81" s="450">
        <v>0</v>
      </c>
      <c r="F81" s="451">
        <v>0</v>
      </c>
      <c r="G81" s="426">
        <v>0</v>
      </c>
      <c r="H81" s="452">
        <v>0</v>
      </c>
      <c r="I81" s="450"/>
      <c r="J81" s="442">
        <v>0</v>
      </c>
      <c r="K81" s="441"/>
      <c r="L81" s="442">
        <v>0</v>
      </c>
      <c r="M81" s="441"/>
      <c r="N81" s="442">
        <v>0</v>
      </c>
      <c r="O81" s="441"/>
      <c r="P81" s="442">
        <v>0</v>
      </c>
      <c r="Q81" s="445">
        <f t="shared" si="7"/>
        <v>0</v>
      </c>
      <c r="R81" s="446">
        <f t="shared" si="8"/>
        <v>0</v>
      </c>
      <c r="S81" s="991"/>
    </row>
    <row r="82" spans="1:19" ht="38.25">
      <c r="A82" s="501" t="s">
        <v>448</v>
      </c>
      <c r="B82" s="488" t="s">
        <v>449</v>
      </c>
      <c r="C82" s="1004" t="s">
        <v>450</v>
      </c>
      <c r="D82" s="453" t="s">
        <v>59</v>
      </c>
      <c r="E82" s="454">
        <v>40</v>
      </c>
      <c r="F82" s="455">
        <v>80000</v>
      </c>
      <c r="G82" s="436">
        <v>0</v>
      </c>
      <c r="H82" s="437">
        <v>80000</v>
      </c>
      <c r="I82" s="454">
        <v>0</v>
      </c>
      <c r="J82" s="455">
        <v>0</v>
      </c>
      <c r="K82" s="454">
        <v>0</v>
      </c>
      <c r="L82" s="455">
        <v>0</v>
      </c>
      <c r="M82" s="454">
        <v>0</v>
      </c>
      <c r="N82" s="455">
        <v>0</v>
      </c>
      <c r="O82" s="454">
        <v>0</v>
      </c>
      <c r="P82" s="455">
        <v>0</v>
      </c>
      <c r="Q82" s="456">
        <f t="shared" si="7"/>
        <v>40</v>
      </c>
      <c r="R82" s="457">
        <f t="shared" si="8"/>
        <v>160000</v>
      </c>
      <c r="S82" s="990"/>
    </row>
    <row r="83" spans="1:19" ht="13.5" thickBot="1">
      <c r="A83" s="497" t="s">
        <v>622</v>
      </c>
      <c r="B83" s="458"/>
      <c r="C83" s="993"/>
      <c r="D83" s="449" t="s">
        <v>60</v>
      </c>
      <c r="E83" s="450">
        <v>0</v>
      </c>
      <c r="F83" s="451">
        <v>0</v>
      </c>
      <c r="G83" s="426">
        <v>0</v>
      </c>
      <c r="H83" s="452">
        <v>0</v>
      </c>
      <c r="I83" s="450"/>
      <c r="J83" s="451">
        <v>0</v>
      </c>
      <c r="K83" s="450"/>
      <c r="L83" s="451">
        <v>0</v>
      </c>
      <c r="M83" s="450"/>
      <c r="N83" s="451">
        <v>0</v>
      </c>
      <c r="O83" s="450"/>
      <c r="P83" s="451">
        <v>0</v>
      </c>
      <c r="Q83" s="445">
        <f t="shared" si="7"/>
        <v>0</v>
      </c>
      <c r="R83" s="446">
        <f t="shared" si="8"/>
        <v>0</v>
      </c>
      <c r="S83" s="991"/>
    </row>
    <row r="84" spans="1:19" ht="51">
      <c r="A84" s="501" t="s">
        <v>442</v>
      </c>
      <c r="B84" s="488" t="s">
        <v>443</v>
      </c>
      <c r="C84" s="992" t="s">
        <v>444</v>
      </c>
      <c r="D84" s="448" t="s">
        <v>59</v>
      </c>
      <c r="E84" s="434">
        <v>70</v>
      </c>
      <c r="F84" s="435">
        <v>54000</v>
      </c>
      <c r="G84" s="436">
        <v>0</v>
      </c>
      <c r="H84" s="437">
        <v>42000</v>
      </c>
      <c r="I84" s="434">
        <v>0</v>
      </c>
      <c r="J84" s="435">
        <v>0</v>
      </c>
      <c r="K84" s="434">
        <v>0</v>
      </c>
      <c r="L84" s="435">
        <v>0</v>
      </c>
      <c r="M84" s="434">
        <v>0</v>
      </c>
      <c r="N84" s="435">
        <v>0</v>
      </c>
      <c r="O84" s="434">
        <v>0</v>
      </c>
      <c r="P84" s="435">
        <v>0</v>
      </c>
      <c r="Q84" s="438">
        <f t="shared" si="7"/>
        <v>70</v>
      </c>
      <c r="R84" s="439">
        <f t="shared" si="8"/>
        <v>96000</v>
      </c>
      <c r="S84" s="990"/>
    </row>
    <row r="85" spans="1:19" ht="13.5" thickBot="1">
      <c r="A85" s="497" t="s">
        <v>621</v>
      </c>
      <c r="B85" s="458"/>
      <c r="C85" s="993"/>
      <c r="D85" s="449" t="s">
        <v>60</v>
      </c>
      <c r="E85" s="450">
        <v>123</v>
      </c>
      <c r="F85" s="451">
        <v>6087</v>
      </c>
      <c r="G85" s="426">
        <v>1500</v>
      </c>
      <c r="H85" s="452">
        <v>15652.13</v>
      </c>
      <c r="I85" s="450">
        <v>1500</v>
      </c>
      <c r="J85" s="451">
        <v>1264</v>
      </c>
      <c r="K85" s="450"/>
      <c r="L85" s="451">
        <v>0</v>
      </c>
      <c r="M85" s="450"/>
      <c r="N85" s="451">
        <v>0</v>
      </c>
      <c r="O85" s="450"/>
      <c r="P85" s="451">
        <v>0</v>
      </c>
      <c r="Q85" s="445">
        <f t="shared" si="7"/>
        <v>3123</v>
      </c>
      <c r="R85" s="446">
        <f t="shared" si="8"/>
        <v>23003.129999999997</v>
      </c>
      <c r="S85" s="991"/>
    </row>
    <row r="86" spans="1:19" ht="51">
      <c r="A86" s="501" t="s">
        <v>430</v>
      </c>
      <c r="B86" s="491" t="s">
        <v>431</v>
      </c>
      <c r="C86" s="992" t="s">
        <v>432</v>
      </c>
      <c r="D86" s="448" t="s">
        <v>59</v>
      </c>
      <c r="E86" s="434">
        <v>8</v>
      </c>
      <c r="F86" s="435">
        <v>20000</v>
      </c>
      <c r="G86" s="436">
        <v>0</v>
      </c>
      <c r="H86" s="437">
        <v>20000</v>
      </c>
      <c r="I86" s="434">
        <v>0</v>
      </c>
      <c r="J86" s="435">
        <v>0</v>
      </c>
      <c r="K86" s="434">
        <v>0</v>
      </c>
      <c r="L86" s="435">
        <v>0</v>
      </c>
      <c r="M86" s="434">
        <v>0</v>
      </c>
      <c r="N86" s="435">
        <v>0</v>
      </c>
      <c r="O86" s="434">
        <v>0</v>
      </c>
      <c r="P86" s="435">
        <v>0</v>
      </c>
      <c r="Q86" s="438">
        <f t="shared" si="7"/>
        <v>8</v>
      </c>
      <c r="R86" s="439">
        <f t="shared" si="8"/>
        <v>40000</v>
      </c>
      <c r="S86" s="990"/>
    </row>
    <row r="87" spans="1:19" ht="13.5" thickBot="1">
      <c r="A87" s="497" t="s">
        <v>620</v>
      </c>
      <c r="B87" s="447"/>
      <c r="C87" s="993"/>
      <c r="D87" s="449" t="s">
        <v>60</v>
      </c>
      <c r="E87" s="450">
        <v>0</v>
      </c>
      <c r="F87" s="451">
        <v>0</v>
      </c>
      <c r="G87" s="426">
        <v>4</v>
      </c>
      <c r="H87" s="452">
        <v>10444.44</v>
      </c>
      <c r="I87" s="450"/>
      <c r="J87" s="451">
        <v>0</v>
      </c>
      <c r="K87" s="450"/>
      <c r="L87" s="451">
        <v>0</v>
      </c>
      <c r="M87" s="450"/>
      <c r="N87" s="451">
        <v>0</v>
      </c>
      <c r="O87" s="450"/>
      <c r="P87" s="451">
        <v>0</v>
      </c>
      <c r="Q87" s="445">
        <f t="shared" si="7"/>
        <v>4</v>
      </c>
      <c r="R87" s="446">
        <f t="shared" si="8"/>
        <v>10444.44</v>
      </c>
      <c r="S87" s="991"/>
    </row>
    <row r="88" spans="1:19" ht="89.25">
      <c r="A88" s="501" t="s">
        <v>433</v>
      </c>
      <c r="B88" s="488" t="s">
        <v>434</v>
      </c>
      <c r="C88" s="992" t="s">
        <v>435</v>
      </c>
      <c r="D88" s="448" t="s">
        <v>59</v>
      </c>
      <c r="E88" s="434">
        <v>60</v>
      </c>
      <c r="F88" s="435">
        <v>60000</v>
      </c>
      <c r="G88" s="436">
        <v>0</v>
      </c>
      <c r="H88" s="437">
        <v>60000</v>
      </c>
      <c r="I88" s="434">
        <v>0</v>
      </c>
      <c r="J88" s="435">
        <v>0</v>
      </c>
      <c r="K88" s="434">
        <v>0</v>
      </c>
      <c r="L88" s="435">
        <v>0</v>
      </c>
      <c r="M88" s="434">
        <v>0</v>
      </c>
      <c r="N88" s="435">
        <v>0</v>
      </c>
      <c r="O88" s="434">
        <v>0</v>
      </c>
      <c r="P88" s="435">
        <v>0</v>
      </c>
      <c r="Q88" s="438">
        <f t="shared" si="7"/>
        <v>60</v>
      </c>
      <c r="R88" s="439">
        <f t="shared" si="8"/>
        <v>120000</v>
      </c>
      <c r="S88" s="990"/>
    </row>
    <row r="89" spans="1:19" ht="16.5" thickBot="1">
      <c r="A89" s="497" t="s">
        <v>619</v>
      </c>
      <c r="B89" s="490"/>
      <c r="C89" s="993"/>
      <c r="D89" s="449" t="s">
        <v>60</v>
      </c>
      <c r="E89" s="450">
        <v>400</v>
      </c>
      <c r="F89" s="451">
        <v>6140</v>
      </c>
      <c r="G89" s="426">
        <v>300</v>
      </c>
      <c r="H89" s="452">
        <v>14070.48</v>
      </c>
      <c r="I89" s="450"/>
      <c r="J89" s="451">
        <v>0</v>
      </c>
      <c r="K89" s="450"/>
      <c r="L89" s="451">
        <v>0</v>
      </c>
      <c r="M89" s="450"/>
      <c r="N89" s="451">
        <v>0</v>
      </c>
      <c r="O89" s="450"/>
      <c r="P89" s="451">
        <v>0</v>
      </c>
      <c r="Q89" s="445">
        <f t="shared" si="7"/>
        <v>700</v>
      </c>
      <c r="R89" s="446">
        <f t="shared" si="8"/>
        <v>20210.48</v>
      </c>
      <c r="S89" s="991"/>
    </row>
    <row r="90" spans="1:19" ht="63.75">
      <c r="A90" s="501" t="s">
        <v>436</v>
      </c>
      <c r="B90" s="488" t="s">
        <v>437</v>
      </c>
      <c r="C90" s="992" t="s">
        <v>438</v>
      </c>
      <c r="D90" s="448" t="s">
        <v>59</v>
      </c>
      <c r="E90" s="434">
        <v>116</v>
      </c>
      <c r="F90" s="435">
        <v>104000</v>
      </c>
      <c r="G90" s="436">
        <v>0</v>
      </c>
      <c r="H90" s="437">
        <v>104000</v>
      </c>
      <c r="I90" s="434">
        <v>0</v>
      </c>
      <c r="J90" s="435">
        <v>0</v>
      </c>
      <c r="K90" s="434">
        <v>0</v>
      </c>
      <c r="L90" s="435">
        <v>0</v>
      </c>
      <c r="M90" s="434">
        <v>0</v>
      </c>
      <c r="N90" s="435">
        <v>0</v>
      </c>
      <c r="O90" s="434">
        <v>0</v>
      </c>
      <c r="P90" s="435">
        <v>0</v>
      </c>
      <c r="Q90" s="438">
        <f t="shared" si="7"/>
        <v>116</v>
      </c>
      <c r="R90" s="439">
        <f t="shared" si="8"/>
        <v>208000</v>
      </c>
      <c r="S90" s="990"/>
    </row>
    <row r="91" spans="1:19" ht="16.5" thickBot="1">
      <c r="A91" s="497" t="s">
        <v>618</v>
      </c>
      <c r="B91" s="490"/>
      <c r="C91" s="993"/>
      <c r="D91" s="449" t="s">
        <v>60</v>
      </c>
      <c r="E91" s="450">
        <v>2470</v>
      </c>
      <c r="F91" s="451">
        <v>171333</v>
      </c>
      <c r="G91" s="426">
        <v>640</v>
      </c>
      <c r="H91" s="452">
        <v>166724.59</v>
      </c>
      <c r="I91" s="450">
        <v>720</v>
      </c>
      <c r="J91" s="451">
        <v>59491</v>
      </c>
      <c r="K91" s="450"/>
      <c r="L91" s="451">
        <v>0</v>
      </c>
      <c r="M91" s="450"/>
      <c r="N91" s="451">
        <v>0</v>
      </c>
      <c r="O91" s="450"/>
      <c r="P91" s="451">
        <v>0</v>
      </c>
      <c r="Q91" s="445">
        <f t="shared" si="7"/>
        <v>3830</v>
      </c>
      <c r="R91" s="446">
        <f t="shared" si="8"/>
        <v>397548.58999999997</v>
      </c>
      <c r="S91" s="991"/>
    </row>
    <row r="92" spans="1:19" ht="63.75">
      <c r="A92" s="501" t="s">
        <v>439</v>
      </c>
      <c r="B92" s="488" t="s">
        <v>440</v>
      </c>
      <c r="C92" s="992" t="s">
        <v>441</v>
      </c>
      <c r="D92" s="448" t="s">
        <v>59</v>
      </c>
      <c r="E92" s="434">
        <v>40</v>
      </c>
      <c r="F92" s="435">
        <v>8000</v>
      </c>
      <c r="G92" s="436">
        <v>0</v>
      </c>
      <c r="H92" s="437">
        <v>8000</v>
      </c>
      <c r="I92" s="434">
        <v>0</v>
      </c>
      <c r="J92" s="435">
        <v>0</v>
      </c>
      <c r="K92" s="434">
        <v>0</v>
      </c>
      <c r="L92" s="435">
        <v>0</v>
      </c>
      <c r="M92" s="434">
        <v>0</v>
      </c>
      <c r="N92" s="435">
        <v>0</v>
      </c>
      <c r="O92" s="434">
        <v>0</v>
      </c>
      <c r="P92" s="435">
        <v>0</v>
      </c>
      <c r="Q92" s="438">
        <f t="shared" si="7"/>
        <v>40</v>
      </c>
      <c r="R92" s="439">
        <f t="shared" si="8"/>
        <v>16000</v>
      </c>
      <c r="S92" s="990"/>
    </row>
    <row r="93" spans="1:19" ht="16.5" thickBot="1">
      <c r="A93" s="497" t="s">
        <v>617</v>
      </c>
      <c r="B93" s="490"/>
      <c r="C93" s="993"/>
      <c r="D93" s="449" t="s">
        <v>60</v>
      </c>
      <c r="E93" s="450">
        <v>0</v>
      </c>
      <c r="F93" s="451">
        <v>0</v>
      </c>
      <c r="G93" s="426">
        <v>0</v>
      </c>
      <c r="H93" s="452">
        <v>0</v>
      </c>
      <c r="I93" s="450"/>
      <c r="J93" s="451">
        <v>0</v>
      </c>
      <c r="K93" s="450"/>
      <c r="L93" s="451">
        <v>0</v>
      </c>
      <c r="M93" s="450"/>
      <c r="N93" s="451">
        <v>0</v>
      </c>
      <c r="O93" s="450"/>
      <c r="P93" s="451">
        <v>0</v>
      </c>
      <c r="Q93" s="445">
        <f t="shared" si="7"/>
        <v>0</v>
      </c>
      <c r="R93" s="446">
        <f t="shared" si="8"/>
        <v>0</v>
      </c>
      <c r="S93" s="991"/>
    </row>
    <row r="94" spans="1:19" ht="51">
      <c r="A94" s="501" t="s">
        <v>445</v>
      </c>
      <c r="B94" s="488" t="s">
        <v>446</v>
      </c>
      <c r="C94" s="992" t="s">
        <v>447</v>
      </c>
      <c r="D94" s="448" t="s">
        <v>59</v>
      </c>
      <c r="E94" s="434">
        <v>4</v>
      </c>
      <c r="F94" s="435">
        <v>8000</v>
      </c>
      <c r="G94" s="436">
        <v>0</v>
      </c>
      <c r="H94" s="437">
        <v>0</v>
      </c>
      <c r="I94" s="434">
        <v>0</v>
      </c>
      <c r="J94" s="435">
        <v>0</v>
      </c>
      <c r="K94" s="434">
        <v>0</v>
      </c>
      <c r="L94" s="435">
        <v>0</v>
      </c>
      <c r="M94" s="434">
        <v>0</v>
      </c>
      <c r="N94" s="435">
        <v>0</v>
      </c>
      <c r="O94" s="434">
        <v>0</v>
      </c>
      <c r="P94" s="435">
        <v>0</v>
      </c>
      <c r="Q94" s="438">
        <f t="shared" si="7"/>
        <v>4</v>
      </c>
      <c r="R94" s="439">
        <f t="shared" si="8"/>
        <v>8000</v>
      </c>
      <c r="S94" s="523"/>
    </row>
    <row r="95" spans="1:19" ht="26.25" thickBot="1">
      <c r="A95" s="497" t="s">
        <v>616</v>
      </c>
      <c r="B95" s="458"/>
      <c r="C95" s="993"/>
      <c r="D95" s="449" t="s">
        <v>60</v>
      </c>
      <c r="E95" s="450">
        <v>21</v>
      </c>
      <c r="F95" s="451">
        <v>297444</v>
      </c>
      <c r="G95" s="426">
        <v>11</v>
      </c>
      <c r="H95" s="452">
        <v>295734</v>
      </c>
      <c r="I95" s="450">
        <v>11</v>
      </c>
      <c r="J95" s="451">
        <v>94286</v>
      </c>
      <c r="K95" s="450"/>
      <c r="L95" s="451">
        <v>0</v>
      </c>
      <c r="M95" s="450"/>
      <c r="N95" s="451">
        <v>0</v>
      </c>
      <c r="O95" s="450"/>
      <c r="P95" s="451">
        <v>0</v>
      </c>
      <c r="Q95" s="445">
        <f t="shared" si="7"/>
        <v>43</v>
      </c>
      <c r="R95" s="446">
        <f t="shared" si="8"/>
        <v>687464</v>
      </c>
      <c r="S95" s="523"/>
    </row>
    <row r="96" spans="1:19" ht="51">
      <c r="A96" s="501" t="s">
        <v>451</v>
      </c>
      <c r="B96" s="488" t="s">
        <v>452</v>
      </c>
      <c r="C96" s="992" t="s">
        <v>741</v>
      </c>
      <c r="D96" s="448" t="s">
        <v>59</v>
      </c>
      <c r="E96" s="434">
        <v>40</v>
      </c>
      <c r="F96" s="435">
        <v>40000</v>
      </c>
      <c r="G96" s="436">
        <v>0</v>
      </c>
      <c r="H96" s="437">
        <v>40000</v>
      </c>
      <c r="I96" s="434">
        <v>0</v>
      </c>
      <c r="J96" s="435">
        <v>0</v>
      </c>
      <c r="K96" s="434">
        <v>0</v>
      </c>
      <c r="L96" s="435">
        <v>0</v>
      </c>
      <c r="M96" s="434">
        <v>0</v>
      </c>
      <c r="N96" s="435">
        <v>0</v>
      </c>
      <c r="O96" s="434">
        <v>0</v>
      </c>
      <c r="P96" s="435">
        <v>0</v>
      </c>
      <c r="Q96" s="438">
        <f t="shared" si="7"/>
        <v>40</v>
      </c>
      <c r="R96" s="439">
        <f t="shared" si="8"/>
        <v>80000</v>
      </c>
      <c r="S96" s="990"/>
    </row>
    <row r="97" spans="1:19" ht="26.25" thickBot="1">
      <c r="A97" s="497" t="s">
        <v>615</v>
      </c>
      <c r="B97" s="458"/>
      <c r="C97" s="993"/>
      <c r="D97" s="449" t="s">
        <v>60</v>
      </c>
      <c r="E97" s="450">
        <v>0</v>
      </c>
      <c r="F97" s="451">
        <v>7515</v>
      </c>
      <c r="G97" s="426">
        <v>0</v>
      </c>
      <c r="H97" s="452">
        <v>0</v>
      </c>
      <c r="I97" s="450"/>
      <c r="J97" s="451">
        <v>0</v>
      </c>
      <c r="K97" s="450"/>
      <c r="L97" s="451">
        <v>0</v>
      </c>
      <c r="M97" s="450"/>
      <c r="N97" s="451">
        <v>0</v>
      </c>
      <c r="O97" s="450"/>
      <c r="P97" s="451">
        <v>0</v>
      </c>
      <c r="Q97" s="445">
        <f t="shared" si="7"/>
        <v>0</v>
      </c>
      <c r="R97" s="446">
        <f t="shared" si="8"/>
        <v>7515</v>
      </c>
      <c r="S97" s="991"/>
    </row>
    <row r="98" spans="1:19" ht="89.25">
      <c r="A98" s="501" t="s">
        <v>453</v>
      </c>
      <c r="B98" s="488" t="s">
        <v>454</v>
      </c>
      <c r="C98" s="992" t="s">
        <v>455</v>
      </c>
      <c r="D98" s="448" t="s">
        <v>59</v>
      </c>
      <c r="E98" s="434">
        <v>50</v>
      </c>
      <c r="F98" s="435">
        <v>224000</v>
      </c>
      <c r="G98" s="487">
        <v>0</v>
      </c>
      <c r="H98" s="437">
        <v>224000</v>
      </c>
      <c r="I98" s="434">
        <v>0</v>
      </c>
      <c r="J98" s="435">
        <v>0</v>
      </c>
      <c r="K98" s="434">
        <v>0</v>
      </c>
      <c r="L98" s="435">
        <v>0</v>
      </c>
      <c r="M98" s="434">
        <v>0</v>
      </c>
      <c r="N98" s="435">
        <v>0</v>
      </c>
      <c r="O98" s="434">
        <v>0</v>
      </c>
      <c r="P98" s="435">
        <v>0</v>
      </c>
      <c r="Q98" s="438">
        <f t="shared" si="7"/>
        <v>50</v>
      </c>
      <c r="R98" s="439">
        <f t="shared" si="8"/>
        <v>448000</v>
      </c>
      <c r="S98" s="523"/>
    </row>
    <row r="99" spans="1:19" ht="26.25" thickBot="1">
      <c r="A99" s="497" t="s">
        <v>614</v>
      </c>
      <c r="B99" s="458"/>
      <c r="C99" s="993"/>
      <c r="D99" s="449" t="s">
        <v>60</v>
      </c>
      <c r="E99" s="450">
        <v>120</v>
      </c>
      <c r="F99" s="451">
        <v>24154</v>
      </c>
      <c r="G99" s="426">
        <v>120</v>
      </c>
      <c r="H99" s="452">
        <v>17680.439999999999</v>
      </c>
      <c r="I99" s="450">
        <v>120</v>
      </c>
      <c r="J99" s="451">
        <v>1713</v>
      </c>
      <c r="K99" s="450"/>
      <c r="L99" s="451">
        <v>0</v>
      </c>
      <c r="M99" s="450"/>
      <c r="N99" s="451">
        <v>0</v>
      </c>
      <c r="O99" s="450"/>
      <c r="P99" s="451">
        <v>0</v>
      </c>
      <c r="Q99" s="445">
        <f t="shared" si="7"/>
        <v>360</v>
      </c>
      <c r="R99" s="446">
        <f t="shared" si="8"/>
        <v>43547.44</v>
      </c>
      <c r="S99" s="523"/>
    </row>
    <row r="100" spans="1:19" ht="76.5">
      <c r="A100" s="501" t="s">
        <v>456</v>
      </c>
      <c r="B100" s="488" t="s">
        <v>457</v>
      </c>
      <c r="C100" s="992" t="s">
        <v>458</v>
      </c>
      <c r="D100" s="448" t="s">
        <v>59</v>
      </c>
      <c r="E100" s="434">
        <v>40</v>
      </c>
      <c r="F100" s="435">
        <v>48756</v>
      </c>
      <c r="G100" s="436">
        <v>0</v>
      </c>
      <c r="H100" s="437">
        <v>48756</v>
      </c>
      <c r="I100" s="434">
        <v>0</v>
      </c>
      <c r="J100" s="435">
        <v>0</v>
      </c>
      <c r="K100" s="434">
        <v>0</v>
      </c>
      <c r="L100" s="435">
        <v>0</v>
      </c>
      <c r="M100" s="434">
        <v>0</v>
      </c>
      <c r="N100" s="435">
        <v>0</v>
      </c>
      <c r="O100" s="434">
        <v>0</v>
      </c>
      <c r="P100" s="435">
        <v>0</v>
      </c>
      <c r="Q100" s="438">
        <f t="shared" si="7"/>
        <v>40</v>
      </c>
      <c r="R100" s="439">
        <f t="shared" si="8"/>
        <v>97512</v>
      </c>
      <c r="S100" s="523"/>
    </row>
    <row r="101" spans="1:19" ht="26.25" thickBot="1">
      <c r="A101" s="497" t="s">
        <v>613</v>
      </c>
      <c r="B101" s="458"/>
      <c r="C101" s="993"/>
      <c r="D101" s="449" t="s">
        <v>60</v>
      </c>
      <c r="E101" s="450">
        <v>0</v>
      </c>
      <c r="F101" s="451">
        <v>28727</v>
      </c>
      <c r="G101" s="426">
        <v>0</v>
      </c>
      <c r="H101" s="452">
        <v>0</v>
      </c>
      <c r="I101" s="450"/>
      <c r="J101" s="451" t="s">
        <v>556</v>
      </c>
      <c r="K101" s="450"/>
      <c r="L101" s="451">
        <v>0</v>
      </c>
      <c r="M101" s="450"/>
      <c r="N101" s="451">
        <v>0</v>
      </c>
      <c r="O101" s="450"/>
      <c r="P101" s="451">
        <v>0</v>
      </c>
      <c r="Q101" s="445">
        <f t="shared" si="7"/>
        <v>0</v>
      </c>
      <c r="R101" s="446" t="e">
        <f t="shared" si="8"/>
        <v>#VALUE!</v>
      </c>
      <c r="S101" s="523"/>
    </row>
    <row r="102" spans="1:19" ht="102">
      <c r="A102" s="501" t="s">
        <v>459</v>
      </c>
      <c r="B102" s="488" t="s">
        <v>460</v>
      </c>
      <c r="C102" s="992" t="s">
        <v>461</v>
      </c>
      <c r="D102" s="448" t="s">
        <v>59</v>
      </c>
      <c r="E102" s="434">
        <v>5</v>
      </c>
      <c r="F102" s="435">
        <v>0</v>
      </c>
      <c r="G102" s="436">
        <v>0</v>
      </c>
      <c r="H102" s="437">
        <v>0</v>
      </c>
      <c r="I102" s="434">
        <v>0</v>
      </c>
      <c r="J102" s="435">
        <v>0</v>
      </c>
      <c r="K102" s="434">
        <v>0</v>
      </c>
      <c r="L102" s="435">
        <v>0</v>
      </c>
      <c r="M102" s="434">
        <v>0</v>
      </c>
      <c r="N102" s="435">
        <v>0</v>
      </c>
      <c r="O102" s="434">
        <v>0</v>
      </c>
      <c r="P102" s="435">
        <v>0</v>
      </c>
      <c r="Q102" s="438">
        <f t="shared" si="7"/>
        <v>5</v>
      </c>
      <c r="R102" s="439">
        <f t="shared" si="8"/>
        <v>0</v>
      </c>
      <c r="S102" s="523"/>
    </row>
    <row r="103" spans="1:19" ht="13.5" thickBot="1">
      <c r="A103" s="497" t="s">
        <v>612</v>
      </c>
      <c r="B103" s="458"/>
      <c r="C103" s="993"/>
      <c r="D103" s="449" t="s">
        <v>60</v>
      </c>
      <c r="E103" s="450">
        <v>15</v>
      </c>
      <c r="F103" s="451">
        <v>142167</v>
      </c>
      <c r="G103" s="426">
        <v>16</v>
      </c>
      <c r="H103" s="452">
        <v>238429.3</v>
      </c>
      <c r="I103" s="450"/>
      <c r="J103" s="451">
        <v>0</v>
      </c>
      <c r="K103" s="450"/>
      <c r="L103" s="451">
        <v>0</v>
      </c>
      <c r="M103" s="450"/>
      <c r="N103" s="451">
        <v>0</v>
      </c>
      <c r="O103" s="450"/>
      <c r="P103" s="451">
        <v>0</v>
      </c>
      <c r="Q103" s="445">
        <f t="shared" si="7"/>
        <v>31</v>
      </c>
      <c r="R103" s="446">
        <f t="shared" si="8"/>
        <v>380596.3</v>
      </c>
      <c r="S103" s="523"/>
    </row>
    <row r="104" spans="1:19" ht="89.25">
      <c r="A104" s="501" t="s">
        <v>462</v>
      </c>
      <c r="B104" s="488" t="s">
        <v>463</v>
      </c>
      <c r="C104" s="992" t="s">
        <v>464</v>
      </c>
      <c r="D104" s="448" t="s">
        <v>59</v>
      </c>
      <c r="E104" s="434">
        <v>3</v>
      </c>
      <c r="F104" s="435">
        <v>0</v>
      </c>
      <c r="G104" s="436">
        <v>0</v>
      </c>
      <c r="H104" s="437">
        <v>0</v>
      </c>
      <c r="I104" s="434">
        <v>0</v>
      </c>
      <c r="J104" s="435">
        <v>0</v>
      </c>
      <c r="K104" s="434">
        <v>0</v>
      </c>
      <c r="L104" s="435">
        <v>0</v>
      </c>
      <c r="M104" s="434">
        <v>0</v>
      </c>
      <c r="N104" s="435">
        <v>0</v>
      </c>
      <c r="O104" s="434">
        <v>0</v>
      </c>
      <c r="P104" s="435">
        <v>0</v>
      </c>
      <c r="Q104" s="438">
        <f t="shared" si="7"/>
        <v>3</v>
      </c>
      <c r="R104" s="439">
        <f t="shared" si="8"/>
        <v>0</v>
      </c>
      <c r="S104" s="523"/>
    </row>
    <row r="105" spans="1:19" ht="13.5" thickBot="1">
      <c r="A105" s="497" t="s">
        <v>611</v>
      </c>
      <c r="B105" s="458"/>
      <c r="C105" s="993"/>
      <c r="D105" s="449" t="s">
        <v>60</v>
      </c>
      <c r="E105" s="450">
        <v>13</v>
      </c>
      <c r="F105" s="451">
        <v>145984</v>
      </c>
      <c r="G105" s="426">
        <v>18</v>
      </c>
      <c r="H105" s="452">
        <v>268997.46999999997</v>
      </c>
      <c r="I105" s="450">
        <v>14</v>
      </c>
      <c r="J105" s="451">
        <v>83377</v>
      </c>
      <c r="K105" s="450"/>
      <c r="L105" s="451">
        <v>0</v>
      </c>
      <c r="M105" s="450"/>
      <c r="N105" s="451">
        <v>0</v>
      </c>
      <c r="O105" s="450"/>
      <c r="P105" s="451">
        <v>0</v>
      </c>
      <c r="Q105" s="445">
        <f t="shared" si="7"/>
        <v>45</v>
      </c>
      <c r="R105" s="446">
        <f t="shared" si="8"/>
        <v>498358.47</v>
      </c>
      <c r="S105" s="523"/>
    </row>
    <row r="106" spans="1:19" ht="51">
      <c r="A106" s="503" t="s">
        <v>465</v>
      </c>
      <c r="B106" s="488" t="s">
        <v>466</v>
      </c>
      <c r="C106" s="1004" t="s">
        <v>467</v>
      </c>
      <c r="D106" s="453" t="s">
        <v>59</v>
      </c>
      <c r="E106" s="454">
        <v>1</v>
      </c>
      <c r="F106" s="455">
        <v>80000</v>
      </c>
      <c r="G106" s="436">
        <v>0</v>
      </c>
      <c r="H106" s="437">
        <v>800000</v>
      </c>
      <c r="I106" s="454">
        <v>0</v>
      </c>
      <c r="J106" s="455">
        <v>0</v>
      </c>
      <c r="K106" s="454">
        <v>0</v>
      </c>
      <c r="L106" s="455">
        <v>0</v>
      </c>
      <c r="M106" s="454">
        <v>0</v>
      </c>
      <c r="N106" s="455">
        <v>0</v>
      </c>
      <c r="O106" s="454">
        <v>0</v>
      </c>
      <c r="P106" s="455">
        <v>0</v>
      </c>
      <c r="Q106" s="456">
        <f t="shared" si="7"/>
        <v>1</v>
      </c>
      <c r="R106" s="457">
        <f t="shared" si="8"/>
        <v>880000</v>
      </c>
      <c r="S106" s="998"/>
    </row>
    <row r="107" spans="1:19" ht="13.5" thickBot="1">
      <c r="A107" s="497" t="s">
        <v>610</v>
      </c>
      <c r="B107" s="447"/>
      <c r="C107" s="999"/>
      <c r="D107" s="476" t="s">
        <v>60</v>
      </c>
      <c r="E107" s="477">
        <v>0</v>
      </c>
      <c r="F107" s="478">
        <v>0</v>
      </c>
      <c r="G107" s="479">
        <v>0</v>
      </c>
      <c r="H107" s="480">
        <v>0</v>
      </c>
      <c r="I107" s="477"/>
      <c r="J107" s="478">
        <v>0</v>
      </c>
      <c r="K107" s="477"/>
      <c r="L107" s="478">
        <v>0</v>
      </c>
      <c r="M107" s="477"/>
      <c r="N107" s="478">
        <v>0</v>
      </c>
      <c r="O107" s="477"/>
      <c r="P107" s="478">
        <v>0</v>
      </c>
      <c r="Q107" s="481">
        <f t="shared" si="7"/>
        <v>0</v>
      </c>
      <c r="R107" s="482">
        <f t="shared" si="8"/>
        <v>0</v>
      </c>
      <c r="S107" s="1005"/>
    </row>
    <row r="108" spans="1:19">
      <c r="A108" s="16"/>
      <c r="B108" s="16"/>
      <c r="C108" s="16"/>
      <c r="D108" s="16"/>
      <c r="E108" s="16"/>
      <c r="F108" s="16"/>
      <c r="G108" s="16"/>
      <c r="H108" s="16"/>
      <c r="I108" s="16"/>
      <c r="J108" s="16"/>
      <c r="K108" s="16"/>
      <c r="L108" s="16"/>
      <c r="M108" s="16"/>
      <c r="N108" s="16"/>
      <c r="O108" s="16"/>
      <c r="P108" s="16"/>
      <c r="Q108" s="16"/>
      <c r="R108" s="16"/>
      <c r="S108" s="16"/>
    </row>
    <row r="109" spans="1:19">
      <c r="A109" s="16"/>
      <c r="B109" s="16"/>
      <c r="C109" s="16"/>
      <c r="D109" s="16"/>
      <c r="E109" s="16"/>
      <c r="F109" s="16"/>
      <c r="G109" s="16"/>
      <c r="H109" s="16"/>
      <c r="I109" s="16"/>
      <c r="J109" s="16"/>
      <c r="K109" s="16"/>
      <c r="L109" s="16"/>
      <c r="M109" s="16"/>
      <c r="N109" s="16"/>
      <c r="O109" s="16"/>
      <c r="P109" s="16"/>
      <c r="Q109" s="16"/>
      <c r="R109" s="16"/>
      <c r="S109" s="16"/>
    </row>
    <row r="110" spans="1:19">
      <c r="A110" s="16"/>
      <c r="B110" s="16"/>
      <c r="C110" s="16"/>
      <c r="D110" s="16"/>
      <c r="E110" s="16"/>
      <c r="F110" s="16"/>
      <c r="G110" s="16"/>
      <c r="H110" s="16"/>
      <c r="I110" s="16"/>
      <c r="J110" s="16"/>
      <c r="K110" s="16"/>
      <c r="L110" s="16"/>
      <c r="M110" s="16"/>
      <c r="N110" s="16"/>
      <c r="O110" s="16"/>
      <c r="P110" s="16"/>
      <c r="Q110" s="16"/>
      <c r="R110" s="16"/>
      <c r="S110" s="16"/>
    </row>
    <row r="111" spans="1:19">
      <c r="A111" s="16"/>
      <c r="B111" s="16"/>
      <c r="C111" s="16"/>
      <c r="D111" s="16"/>
      <c r="E111" s="16"/>
      <c r="F111" s="16"/>
      <c r="G111" s="16"/>
      <c r="H111" s="16"/>
      <c r="I111" s="16"/>
      <c r="J111" s="16"/>
      <c r="K111" s="16"/>
      <c r="L111" s="16"/>
      <c r="M111" s="16"/>
      <c r="N111" s="16"/>
      <c r="O111" s="16"/>
      <c r="P111" s="16"/>
      <c r="Q111" s="16"/>
      <c r="R111" s="16"/>
      <c r="S111" s="16"/>
    </row>
    <row r="112" spans="1:19">
      <c r="A112" s="16"/>
      <c r="B112" s="16"/>
      <c r="C112" s="16"/>
      <c r="D112" s="16"/>
      <c r="E112" s="16"/>
      <c r="F112" s="16"/>
      <c r="G112" s="16"/>
      <c r="H112" s="16"/>
      <c r="I112" s="16"/>
      <c r="J112" s="16"/>
      <c r="K112" s="16"/>
      <c r="L112" s="16"/>
      <c r="M112" s="16"/>
      <c r="N112" s="16"/>
      <c r="O112" s="16"/>
      <c r="P112" s="16"/>
      <c r="Q112" s="16"/>
      <c r="R112" s="16"/>
      <c r="S112" s="16"/>
    </row>
    <row r="113" spans="1:19">
      <c r="A113" s="16"/>
      <c r="B113" s="16"/>
      <c r="C113" s="16"/>
      <c r="D113" s="16"/>
      <c r="E113" s="16"/>
      <c r="F113" s="16"/>
      <c r="G113" s="16"/>
      <c r="H113" s="16"/>
      <c r="I113" s="16"/>
      <c r="J113" s="16"/>
      <c r="K113" s="16"/>
      <c r="L113" s="16"/>
      <c r="M113" s="16"/>
      <c r="N113" s="16"/>
      <c r="O113" s="16"/>
      <c r="P113" s="16"/>
      <c r="Q113" s="16"/>
      <c r="R113" s="16"/>
      <c r="S113" s="16"/>
    </row>
    <row r="114" spans="1:19">
      <c r="A114" s="16"/>
      <c r="B114" s="16"/>
      <c r="C114" s="16"/>
      <c r="D114" s="16"/>
      <c r="E114" s="16"/>
      <c r="F114" s="16"/>
      <c r="G114" s="16"/>
      <c r="H114" s="16"/>
      <c r="I114" s="16"/>
      <c r="J114" s="16"/>
      <c r="K114" s="16"/>
      <c r="L114" s="16"/>
      <c r="M114" s="16"/>
      <c r="N114" s="16"/>
      <c r="O114" s="16"/>
      <c r="P114" s="16"/>
      <c r="Q114" s="16"/>
      <c r="R114" s="16"/>
      <c r="S114" s="16"/>
    </row>
    <row r="115" spans="1:19">
      <c r="A115" s="16"/>
      <c r="B115" s="16"/>
      <c r="C115" s="16"/>
      <c r="D115" s="16"/>
      <c r="E115" s="16"/>
      <c r="F115" s="16"/>
      <c r="G115" s="16"/>
      <c r="H115" s="16"/>
      <c r="I115" s="16"/>
      <c r="J115" s="16"/>
      <c r="K115" s="16"/>
      <c r="L115" s="16"/>
      <c r="M115" s="16"/>
      <c r="N115" s="16"/>
      <c r="O115" s="16"/>
      <c r="P115" s="16"/>
      <c r="Q115" s="16"/>
      <c r="R115" s="16"/>
      <c r="S115" s="16"/>
    </row>
    <row r="116" spans="1:19">
      <c r="A116" s="16"/>
      <c r="B116" s="16"/>
      <c r="C116" s="16"/>
      <c r="D116" s="16"/>
      <c r="E116" s="16"/>
      <c r="F116" s="16"/>
      <c r="G116" s="16"/>
      <c r="H116" s="16"/>
      <c r="I116" s="16"/>
      <c r="J116" s="16"/>
      <c r="K116" s="16"/>
      <c r="L116" s="16"/>
      <c r="M116" s="16"/>
      <c r="N116" s="16"/>
      <c r="O116" s="16"/>
      <c r="P116" s="16"/>
      <c r="Q116" s="16"/>
      <c r="R116" s="16"/>
      <c r="S116" s="16"/>
    </row>
  </sheetData>
  <mergeCells count="132">
    <mergeCell ref="B74:B75"/>
    <mergeCell ref="D74:D75"/>
    <mergeCell ref="E74:F74"/>
    <mergeCell ref="G74:H74"/>
    <mergeCell ref="I74:J74"/>
    <mergeCell ref="S9:S10"/>
    <mergeCell ref="B9:B11"/>
    <mergeCell ref="C9:C10"/>
    <mergeCell ref="D10:D11"/>
    <mergeCell ref="F10:F11"/>
    <mergeCell ref="H10:H11"/>
    <mergeCell ref="C12:C13"/>
    <mergeCell ref="S12:S13"/>
    <mergeCell ref="S55:S56"/>
    <mergeCell ref="S59:S60"/>
    <mergeCell ref="C61:C62"/>
    <mergeCell ref="S61:S62"/>
    <mergeCell ref="K55:L55"/>
    <mergeCell ref="M55:N55"/>
    <mergeCell ref="O55:P55"/>
    <mergeCell ref="Q55:R55"/>
    <mergeCell ref="S63:S64"/>
    <mergeCell ref="C14:C15"/>
    <mergeCell ref="S14:S15"/>
    <mergeCell ref="S7:S8"/>
    <mergeCell ref="A7:A8"/>
    <mergeCell ref="B7:B8"/>
    <mergeCell ref="C7:C8"/>
    <mergeCell ref="D7:D8"/>
    <mergeCell ref="E7:F7"/>
    <mergeCell ref="G7:H7"/>
    <mergeCell ref="I7:J7"/>
    <mergeCell ref="K7:L7"/>
    <mergeCell ref="M7:N7"/>
    <mergeCell ref="O7:P7"/>
    <mergeCell ref="Q7:R7"/>
    <mergeCell ref="K74:L74"/>
    <mergeCell ref="M74:N74"/>
    <mergeCell ref="B55:B56"/>
    <mergeCell ref="C55:C56"/>
    <mergeCell ref="C63:C64"/>
    <mergeCell ref="C57:C58"/>
    <mergeCell ref="C16:C17"/>
    <mergeCell ref="S16:S17"/>
    <mergeCell ref="C18:C19"/>
    <mergeCell ref="S18:S19"/>
    <mergeCell ref="F19:F22"/>
    <mergeCell ref="H19:H22"/>
    <mergeCell ref="C40:C41"/>
    <mergeCell ref="S40:S41"/>
    <mergeCell ref="C42:C43"/>
    <mergeCell ref="S42:S43"/>
    <mergeCell ref="C23:C24"/>
    <mergeCell ref="S23:S24"/>
    <mergeCell ref="C25:C26"/>
    <mergeCell ref="S25:S26"/>
    <mergeCell ref="S57:S58"/>
    <mergeCell ref="C27:C28"/>
    <mergeCell ref="S27:S28"/>
    <mergeCell ref="C59:C60"/>
    <mergeCell ref="C106:C107"/>
    <mergeCell ref="S106:S107"/>
    <mergeCell ref="C100:C101"/>
    <mergeCell ref="C102:C103"/>
    <mergeCell ref="C104:C105"/>
    <mergeCell ref="C96:C97"/>
    <mergeCell ref="S96:S97"/>
    <mergeCell ref="C98:C99"/>
    <mergeCell ref="O74:P74"/>
    <mergeCell ref="Q74:R74"/>
    <mergeCell ref="C76:C77"/>
    <mergeCell ref="S76:S77"/>
    <mergeCell ref="C88:C89"/>
    <mergeCell ref="S88:S89"/>
    <mergeCell ref="C90:C91"/>
    <mergeCell ref="S90:S91"/>
    <mergeCell ref="C92:C93"/>
    <mergeCell ref="S92:S93"/>
    <mergeCell ref="C94:C95"/>
    <mergeCell ref="C78:C79"/>
    <mergeCell ref="C80:C81"/>
    <mergeCell ref="C82:C83"/>
    <mergeCell ref="C74:C75"/>
    <mergeCell ref="S74:S75"/>
    <mergeCell ref="S78:S79"/>
    <mergeCell ref="S80:S81"/>
    <mergeCell ref="B30:B31"/>
    <mergeCell ref="C30:C31"/>
    <mergeCell ref="D30:D31"/>
    <mergeCell ref="E30:F30"/>
    <mergeCell ref="G30:H30"/>
    <mergeCell ref="I30:J30"/>
    <mergeCell ref="K30:L30"/>
    <mergeCell ref="M30:N30"/>
    <mergeCell ref="O30:P30"/>
    <mergeCell ref="C44:C45"/>
    <mergeCell ref="S44:S45"/>
    <mergeCell ref="C69:C70"/>
    <mergeCell ref="S69:S70"/>
    <mergeCell ref="C71:C72"/>
    <mergeCell ref="S71:S72"/>
    <mergeCell ref="C46:C47"/>
    <mergeCell ref="S46:S47"/>
    <mergeCell ref="C48:C49"/>
    <mergeCell ref="S48:S49"/>
    <mergeCell ref="C50:C51"/>
    <mergeCell ref="S50:S51"/>
    <mergeCell ref="I55:J55"/>
    <mergeCell ref="S82:S83"/>
    <mergeCell ref="S84:S85"/>
    <mergeCell ref="C84:C85"/>
    <mergeCell ref="C86:C87"/>
    <mergeCell ref="S86:S87"/>
    <mergeCell ref="Q30:R30"/>
    <mergeCell ref="S30:S31"/>
    <mergeCell ref="C32:C33"/>
    <mergeCell ref="S32:S33"/>
    <mergeCell ref="C34:C35"/>
    <mergeCell ref="S34:S35"/>
    <mergeCell ref="C36:C37"/>
    <mergeCell ref="S36:S37"/>
    <mergeCell ref="C38:C39"/>
    <mergeCell ref="S38:S39"/>
    <mergeCell ref="C65:C66"/>
    <mergeCell ref="S65:S66"/>
    <mergeCell ref="C67:C68"/>
    <mergeCell ref="S67:S68"/>
    <mergeCell ref="C52:C53"/>
    <mergeCell ref="S52:S53"/>
    <mergeCell ref="D55:D56"/>
    <mergeCell ref="E55:F55"/>
    <mergeCell ref="G55:H55"/>
  </mergeCells>
  <printOptions gridLines="1"/>
  <pageMargins left="0.7" right="0.7" top="0.75" bottom="0.75" header="0.3" footer="0.3"/>
  <pageSetup paperSize="5"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3"/>
  <sheetViews>
    <sheetView topLeftCell="A337" workbookViewId="0">
      <selection activeCell="E342" sqref="E342"/>
    </sheetView>
  </sheetViews>
  <sheetFormatPr defaultColWidth="11" defaultRowHeight="15.75"/>
  <cols>
    <col min="1" max="1" width="16.875" customWidth="1"/>
    <col min="2" max="2" width="8.125" customWidth="1"/>
    <col min="3" max="3" width="10.125" customWidth="1"/>
    <col min="4" max="4" width="18.5" customWidth="1"/>
    <col min="5" max="5" width="19.5" customWidth="1"/>
    <col min="6" max="6" width="13.75" customWidth="1"/>
    <col min="7" max="7" width="9.375" bestFit="1" customWidth="1"/>
    <col min="8" max="8" width="10.125" bestFit="1" customWidth="1"/>
    <col min="9" max="9" width="9.875" bestFit="1" customWidth="1"/>
    <col min="10" max="10" width="19.625" customWidth="1"/>
    <col min="11" max="11" width="4.625" customWidth="1"/>
    <col min="12" max="12" width="5.5" customWidth="1"/>
    <col min="13" max="13" width="5" customWidth="1"/>
    <col min="14" max="14" width="5.25" customWidth="1"/>
    <col min="15" max="15" width="4.75" customWidth="1"/>
    <col min="16" max="17" width="4.875" customWidth="1"/>
    <col min="18" max="18" width="5.75" customWidth="1"/>
    <col min="19" max="19" width="5" customWidth="1"/>
    <col min="20" max="20" width="4.5" customWidth="1"/>
    <col min="21" max="21" width="5.625" customWidth="1"/>
    <col min="22" max="22" width="4.125" customWidth="1"/>
  </cols>
  <sheetData>
    <row r="1" spans="1:22" ht="21">
      <c r="A1" s="20" t="s">
        <v>258</v>
      </c>
      <c r="B1" s="20"/>
      <c r="C1" s="20"/>
    </row>
    <row r="2" spans="1:22" ht="21">
      <c r="A2" s="20" t="s">
        <v>551</v>
      </c>
      <c r="B2" s="20"/>
      <c r="C2" s="20"/>
    </row>
    <row r="3" spans="1:22" ht="21">
      <c r="A3" s="20" t="s">
        <v>549</v>
      </c>
      <c r="B3" s="20" t="s">
        <v>260</v>
      </c>
      <c r="C3" s="20"/>
    </row>
    <row r="4" spans="1:22" ht="21.75" thickBot="1">
      <c r="A4" s="20" t="s">
        <v>925</v>
      </c>
      <c r="B4" s="20"/>
      <c r="C4" s="20"/>
    </row>
    <row r="5" spans="1:22" ht="21.95" customHeight="1" thickBot="1">
      <c r="A5" s="20"/>
      <c r="B5" s="20"/>
      <c r="G5" s="994" t="s">
        <v>62</v>
      </c>
      <c r="H5" s="1208"/>
      <c r="I5" s="995"/>
      <c r="J5" s="18" t="s">
        <v>63</v>
      </c>
      <c r="K5" s="1202">
        <v>2020</v>
      </c>
      <c r="L5" s="1203"/>
      <c r="M5" s="1203"/>
      <c r="N5" s="1203"/>
      <c r="O5" s="1203"/>
      <c r="P5" s="1203"/>
      <c r="Q5" s="1203"/>
      <c r="R5" s="1203"/>
      <c r="S5" s="1203"/>
      <c r="T5" s="1203"/>
      <c r="U5" s="1203"/>
      <c r="V5" s="1203"/>
    </row>
    <row r="6" spans="1:22" s="14" customFormat="1" ht="42.75" customHeight="1" thickBot="1">
      <c r="A6" s="4" t="s">
        <v>64</v>
      </c>
      <c r="B6" s="4" t="s">
        <v>65</v>
      </c>
      <c r="C6" s="4" t="s">
        <v>50</v>
      </c>
      <c r="D6" s="4" t="s">
        <v>66</v>
      </c>
      <c r="E6" s="21" t="s">
        <v>67</v>
      </c>
      <c r="F6" s="21" t="s">
        <v>520</v>
      </c>
      <c r="G6" s="18" t="s">
        <v>68</v>
      </c>
      <c r="H6" s="18" t="s">
        <v>69</v>
      </c>
      <c r="I6" s="18" t="s">
        <v>70</v>
      </c>
      <c r="J6" s="18" t="s">
        <v>71</v>
      </c>
      <c r="K6" s="18" t="s">
        <v>72</v>
      </c>
      <c r="L6" s="18" t="s">
        <v>73</v>
      </c>
      <c r="M6" s="18" t="s">
        <v>74</v>
      </c>
      <c r="N6" s="18" t="s">
        <v>75</v>
      </c>
      <c r="O6" s="18" t="s">
        <v>76</v>
      </c>
      <c r="P6" s="18" t="s">
        <v>77</v>
      </c>
      <c r="Q6" s="18" t="s">
        <v>78</v>
      </c>
      <c r="R6" s="18" t="s">
        <v>79</v>
      </c>
      <c r="S6" s="18" t="s">
        <v>80</v>
      </c>
      <c r="T6" s="18" t="s">
        <v>81</v>
      </c>
      <c r="U6" s="18" t="s">
        <v>82</v>
      </c>
      <c r="V6" s="22" t="s">
        <v>83</v>
      </c>
    </row>
    <row r="7" spans="1:22" s="14" customFormat="1" thickBot="1">
      <c r="A7" s="1204" t="s">
        <v>826</v>
      </c>
      <c r="B7" s="1205"/>
      <c r="C7" s="1205"/>
      <c r="D7" s="1205"/>
      <c r="E7" s="1205"/>
      <c r="F7" s="1205"/>
      <c r="G7" s="1205"/>
      <c r="H7" s="1205"/>
      <c r="I7" s="1205"/>
      <c r="J7" s="1205"/>
      <c r="K7" s="1205"/>
      <c r="L7" s="1205"/>
      <c r="M7" s="1205"/>
      <c r="N7" s="1205"/>
      <c r="O7" s="1205"/>
      <c r="P7" s="1205"/>
      <c r="Q7" s="1205"/>
      <c r="R7" s="1205"/>
      <c r="S7" s="1205"/>
      <c r="T7" s="1205"/>
      <c r="U7" s="1205"/>
      <c r="V7" s="1206"/>
    </row>
    <row r="8" spans="1:22" s="19" customFormat="1" ht="35.25" customHeight="1">
      <c r="A8" s="286"/>
      <c r="B8" s="23"/>
      <c r="C8" s="24"/>
      <c r="D8" s="25"/>
      <c r="E8" s="25"/>
      <c r="F8" s="25"/>
      <c r="G8" s="25"/>
      <c r="H8" s="25"/>
      <c r="I8" s="25"/>
      <c r="J8" s="25"/>
      <c r="K8" s="26"/>
      <c r="L8" s="27"/>
      <c r="M8" s="27"/>
      <c r="N8" s="27"/>
      <c r="O8" s="27"/>
      <c r="P8" s="27"/>
      <c r="Q8" s="27"/>
      <c r="R8" s="27"/>
      <c r="S8" s="27"/>
      <c r="T8" s="23"/>
      <c r="U8" s="27"/>
      <c r="V8" s="28"/>
    </row>
    <row r="9" spans="1:22" s="19" customFormat="1" ht="93.75" customHeight="1">
      <c r="A9" s="619"/>
      <c r="B9" s="302">
        <v>1</v>
      </c>
      <c r="C9" s="30" t="str">
        <f>+'2. Results Matrix'!A9</f>
        <v>1.1.1.1</v>
      </c>
      <c r="D9" s="31" t="s">
        <v>707</v>
      </c>
      <c r="E9" s="25"/>
      <c r="F9" s="25"/>
      <c r="G9" s="25"/>
      <c r="H9" s="25"/>
      <c r="I9" s="25"/>
      <c r="J9" s="25"/>
      <c r="K9" s="26"/>
      <c r="L9" s="27"/>
      <c r="M9" s="27"/>
      <c r="N9" s="27"/>
      <c r="O9" s="27"/>
      <c r="P9" s="27"/>
      <c r="Q9" s="27"/>
      <c r="R9" s="27"/>
      <c r="S9" s="27"/>
      <c r="T9" s="302"/>
      <c r="U9" s="27"/>
      <c r="V9" s="303"/>
    </row>
    <row r="10" spans="1:22" s="19" customFormat="1" ht="93.75" customHeight="1">
      <c r="A10" s="619"/>
      <c r="B10" s="620"/>
      <c r="C10" s="621"/>
      <c r="D10" s="61" t="s">
        <v>926</v>
      </c>
      <c r="E10" s="374" t="s">
        <v>927</v>
      </c>
      <c r="F10" s="623">
        <v>34285.71</v>
      </c>
      <c r="G10" s="25"/>
      <c r="H10" s="136">
        <v>43831</v>
      </c>
      <c r="I10" s="136">
        <v>43831</v>
      </c>
      <c r="J10" s="143" t="s">
        <v>712</v>
      </c>
      <c r="K10" s="304"/>
      <c r="L10" s="622"/>
      <c r="M10" s="622"/>
      <c r="N10" s="622"/>
      <c r="O10" s="27"/>
      <c r="P10" s="622"/>
      <c r="Q10" s="622"/>
      <c r="R10" s="622"/>
      <c r="S10" s="622"/>
      <c r="T10" s="312"/>
      <c r="U10" s="622"/>
      <c r="V10" s="303"/>
    </row>
    <row r="11" spans="1:22" s="19" customFormat="1" ht="35.25" customHeight="1">
      <c r="A11" s="619" t="s">
        <v>840</v>
      </c>
      <c r="B11" s="34"/>
      <c r="C11" s="35" t="str">
        <f>+'4. Procurement Plan'!I24</f>
        <v>20-1111c</v>
      </c>
      <c r="D11" s="36" t="s">
        <v>708</v>
      </c>
      <c r="E11" s="59" t="s">
        <v>578</v>
      </c>
      <c r="F11" s="391">
        <v>46428.57</v>
      </c>
      <c r="G11" s="289"/>
      <c r="H11" s="136">
        <v>43862</v>
      </c>
      <c r="I11" s="143">
        <v>43891</v>
      </c>
      <c r="J11" s="143" t="s">
        <v>712</v>
      </c>
      <c r="K11" s="61"/>
      <c r="L11" s="304"/>
      <c r="M11" s="304"/>
      <c r="N11" s="144"/>
      <c r="O11" s="61"/>
      <c r="P11" s="144"/>
      <c r="Q11" s="144"/>
      <c r="R11" s="144"/>
      <c r="S11" s="144"/>
      <c r="T11" s="144"/>
      <c r="U11" s="144"/>
      <c r="V11" s="32"/>
    </row>
    <row r="12" spans="1:22" s="19" customFormat="1" ht="35.25" customHeight="1">
      <c r="A12" s="1220" t="s">
        <v>936</v>
      </c>
      <c r="B12" s="624"/>
      <c r="C12" s="625" t="str">
        <f>+'4. Procurement Plan'!I75</f>
        <v>20-1111c</v>
      </c>
      <c r="D12" s="1216" t="s">
        <v>928</v>
      </c>
      <c r="E12" s="626" t="s">
        <v>929</v>
      </c>
      <c r="F12" s="391">
        <v>11428.57</v>
      </c>
      <c r="G12" s="289"/>
      <c r="H12" s="136">
        <v>43862</v>
      </c>
      <c r="I12" s="136">
        <v>43891</v>
      </c>
      <c r="J12" s="143" t="s">
        <v>931</v>
      </c>
      <c r="K12" s="627"/>
      <c r="L12" s="628"/>
      <c r="M12" s="628"/>
      <c r="N12" s="144"/>
      <c r="O12" s="627"/>
      <c r="P12" s="144"/>
      <c r="Q12" s="144"/>
      <c r="R12" s="144"/>
      <c r="S12" s="144"/>
      <c r="T12" s="144"/>
      <c r="U12" s="144"/>
      <c r="V12" s="32"/>
    </row>
    <row r="13" spans="1:22" s="19" customFormat="1" ht="45" customHeight="1">
      <c r="A13" s="1221"/>
      <c r="B13" s="624"/>
      <c r="C13" s="625" t="str">
        <f>+'4. Procurement Plan'!I25</f>
        <v>20-1111c</v>
      </c>
      <c r="D13" s="1217"/>
      <c r="E13" s="626" t="s">
        <v>930</v>
      </c>
      <c r="F13" s="391">
        <v>2857.14</v>
      </c>
      <c r="G13" s="289"/>
      <c r="H13" s="136">
        <v>43862</v>
      </c>
      <c r="I13" s="136">
        <v>43862</v>
      </c>
      <c r="J13" s="143" t="s">
        <v>931</v>
      </c>
      <c r="K13" s="627"/>
      <c r="L13" s="628"/>
      <c r="M13" s="627"/>
      <c r="N13" s="144"/>
      <c r="O13" s="627"/>
      <c r="P13" s="144"/>
      <c r="Q13" s="144"/>
      <c r="R13" s="144"/>
      <c r="S13" s="144"/>
      <c r="T13" s="144"/>
      <c r="U13" s="144"/>
      <c r="V13" s="32"/>
    </row>
    <row r="14" spans="1:22" s="19" customFormat="1" ht="24" customHeight="1">
      <c r="A14" s="1032"/>
      <c r="B14" s="1033"/>
      <c r="C14" s="1033"/>
      <c r="D14" s="1033"/>
      <c r="E14" s="1034"/>
      <c r="F14" s="392">
        <f>SUM(F10:F13)</f>
        <v>94999.99</v>
      </c>
      <c r="G14" s="306"/>
      <c r="H14" s="249"/>
      <c r="I14" s="249"/>
      <c r="J14" s="250"/>
      <c r="K14" s="37"/>
      <c r="L14" s="144"/>
      <c r="M14" s="144"/>
      <c r="N14" s="144"/>
      <c r="O14" s="144"/>
      <c r="P14" s="144"/>
      <c r="Q14" s="144"/>
      <c r="R14" s="144"/>
      <c r="S14" s="144"/>
      <c r="T14" s="144"/>
      <c r="U14" s="144"/>
      <c r="V14" s="32"/>
    </row>
    <row r="15" spans="1:22" s="19" customFormat="1" ht="51" customHeight="1">
      <c r="A15" s="1209" t="s">
        <v>763</v>
      </c>
      <c r="B15" s="29"/>
      <c r="C15" s="33"/>
      <c r="D15" s="63" t="s">
        <v>763</v>
      </c>
      <c r="E15" s="155" t="s">
        <v>301</v>
      </c>
      <c r="F15" s="393">
        <v>2892.86</v>
      </c>
      <c r="G15" s="307"/>
      <c r="H15" s="136">
        <v>43831</v>
      </c>
      <c r="I15" s="143">
        <v>43891</v>
      </c>
      <c r="J15" s="143" t="s">
        <v>711</v>
      </c>
      <c r="K15" s="148"/>
      <c r="L15" s="149"/>
      <c r="M15" s="149"/>
      <c r="N15" s="513"/>
      <c r="O15" s="513"/>
      <c r="P15" s="513"/>
      <c r="Q15" s="514"/>
      <c r="R15" s="513"/>
      <c r="S15" s="513"/>
      <c r="T15" s="144"/>
      <c r="U15" s="144"/>
      <c r="V15" s="32"/>
    </row>
    <row r="16" spans="1:22" s="19" customFormat="1" ht="51">
      <c r="A16" s="1209"/>
      <c r="B16" s="34"/>
      <c r="C16" s="35" t="str">
        <f>+'4. Procurement Plan'!I74</f>
        <v>20-1111c(ii)</v>
      </c>
      <c r="D16" s="63" t="s">
        <v>709</v>
      </c>
      <c r="E16" s="155" t="s">
        <v>302</v>
      </c>
      <c r="F16" s="393">
        <v>1157</v>
      </c>
      <c r="G16" s="307"/>
      <c r="H16" s="143">
        <v>43891</v>
      </c>
      <c r="I16" s="143">
        <v>43891</v>
      </c>
      <c r="J16" s="143" t="s">
        <v>711</v>
      </c>
      <c r="K16" s="37"/>
      <c r="L16" s="144"/>
      <c r="M16" s="149"/>
      <c r="N16" s="144"/>
      <c r="O16" s="144"/>
      <c r="P16" s="144"/>
      <c r="Q16" s="144"/>
      <c r="R16" s="144"/>
      <c r="S16" s="144"/>
      <c r="T16" s="144"/>
      <c r="U16" s="144"/>
      <c r="V16" s="32"/>
    </row>
    <row r="17" spans="1:22" s="19" customFormat="1" ht="12.75">
      <c r="A17" s="308"/>
      <c r="B17" s="251"/>
      <c r="C17" s="252"/>
      <c r="D17" s="1210" t="s">
        <v>560</v>
      </c>
      <c r="E17" s="1211"/>
      <c r="F17" s="394">
        <f>SUM(F15:F16)</f>
        <v>4049.86</v>
      </c>
      <c r="G17" s="306"/>
      <c r="H17" s="250"/>
      <c r="I17" s="250"/>
      <c r="J17" s="250"/>
      <c r="K17" s="37"/>
      <c r="L17" s="144"/>
      <c r="M17" s="144"/>
      <c r="N17" s="144"/>
      <c r="O17" s="144"/>
      <c r="P17" s="144"/>
      <c r="Q17" s="144"/>
      <c r="R17" s="144"/>
      <c r="S17" s="144"/>
      <c r="T17" s="144"/>
      <c r="U17" s="144"/>
      <c r="V17" s="32"/>
    </row>
    <row r="18" spans="1:22" s="19" customFormat="1" ht="12.75">
      <c r="A18" s="310"/>
      <c r="B18" s="34"/>
      <c r="C18" s="35"/>
      <c r="D18" s="63" t="s">
        <v>304</v>
      </c>
      <c r="E18" s="63" t="s">
        <v>305</v>
      </c>
      <c r="F18" s="395">
        <v>61359.6</v>
      </c>
      <c r="G18" s="309"/>
      <c r="H18" s="136">
        <v>43831</v>
      </c>
      <c r="I18" s="143">
        <v>43891</v>
      </c>
      <c r="J18" s="311" t="s">
        <v>710</v>
      </c>
      <c r="K18" s="148"/>
      <c r="L18" s="149"/>
      <c r="M18" s="149"/>
      <c r="N18" s="513"/>
      <c r="O18" s="513"/>
      <c r="P18" s="513"/>
      <c r="Q18" s="513"/>
      <c r="R18" s="513"/>
      <c r="S18" s="144"/>
      <c r="T18" s="144"/>
      <c r="U18" s="144"/>
      <c r="V18" s="32"/>
    </row>
    <row r="19" spans="1:22" s="19" customFormat="1" ht="39" customHeight="1" thickBot="1">
      <c r="A19" s="1212" t="s">
        <v>559</v>
      </c>
      <c r="B19" s="1213"/>
      <c r="C19" s="1213"/>
      <c r="D19" s="1213"/>
      <c r="E19" s="1214"/>
      <c r="F19" s="396">
        <f>+F18+F17+F14</f>
        <v>160409.45000000001</v>
      </c>
      <c r="G19" s="271"/>
      <c r="H19" s="271"/>
      <c r="I19" s="271"/>
      <c r="J19" s="271"/>
      <c r="K19" s="38"/>
      <c r="L19" s="39"/>
      <c r="M19" s="39"/>
      <c r="N19" s="39"/>
      <c r="O19" s="39"/>
      <c r="P19" s="39"/>
      <c r="Q19" s="39"/>
      <c r="R19" s="39"/>
      <c r="S19" s="39"/>
      <c r="T19" s="39"/>
      <c r="U19" s="39"/>
      <c r="V19" s="292"/>
    </row>
    <row r="20" spans="1:22" s="44" customFormat="1" ht="51" customHeight="1">
      <c r="A20" s="1207" t="s">
        <v>934</v>
      </c>
      <c r="B20" s="312">
        <v>1</v>
      </c>
      <c r="C20" s="40" t="str">
        <f>+'2. Results Matrix'!A14</f>
        <v>1.1.1.2</v>
      </c>
      <c r="D20" s="41"/>
      <c r="E20" s="41"/>
      <c r="F20" s="41"/>
      <c r="G20" s="41"/>
      <c r="H20" s="41"/>
      <c r="I20" s="41"/>
      <c r="J20" s="41"/>
      <c r="K20" s="42"/>
      <c r="L20" s="145"/>
      <c r="M20" s="145"/>
      <c r="N20" s="146"/>
      <c r="O20" s="146"/>
      <c r="P20" s="145"/>
      <c r="Q20" s="146"/>
      <c r="R20" s="147"/>
      <c r="S20" s="147"/>
      <c r="T20" s="147"/>
      <c r="U20" s="147"/>
      <c r="V20" s="43"/>
    </row>
    <row r="21" spans="1:22" s="44" customFormat="1" ht="30" customHeight="1">
      <c r="A21" s="1207"/>
      <c r="B21" s="45"/>
      <c r="C21" s="30"/>
      <c r="D21" s="313"/>
      <c r="E21" s="314"/>
      <c r="F21" s="314"/>
      <c r="G21" s="307"/>
      <c r="H21" s="315"/>
      <c r="I21" s="315"/>
      <c r="J21" s="61"/>
      <c r="K21" s="61"/>
      <c r="L21" s="61"/>
      <c r="M21" s="61"/>
      <c r="N21" s="61"/>
      <c r="O21" s="61"/>
      <c r="P21" s="61"/>
      <c r="Q21" s="61"/>
      <c r="R21" s="257"/>
      <c r="S21" s="257"/>
      <c r="T21" s="257"/>
      <c r="U21" s="257"/>
      <c r="V21" s="316"/>
    </row>
    <row r="22" spans="1:22" s="44" customFormat="1" ht="38.25" customHeight="1">
      <c r="A22" s="1207"/>
      <c r="B22" s="45"/>
      <c r="C22" s="33"/>
      <c r="D22" s="1106" t="s">
        <v>714</v>
      </c>
      <c r="E22" s="62" t="s">
        <v>932</v>
      </c>
      <c r="F22" s="224">
        <v>12319.29</v>
      </c>
      <c r="G22" s="307"/>
      <c r="H22" s="168">
        <v>43831</v>
      </c>
      <c r="I22" s="168">
        <v>43831</v>
      </c>
      <c r="J22" s="1218" t="s">
        <v>713</v>
      </c>
      <c r="K22" s="304"/>
      <c r="L22" s="61"/>
      <c r="M22" s="61"/>
      <c r="N22" s="61"/>
      <c r="O22" s="61"/>
      <c r="P22" s="61"/>
      <c r="Q22" s="61"/>
      <c r="R22" s="257"/>
      <c r="S22" s="257"/>
      <c r="T22" s="257"/>
      <c r="U22" s="257"/>
      <c r="V22" s="316"/>
    </row>
    <row r="23" spans="1:22" s="44" customFormat="1" ht="25.5">
      <c r="A23" s="1207"/>
      <c r="B23" s="45"/>
      <c r="C23" s="33"/>
      <c r="D23" s="1116"/>
      <c r="E23" s="62" t="s">
        <v>933</v>
      </c>
      <c r="F23" s="397">
        <v>8212.86</v>
      </c>
      <c r="G23" s="307"/>
      <c r="H23" s="136">
        <v>43862</v>
      </c>
      <c r="I23" s="136">
        <v>43862</v>
      </c>
      <c r="J23" s="1219"/>
      <c r="K23" s="61"/>
      <c r="L23" s="304"/>
      <c r="M23" s="61"/>
      <c r="N23" s="61"/>
      <c r="O23" s="61"/>
      <c r="P23" s="61"/>
      <c r="Q23" s="61"/>
      <c r="R23" s="257"/>
      <c r="S23" s="257"/>
      <c r="T23" s="257"/>
      <c r="U23" s="257"/>
      <c r="V23" s="316"/>
    </row>
    <row r="24" spans="1:22" s="44" customFormat="1" ht="33.75" customHeight="1">
      <c r="A24" s="1207"/>
      <c r="B24" s="45"/>
      <c r="C24" s="33"/>
      <c r="D24" s="1215" t="s">
        <v>935</v>
      </c>
      <c r="E24" s="155" t="s">
        <v>764</v>
      </c>
      <c r="F24" s="629">
        <v>128571.43</v>
      </c>
      <c r="G24" s="309"/>
      <c r="H24" s="168">
        <v>43831</v>
      </c>
      <c r="I24" s="136">
        <v>43891</v>
      </c>
      <c r="J24" s="1218" t="s">
        <v>713</v>
      </c>
      <c r="K24" s="304"/>
      <c r="L24" s="304"/>
      <c r="M24" s="304"/>
      <c r="N24" s="61"/>
      <c r="O24" s="61"/>
      <c r="P24" s="61"/>
      <c r="Q24" s="61"/>
      <c r="R24" s="61"/>
      <c r="S24" s="257"/>
      <c r="T24" s="257"/>
      <c r="U24" s="257"/>
      <c r="V24" s="316"/>
    </row>
    <row r="25" spans="1:22" s="44" customFormat="1" ht="34.5" customHeight="1">
      <c r="A25" s="1207"/>
      <c r="B25" s="45"/>
      <c r="C25" s="33" t="str">
        <f>+'4. Procurement Plan'!I26</f>
        <v>19-1112b(ii)</v>
      </c>
      <c r="D25" s="1215"/>
      <c r="E25" s="155" t="s">
        <v>765</v>
      </c>
      <c r="F25" s="397">
        <v>42857.14</v>
      </c>
      <c r="G25" s="309"/>
      <c r="H25" s="168">
        <v>43831</v>
      </c>
      <c r="I25" s="136">
        <v>43862</v>
      </c>
      <c r="J25" s="1219"/>
      <c r="K25" s="304"/>
      <c r="L25" s="304"/>
      <c r="M25" s="61"/>
      <c r="N25" s="61"/>
      <c r="O25" s="61"/>
      <c r="P25" s="61"/>
      <c r="Q25" s="61"/>
      <c r="R25" s="61"/>
      <c r="S25" s="61"/>
      <c r="T25" s="257"/>
      <c r="U25" s="257"/>
      <c r="V25" s="316"/>
    </row>
    <row r="26" spans="1:22" s="44" customFormat="1" ht="25.5">
      <c r="A26" s="1207"/>
      <c r="B26" s="45"/>
      <c r="C26" s="33" t="str">
        <f>+'4. Procurement Plan'!I76</f>
        <v>19-1112b(ii)</v>
      </c>
      <c r="D26" s="1215"/>
      <c r="E26" s="155" t="s">
        <v>766</v>
      </c>
      <c r="F26" s="397">
        <v>1071.43</v>
      </c>
      <c r="G26" s="309"/>
      <c r="H26" s="136">
        <v>43862</v>
      </c>
      <c r="I26" s="136">
        <v>43862</v>
      </c>
      <c r="J26" s="1218" t="s">
        <v>713</v>
      </c>
      <c r="K26" s="61"/>
      <c r="L26" s="304"/>
      <c r="M26" s="61"/>
      <c r="N26" s="61"/>
      <c r="O26" s="61"/>
      <c r="P26" s="61"/>
      <c r="Q26" s="61"/>
      <c r="R26" s="61"/>
      <c r="S26" s="61"/>
      <c r="T26" s="257"/>
      <c r="U26" s="257"/>
      <c r="V26" s="316"/>
    </row>
    <row r="27" spans="1:22" s="44" customFormat="1" ht="25.5">
      <c r="A27" s="1207"/>
      <c r="B27" s="45"/>
      <c r="C27" s="33" t="e">
        <f>+'4. Procurement Plan'!#REF!</f>
        <v>#REF!</v>
      </c>
      <c r="D27" s="1215"/>
      <c r="E27" s="155" t="s">
        <v>767</v>
      </c>
      <c r="F27" s="397">
        <v>4285.71</v>
      </c>
      <c r="G27" s="309"/>
      <c r="H27" s="136">
        <v>43862</v>
      </c>
      <c r="I27" s="136">
        <v>43862</v>
      </c>
      <c r="J27" s="1219"/>
      <c r="K27" s="61"/>
      <c r="L27" s="304"/>
      <c r="M27" s="61"/>
      <c r="N27" s="61"/>
      <c r="O27" s="61"/>
      <c r="P27" s="61"/>
      <c r="Q27" s="61"/>
      <c r="R27" s="61"/>
      <c r="S27" s="61"/>
      <c r="T27" s="257"/>
      <c r="U27" s="257"/>
      <c r="V27" s="316"/>
    </row>
    <row r="28" spans="1:22" s="44" customFormat="1" ht="25.5">
      <c r="A28" s="59" t="s">
        <v>939</v>
      </c>
      <c r="B28" s="630"/>
      <c r="C28" s="631"/>
      <c r="D28" s="59" t="s">
        <v>937</v>
      </c>
      <c r="E28" s="56" t="s">
        <v>938</v>
      </c>
      <c r="F28" s="632">
        <v>1071.43</v>
      </c>
      <c r="G28" s="633"/>
      <c r="H28" s="168">
        <v>43831</v>
      </c>
      <c r="I28" s="136">
        <v>43891</v>
      </c>
      <c r="J28" s="1219"/>
      <c r="K28" s="257"/>
      <c r="L28" s="317"/>
      <c r="M28" s="257"/>
      <c r="N28" s="257"/>
      <c r="O28" s="257"/>
      <c r="P28" s="257"/>
      <c r="Q28" s="257"/>
      <c r="R28" s="257"/>
      <c r="S28" s="257"/>
      <c r="T28" s="257"/>
      <c r="U28" s="257"/>
      <c r="V28" s="320"/>
    </row>
    <row r="29" spans="1:22" s="44" customFormat="1" ht="15.75" customHeight="1">
      <c r="A29" s="1236" t="s">
        <v>561</v>
      </c>
      <c r="B29" s="1237"/>
      <c r="C29" s="1237"/>
      <c r="D29" s="1237"/>
      <c r="E29" s="1238"/>
      <c r="F29" s="398">
        <f>SUM(F22:F28)</f>
        <v>198389.28999999995</v>
      </c>
      <c r="G29" s="318"/>
      <c r="H29" s="269"/>
      <c r="I29" s="269"/>
      <c r="J29" s="319"/>
      <c r="K29" s="257"/>
      <c r="L29" s="257"/>
      <c r="M29" s="257"/>
      <c r="N29" s="257"/>
      <c r="O29" s="257"/>
      <c r="P29" s="257"/>
      <c r="Q29" s="257"/>
      <c r="R29" s="257"/>
      <c r="S29" s="257"/>
      <c r="T29" s="257"/>
      <c r="U29" s="257"/>
      <c r="V29" s="320"/>
    </row>
    <row r="30" spans="1:22" s="44" customFormat="1" ht="57.75" customHeight="1">
      <c r="A30" s="1239" t="s">
        <v>762</v>
      </c>
      <c r="B30" s="321">
        <v>1</v>
      </c>
      <c r="C30" s="253" t="str">
        <f>+'2. Results Matrix'!A16</f>
        <v>1.1.1.3</v>
      </c>
      <c r="D30" s="25"/>
      <c r="E30" s="25"/>
      <c r="F30" s="25"/>
      <c r="G30" s="25"/>
      <c r="H30" s="25"/>
      <c r="I30" s="25"/>
      <c r="J30" s="25"/>
      <c r="K30" s="26"/>
      <c r="L30" s="26"/>
      <c r="M30" s="26"/>
      <c r="N30" s="26"/>
      <c r="O30" s="26"/>
      <c r="P30" s="26"/>
      <c r="Q30" s="26"/>
      <c r="R30" s="26"/>
      <c r="S30" s="26"/>
      <c r="T30" s="26"/>
      <c r="U30" s="26"/>
      <c r="V30" s="26"/>
    </row>
    <row r="31" spans="1:22" s="44" customFormat="1" ht="63.75">
      <c r="A31" s="1240"/>
      <c r="B31" s="45"/>
      <c r="C31" s="254">
        <v>1113</v>
      </c>
      <c r="D31" s="322" t="s">
        <v>762</v>
      </c>
      <c r="E31" s="323"/>
      <c r="F31" s="323"/>
      <c r="G31" s="323"/>
      <c r="H31" s="324"/>
      <c r="I31" s="324"/>
      <c r="J31" s="324"/>
      <c r="K31" s="257"/>
      <c r="L31" s="257"/>
      <c r="M31" s="257"/>
      <c r="N31" s="257"/>
      <c r="O31" s="257"/>
      <c r="P31" s="257"/>
      <c r="Q31" s="257"/>
      <c r="R31" s="257"/>
      <c r="S31" s="257"/>
      <c r="T31" s="257"/>
      <c r="U31" s="257"/>
      <c r="V31" s="316"/>
    </row>
    <row r="32" spans="1:22" s="44" customFormat="1" ht="25.5" customHeight="1">
      <c r="A32" s="1240"/>
      <c r="B32" s="45"/>
      <c r="C32" s="33"/>
      <c r="D32" s="1106" t="s">
        <v>579</v>
      </c>
      <c r="E32" s="59" t="s">
        <v>333</v>
      </c>
      <c r="F32" s="399">
        <v>43442.86</v>
      </c>
      <c r="G32" s="178"/>
      <c r="H32" s="136">
        <v>43831</v>
      </c>
      <c r="I32" s="136">
        <v>43831</v>
      </c>
      <c r="J32" s="159" t="s">
        <v>715</v>
      </c>
      <c r="K32" s="317"/>
      <c r="L32" s="257"/>
      <c r="M32" s="257"/>
      <c r="N32" s="257"/>
      <c r="O32" s="257"/>
      <c r="P32" s="257"/>
      <c r="Q32" s="257"/>
      <c r="R32" s="257"/>
      <c r="S32" s="257"/>
      <c r="T32" s="257"/>
      <c r="U32" s="257"/>
      <c r="V32" s="316"/>
    </row>
    <row r="33" spans="1:22" s="44" customFormat="1" ht="38.25">
      <c r="A33" s="1240"/>
      <c r="B33" s="45"/>
      <c r="C33" s="33" t="str">
        <f>+'4. Procurement Plan'!I113</f>
        <v>19-1113a (i)</v>
      </c>
      <c r="D33" s="1116"/>
      <c r="E33" s="59" t="s">
        <v>941</v>
      </c>
      <c r="F33" s="399">
        <v>78232.14</v>
      </c>
      <c r="G33" s="178"/>
      <c r="H33" s="136">
        <v>43862</v>
      </c>
      <c r="I33" s="136">
        <v>43862</v>
      </c>
      <c r="J33" s="159" t="s">
        <v>715</v>
      </c>
      <c r="K33" s="257"/>
      <c r="L33" s="317"/>
      <c r="M33" s="257"/>
      <c r="N33" s="257"/>
      <c r="O33" s="257"/>
      <c r="P33" s="257"/>
      <c r="Q33" s="257"/>
      <c r="R33" s="257"/>
      <c r="S33" s="257"/>
      <c r="T33" s="257"/>
      <c r="U33" s="257"/>
      <c r="V33" s="316"/>
    </row>
    <row r="34" spans="1:22" s="44" customFormat="1" ht="38.25">
      <c r="A34" s="1240"/>
      <c r="B34" s="45"/>
      <c r="C34" s="33"/>
      <c r="D34" s="1107"/>
      <c r="E34" s="59" t="s">
        <v>940</v>
      </c>
      <c r="F34" s="399">
        <v>78232.14</v>
      </c>
      <c r="G34" s="178"/>
      <c r="H34" s="136">
        <v>43891</v>
      </c>
      <c r="I34" s="136">
        <v>43891</v>
      </c>
      <c r="J34" s="159" t="s">
        <v>715</v>
      </c>
      <c r="K34" s="257"/>
      <c r="L34" s="257"/>
      <c r="M34" s="317"/>
      <c r="N34" s="257"/>
      <c r="O34" s="257"/>
      <c r="P34" s="257"/>
      <c r="Q34" s="257"/>
      <c r="R34" s="257"/>
      <c r="S34" s="257"/>
      <c r="T34" s="257"/>
      <c r="U34" s="257"/>
      <c r="V34" s="316"/>
    </row>
    <row r="35" spans="1:22" s="44" customFormat="1" ht="38.25">
      <c r="A35" s="1240"/>
      <c r="B35" s="45"/>
      <c r="C35" s="33"/>
      <c r="D35" s="1106" t="s">
        <v>335</v>
      </c>
      <c r="E35" s="59" t="s">
        <v>334</v>
      </c>
      <c r="F35" s="400">
        <v>45841.99</v>
      </c>
      <c r="G35" s="178"/>
      <c r="H35" s="136">
        <v>43831</v>
      </c>
      <c r="I35" s="136">
        <v>43831</v>
      </c>
      <c r="J35" s="159" t="s">
        <v>336</v>
      </c>
      <c r="K35" s="317"/>
      <c r="L35" s="257"/>
      <c r="M35" s="257"/>
      <c r="N35" s="257"/>
      <c r="O35" s="257"/>
      <c r="P35" s="257"/>
      <c r="Q35" s="257"/>
      <c r="R35" s="257"/>
      <c r="S35" s="257"/>
      <c r="T35" s="257"/>
      <c r="U35" s="257"/>
      <c r="V35" s="316"/>
    </row>
    <row r="36" spans="1:22" s="44" customFormat="1" ht="38.25">
      <c r="A36" s="1240"/>
      <c r="B36" s="45"/>
      <c r="C36" s="33" t="str">
        <f>+'4. Procurement Plan'!I114</f>
        <v>19-1113a(ii)</v>
      </c>
      <c r="D36" s="1116"/>
      <c r="E36" s="59" t="s">
        <v>941</v>
      </c>
      <c r="F36" s="399">
        <v>78707.16</v>
      </c>
      <c r="G36" s="178"/>
      <c r="H36" s="136">
        <v>43862</v>
      </c>
      <c r="I36" s="136">
        <v>43862</v>
      </c>
      <c r="J36" s="159" t="s">
        <v>716</v>
      </c>
      <c r="K36" s="257"/>
      <c r="L36" s="317"/>
      <c r="M36" s="257"/>
      <c r="N36" s="257"/>
      <c r="O36" s="257"/>
      <c r="P36" s="257"/>
      <c r="Q36" s="257"/>
      <c r="R36" s="257"/>
      <c r="S36" s="257"/>
      <c r="T36" s="257"/>
      <c r="U36" s="257"/>
      <c r="V36" s="316"/>
    </row>
    <row r="37" spans="1:22" s="44" customFormat="1" ht="38.25">
      <c r="A37" s="1240"/>
      <c r="B37" s="45"/>
      <c r="C37" s="33"/>
      <c r="D37" s="1116"/>
      <c r="E37" s="59" t="s">
        <v>333</v>
      </c>
      <c r="F37" s="399">
        <v>78707.23</v>
      </c>
      <c r="G37" s="178"/>
      <c r="H37" s="136">
        <v>43891</v>
      </c>
      <c r="I37" s="136">
        <v>43891</v>
      </c>
      <c r="J37" s="159" t="s">
        <v>716</v>
      </c>
      <c r="K37" s="257"/>
      <c r="L37" s="257"/>
      <c r="M37" s="317"/>
      <c r="N37" s="257"/>
      <c r="O37" s="257"/>
      <c r="P37" s="257"/>
      <c r="Q37" s="257"/>
      <c r="R37" s="257"/>
      <c r="S37" s="257"/>
      <c r="T37" s="257"/>
      <c r="U37" s="257"/>
      <c r="V37" s="316"/>
    </row>
    <row r="38" spans="1:22" s="44" customFormat="1" ht="16.5" thickBot="1">
      <c r="A38" s="1246" t="s">
        <v>562</v>
      </c>
      <c r="B38" s="1246"/>
      <c r="C38" s="1246"/>
      <c r="D38" s="1246"/>
      <c r="E38" s="1247"/>
      <c r="F38" s="401">
        <f>SUM(F32:F37)</f>
        <v>403163.52</v>
      </c>
      <c r="G38" s="325"/>
      <c r="H38" s="326"/>
      <c r="I38" s="326"/>
      <c r="J38" s="326"/>
      <c r="K38" s="327"/>
      <c r="L38" s="327"/>
      <c r="M38" s="327"/>
      <c r="N38" s="327"/>
      <c r="O38" s="327"/>
      <c r="P38" s="327"/>
      <c r="Q38" s="327"/>
      <c r="R38" s="327"/>
      <c r="S38" s="327"/>
      <c r="T38" s="327"/>
      <c r="U38" s="327"/>
      <c r="V38" s="328"/>
    </row>
    <row r="39" spans="1:22" s="44" customFormat="1" ht="63.75" customHeight="1">
      <c r="A39" s="61"/>
      <c r="B39" s="321">
        <v>1</v>
      </c>
      <c r="C39" s="157" t="str">
        <f>+'2. Results Matrix'!A23</f>
        <v>1.1.1.5</v>
      </c>
      <c r="D39" s="158"/>
      <c r="E39" s="158"/>
      <c r="F39" s="402"/>
      <c r="G39" s="158"/>
      <c r="H39" s="158"/>
      <c r="I39" s="158"/>
      <c r="J39" s="158"/>
      <c r="K39" s="26"/>
      <c r="L39" s="27"/>
      <c r="M39" s="27"/>
      <c r="N39" s="27"/>
      <c r="O39" s="27"/>
      <c r="P39" s="27"/>
      <c r="Q39" s="27"/>
      <c r="R39" s="27"/>
      <c r="S39" s="27"/>
      <c r="T39" s="27"/>
      <c r="U39" s="27"/>
      <c r="V39" s="43"/>
    </row>
    <row r="40" spans="1:22" s="44" customFormat="1" ht="36" customHeight="1">
      <c r="A40" s="61"/>
      <c r="B40" s="45"/>
      <c r="C40" s="33" t="str">
        <f>+'4. Procurement Plan'!I32</f>
        <v xml:space="preserve">20-1115 a </v>
      </c>
      <c r="D40" s="1054" t="s">
        <v>769</v>
      </c>
      <c r="E40" s="156"/>
      <c r="F40" s="405"/>
      <c r="G40" s="178"/>
      <c r="H40" s="136"/>
      <c r="I40" s="136"/>
      <c r="J40" s="143" t="s">
        <v>717</v>
      </c>
      <c r="K40" s="257"/>
      <c r="L40" s="257"/>
      <c r="M40" s="257"/>
      <c r="N40" s="257"/>
      <c r="O40" s="257"/>
      <c r="P40" s="257"/>
      <c r="Q40" s="257"/>
      <c r="R40" s="257"/>
      <c r="S40" s="257"/>
      <c r="T40" s="257"/>
      <c r="U40" s="257"/>
      <c r="V40" s="316"/>
    </row>
    <row r="41" spans="1:22" s="44" customFormat="1" ht="36" customHeight="1">
      <c r="A41" s="61"/>
      <c r="B41" s="45"/>
      <c r="C41" s="33"/>
      <c r="D41" s="1054"/>
      <c r="E41" s="515" t="s">
        <v>768</v>
      </c>
      <c r="F41" s="405">
        <v>42857.14</v>
      </c>
      <c r="G41" s="178"/>
      <c r="H41" s="136">
        <v>43831</v>
      </c>
      <c r="I41" s="136">
        <v>43891</v>
      </c>
      <c r="J41" s="143" t="s">
        <v>717</v>
      </c>
      <c r="K41" s="317"/>
      <c r="L41" s="317"/>
      <c r="M41" s="317"/>
      <c r="N41" s="257"/>
      <c r="O41" s="257"/>
      <c r="P41" s="257"/>
      <c r="Q41" s="257"/>
      <c r="R41" s="257"/>
      <c r="S41" s="257"/>
      <c r="T41" s="257"/>
      <c r="U41" s="257"/>
      <c r="V41" s="316"/>
    </row>
    <row r="42" spans="1:22" s="44" customFormat="1" ht="15.75" customHeight="1">
      <c r="A42" s="61"/>
      <c r="B42" s="1188" t="s">
        <v>563</v>
      </c>
      <c r="C42" s="1241"/>
      <c r="D42" s="1241"/>
      <c r="E42" s="1242"/>
      <c r="F42" s="406">
        <f>SUM(F40:F41)</f>
        <v>42857.14</v>
      </c>
      <c r="G42" s="325"/>
      <c r="H42" s="249"/>
      <c r="I42" s="249"/>
      <c r="J42" s="250"/>
      <c r="K42" s="257"/>
      <c r="L42" s="257"/>
      <c r="M42" s="257"/>
      <c r="N42" s="257"/>
      <c r="O42" s="257"/>
      <c r="P42" s="257"/>
      <c r="Q42" s="257"/>
      <c r="R42" s="257"/>
      <c r="S42" s="257"/>
      <c r="T42" s="257"/>
      <c r="U42" s="257"/>
      <c r="V42" s="316"/>
    </row>
    <row r="43" spans="1:22" s="44" customFormat="1" ht="25.5">
      <c r="A43" s="1250" t="s">
        <v>942</v>
      </c>
      <c r="B43" s="45"/>
      <c r="C43" s="33" t="str">
        <f>+'4. Procurement Plan'!I81</f>
        <v>20-1115a(xi)</v>
      </c>
      <c r="D43" s="155" t="s">
        <v>770</v>
      </c>
      <c r="E43" s="155" t="s">
        <v>945</v>
      </c>
      <c r="F43" s="403">
        <v>3571.43</v>
      </c>
      <c r="G43" s="178"/>
      <c r="H43" s="143">
        <v>43831</v>
      </c>
      <c r="I43" s="136">
        <v>43891</v>
      </c>
      <c r="J43" s="143" t="s">
        <v>951</v>
      </c>
      <c r="K43" s="317"/>
      <c r="L43" s="317"/>
      <c r="M43" s="317"/>
      <c r="N43" s="257"/>
      <c r="O43" s="257"/>
      <c r="P43" s="257"/>
      <c r="Q43" s="257"/>
      <c r="R43" s="257"/>
      <c r="S43" s="257"/>
      <c r="T43" s="257"/>
      <c r="U43" s="257"/>
      <c r="V43" s="257"/>
    </row>
    <row r="44" spans="1:22" s="44" customFormat="1" ht="25.5">
      <c r="A44" s="1251"/>
      <c r="B44" s="45"/>
      <c r="C44" s="33" t="str">
        <f>+'4. Procurement Plan'!I77</f>
        <v>20-1115a(vii)</v>
      </c>
      <c r="D44" s="63"/>
      <c r="E44" s="155" t="s">
        <v>946</v>
      </c>
      <c r="F44" s="403">
        <v>6428.57</v>
      </c>
      <c r="G44" s="178"/>
      <c r="H44" s="143">
        <v>43831</v>
      </c>
      <c r="I44" s="136">
        <v>43891</v>
      </c>
      <c r="J44" s="143" t="s">
        <v>951</v>
      </c>
      <c r="K44" s="317"/>
      <c r="L44" s="317"/>
      <c r="M44" s="317"/>
      <c r="N44" s="257"/>
      <c r="O44" s="257"/>
      <c r="P44" s="257"/>
      <c r="Q44" s="257"/>
      <c r="R44" s="257"/>
      <c r="S44" s="257"/>
      <c r="T44" s="257"/>
      <c r="U44" s="257"/>
      <c r="V44" s="320"/>
    </row>
    <row r="45" spans="1:22" s="44" customFormat="1" ht="25.5">
      <c r="A45" s="1251"/>
      <c r="B45" s="45"/>
      <c r="C45" s="33" t="str">
        <f>+'4. Procurement Plan'!I78</f>
        <v>20-1115a(viii)</v>
      </c>
      <c r="D45" s="63"/>
      <c r="E45" s="155" t="s">
        <v>947</v>
      </c>
      <c r="F45" s="403">
        <v>5714.29</v>
      </c>
      <c r="G45" s="178"/>
      <c r="H45" s="143">
        <v>43831</v>
      </c>
      <c r="I45" s="136">
        <v>43891</v>
      </c>
      <c r="J45" s="143" t="s">
        <v>951</v>
      </c>
      <c r="K45" s="317"/>
      <c r="L45" s="317"/>
      <c r="M45" s="317"/>
      <c r="N45" s="257"/>
      <c r="O45" s="257"/>
      <c r="P45" s="257"/>
      <c r="Q45" s="257"/>
      <c r="R45" s="257"/>
      <c r="S45" s="257"/>
      <c r="T45" s="257"/>
      <c r="U45" s="257"/>
      <c r="V45" s="320"/>
    </row>
    <row r="46" spans="1:22" s="44" customFormat="1" ht="25.5">
      <c r="A46" s="1251"/>
      <c r="B46" s="45"/>
      <c r="C46" s="33" t="str">
        <f>+C67</f>
        <v>20-1115a(iv)</v>
      </c>
      <c r="D46" s="63"/>
      <c r="E46" s="155" t="s">
        <v>948</v>
      </c>
      <c r="F46" s="876">
        <v>2857.14</v>
      </c>
      <c r="G46" s="178"/>
      <c r="H46" s="143">
        <v>43831</v>
      </c>
      <c r="I46" s="136">
        <v>43891</v>
      </c>
      <c r="J46" s="143" t="s">
        <v>951</v>
      </c>
      <c r="K46" s="317"/>
      <c r="L46" s="317"/>
      <c r="M46" s="317"/>
      <c r="N46" s="257"/>
      <c r="O46" s="257"/>
      <c r="P46" s="257"/>
      <c r="Q46" s="257"/>
      <c r="R46" s="257"/>
      <c r="S46" s="257"/>
      <c r="T46" s="257"/>
      <c r="U46" s="257"/>
      <c r="V46" s="320"/>
    </row>
    <row r="47" spans="1:22" s="44" customFormat="1" ht="25.5">
      <c r="A47" s="1252"/>
      <c r="B47" s="45"/>
      <c r="C47" s="33" t="str">
        <f>+'4. Procurement Plan'!I29</f>
        <v>20-1115b(iv)</v>
      </c>
      <c r="D47" s="63"/>
      <c r="E47" s="155" t="s">
        <v>949</v>
      </c>
      <c r="F47" s="403">
        <v>2857.14</v>
      </c>
      <c r="G47" s="178"/>
      <c r="H47" s="143">
        <v>43831</v>
      </c>
      <c r="I47" s="136">
        <v>43891</v>
      </c>
      <c r="J47" s="143" t="s">
        <v>951</v>
      </c>
      <c r="K47" s="317"/>
      <c r="L47" s="317"/>
      <c r="M47" s="317"/>
      <c r="N47" s="257"/>
      <c r="O47" s="257"/>
      <c r="P47" s="257"/>
      <c r="Q47" s="257"/>
      <c r="R47" s="257"/>
      <c r="S47" s="257"/>
      <c r="T47" s="257"/>
      <c r="U47" s="257"/>
      <c r="V47" s="320"/>
    </row>
    <row r="48" spans="1:22" s="44" customFormat="1">
      <c r="A48" s="61"/>
      <c r="B48" s="1188" t="s">
        <v>952</v>
      </c>
      <c r="C48" s="1241"/>
      <c r="D48" s="1241"/>
      <c r="E48" s="1242"/>
      <c r="F48" s="401">
        <f>SUM(F43:F47)</f>
        <v>21428.57</v>
      </c>
      <c r="G48" s="325"/>
      <c r="H48" s="325"/>
      <c r="I48" s="325"/>
      <c r="J48" s="325"/>
      <c r="K48" s="257"/>
      <c r="L48" s="257"/>
      <c r="M48" s="257"/>
      <c r="N48" s="257"/>
      <c r="O48" s="257"/>
      <c r="P48" s="257"/>
      <c r="Q48" s="257"/>
      <c r="R48" s="257"/>
      <c r="S48" s="257"/>
      <c r="T48" s="257"/>
      <c r="U48" s="257"/>
      <c r="V48" s="320"/>
    </row>
    <row r="49" spans="1:22" s="44" customFormat="1" ht="51">
      <c r="A49" s="1250" t="s">
        <v>950</v>
      </c>
      <c r="B49" s="45"/>
      <c r="C49" s="33" t="str">
        <f>+'4. Procurement Plan'!I28</f>
        <v>20-1115a(i)</v>
      </c>
      <c r="D49" s="1106" t="s">
        <v>950</v>
      </c>
      <c r="E49" s="155" t="s">
        <v>342</v>
      </c>
      <c r="F49" s="403"/>
      <c r="G49" s="178"/>
      <c r="H49" s="143"/>
      <c r="I49" s="143"/>
      <c r="J49" s="143" t="s">
        <v>718</v>
      </c>
      <c r="K49" s="257"/>
      <c r="L49" s="257"/>
      <c r="M49" s="257"/>
      <c r="N49" s="257"/>
      <c r="O49" s="257"/>
      <c r="P49" s="257"/>
      <c r="Q49" s="257"/>
      <c r="R49" s="257"/>
      <c r="S49" s="257"/>
      <c r="T49" s="257"/>
      <c r="U49" s="257"/>
      <c r="V49" s="316"/>
    </row>
    <row r="50" spans="1:22" s="44" customFormat="1" ht="25.5">
      <c r="A50" s="1252"/>
      <c r="B50" s="45"/>
      <c r="C50" s="33"/>
      <c r="D50" s="1107"/>
      <c r="E50" s="155" t="s">
        <v>337</v>
      </c>
      <c r="F50" s="403">
        <v>22857.14</v>
      </c>
      <c r="G50" s="178"/>
      <c r="H50" s="143">
        <v>43831</v>
      </c>
      <c r="I50" s="143">
        <v>43891</v>
      </c>
      <c r="J50" s="143" t="s">
        <v>718</v>
      </c>
      <c r="K50" s="317"/>
      <c r="L50" s="317"/>
      <c r="M50" s="317"/>
      <c r="N50" s="257"/>
      <c r="O50" s="257"/>
      <c r="P50" s="257"/>
      <c r="Q50" s="257"/>
      <c r="R50" s="257"/>
      <c r="S50" s="257"/>
      <c r="T50" s="257"/>
      <c r="U50" s="257"/>
      <c r="V50" s="316"/>
    </row>
    <row r="51" spans="1:22" s="44" customFormat="1" ht="63.75" customHeight="1">
      <c r="A51" s="1209" t="s">
        <v>954</v>
      </c>
      <c r="B51" s="45"/>
      <c r="C51" s="33"/>
      <c r="D51" s="1106" t="s">
        <v>953</v>
      </c>
      <c r="E51" s="155" t="s">
        <v>338</v>
      </c>
      <c r="F51" s="403"/>
      <c r="G51" s="178"/>
      <c r="H51" s="143">
        <v>43831</v>
      </c>
      <c r="I51" s="143">
        <v>43891</v>
      </c>
      <c r="J51" s="143" t="s">
        <v>340</v>
      </c>
      <c r="K51" s="317"/>
      <c r="L51" s="317"/>
      <c r="M51" s="317"/>
      <c r="N51" s="257"/>
      <c r="O51" s="257"/>
      <c r="P51" s="257"/>
      <c r="Q51" s="257"/>
      <c r="R51" s="257"/>
      <c r="S51" s="257"/>
      <c r="T51" s="257"/>
      <c r="U51" s="257"/>
      <c r="V51" s="316"/>
    </row>
    <row r="52" spans="1:22" s="44" customFormat="1" ht="39.75" customHeight="1">
      <c r="A52" s="1209"/>
      <c r="B52" s="45"/>
      <c r="C52" s="33" t="e">
        <f>+'4. Procurement Plan'!#REF!</f>
        <v>#REF!</v>
      </c>
      <c r="D52" s="1107"/>
      <c r="E52" s="155" t="s">
        <v>339</v>
      </c>
      <c r="F52" s="403">
        <v>3571.43</v>
      </c>
      <c r="G52" s="178"/>
      <c r="H52" s="143">
        <v>43831</v>
      </c>
      <c r="I52" s="143">
        <v>43891</v>
      </c>
      <c r="J52" s="143" t="s">
        <v>303</v>
      </c>
      <c r="K52" s="317"/>
      <c r="L52" s="317"/>
      <c r="M52" s="317"/>
      <c r="N52" s="381"/>
      <c r="O52" s="257"/>
      <c r="P52" s="257"/>
      <c r="Q52" s="257"/>
      <c r="R52" s="257"/>
      <c r="S52" s="257"/>
      <c r="T52" s="257"/>
      <c r="U52" s="257"/>
      <c r="V52" s="316"/>
    </row>
    <row r="53" spans="1:22" s="44" customFormat="1" ht="25.5">
      <c r="A53" s="61" t="s">
        <v>943</v>
      </c>
      <c r="B53" s="45"/>
      <c r="C53" s="33" t="e">
        <f>+'4. Procurement Plan'!#REF!</f>
        <v>#REF!</v>
      </c>
      <c r="D53" s="180" t="s">
        <v>944</v>
      </c>
      <c r="E53" s="155" t="s">
        <v>341</v>
      </c>
      <c r="F53" s="403">
        <v>5714.29</v>
      </c>
      <c r="G53" s="178"/>
      <c r="H53" s="143">
        <v>43862</v>
      </c>
      <c r="I53" s="143">
        <v>43862</v>
      </c>
      <c r="J53" s="143" t="s">
        <v>718</v>
      </c>
      <c r="K53" s="257"/>
      <c r="L53" s="317"/>
      <c r="M53" s="257"/>
      <c r="N53" s="257"/>
      <c r="O53" s="257"/>
      <c r="P53" s="257"/>
      <c r="Q53" s="257"/>
      <c r="R53" s="257"/>
      <c r="S53" s="257"/>
      <c r="T53" s="257"/>
      <c r="U53" s="257"/>
      <c r="V53" s="316"/>
    </row>
    <row r="54" spans="1:22" s="44" customFormat="1">
      <c r="A54" s="61"/>
      <c r="B54" s="1188" t="s">
        <v>955</v>
      </c>
      <c r="C54" s="1189"/>
      <c r="D54" s="1189"/>
      <c r="E54" s="1190"/>
      <c r="F54" s="404">
        <f>SUM(F48:F53)</f>
        <v>53571.43</v>
      </c>
      <c r="G54" s="325"/>
      <c r="H54" s="250"/>
      <c r="I54" s="250"/>
      <c r="J54" s="250"/>
      <c r="K54" s="257"/>
      <c r="L54" s="257"/>
      <c r="M54" s="257"/>
      <c r="N54" s="257"/>
      <c r="O54" s="257"/>
      <c r="P54" s="257"/>
      <c r="Q54" s="257"/>
      <c r="R54" s="257"/>
      <c r="S54" s="257"/>
      <c r="T54" s="257"/>
      <c r="U54" s="257"/>
      <c r="V54" s="316"/>
    </row>
    <row r="55" spans="1:22" s="44" customFormat="1" ht="38.25" customHeight="1">
      <c r="A55" s="1171" t="s">
        <v>975</v>
      </c>
      <c r="B55" s="45"/>
      <c r="C55" s="33" t="str">
        <f>+'4. Procurement Plan'!I30</f>
        <v>20-1115b(v)</v>
      </c>
      <c r="D55" s="1106" t="s">
        <v>343</v>
      </c>
      <c r="E55" s="155" t="s">
        <v>956</v>
      </c>
      <c r="F55" s="403">
        <v>25000</v>
      </c>
      <c r="G55" s="178"/>
      <c r="H55" s="143">
        <v>43831</v>
      </c>
      <c r="I55" s="143">
        <v>43891</v>
      </c>
      <c r="J55" s="155" t="s">
        <v>974</v>
      </c>
      <c r="K55" s="317"/>
      <c r="L55" s="317"/>
      <c r="M55" s="317"/>
      <c r="N55" s="257"/>
      <c r="O55" s="257"/>
      <c r="P55" s="257"/>
      <c r="Q55" s="257"/>
      <c r="R55" s="257"/>
      <c r="S55" s="257"/>
      <c r="T55" s="257"/>
      <c r="U55" s="257"/>
      <c r="V55" s="257"/>
    </row>
    <row r="56" spans="1:22" s="44" customFormat="1" ht="25.5">
      <c r="A56" s="1172"/>
      <c r="B56" s="45"/>
      <c r="C56" s="33" t="str">
        <f>+'4. Procurement Plan'!I31</f>
        <v>20-1115b(vi)</v>
      </c>
      <c r="D56" s="1116"/>
      <c r="E56" s="155" t="s">
        <v>957</v>
      </c>
      <c r="F56" s="403">
        <v>7142.86</v>
      </c>
      <c r="G56" s="178"/>
      <c r="H56" s="143">
        <v>43831</v>
      </c>
      <c r="I56" s="143">
        <v>43891</v>
      </c>
      <c r="J56" s="155" t="s">
        <v>974</v>
      </c>
      <c r="K56" s="317"/>
      <c r="L56" s="317"/>
      <c r="M56" s="317"/>
      <c r="N56" s="257"/>
      <c r="O56" s="257"/>
      <c r="P56" s="257"/>
      <c r="Q56" s="257"/>
      <c r="R56" s="257"/>
      <c r="S56" s="257"/>
      <c r="T56" s="257"/>
      <c r="U56" s="257"/>
      <c r="V56" s="320"/>
    </row>
    <row r="57" spans="1:22" s="44" customFormat="1" ht="25.5">
      <c r="A57" s="1172"/>
      <c r="B57" s="45"/>
      <c r="C57" s="33" t="str">
        <f>+'4. Procurement Plan'!I80</f>
        <v>20-1115a(x)</v>
      </c>
      <c r="D57" s="1116"/>
      <c r="E57" s="155" t="s">
        <v>958</v>
      </c>
      <c r="F57" s="403">
        <v>7142.86</v>
      </c>
      <c r="G57" s="178"/>
      <c r="H57" s="143">
        <v>43831</v>
      </c>
      <c r="I57" s="143">
        <v>43891</v>
      </c>
      <c r="J57" s="155" t="s">
        <v>974</v>
      </c>
      <c r="K57" s="317"/>
      <c r="L57" s="317"/>
      <c r="M57" s="317"/>
      <c r="N57" s="257"/>
      <c r="O57" s="257"/>
      <c r="P57" s="257"/>
      <c r="Q57" s="257"/>
      <c r="R57" s="257"/>
      <c r="S57" s="257"/>
      <c r="T57" s="257"/>
      <c r="U57" s="257"/>
      <c r="V57" s="320"/>
    </row>
    <row r="58" spans="1:22" s="44" customFormat="1" ht="25.5">
      <c r="A58" s="1172"/>
      <c r="B58" s="45"/>
      <c r="C58" s="33" t="str">
        <f>+'4. Procurement Plan'!I83</f>
        <v>20-1115a(xii)</v>
      </c>
      <c r="D58" s="1116"/>
      <c r="E58" s="155" t="s">
        <v>959</v>
      </c>
      <c r="F58" s="403">
        <v>6428.57</v>
      </c>
      <c r="G58" s="178"/>
      <c r="H58" s="143">
        <v>43831</v>
      </c>
      <c r="I58" s="143">
        <v>43891</v>
      </c>
      <c r="J58" s="155" t="s">
        <v>974</v>
      </c>
      <c r="K58" s="317"/>
      <c r="L58" s="317"/>
      <c r="M58" s="317"/>
      <c r="N58" s="257"/>
      <c r="O58" s="257"/>
      <c r="P58" s="257"/>
      <c r="Q58" s="257"/>
      <c r="R58" s="257"/>
      <c r="S58" s="257"/>
      <c r="T58" s="257"/>
      <c r="U58" s="257"/>
      <c r="V58" s="320"/>
    </row>
    <row r="59" spans="1:22" s="44" customFormat="1" ht="25.5">
      <c r="A59" s="1172"/>
      <c r="B59" s="45"/>
      <c r="C59" s="33" t="str">
        <f>+C58</f>
        <v>20-1115a(xii)</v>
      </c>
      <c r="D59" s="1116"/>
      <c r="E59" s="155" t="s">
        <v>960</v>
      </c>
      <c r="F59" s="403">
        <v>3571.43</v>
      </c>
      <c r="G59" s="178"/>
      <c r="H59" s="143">
        <v>43831</v>
      </c>
      <c r="I59" s="143">
        <v>43891</v>
      </c>
      <c r="J59" s="155" t="s">
        <v>974</v>
      </c>
      <c r="K59" s="317"/>
      <c r="L59" s="317"/>
      <c r="M59" s="317"/>
      <c r="N59" s="257"/>
      <c r="O59" s="257"/>
      <c r="P59" s="257"/>
      <c r="Q59" s="257"/>
      <c r="R59" s="257"/>
      <c r="S59" s="257"/>
      <c r="T59" s="257"/>
      <c r="U59" s="257"/>
      <c r="V59" s="320"/>
    </row>
    <row r="60" spans="1:22" s="44" customFormat="1" ht="25.5">
      <c r="A60" s="1172"/>
      <c r="B60" s="45"/>
      <c r="C60" s="33" t="str">
        <f>+'4. Procurement Plan'!I84</f>
        <v>20-1115a(xii)</v>
      </c>
      <c r="D60" s="1116"/>
      <c r="E60" s="155" t="s">
        <v>961</v>
      </c>
      <c r="F60" s="403">
        <v>4285.71</v>
      </c>
      <c r="G60" s="178"/>
      <c r="H60" s="143">
        <v>43831</v>
      </c>
      <c r="I60" s="143">
        <v>43891</v>
      </c>
      <c r="J60" s="155" t="s">
        <v>974</v>
      </c>
      <c r="K60" s="317"/>
      <c r="L60" s="317"/>
      <c r="M60" s="317"/>
      <c r="N60" s="257"/>
      <c r="O60" s="257"/>
      <c r="P60" s="257"/>
      <c r="Q60" s="257"/>
      <c r="R60" s="257"/>
      <c r="S60" s="257"/>
      <c r="T60" s="257"/>
      <c r="U60" s="257"/>
      <c r="V60" s="320"/>
    </row>
    <row r="61" spans="1:22" s="44" customFormat="1" ht="25.5">
      <c r="A61" s="1172"/>
      <c r="B61" s="45"/>
      <c r="C61" s="33" t="str">
        <f>+'4. Procurement Plan'!I30</f>
        <v>20-1115b(v)</v>
      </c>
      <c r="D61" s="1116"/>
      <c r="E61" s="155" t="s">
        <v>962</v>
      </c>
      <c r="F61" s="403">
        <v>3571.43</v>
      </c>
      <c r="G61" s="178"/>
      <c r="H61" s="143">
        <v>43831</v>
      </c>
      <c r="I61" s="143">
        <v>43891</v>
      </c>
      <c r="J61" s="155" t="s">
        <v>974</v>
      </c>
      <c r="K61" s="317"/>
      <c r="L61" s="317"/>
      <c r="M61" s="317"/>
      <c r="N61" s="257"/>
      <c r="O61" s="257"/>
      <c r="P61" s="257"/>
      <c r="Q61" s="257"/>
      <c r="R61" s="257"/>
      <c r="S61" s="257"/>
      <c r="T61" s="257"/>
      <c r="U61" s="257"/>
      <c r="V61" s="320"/>
    </row>
    <row r="62" spans="1:22" s="44" customFormat="1" ht="25.5">
      <c r="A62" s="1172"/>
      <c r="B62" s="45"/>
      <c r="C62" s="33" t="str">
        <f>+'4. Procurement Plan'!I80</f>
        <v>20-1115a(x)</v>
      </c>
      <c r="D62" s="1107"/>
      <c r="E62" s="155" t="s">
        <v>963</v>
      </c>
      <c r="F62" s="403">
        <v>5714.29</v>
      </c>
      <c r="G62" s="178"/>
      <c r="H62" s="143">
        <v>43831</v>
      </c>
      <c r="I62" s="143">
        <v>43891</v>
      </c>
      <c r="J62" s="155" t="s">
        <v>974</v>
      </c>
      <c r="K62" s="317"/>
      <c r="L62" s="317"/>
      <c r="M62" s="317"/>
      <c r="N62" s="257"/>
      <c r="O62" s="257"/>
      <c r="P62" s="257"/>
      <c r="Q62" s="257"/>
      <c r="R62" s="257"/>
      <c r="S62" s="257"/>
      <c r="T62" s="257"/>
      <c r="U62" s="257"/>
      <c r="V62" s="320"/>
    </row>
    <row r="63" spans="1:22" s="44" customFormat="1" ht="38.25" customHeight="1">
      <c r="A63" s="1172"/>
      <c r="B63" s="29"/>
      <c r="C63" s="33" t="str">
        <f>+'4. Procurement Plan'!I81</f>
        <v>20-1115a(xi)</v>
      </c>
      <c r="D63" s="1106" t="s">
        <v>720</v>
      </c>
      <c r="E63" s="155" t="s">
        <v>964</v>
      </c>
      <c r="F63" s="403">
        <v>3571.43</v>
      </c>
      <c r="G63" s="178"/>
      <c r="H63" s="143">
        <v>43831</v>
      </c>
      <c r="I63" s="143">
        <v>43831</v>
      </c>
      <c r="J63" s="155" t="s">
        <v>974</v>
      </c>
      <c r="K63" s="317"/>
      <c r="L63" s="257"/>
      <c r="M63" s="257"/>
      <c r="N63" s="61"/>
      <c r="O63" s="61"/>
      <c r="P63" s="61"/>
      <c r="Q63" s="61"/>
      <c r="R63" s="61"/>
      <c r="S63" s="257"/>
      <c r="T63" s="61"/>
      <c r="U63" s="61"/>
      <c r="V63" s="305"/>
    </row>
    <row r="64" spans="1:22" s="44" customFormat="1" ht="25.5">
      <c r="A64" s="1172"/>
      <c r="B64" s="29"/>
      <c r="C64" s="33" t="str">
        <f>+'4. Procurement Plan'!I77</f>
        <v>20-1115a(vii)</v>
      </c>
      <c r="D64" s="1116"/>
      <c r="E64" s="155" t="s">
        <v>965</v>
      </c>
      <c r="F64" s="403">
        <v>2857.14</v>
      </c>
      <c r="G64" s="178"/>
      <c r="H64" s="143">
        <v>43862</v>
      </c>
      <c r="I64" s="143">
        <v>43862</v>
      </c>
      <c r="J64" s="155" t="s">
        <v>974</v>
      </c>
      <c r="K64" s="257"/>
      <c r="L64" s="317"/>
      <c r="M64" s="257"/>
      <c r="N64" s="61"/>
      <c r="O64" s="61"/>
      <c r="P64" s="61"/>
      <c r="Q64" s="61"/>
      <c r="R64" s="61"/>
      <c r="S64" s="257"/>
      <c r="T64" s="61"/>
      <c r="U64" s="61"/>
      <c r="V64" s="320"/>
    </row>
    <row r="65" spans="1:22" s="44" customFormat="1" ht="25.5">
      <c r="A65" s="1172"/>
      <c r="B65" s="29"/>
      <c r="C65" s="33" t="str">
        <f>+'4. Procurement Plan'!I79</f>
        <v>20-1115a(viiii)</v>
      </c>
      <c r="D65" s="1116"/>
      <c r="E65" s="155" t="s">
        <v>807</v>
      </c>
      <c r="F65" s="403">
        <v>4285.71</v>
      </c>
      <c r="G65" s="178"/>
      <c r="H65" s="143">
        <v>43862</v>
      </c>
      <c r="I65" s="143">
        <v>43862</v>
      </c>
      <c r="J65" s="155" t="s">
        <v>974</v>
      </c>
      <c r="K65" s="257"/>
      <c r="L65" s="317"/>
      <c r="M65" s="257"/>
      <c r="N65" s="61"/>
      <c r="O65" s="61"/>
      <c r="P65" s="61"/>
      <c r="Q65" s="61"/>
      <c r="R65" s="61"/>
      <c r="S65" s="257"/>
      <c r="T65" s="61"/>
      <c r="U65" s="61"/>
      <c r="V65" s="320"/>
    </row>
    <row r="66" spans="1:22" s="44" customFormat="1" ht="25.5">
      <c r="A66" s="1172"/>
      <c r="B66" s="29"/>
      <c r="C66" s="33" t="str">
        <f>+'4. Procurement Plan'!I78</f>
        <v>20-1115a(viii)</v>
      </c>
      <c r="D66" s="1116"/>
      <c r="E66" s="155" t="s">
        <v>966</v>
      </c>
      <c r="F66" s="403">
        <v>3571.43</v>
      </c>
      <c r="G66" s="178"/>
      <c r="H66" s="143">
        <v>43862</v>
      </c>
      <c r="I66" s="143">
        <v>43862</v>
      </c>
      <c r="J66" s="155" t="s">
        <v>974</v>
      </c>
      <c r="K66" s="257"/>
      <c r="L66" s="317"/>
      <c r="M66" s="257"/>
      <c r="N66" s="61"/>
      <c r="O66" s="61"/>
      <c r="P66" s="61"/>
      <c r="Q66" s="61"/>
      <c r="R66" s="61"/>
      <c r="S66" s="257"/>
      <c r="T66" s="61"/>
      <c r="U66" s="61"/>
      <c r="V66" s="320"/>
    </row>
    <row r="67" spans="1:22" s="44" customFormat="1" ht="25.5">
      <c r="A67" s="1172"/>
      <c r="B67" s="29"/>
      <c r="C67" s="33" t="str">
        <f>+C75</f>
        <v>20-1115a(iv)</v>
      </c>
      <c r="D67" s="1107"/>
      <c r="E67" s="155" t="s">
        <v>967</v>
      </c>
      <c r="F67" s="876">
        <v>3571.43</v>
      </c>
      <c r="G67" s="178"/>
      <c r="H67" s="143">
        <v>43862</v>
      </c>
      <c r="I67" s="143">
        <v>43862</v>
      </c>
      <c r="J67" s="155" t="s">
        <v>974</v>
      </c>
      <c r="K67" s="257"/>
      <c r="L67" s="317"/>
      <c r="M67" s="257"/>
      <c r="N67" s="61"/>
      <c r="O67" s="61"/>
      <c r="P67" s="61"/>
      <c r="Q67" s="61"/>
      <c r="R67" s="61"/>
      <c r="S67" s="257"/>
      <c r="T67" s="61"/>
      <c r="U67" s="61"/>
      <c r="V67" s="320"/>
    </row>
    <row r="68" spans="1:22" s="44" customFormat="1" ht="38.25" customHeight="1">
      <c r="A68" s="1172"/>
      <c r="B68" s="178"/>
      <c r="C68" s="178" t="str">
        <f>+C63</f>
        <v>20-1115a(xi)</v>
      </c>
      <c r="D68" s="1133" t="s">
        <v>719</v>
      </c>
      <c r="E68" s="155" t="s">
        <v>964</v>
      </c>
      <c r="F68" s="403">
        <v>11428.57</v>
      </c>
      <c r="G68" s="178"/>
      <c r="H68" s="143">
        <v>43891</v>
      </c>
      <c r="I68" s="143">
        <v>43891</v>
      </c>
      <c r="J68" s="155" t="s">
        <v>974</v>
      </c>
      <c r="K68" s="257"/>
      <c r="L68" s="257"/>
      <c r="M68" s="317"/>
      <c r="N68" s="61"/>
      <c r="O68" s="61"/>
      <c r="P68" s="61"/>
      <c r="Q68" s="61"/>
      <c r="R68" s="61"/>
      <c r="S68" s="257"/>
      <c r="T68" s="61"/>
      <c r="U68" s="61"/>
      <c r="V68" s="257"/>
    </row>
    <row r="69" spans="1:22" s="44" customFormat="1" ht="38.25">
      <c r="A69" s="1172"/>
      <c r="B69" s="634"/>
      <c r="C69" s="635" t="str">
        <f>+C64</f>
        <v>20-1115a(vii)</v>
      </c>
      <c r="D69" s="1134"/>
      <c r="E69" s="155" t="s">
        <v>968</v>
      </c>
      <c r="F69" s="403">
        <v>7142.86</v>
      </c>
      <c r="G69" s="323"/>
      <c r="H69" s="143">
        <v>43891</v>
      </c>
      <c r="I69" s="143">
        <v>43891</v>
      </c>
      <c r="J69" s="155" t="s">
        <v>974</v>
      </c>
      <c r="K69" s="332"/>
      <c r="L69" s="332"/>
      <c r="M69" s="367"/>
      <c r="N69" s="332"/>
      <c r="O69" s="332"/>
      <c r="P69" s="332"/>
      <c r="Q69" s="332"/>
      <c r="R69" s="332"/>
      <c r="S69" s="332"/>
      <c r="T69" s="332"/>
      <c r="U69" s="332"/>
      <c r="V69" s="333"/>
    </row>
    <row r="70" spans="1:22" s="44" customFormat="1" ht="25.5">
      <c r="A70" s="1172"/>
      <c r="B70" s="634"/>
      <c r="C70" s="635" t="str">
        <f>+'4. Procurement Plan'!I30</f>
        <v>20-1115b(v)</v>
      </c>
      <c r="D70" s="1134"/>
      <c r="E70" s="155" t="s">
        <v>969</v>
      </c>
      <c r="F70" s="403">
        <v>4285.71</v>
      </c>
      <c r="G70" s="323"/>
      <c r="H70" s="143">
        <v>43891</v>
      </c>
      <c r="I70" s="143">
        <v>43891</v>
      </c>
      <c r="J70" s="155" t="s">
        <v>974</v>
      </c>
      <c r="K70" s="332"/>
      <c r="L70" s="332"/>
      <c r="M70" s="367"/>
      <c r="N70" s="332"/>
      <c r="O70" s="332"/>
      <c r="P70" s="332"/>
      <c r="Q70" s="332"/>
      <c r="R70" s="332"/>
      <c r="S70" s="332"/>
      <c r="T70" s="332"/>
      <c r="U70" s="332"/>
      <c r="V70" s="333"/>
    </row>
    <row r="71" spans="1:22" s="44" customFormat="1" ht="25.5">
      <c r="A71" s="1172"/>
      <c r="B71" s="634"/>
      <c r="C71" s="635" t="str">
        <f>+C70</f>
        <v>20-1115b(v)</v>
      </c>
      <c r="D71" s="1134"/>
      <c r="E71" s="155" t="s">
        <v>970</v>
      </c>
      <c r="F71" s="403">
        <v>3571.43</v>
      </c>
      <c r="G71" s="323"/>
      <c r="H71" s="143">
        <v>43891</v>
      </c>
      <c r="I71" s="143">
        <v>43891</v>
      </c>
      <c r="J71" s="155" t="s">
        <v>974</v>
      </c>
      <c r="K71" s="332"/>
      <c r="L71" s="332"/>
      <c r="M71" s="367"/>
      <c r="N71" s="332"/>
      <c r="O71" s="332"/>
      <c r="P71" s="332"/>
      <c r="Q71" s="332"/>
      <c r="R71" s="332"/>
      <c r="S71" s="332"/>
      <c r="T71" s="332"/>
      <c r="U71" s="332"/>
      <c r="V71" s="333"/>
    </row>
    <row r="72" spans="1:22" s="44" customFormat="1" ht="25.5">
      <c r="A72" s="1172"/>
      <c r="B72" s="634"/>
      <c r="C72" s="635" t="str">
        <f>+C65</f>
        <v>20-1115a(viiii)</v>
      </c>
      <c r="D72" s="1134"/>
      <c r="E72" s="155" t="s">
        <v>971</v>
      </c>
      <c r="F72" s="403">
        <v>5714.29</v>
      </c>
      <c r="G72" s="323"/>
      <c r="H72" s="143">
        <v>43891</v>
      </c>
      <c r="I72" s="143">
        <v>43891</v>
      </c>
      <c r="J72" s="155" t="s">
        <v>974</v>
      </c>
      <c r="K72" s="332"/>
      <c r="L72" s="332"/>
      <c r="M72" s="367"/>
      <c r="N72" s="332"/>
      <c r="O72" s="332"/>
      <c r="P72" s="332"/>
      <c r="Q72" s="332"/>
      <c r="R72" s="332"/>
      <c r="S72" s="332"/>
      <c r="T72" s="332"/>
      <c r="U72" s="332"/>
      <c r="V72" s="333"/>
    </row>
    <row r="73" spans="1:22" s="44" customFormat="1" ht="25.5">
      <c r="A73" s="1172"/>
      <c r="B73" s="634"/>
      <c r="C73" s="635" t="str">
        <f>+'4. Procurement Plan'!I78</f>
        <v>20-1115a(viii)</v>
      </c>
      <c r="D73" s="1134"/>
      <c r="E73" s="155" t="s">
        <v>972</v>
      </c>
      <c r="F73" s="403">
        <v>5714.29</v>
      </c>
      <c r="G73" s="323"/>
      <c r="H73" s="143">
        <v>43891</v>
      </c>
      <c r="I73" s="143">
        <v>43891</v>
      </c>
      <c r="J73" s="155" t="s">
        <v>974</v>
      </c>
      <c r="K73" s="332"/>
      <c r="L73" s="332"/>
      <c r="M73" s="367"/>
      <c r="N73" s="332"/>
      <c r="O73" s="332"/>
      <c r="P73" s="332"/>
      <c r="Q73" s="332"/>
      <c r="R73" s="332"/>
      <c r="S73" s="332"/>
      <c r="T73" s="332"/>
      <c r="U73" s="332"/>
      <c r="V73" s="333"/>
    </row>
    <row r="74" spans="1:22" s="44" customFormat="1" ht="25.5">
      <c r="A74" s="1172"/>
      <c r="B74" s="634"/>
      <c r="C74" s="635" t="str">
        <f>+'4. Procurement Plan'!I84</f>
        <v>20-1115a(xii)</v>
      </c>
      <c r="D74" s="1134"/>
      <c r="E74" s="155" t="s">
        <v>973</v>
      </c>
      <c r="F74" s="403">
        <v>5714.29</v>
      </c>
      <c r="G74" s="323"/>
      <c r="H74" s="143">
        <v>43891</v>
      </c>
      <c r="I74" s="143">
        <v>43891</v>
      </c>
      <c r="J74" s="155" t="s">
        <v>974</v>
      </c>
      <c r="K74" s="332"/>
      <c r="L74" s="332"/>
      <c r="M74" s="367"/>
      <c r="N74" s="332"/>
      <c r="O74" s="332"/>
      <c r="P74" s="332"/>
      <c r="Q74" s="332"/>
      <c r="R74" s="332"/>
      <c r="S74" s="332"/>
      <c r="T74" s="332"/>
      <c r="U74" s="332"/>
      <c r="V74" s="333"/>
    </row>
    <row r="75" spans="1:22" s="44" customFormat="1" ht="25.5">
      <c r="A75" s="1172"/>
      <c r="B75" s="634"/>
      <c r="C75" s="635" t="str">
        <f>+'4. Procurement Plan'!I82</f>
        <v>20-1115a(iv)</v>
      </c>
      <c r="D75" s="1135"/>
      <c r="E75" s="155" t="s">
        <v>967</v>
      </c>
      <c r="F75" s="876">
        <v>2857.14</v>
      </c>
      <c r="G75" s="323"/>
      <c r="H75" s="143">
        <v>43891</v>
      </c>
      <c r="I75" s="143">
        <v>43891</v>
      </c>
      <c r="J75" s="155" t="s">
        <v>974</v>
      </c>
      <c r="K75" s="332"/>
      <c r="L75" s="332"/>
      <c r="M75" s="367"/>
      <c r="N75" s="332"/>
      <c r="O75" s="332"/>
      <c r="P75" s="332"/>
      <c r="Q75" s="332"/>
      <c r="R75" s="332"/>
      <c r="S75" s="332"/>
      <c r="T75" s="332"/>
      <c r="U75" s="332"/>
      <c r="V75" s="333"/>
    </row>
    <row r="76" spans="1:22" s="44" customFormat="1">
      <c r="A76" s="293"/>
      <c r="B76" s="1194" t="s">
        <v>565</v>
      </c>
      <c r="C76" s="1195"/>
      <c r="D76" s="1195"/>
      <c r="E76" s="1196"/>
      <c r="F76" s="404">
        <f>SUM(F55:F75)</f>
        <v>127142.86999999997</v>
      </c>
      <c r="G76" s="329"/>
      <c r="H76" s="330"/>
      <c r="I76" s="250"/>
      <c r="J76" s="331"/>
      <c r="K76" s="332"/>
      <c r="L76" s="332"/>
      <c r="M76" s="332"/>
      <c r="N76" s="332"/>
      <c r="O76" s="332"/>
      <c r="P76" s="332"/>
      <c r="Q76" s="332"/>
      <c r="R76" s="332"/>
      <c r="S76" s="332"/>
      <c r="T76" s="332"/>
      <c r="U76" s="332"/>
      <c r="V76" s="333"/>
    </row>
    <row r="77" spans="1:22" s="44" customFormat="1">
      <c r="A77" s="293"/>
      <c r="B77" s="334"/>
      <c r="C77" s="323"/>
      <c r="D77" s="335"/>
      <c r="E77" s="335" t="s">
        <v>509</v>
      </c>
      <c r="F77" s="403">
        <v>33551.35</v>
      </c>
      <c r="G77" s="323"/>
      <c r="H77" s="143">
        <v>43831</v>
      </c>
      <c r="I77" s="143">
        <v>43891</v>
      </c>
      <c r="J77" s="335" t="s">
        <v>721</v>
      </c>
      <c r="K77" s="367"/>
      <c r="L77" s="367"/>
      <c r="M77" s="367"/>
      <c r="N77" s="332"/>
      <c r="O77" s="332"/>
      <c r="P77" s="332"/>
      <c r="Q77" s="332"/>
      <c r="R77" s="332"/>
      <c r="S77" s="332"/>
      <c r="T77" s="332"/>
      <c r="U77" s="332"/>
      <c r="V77" s="336"/>
    </row>
    <row r="78" spans="1:22" s="44" customFormat="1" ht="16.5" thickBot="1">
      <c r="A78" s="1177" t="s">
        <v>564</v>
      </c>
      <c r="B78" s="1178"/>
      <c r="C78" s="1178"/>
      <c r="D78" s="1178"/>
      <c r="E78" s="1179"/>
      <c r="F78" s="275">
        <f>+F77+F76+F54+F42</f>
        <v>257122.78999999998</v>
      </c>
      <c r="G78" s="329"/>
      <c r="H78" s="265"/>
      <c r="I78" s="330"/>
      <c r="J78" s="331"/>
      <c r="K78" s="332"/>
      <c r="L78" s="332"/>
      <c r="M78" s="332"/>
      <c r="N78" s="332"/>
      <c r="O78" s="332"/>
      <c r="P78" s="332"/>
      <c r="Q78" s="332"/>
      <c r="R78" s="332"/>
      <c r="S78" s="332"/>
      <c r="T78" s="332"/>
      <c r="U78" s="332"/>
      <c r="V78" s="336"/>
    </row>
    <row r="79" spans="1:22" s="44" customFormat="1">
      <c r="A79" s="1166" t="e">
        <f>+'2. Results Matrix'!#REF!</f>
        <v>#REF!</v>
      </c>
      <c r="B79" s="338">
        <v>1</v>
      </c>
      <c r="C79" s="24" t="str">
        <f>+'2. Results Matrix'!A44</f>
        <v>1.1.2.2</v>
      </c>
      <c r="D79" s="25"/>
      <c r="E79" s="25"/>
      <c r="F79" s="25"/>
      <c r="G79" s="25"/>
      <c r="H79" s="25"/>
      <c r="I79" s="25"/>
      <c r="J79" s="25"/>
      <c r="K79" s="26"/>
      <c r="L79" s="27"/>
      <c r="M79" s="27"/>
      <c r="N79" s="27"/>
      <c r="O79" s="27"/>
      <c r="P79" s="27"/>
      <c r="Q79" s="27"/>
      <c r="R79" s="27"/>
      <c r="S79" s="27"/>
      <c r="T79" s="27"/>
      <c r="U79" s="27"/>
      <c r="V79" s="43"/>
    </row>
    <row r="80" spans="1:22" s="44" customFormat="1" ht="65.25" customHeight="1">
      <c r="A80" s="1167"/>
      <c r="B80" s="339"/>
      <c r="C80" s="48"/>
      <c r="D80" s="1173" t="s">
        <v>772</v>
      </c>
      <c r="E80" s="520" t="s">
        <v>344</v>
      </c>
      <c r="F80" s="411">
        <v>71428.570000000007</v>
      </c>
      <c r="G80" s="173"/>
      <c r="H80" s="164">
        <v>43831</v>
      </c>
      <c r="I80" s="164">
        <v>43831</v>
      </c>
      <c r="J80" s="165" t="s">
        <v>349</v>
      </c>
      <c r="K80" s="167"/>
      <c r="L80" s="147"/>
      <c r="M80" s="147"/>
      <c r="N80" s="147"/>
      <c r="O80" s="147"/>
      <c r="P80" s="147"/>
      <c r="Q80" s="147"/>
      <c r="R80" s="147"/>
      <c r="S80" s="147"/>
      <c r="T80" s="147"/>
      <c r="U80" s="147"/>
      <c r="V80" s="163"/>
    </row>
    <row r="81" spans="1:22" s="44" customFormat="1" ht="65.25" customHeight="1">
      <c r="A81" s="1167"/>
      <c r="B81" s="339"/>
      <c r="C81" s="48"/>
      <c r="D81" s="1173"/>
      <c r="E81" s="521" t="s">
        <v>976</v>
      </c>
      <c r="F81" s="411">
        <v>95153.66</v>
      </c>
      <c r="G81" s="173"/>
      <c r="H81" s="136">
        <v>43862</v>
      </c>
      <c r="I81" s="136">
        <v>43862</v>
      </c>
      <c r="J81" s="165" t="s">
        <v>722</v>
      </c>
      <c r="K81" s="147"/>
      <c r="L81" s="167"/>
      <c r="M81" s="147"/>
      <c r="N81" s="147"/>
      <c r="O81" s="147"/>
      <c r="P81" s="147"/>
      <c r="Q81" s="147"/>
      <c r="R81" s="147"/>
      <c r="S81" s="147"/>
      <c r="T81" s="147"/>
      <c r="U81" s="147"/>
      <c r="V81" s="163"/>
    </row>
    <row r="82" spans="1:22" s="44" customFormat="1" ht="63.75">
      <c r="A82" s="1167"/>
      <c r="B82" s="339"/>
      <c r="C82" s="48"/>
      <c r="D82" s="1173"/>
      <c r="E82" s="521" t="s">
        <v>774</v>
      </c>
      <c r="F82" s="412">
        <v>34765.279999999999</v>
      </c>
      <c r="G82" s="173"/>
      <c r="H82" s="164">
        <v>44013</v>
      </c>
      <c r="I82" s="164">
        <v>44013</v>
      </c>
      <c r="J82" s="165" t="s">
        <v>349</v>
      </c>
      <c r="K82" s="51"/>
      <c r="L82" s="147"/>
      <c r="M82" s="147"/>
      <c r="N82" s="147"/>
      <c r="O82" s="147"/>
      <c r="P82" s="147"/>
      <c r="Q82" s="167"/>
      <c r="R82" s="147"/>
      <c r="S82" s="147"/>
      <c r="T82" s="147"/>
      <c r="U82" s="147"/>
      <c r="V82" s="163"/>
    </row>
    <row r="83" spans="1:22" s="44" customFormat="1" ht="38.25">
      <c r="A83" s="1167"/>
      <c r="B83" s="339"/>
      <c r="C83" s="48"/>
      <c r="D83" s="618"/>
      <c r="E83" s="521" t="s">
        <v>977</v>
      </c>
      <c r="F83" s="412">
        <v>1214.29</v>
      </c>
      <c r="G83" s="173"/>
      <c r="H83" s="136">
        <v>43831</v>
      </c>
      <c r="I83" s="136">
        <v>43831</v>
      </c>
      <c r="J83" s="159" t="s">
        <v>722</v>
      </c>
      <c r="K83" s="167"/>
      <c r="L83" s="147"/>
      <c r="M83" s="147"/>
      <c r="N83" s="147"/>
      <c r="O83" s="147"/>
      <c r="P83" s="147"/>
      <c r="Q83" s="147"/>
      <c r="R83" s="147"/>
      <c r="S83" s="147"/>
      <c r="T83" s="147"/>
      <c r="U83" s="147"/>
      <c r="V83" s="163"/>
    </row>
    <row r="84" spans="1:22" s="44" customFormat="1" ht="38.25">
      <c r="A84" s="1167"/>
      <c r="B84" s="339"/>
      <c r="C84" s="48" t="str">
        <f>+'4. Procurement Plan'!I12</f>
        <v>20-1122a</v>
      </c>
      <c r="D84" s="1016" t="s">
        <v>773</v>
      </c>
      <c r="E84" s="521" t="s">
        <v>775</v>
      </c>
      <c r="F84" s="411">
        <v>4857.1400000000003</v>
      </c>
      <c r="G84" s="173"/>
      <c r="H84" s="164">
        <v>43862</v>
      </c>
      <c r="I84" s="164">
        <v>43862</v>
      </c>
      <c r="J84" s="165" t="s">
        <v>722</v>
      </c>
      <c r="K84" s="147"/>
      <c r="L84" s="167"/>
      <c r="M84" s="147"/>
      <c r="N84" s="147"/>
      <c r="O84" s="147"/>
      <c r="P84" s="147"/>
      <c r="Q84" s="147"/>
      <c r="R84" s="147"/>
      <c r="S84" s="147"/>
      <c r="T84" s="147"/>
      <c r="U84" s="147"/>
      <c r="V84" s="163"/>
    </row>
    <row r="85" spans="1:22" s="44" customFormat="1" ht="25.5">
      <c r="A85" s="1167"/>
      <c r="B85" s="339"/>
      <c r="C85" s="48"/>
      <c r="D85" s="1248"/>
      <c r="E85" s="155" t="s">
        <v>779</v>
      </c>
      <c r="F85" s="411">
        <v>14285.71</v>
      </c>
      <c r="G85" s="173"/>
      <c r="H85" s="164">
        <v>43891</v>
      </c>
      <c r="I85" s="164">
        <v>43891</v>
      </c>
      <c r="J85" s="165" t="s">
        <v>722</v>
      </c>
      <c r="K85" s="147"/>
      <c r="L85" s="147"/>
      <c r="M85" s="167"/>
      <c r="N85" s="147"/>
      <c r="O85" s="147"/>
      <c r="P85" s="147"/>
      <c r="Q85" s="147"/>
      <c r="R85" s="147"/>
      <c r="S85" s="147"/>
      <c r="T85" s="147"/>
      <c r="U85" s="147"/>
      <c r="V85" s="163"/>
    </row>
    <row r="86" spans="1:22" s="44" customFormat="1" ht="25.5">
      <c r="A86" s="1167"/>
      <c r="B86" s="339"/>
      <c r="C86" s="48"/>
      <c r="D86" s="1248"/>
      <c r="E86" s="155" t="s">
        <v>777</v>
      </c>
      <c r="F86" s="411">
        <v>35714.29</v>
      </c>
      <c r="G86" s="173"/>
      <c r="H86" s="164">
        <v>43891</v>
      </c>
      <c r="I86" s="164">
        <v>43891</v>
      </c>
      <c r="J86" s="165" t="s">
        <v>722</v>
      </c>
      <c r="K86" s="51"/>
      <c r="L86" s="147"/>
      <c r="M86" s="167"/>
      <c r="N86" s="147"/>
      <c r="O86" s="147"/>
      <c r="P86" s="147"/>
      <c r="Q86" s="147"/>
      <c r="R86" s="147"/>
      <c r="S86" s="147"/>
      <c r="T86" s="147"/>
      <c r="U86" s="147"/>
      <c r="V86" s="163"/>
    </row>
    <row r="87" spans="1:22" s="44" customFormat="1" ht="25.5">
      <c r="A87" s="1167"/>
      <c r="B87" s="339"/>
      <c r="C87" s="48"/>
      <c r="D87" s="1248"/>
      <c r="E87" s="519" t="s">
        <v>778</v>
      </c>
      <c r="F87" s="411">
        <v>68571.429999999993</v>
      </c>
      <c r="G87" s="173"/>
      <c r="H87" s="164">
        <v>43922</v>
      </c>
      <c r="I87" s="164">
        <v>43922</v>
      </c>
      <c r="J87" s="165" t="s">
        <v>722</v>
      </c>
      <c r="K87" s="51"/>
      <c r="L87" s="147"/>
      <c r="M87" s="147"/>
      <c r="N87" s="167"/>
      <c r="O87" s="147"/>
      <c r="P87" s="147"/>
      <c r="Q87" s="147"/>
      <c r="R87" s="147"/>
      <c r="S87" s="147"/>
      <c r="T87" s="147"/>
      <c r="U87" s="147"/>
      <c r="V87" s="163"/>
    </row>
    <row r="88" spans="1:22" s="44" customFormat="1" ht="51">
      <c r="A88" s="1167"/>
      <c r="B88" s="339"/>
      <c r="C88" s="48"/>
      <c r="D88" s="517"/>
      <c r="E88" s="155" t="s">
        <v>771</v>
      </c>
      <c r="F88" s="411">
        <v>71428.570000000007</v>
      </c>
      <c r="G88" s="173"/>
      <c r="H88" s="164">
        <v>43952</v>
      </c>
      <c r="I88" s="164">
        <v>43952</v>
      </c>
      <c r="J88" s="165" t="s">
        <v>722</v>
      </c>
      <c r="K88" s="51"/>
      <c r="L88" s="147"/>
      <c r="M88" s="147"/>
      <c r="N88" s="147"/>
      <c r="O88" s="167"/>
      <c r="P88" s="147"/>
      <c r="Q88" s="147"/>
      <c r="R88" s="147"/>
      <c r="S88" s="147"/>
      <c r="T88" s="147"/>
      <c r="U88" s="147"/>
      <c r="V88" s="163"/>
    </row>
    <row r="89" spans="1:22" s="44" customFormat="1" ht="78.75" customHeight="1">
      <c r="A89" s="1167"/>
      <c r="B89" s="339"/>
      <c r="C89" s="48"/>
      <c r="D89" s="517"/>
      <c r="E89" s="155" t="s">
        <v>776</v>
      </c>
      <c r="F89" s="411">
        <v>10000</v>
      </c>
      <c r="G89" s="173"/>
      <c r="H89" s="164">
        <v>44044</v>
      </c>
      <c r="I89" s="164">
        <v>44044</v>
      </c>
      <c r="J89" s="165" t="s">
        <v>722</v>
      </c>
      <c r="K89" s="51"/>
      <c r="L89" s="147"/>
      <c r="M89" s="147"/>
      <c r="N89" s="147"/>
      <c r="O89" s="147"/>
      <c r="P89" s="147"/>
      <c r="Q89" s="147"/>
      <c r="R89" s="167"/>
      <c r="S89" s="147"/>
      <c r="T89" s="147"/>
      <c r="U89" s="147"/>
      <c r="V89" s="163"/>
    </row>
    <row r="90" spans="1:22" s="44" customFormat="1">
      <c r="A90" s="1167"/>
      <c r="B90" s="340" t="s">
        <v>566</v>
      </c>
      <c r="C90" s="341"/>
      <c r="D90" s="341"/>
      <c r="E90" s="342"/>
      <c r="F90" s="407">
        <f>SUM(F80:F89)</f>
        <v>407418.94</v>
      </c>
      <c r="G90" s="258"/>
      <c r="H90" s="249"/>
      <c r="I90" s="249"/>
      <c r="J90" s="255"/>
      <c r="K90" s="259"/>
      <c r="L90" s="147"/>
      <c r="M90" s="147"/>
      <c r="N90" s="147"/>
      <c r="O90" s="147"/>
      <c r="P90" s="147"/>
      <c r="Q90" s="147"/>
      <c r="R90" s="147"/>
      <c r="S90" s="147"/>
      <c r="T90" s="147"/>
      <c r="U90" s="147"/>
      <c r="V90" s="163"/>
    </row>
    <row r="91" spans="1:22" s="44" customFormat="1" ht="25.5">
      <c r="A91" s="1167"/>
      <c r="B91" s="339"/>
      <c r="C91" s="226" t="str">
        <f>+'4. Procurement Plan'!I33</f>
        <v>20-1122b</v>
      </c>
      <c r="D91" s="173" t="s">
        <v>350</v>
      </c>
      <c r="E91" s="53" t="s">
        <v>345</v>
      </c>
      <c r="F91" s="411">
        <v>42857.14</v>
      </c>
      <c r="G91" s="173"/>
      <c r="H91" s="164">
        <v>43831</v>
      </c>
      <c r="I91" s="164">
        <v>43862</v>
      </c>
      <c r="J91" s="165" t="s">
        <v>722</v>
      </c>
      <c r="K91" s="167"/>
      <c r="L91" s="167"/>
      <c r="M91" s="147"/>
      <c r="N91" s="147"/>
      <c r="O91" s="147"/>
      <c r="P91" s="147"/>
      <c r="Q91" s="147"/>
      <c r="R91" s="147"/>
      <c r="S91" s="147"/>
      <c r="T91" s="147"/>
      <c r="U91" s="147"/>
      <c r="V91" s="163"/>
    </row>
    <row r="92" spans="1:22" s="44" customFormat="1" ht="25.5">
      <c r="A92" s="1167"/>
      <c r="B92" s="339"/>
      <c r="C92" s="226"/>
      <c r="D92" s="636"/>
      <c r="E92" s="53" t="s">
        <v>978</v>
      </c>
      <c r="F92" s="411">
        <v>21428.57</v>
      </c>
      <c r="G92" s="173"/>
      <c r="H92" s="164">
        <v>43891</v>
      </c>
      <c r="I92" s="164">
        <v>43891</v>
      </c>
      <c r="J92" s="165" t="s">
        <v>722</v>
      </c>
      <c r="K92" s="147"/>
      <c r="L92" s="147"/>
      <c r="M92" s="167"/>
      <c r="N92" s="147"/>
      <c r="O92" s="147"/>
      <c r="P92" s="147"/>
      <c r="Q92" s="147"/>
      <c r="R92" s="147"/>
      <c r="S92" s="147"/>
      <c r="T92" s="147"/>
      <c r="U92" s="147"/>
      <c r="V92" s="163"/>
    </row>
    <row r="93" spans="1:22" s="44" customFormat="1" ht="25.5">
      <c r="A93" s="1167"/>
      <c r="B93" s="339"/>
      <c r="C93" s="226" t="str">
        <f>+'4. Procurement Plan'!I34</f>
        <v>20-1122b</v>
      </c>
      <c r="D93" s="636"/>
      <c r="E93" s="53" t="s">
        <v>979</v>
      </c>
      <c r="F93" s="411">
        <v>5714.29</v>
      </c>
      <c r="G93" s="173"/>
      <c r="H93" s="164">
        <v>43862</v>
      </c>
      <c r="I93" s="164">
        <v>43862</v>
      </c>
      <c r="J93" s="165" t="s">
        <v>722</v>
      </c>
      <c r="K93" s="147"/>
      <c r="L93" s="167"/>
      <c r="M93" s="147"/>
      <c r="N93" s="147"/>
      <c r="O93" s="147"/>
      <c r="P93" s="147"/>
      <c r="Q93" s="147"/>
      <c r="R93" s="147"/>
      <c r="S93" s="147"/>
      <c r="T93" s="147"/>
      <c r="U93" s="147"/>
      <c r="V93" s="163"/>
    </row>
    <row r="94" spans="1:22" s="44" customFormat="1" ht="25.5">
      <c r="A94" s="1167"/>
      <c r="B94" s="339"/>
      <c r="C94" s="48"/>
      <c r="D94" s="1016" t="s">
        <v>760</v>
      </c>
      <c r="E94" s="53" t="s">
        <v>580</v>
      </c>
      <c r="F94" s="411">
        <v>14285.71</v>
      </c>
      <c r="G94" s="173"/>
      <c r="H94" s="164">
        <v>43831</v>
      </c>
      <c r="I94" s="164">
        <v>43831</v>
      </c>
      <c r="J94" s="165" t="s">
        <v>722</v>
      </c>
      <c r="K94" s="167"/>
      <c r="L94" s="147"/>
      <c r="M94" s="147"/>
      <c r="N94" s="147"/>
      <c r="O94" s="147"/>
      <c r="P94" s="147"/>
      <c r="Q94" s="147"/>
      <c r="R94" s="147"/>
      <c r="S94" s="147"/>
      <c r="T94" s="147"/>
      <c r="U94" s="147"/>
      <c r="V94" s="163"/>
    </row>
    <row r="95" spans="1:22" s="44" customFormat="1" ht="38.25">
      <c r="A95" s="1167"/>
      <c r="B95" s="339"/>
      <c r="C95" s="48"/>
      <c r="D95" s="1248"/>
      <c r="E95" s="53" t="s">
        <v>581</v>
      </c>
      <c r="F95" s="411">
        <v>12006.88</v>
      </c>
      <c r="G95" s="173"/>
      <c r="H95" s="164">
        <v>43862</v>
      </c>
      <c r="I95" s="164">
        <v>43862</v>
      </c>
      <c r="J95" s="165" t="s">
        <v>722</v>
      </c>
      <c r="K95" s="51"/>
      <c r="L95" s="167"/>
      <c r="M95" s="147"/>
      <c r="N95" s="147"/>
      <c r="O95" s="147"/>
      <c r="P95" s="147"/>
      <c r="Q95" s="147"/>
      <c r="R95" s="147"/>
      <c r="S95" s="147"/>
      <c r="T95" s="147"/>
      <c r="U95" s="147"/>
      <c r="V95" s="163"/>
    </row>
    <row r="96" spans="1:22" s="44" customFormat="1" ht="45">
      <c r="A96" s="1167"/>
      <c r="B96" s="339"/>
      <c r="C96" s="48"/>
      <c r="D96" s="1249"/>
      <c r="E96" s="518" t="s">
        <v>346</v>
      </c>
      <c r="F96" s="411">
        <v>1383.84</v>
      </c>
      <c r="G96" s="173"/>
      <c r="H96" s="164">
        <v>43983</v>
      </c>
      <c r="I96" s="164">
        <v>43983</v>
      </c>
      <c r="J96" s="165"/>
      <c r="K96" s="51"/>
      <c r="L96" s="147"/>
      <c r="M96" s="147"/>
      <c r="N96" s="147"/>
      <c r="O96" s="147"/>
      <c r="P96" s="167"/>
      <c r="Q96" s="147"/>
      <c r="R96" s="147"/>
      <c r="S96" s="147"/>
      <c r="T96" s="147"/>
      <c r="U96" s="147"/>
      <c r="V96" s="163"/>
    </row>
    <row r="97" spans="1:22" s="44" customFormat="1" ht="51" customHeight="1">
      <c r="A97" s="1167"/>
      <c r="B97" s="339"/>
      <c r="C97" s="637"/>
      <c r="D97" s="1173" t="s">
        <v>582</v>
      </c>
      <c r="E97" s="53" t="s">
        <v>347</v>
      </c>
      <c r="F97" s="411">
        <v>25000</v>
      </c>
      <c r="G97" s="173"/>
      <c r="H97" s="164">
        <v>43831</v>
      </c>
      <c r="I97" s="164">
        <v>43831</v>
      </c>
      <c r="J97" s="165" t="s">
        <v>722</v>
      </c>
      <c r="K97" s="167"/>
      <c r="L97" s="147"/>
      <c r="M97" s="147"/>
      <c r="N97" s="147"/>
      <c r="O97" s="147"/>
      <c r="P97" s="147"/>
      <c r="Q97" s="147"/>
      <c r="R97" s="147"/>
      <c r="S97" s="147"/>
      <c r="T97" s="147"/>
      <c r="U97" s="147"/>
      <c r="V97" s="163"/>
    </row>
    <row r="98" spans="1:22" s="44" customFormat="1" ht="38.25">
      <c r="A98" s="1167"/>
      <c r="B98" s="339"/>
      <c r="C98" s="637"/>
      <c r="D98" s="1173"/>
      <c r="E98" s="53" t="s">
        <v>348</v>
      </c>
      <c r="F98" s="411">
        <v>57142.86</v>
      </c>
      <c r="G98" s="173"/>
      <c r="H98" s="164">
        <v>43862</v>
      </c>
      <c r="I98" s="164">
        <v>43862</v>
      </c>
      <c r="J98" s="165" t="s">
        <v>722</v>
      </c>
      <c r="K98" s="51"/>
      <c r="L98" s="167"/>
      <c r="M98" s="147"/>
      <c r="N98" s="147"/>
      <c r="O98" s="147"/>
      <c r="P98" s="147"/>
      <c r="Q98" s="147"/>
      <c r="R98" s="147"/>
      <c r="S98" s="147"/>
      <c r="T98" s="147"/>
      <c r="U98" s="147"/>
      <c r="V98" s="163"/>
    </row>
    <row r="99" spans="1:22" s="44" customFormat="1" ht="25.5">
      <c r="A99" s="1167"/>
      <c r="B99" s="339"/>
      <c r="C99" s="637"/>
      <c r="D99" s="1173"/>
      <c r="E99" s="53" t="s">
        <v>723</v>
      </c>
      <c r="F99" s="411">
        <v>33942.400000000001</v>
      </c>
      <c r="G99" s="173"/>
      <c r="H99" s="164">
        <v>43891</v>
      </c>
      <c r="I99" s="164">
        <v>43891</v>
      </c>
      <c r="J99" s="165" t="s">
        <v>722</v>
      </c>
      <c r="K99" s="51"/>
      <c r="L99" s="147"/>
      <c r="M99" s="167"/>
      <c r="N99" s="147"/>
      <c r="O99" s="147"/>
      <c r="P99" s="147"/>
      <c r="Q99" s="147"/>
      <c r="R99" s="147"/>
      <c r="S99" s="147"/>
      <c r="T99" s="147"/>
      <c r="U99" s="147"/>
      <c r="V99" s="163"/>
    </row>
    <row r="100" spans="1:22" s="44" customFormat="1" ht="45">
      <c r="A100" s="512"/>
      <c r="B100" s="522"/>
      <c r="C100" s="369"/>
      <c r="D100" s="1173"/>
      <c r="E100" s="518" t="s">
        <v>346</v>
      </c>
      <c r="F100" s="411">
        <v>6109.75</v>
      </c>
      <c r="G100" s="173"/>
      <c r="H100" s="164">
        <v>43983</v>
      </c>
      <c r="I100" s="164">
        <v>43983</v>
      </c>
      <c r="J100" s="165"/>
      <c r="K100" s="51"/>
      <c r="L100" s="147"/>
      <c r="M100" s="147"/>
      <c r="N100" s="147"/>
      <c r="O100" s="147"/>
      <c r="P100" s="167"/>
      <c r="Q100" s="147"/>
      <c r="R100" s="147"/>
      <c r="S100" s="147"/>
      <c r="T100" s="147"/>
      <c r="U100" s="147"/>
      <c r="V100" s="163"/>
    </row>
    <row r="101" spans="1:22" s="44" customFormat="1">
      <c r="A101" s="237"/>
      <c r="B101" s="1149" t="s">
        <v>567</v>
      </c>
      <c r="C101" s="1150"/>
      <c r="D101" s="1150"/>
      <c r="E101" s="1151"/>
      <c r="F101" s="407">
        <f>SUM(F91:F100)</f>
        <v>219871.43999999997</v>
      </c>
      <c r="G101" s="258"/>
      <c r="H101" s="249"/>
      <c r="I101" s="249"/>
      <c r="J101" s="255"/>
      <c r="K101" s="51"/>
      <c r="L101" s="147"/>
      <c r="M101" s="147"/>
      <c r="N101" s="147"/>
      <c r="O101" s="147"/>
      <c r="P101" s="147"/>
      <c r="Q101" s="147"/>
      <c r="R101" s="147"/>
      <c r="S101" s="147"/>
      <c r="T101" s="147"/>
      <c r="U101" s="147"/>
      <c r="V101" s="163"/>
    </row>
    <row r="102" spans="1:22" s="44" customFormat="1" ht="25.5">
      <c r="A102" s="237"/>
      <c r="B102" s="339"/>
      <c r="C102" s="48"/>
      <c r="D102" s="173"/>
      <c r="E102" s="285" t="s">
        <v>509</v>
      </c>
      <c r="F102" s="411">
        <v>17313.61</v>
      </c>
      <c r="G102" s="173"/>
      <c r="H102" s="164">
        <v>43831</v>
      </c>
      <c r="I102" s="164">
        <v>43983</v>
      </c>
      <c r="J102" s="165" t="s">
        <v>784</v>
      </c>
      <c r="K102" s="166"/>
      <c r="L102" s="167"/>
      <c r="M102" s="167"/>
      <c r="N102" s="167"/>
      <c r="O102" s="167"/>
      <c r="P102" s="167"/>
      <c r="Q102" s="147"/>
      <c r="R102" s="147"/>
      <c r="S102" s="147"/>
      <c r="T102" s="147"/>
      <c r="U102" s="147"/>
      <c r="V102" s="163"/>
    </row>
    <row r="103" spans="1:22" s="44" customFormat="1">
      <c r="A103" s="261"/>
      <c r="B103" s="1149" t="s">
        <v>602</v>
      </c>
      <c r="C103" s="1253"/>
      <c r="D103" s="1253"/>
      <c r="E103" s="1254"/>
      <c r="F103" s="407">
        <f>+F102+F101+F90</f>
        <v>644603.99</v>
      </c>
      <c r="G103" s="280"/>
      <c r="H103" s="269"/>
      <c r="I103" s="269"/>
      <c r="J103" s="270"/>
      <c r="K103" s="51"/>
      <c r="L103" s="147"/>
      <c r="M103" s="147"/>
      <c r="N103" s="147"/>
      <c r="O103" s="147"/>
      <c r="P103" s="147"/>
      <c r="Q103" s="147"/>
      <c r="R103" s="147"/>
      <c r="S103" s="147"/>
      <c r="T103" s="147"/>
      <c r="U103" s="147"/>
      <c r="V103" s="163"/>
    </row>
    <row r="104" spans="1:22" s="44" customFormat="1" ht="44.25" customHeight="1">
      <c r="A104" s="1038" t="s">
        <v>827</v>
      </c>
      <c r="B104" s="338"/>
      <c r="C104" s="24" t="str">
        <f>+'2. Results Matrix'!A48</f>
        <v>1.1.2.3</v>
      </c>
      <c r="D104" s="25"/>
      <c r="E104" s="25"/>
      <c r="F104" s="413"/>
      <c r="G104" s="25"/>
      <c r="H104" s="25"/>
      <c r="I104" s="25"/>
      <c r="J104" s="25"/>
      <c r="K104" s="26"/>
      <c r="L104" s="27"/>
      <c r="M104" s="27"/>
      <c r="N104" s="27"/>
      <c r="O104" s="27"/>
      <c r="P104" s="27"/>
      <c r="Q104" s="27"/>
      <c r="R104" s="27"/>
      <c r="S104" s="27"/>
      <c r="T104" s="27"/>
      <c r="U104" s="27"/>
      <c r="V104" s="43"/>
    </row>
    <row r="105" spans="1:22" s="44" customFormat="1" ht="25.5">
      <c r="A105" s="1039"/>
      <c r="B105" s="47"/>
      <c r="C105" s="48" t="str">
        <f>+'4. Procurement Plan'!I115</f>
        <v>20-1123a</v>
      </c>
      <c r="D105" s="1197" t="s">
        <v>783</v>
      </c>
      <c r="E105" s="260" t="s">
        <v>780</v>
      </c>
      <c r="F105" s="411">
        <v>59837.57</v>
      </c>
      <c r="G105" s="324"/>
      <c r="H105" s="164">
        <v>43831</v>
      </c>
      <c r="I105" s="164">
        <v>43831</v>
      </c>
      <c r="J105" s="1222" t="s">
        <v>785</v>
      </c>
      <c r="K105" s="166"/>
      <c r="L105" s="61"/>
      <c r="M105" s="61"/>
      <c r="N105" s="61"/>
      <c r="O105" s="61"/>
      <c r="P105" s="61"/>
      <c r="Q105" s="61"/>
      <c r="R105" s="61"/>
      <c r="S105" s="61"/>
      <c r="T105" s="61"/>
      <c r="U105" s="61"/>
      <c r="V105" s="61"/>
    </row>
    <row r="106" spans="1:22" s="44" customFormat="1" ht="38.25">
      <c r="A106" s="1039"/>
      <c r="B106" s="47"/>
      <c r="C106" s="48"/>
      <c r="D106" s="1198"/>
      <c r="E106" s="260" t="s">
        <v>781</v>
      </c>
      <c r="F106" s="411">
        <v>59837.57</v>
      </c>
      <c r="G106" s="324"/>
      <c r="H106" s="164">
        <v>43862</v>
      </c>
      <c r="I106" s="164">
        <v>43862</v>
      </c>
      <c r="J106" s="1223"/>
      <c r="K106" s="257"/>
      <c r="L106" s="167"/>
      <c r="M106" s="147"/>
      <c r="N106" s="61"/>
      <c r="O106" s="257"/>
      <c r="P106" s="257"/>
      <c r="Q106" s="257"/>
      <c r="R106" s="257"/>
      <c r="S106" s="257"/>
      <c r="T106" s="257"/>
      <c r="U106" s="61"/>
      <c r="V106" s="320"/>
    </row>
    <row r="107" spans="1:22" s="44" customFormat="1" ht="51">
      <c r="A107" s="1039"/>
      <c r="B107" s="47"/>
      <c r="C107" s="48"/>
      <c r="D107" s="1198"/>
      <c r="E107" s="260" t="s">
        <v>980</v>
      </c>
      <c r="F107" s="411">
        <v>14959.39</v>
      </c>
      <c r="G107" s="324"/>
      <c r="H107" s="164">
        <v>43891</v>
      </c>
      <c r="I107" s="164">
        <v>43891</v>
      </c>
      <c r="J107" s="1223"/>
      <c r="K107" s="257"/>
      <c r="L107" s="257"/>
      <c r="M107" s="167"/>
      <c r="N107" s="61"/>
      <c r="O107" s="257"/>
      <c r="P107" s="257"/>
      <c r="Q107" s="257"/>
      <c r="R107" s="257"/>
      <c r="S107" s="257"/>
      <c r="T107" s="257"/>
      <c r="U107" s="61"/>
      <c r="V107" s="320"/>
    </row>
    <row r="108" spans="1:22" s="44" customFormat="1">
      <c r="A108" s="1039"/>
      <c r="B108" s="47"/>
      <c r="C108" s="48"/>
      <c r="D108" s="1198"/>
      <c r="E108" s="260" t="s">
        <v>981</v>
      </c>
      <c r="F108" s="411">
        <v>7479.7</v>
      </c>
      <c r="G108" s="324"/>
      <c r="H108" s="164">
        <v>43941</v>
      </c>
      <c r="I108" s="164">
        <v>43941</v>
      </c>
      <c r="J108" s="1223"/>
      <c r="K108" s="257"/>
      <c r="L108" s="257"/>
      <c r="M108" s="147"/>
      <c r="N108" s="167"/>
      <c r="O108" s="257"/>
      <c r="P108" s="257"/>
      <c r="Q108" s="257"/>
      <c r="R108" s="257"/>
      <c r="S108" s="257"/>
      <c r="T108" s="257"/>
      <c r="U108" s="61"/>
      <c r="V108" s="320"/>
    </row>
    <row r="109" spans="1:22" s="44" customFormat="1">
      <c r="A109" s="1039"/>
      <c r="B109" s="47"/>
      <c r="C109" s="48"/>
      <c r="D109" s="1198"/>
      <c r="E109" s="260" t="s">
        <v>782</v>
      </c>
      <c r="F109" s="411">
        <v>7479.7</v>
      </c>
      <c r="G109" s="324"/>
      <c r="H109" s="164">
        <v>43952</v>
      </c>
      <c r="I109" s="164">
        <v>43952</v>
      </c>
      <c r="J109" s="1223"/>
      <c r="K109" s="257"/>
      <c r="L109" s="257"/>
      <c r="M109" s="147"/>
      <c r="N109" s="147"/>
      <c r="O109" s="167"/>
      <c r="P109" s="257"/>
      <c r="Q109" s="257"/>
      <c r="R109" s="257"/>
      <c r="S109" s="257"/>
      <c r="T109" s="257"/>
      <c r="U109" s="61"/>
      <c r="V109" s="320"/>
    </row>
    <row r="110" spans="1:22" s="44" customFormat="1">
      <c r="A110" s="1040"/>
      <c r="B110" s="1188" t="s">
        <v>568</v>
      </c>
      <c r="C110" s="1231"/>
      <c r="D110" s="1231"/>
      <c r="E110" s="1232"/>
      <c r="F110" s="407">
        <f>SUM(F105:F109)</f>
        <v>149593.93000000002</v>
      </c>
      <c r="G110" s="329"/>
      <c r="H110" s="249"/>
      <c r="I110" s="249"/>
      <c r="J110" s="1224"/>
      <c r="K110" s="332"/>
      <c r="L110" s="332"/>
      <c r="M110" s="332"/>
      <c r="N110" s="332"/>
      <c r="O110" s="332"/>
      <c r="P110" s="332"/>
      <c r="Q110" s="147"/>
      <c r="R110" s="332"/>
      <c r="S110" s="332"/>
      <c r="T110" s="332"/>
      <c r="U110" s="332"/>
      <c r="V110" s="336"/>
    </row>
    <row r="111" spans="1:22" s="44" customFormat="1" ht="16.5" thickBot="1">
      <c r="A111" s="1233" t="s">
        <v>569</v>
      </c>
      <c r="B111" s="1234"/>
      <c r="C111" s="1234"/>
      <c r="D111" s="1234"/>
      <c r="E111" s="1235"/>
      <c r="F111" s="415">
        <f>+F110+F103+F78+F38+F29+F19</f>
        <v>1813282.97</v>
      </c>
      <c r="G111" s="344"/>
      <c r="H111" s="344"/>
      <c r="I111" s="344"/>
      <c r="J111" s="344"/>
      <c r="K111" s="345"/>
      <c r="L111" s="345"/>
      <c r="M111" s="345"/>
      <c r="N111" s="345"/>
      <c r="O111" s="345"/>
      <c r="P111" s="345"/>
      <c r="Q111" s="345"/>
      <c r="R111" s="345"/>
      <c r="S111" s="345"/>
      <c r="T111" s="345"/>
      <c r="U111" s="345"/>
      <c r="V111" s="346"/>
    </row>
    <row r="112" spans="1:22" s="14" customFormat="1" ht="13.5" thickBot="1">
      <c r="A112" s="1174" t="s">
        <v>262</v>
      </c>
      <c r="B112" s="1175"/>
      <c r="C112" s="1175"/>
      <c r="D112" s="1175"/>
      <c r="E112" s="1175"/>
      <c r="F112" s="1175"/>
      <c r="G112" s="1175"/>
      <c r="H112" s="1175"/>
      <c r="I112" s="1175"/>
      <c r="J112" s="1175"/>
      <c r="K112" s="1175"/>
      <c r="L112" s="1175"/>
      <c r="M112" s="1175"/>
      <c r="N112" s="1175"/>
      <c r="O112" s="1175"/>
      <c r="P112" s="1175"/>
      <c r="Q112" s="1175"/>
      <c r="R112" s="1175"/>
      <c r="S112" s="1175"/>
      <c r="T112" s="1175"/>
      <c r="U112" s="1175"/>
      <c r="V112" s="1176"/>
    </row>
    <row r="113" spans="1:22" s="19" customFormat="1" ht="42" customHeight="1">
      <c r="A113" s="1180" t="s">
        <v>725</v>
      </c>
      <c r="B113" s="338"/>
      <c r="C113" s="176" t="str">
        <f>+'2. Results Matrix'!A59</f>
        <v>1.2.1.2</v>
      </c>
      <c r="D113" s="25"/>
      <c r="E113" s="25"/>
      <c r="F113" s="25"/>
      <c r="G113" s="25"/>
      <c r="H113" s="25"/>
      <c r="I113" s="25"/>
      <c r="J113" s="25"/>
      <c r="K113" s="26"/>
      <c r="L113" s="27"/>
      <c r="M113" s="27"/>
      <c r="N113" s="27"/>
      <c r="O113" s="27"/>
      <c r="P113" s="27"/>
      <c r="Q113" s="27"/>
      <c r="R113" s="27"/>
      <c r="S113" s="27"/>
      <c r="T113" s="27"/>
      <c r="U113" s="27"/>
      <c r="V113" s="43"/>
    </row>
    <row r="114" spans="1:22" s="19" customFormat="1" ht="25.5" customHeight="1">
      <c r="A114" s="1181"/>
      <c r="B114" s="50"/>
      <c r="C114" s="177"/>
      <c r="D114" s="1199" t="s">
        <v>828</v>
      </c>
      <c r="E114" s="172" t="s">
        <v>293</v>
      </c>
      <c r="F114" s="416">
        <v>141428.57</v>
      </c>
      <c r="G114" s="51"/>
      <c r="H114" s="136">
        <v>43831</v>
      </c>
      <c r="I114" s="136">
        <v>44002</v>
      </c>
      <c r="J114" s="143" t="s">
        <v>791</v>
      </c>
      <c r="K114" s="166"/>
      <c r="L114" s="167"/>
      <c r="M114" s="167"/>
      <c r="N114" s="167"/>
      <c r="O114" s="167"/>
      <c r="P114" s="167"/>
      <c r="Q114" s="147"/>
      <c r="R114" s="147"/>
      <c r="S114" s="147"/>
      <c r="T114" s="147"/>
      <c r="U114" s="147"/>
      <c r="V114" s="147"/>
    </row>
    <row r="115" spans="1:22" s="19" customFormat="1" ht="25.5" customHeight="1">
      <c r="A115" s="1181"/>
      <c r="B115" s="50"/>
      <c r="C115" s="177"/>
      <c r="D115" s="1200"/>
      <c r="E115" s="172" t="s">
        <v>982</v>
      </c>
      <c r="F115" s="416">
        <v>77357.14</v>
      </c>
      <c r="G115" s="51"/>
      <c r="H115" s="136">
        <v>43831</v>
      </c>
      <c r="I115" s="136">
        <v>43891</v>
      </c>
      <c r="J115" s="143" t="s">
        <v>791</v>
      </c>
      <c r="K115" s="166"/>
      <c r="L115" s="167"/>
      <c r="M115" s="167"/>
      <c r="N115" s="147"/>
      <c r="O115" s="147"/>
      <c r="P115" s="147"/>
      <c r="Q115" s="147"/>
      <c r="R115" s="147"/>
      <c r="S115" s="147"/>
      <c r="T115" s="147"/>
      <c r="U115" s="147"/>
      <c r="V115" s="181"/>
    </row>
    <row r="116" spans="1:22" s="19" customFormat="1" ht="38.25">
      <c r="A116" s="1181"/>
      <c r="B116" s="50"/>
      <c r="C116" s="177" t="str">
        <f>+'4. Procurement Plan'!I85</f>
        <v>20-1212a</v>
      </c>
      <c r="D116" s="1200"/>
      <c r="E116" s="172" t="s">
        <v>786</v>
      </c>
      <c r="F116" s="416">
        <v>28571.43</v>
      </c>
      <c r="G116" s="51"/>
      <c r="H116" s="136">
        <v>43831</v>
      </c>
      <c r="I116" s="136">
        <v>43891</v>
      </c>
      <c r="J116" s="143" t="s">
        <v>792</v>
      </c>
      <c r="K116" s="166"/>
      <c r="L116" s="167"/>
      <c r="M116" s="167"/>
      <c r="N116" s="147"/>
      <c r="O116" s="147"/>
      <c r="P116" s="147"/>
      <c r="Q116" s="147"/>
      <c r="R116" s="147"/>
      <c r="S116" s="147"/>
      <c r="T116" s="147"/>
      <c r="U116" s="147"/>
      <c r="V116" s="181"/>
    </row>
    <row r="117" spans="1:22" s="19" customFormat="1" ht="25.5">
      <c r="A117" s="1181"/>
      <c r="B117" s="50"/>
      <c r="C117" s="177" t="str">
        <f>+'4. Procurement Plan'!I86</f>
        <v>20-1212a(i)</v>
      </c>
      <c r="D117" s="1200"/>
      <c r="E117" s="172" t="s">
        <v>787</v>
      </c>
      <c r="F117" s="416">
        <v>1071.43</v>
      </c>
      <c r="G117" s="51"/>
      <c r="H117" s="136">
        <v>43831</v>
      </c>
      <c r="I117" s="136">
        <v>43891</v>
      </c>
      <c r="J117" s="143" t="s">
        <v>792</v>
      </c>
      <c r="K117" s="166"/>
      <c r="L117" s="167"/>
      <c r="M117" s="167"/>
      <c r="N117" s="147"/>
      <c r="O117" s="147"/>
      <c r="P117" s="147"/>
      <c r="Q117" s="147"/>
      <c r="R117" s="147"/>
      <c r="S117" s="147"/>
      <c r="T117" s="147"/>
      <c r="U117" s="147"/>
      <c r="V117" s="181"/>
    </row>
    <row r="118" spans="1:22" s="19" customFormat="1" ht="25.5">
      <c r="A118" s="1181"/>
      <c r="B118" s="50"/>
      <c r="C118" s="177" t="str">
        <f>+'4. Procurement Plan'!I87</f>
        <v>20-1212a(ii)</v>
      </c>
      <c r="D118" s="1200"/>
      <c r="E118" s="172" t="s">
        <v>788</v>
      </c>
      <c r="F118" s="416">
        <v>5000</v>
      </c>
      <c r="G118" s="51"/>
      <c r="H118" s="136">
        <v>43831</v>
      </c>
      <c r="I118" s="136">
        <v>43891</v>
      </c>
      <c r="J118" s="143" t="s">
        <v>792</v>
      </c>
      <c r="K118" s="166"/>
      <c r="L118" s="167"/>
      <c r="M118" s="167"/>
      <c r="N118" s="147"/>
      <c r="O118" s="147"/>
      <c r="P118" s="147"/>
      <c r="Q118" s="147"/>
      <c r="R118" s="147"/>
      <c r="S118" s="147"/>
      <c r="T118" s="147"/>
      <c r="U118" s="147"/>
      <c r="V118" s="181"/>
    </row>
    <row r="119" spans="1:22" s="19" customFormat="1" ht="38.25">
      <c r="A119" s="1181"/>
      <c r="B119" s="50"/>
      <c r="C119" s="177" t="str">
        <f>+'4. Procurement Plan'!I35</f>
        <v>20-1212b</v>
      </c>
      <c r="D119" s="1200"/>
      <c r="E119" s="172" t="s">
        <v>789</v>
      </c>
      <c r="F119" s="416">
        <v>1428.57</v>
      </c>
      <c r="G119" s="51"/>
      <c r="H119" s="136">
        <v>43831</v>
      </c>
      <c r="I119" s="136">
        <v>43891</v>
      </c>
      <c r="J119" s="143" t="s">
        <v>792</v>
      </c>
      <c r="K119" s="166"/>
      <c r="L119" s="167"/>
      <c r="M119" s="167"/>
      <c r="N119" s="147"/>
      <c r="O119" s="147"/>
      <c r="P119" s="147"/>
      <c r="Q119" s="147"/>
      <c r="R119" s="147"/>
      <c r="S119" s="147"/>
      <c r="T119" s="147"/>
      <c r="U119" s="147"/>
      <c r="V119" s="181"/>
    </row>
    <row r="120" spans="1:22" s="19" customFormat="1" ht="38.25">
      <c r="A120" s="1181"/>
      <c r="B120" s="50"/>
      <c r="C120" s="177" t="str">
        <f>+'4. Procurement Plan'!I36</f>
        <v>20-1212b(i)</v>
      </c>
      <c r="D120" s="1201"/>
      <c r="E120" s="173" t="s">
        <v>790</v>
      </c>
      <c r="F120" s="416">
        <v>857.14</v>
      </c>
      <c r="G120" s="51"/>
      <c r="H120" s="136">
        <v>43831</v>
      </c>
      <c r="I120" s="136">
        <v>43891</v>
      </c>
      <c r="J120" s="143" t="s">
        <v>792</v>
      </c>
      <c r="K120" s="166"/>
      <c r="L120" s="167"/>
      <c r="M120" s="167"/>
      <c r="N120" s="147"/>
      <c r="O120" s="147"/>
      <c r="P120" s="147"/>
      <c r="Q120" s="147"/>
      <c r="R120" s="147"/>
      <c r="S120" s="147"/>
      <c r="T120" s="147"/>
      <c r="U120" s="147"/>
      <c r="V120" s="181"/>
    </row>
    <row r="121" spans="1:22" s="19" customFormat="1" ht="13.5" thickBot="1">
      <c r="A121" s="1182"/>
      <c r="B121" s="1191" t="s">
        <v>587</v>
      </c>
      <c r="C121" s="1192"/>
      <c r="D121" s="1192"/>
      <c r="E121" s="1193"/>
      <c r="F121" s="417">
        <f>SUM(F114:F120)</f>
        <v>255714.28000000003</v>
      </c>
      <c r="G121" s="271"/>
      <c r="H121" s="271"/>
      <c r="I121" s="271"/>
      <c r="J121" s="271"/>
      <c r="K121" s="38"/>
      <c r="L121" s="39"/>
      <c r="M121" s="39"/>
      <c r="N121" s="39"/>
      <c r="O121" s="39"/>
      <c r="P121" s="39"/>
      <c r="Q121" s="39"/>
      <c r="R121" s="39"/>
      <c r="S121" s="39"/>
      <c r="T121" s="39"/>
      <c r="U121" s="39"/>
      <c r="V121" s="292"/>
    </row>
    <row r="122" spans="1:22" s="19" customFormat="1" ht="41.25" customHeight="1">
      <c r="A122" s="1228" t="s">
        <v>355</v>
      </c>
      <c r="B122" s="338"/>
      <c r="C122" s="176" t="str">
        <f>+'2. Results Matrix'!A63</f>
        <v>1.2.1.3b</v>
      </c>
      <c r="D122" s="25"/>
      <c r="E122" s="25"/>
      <c r="F122" s="413"/>
      <c r="G122" s="25"/>
      <c r="H122" s="25"/>
      <c r="I122" s="25"/>
      <c r="J122" s="25"/>
      <c r="K122" s="26"/>
      <c r="L122" s="27"/>
      <c r="M122" s="27"/>
      <c r="N122" s="27"/>
      <c r="O122" s="27"/>
      <c r="P122" s="27"/>
      <c r="Q122" s="27"/>
      <c r="R122" s="27"/>
      <c r="S122" s="27"/>
      <c r="T122" s="27"/>
      <c r="U122" s="27"/>
      <c r="V122" s="43"/>
    </row>
    <row r="123" spans="1:22" s="44" customFormat="1" ht="26.25" customHeight="1">
      <c r="A123" s="1229"/>
      <c r="B123" s="47"/>
      <c r="C123" s="48"/>
      <c r="D123" s="257" t="s">
        <v>829</v>
      </c>
      <c r="E123" s="155" t="s">
        <v>352</v>
      </c>
      <c r="F123" s="182"/>
      <c r="G123" s="324"/>
      <c r="H123" s="136"/>
      <c r="I123" s="136"/>
      <c r="J123" s="175" t="s">
        <v>354</v>
      </c>
      <c r="K123" s="257"/>
      <c r="L123" s="257"/>
      <c r="M123" s="257"/>
      <c r="N123" s="257"/>
      <c r="O123" s="257"/>
      <c r="P123" s="257"/>
      <c r="Q123" s="257"/>
      <c r="R123" s="257"/>
      <c r="S123" s="257"/>
      <c r="T123" s="257"/>
      <c r="U123" s="257"/>
      <c r="V123" s="316"/>
    </row>
    <row r="124" spans="1:22" s="44" customFormat="1" ht="39" customHeight="1">
      <c r="A124" s="1229"/>
      <c r="B124" s="49"/>
      <c r="C124" s="33"/>
      <c r="D124" s="178"/>
      <c r="E124" s="59" t="s">
        <v>984</v>
      </c>
      <c r="F124" s="419">
        <v>3571</v>
      </c>
      <c r="G124" s="178"/>
      <c r="H124" s="136">
        <v>43831</v>
      </c>
      <c r="I124" s="136">
        <v>43891</v>
      </c>
      <c r="J124" s="175" t="s">
        <v>793</v>
      </c>
      <c r="K124" s="304"/>
      <c r="L124" s="304"/>
      <c r="M124" s="304"/>
      <c r="N124" s="61"/>
      <c r="O124" s="61"/>
      <c r="P124" s="61"/>
      <c r="Q124" s="61"/>
      <c r="R124" s="61"/>
      <c r="S124" s="61"/>
      <c r="T124" s="61"/>
      <c r="U124" s="61"/>
      <c r="V124" s="61"/>
    </row>
    <row r="125" spans="1:22" s="44" customFormat="1" ht="16.5" thickBot="1">
      <c r="A125" s="1230"/>
      <c r="B125" s="1185" t="s">
        <v>570</v>
      </c>
      <c r="C125" s="1186"/>
      <c r="D125" s="1186"/>
      <c r="E125" s="1187"/>
      <c r="F125" s="418">
        <f>SUM(F123:F124)</f>
        <v>3571</v>
      </c>
      <c r="G125" s="347"/>
      <c r="H125" s="347"/>
      <c r="I125" s="347"/>
      <c r="J125" s="347"/>
      <c r="K125" s="327"/>
      <c r="L125" s="327"/>
      <c r="M125" s="327"/>
      <c r="N125" s="327"/>
      <c r="O125" s="327"/>
      <c r="P125" s="327"/>
      <c r="Q125" s="327"/>
      <c r="R125" s="327"/>
      <c r="S125" s="327"/>
      <c r="T125" s="327"/>
      <c r="U125" s="327"/>
      <c r="V125" s="328"/>
    </row>
    <row r="126" spans="1:22" s="44" customFormat="1" ht="39" customHeight="1" thickBot="1">
      <c r="A126" s="263"/>
      <c r="B126" s="1243" t="s">
        <v>586</v>
      </c>
      <c r="C126" s="1244"/>
      <c r="D126" s="1244"/>
      <c r="E126" s="1245"/>
      <c r="F126" s="420">
        <f>+F125</f>
        <v>3571</v>
      </c>
      <c r="G126" s="329"/>
      <c r="H126" s="329"/>
      <c r="I126" s="329"/>
      <c r="J126" s="329"/>
      <c r="K126" s="332"/>
      <c r="L126" s="332"/>
      <c r="M126" s="332"/>
      <c r="N126" s="332"/>
      <c r="O126" s="332"/>
      <c r="P126" s="332"/>
      <c r="Q126" s="332"/>
      <c r="R126" s="332"/>
      <c r="S126" s="332"/>
      <c r="T126" s="332"/>
      <c r="U126" s="332"/>
      <c r="V126" s="336"/>
    </row>
    <row r="127" spans="1:22" s="19" customFormat="1" ht="63.75" customHeight="1">
      <c r="A127" s="1180" t="s">
        <v>983</v>
      </c>
      <c r="B127" s="338"/>
      <c r="C127" s="48" t="str">
        <f>+'2. Results Matrix'!A65</f>
        <v>1.2.1.4</v>
      </c>
      <c r="D127" s="25"/>
      <c r="E127" s="25"/>
      <c r="F127" s="25"/>
      <c r="G127" s="25"/>
      <c r="H127" s="25"/>
      <c r="I127" s="25"/>
      <c r="J127" s="25"/>
      <c r="K127" s="26"/>
      <c r="L127" s="27"/>
      <c r="M127" s="27"/>
      <c r="N127" s="27"/>
      <c r="O127" s="27"/>
      <c r="P127" s="27"/>
      <c r="Q127" s="27"/>
      <c r="R127" s="27"/>
      <c r="S127" s="27"/>
      <c r="T127" s="27"/>
      <c r="U127" s="27"/>
      <c r="V127" s="43"/>
    </row>
    <row r="128" spans="1:22" s="44" customFormat="1" ht="38.25">
      <c r="A128" s="1183"/>
      <c r="B128" s="47"/>
      <c r="C128" s="48"/>
      <c r="D128" s="257" t="s">
        <v>831</v>
      </c>
      <c r="E128" s="155" t="s">
        <v>353</v>
      </c>
      <c r="F128" s="408">
        <v>200000</v>
      </c>
      <c r="G128" s="324"/>
      <c r="H128" s="136">
        <v>43831</v>
      </c>
      <c r="I128" s="174">
        <v>44002</v>
      </c>
      <c r="J128" s="175" t="s">
        <v>986</v>
      </c>
      <c r="K128" s="317"/>
      <c r="L128" s="317"/>
      <c r="M128" s="317"/>
      <c r="N128" s="317"/>
      <c r="O128" s="317"/>
      <c r="P128" s="317"/>
      <c r="Q128" s="257"/>
      <c r="R128" s="257"/>
      <c r="S128" s="257"/>
      <c r="T128" s="257"/>
      <c r="U128" s="257"/>
      <c r="V128" s="257"/>
    </row>
    <row r="129" spans="1:22" s="44" customFormat="1">
      <c r="A129" s="1183"/>
      <c r="B129" s="47"/>
      <c r="C129" s="48"/>
      <c r="D129" s="257"/>
      <c r="E129" s="182"/>
      <c r="F129" s="408"/>
      <c r="G129" s="324"/>
      <c r="H129" s="228"/>
      <c r="I129" s="179"/>
      <c r="J129" s="238"/>
      <c r="K129" s="257"/>
      <c r="L129" s="257"/>
      <c r="M129" s="257"/>
      <c r="N129" s="257"/>
      <c r="O129" s="257"/>
      <c r="P129" s="257"/>
      <c r="Q129" s="257"/>
      <c r="R129" s="257"/>
      <c r="S129" s="257"/>
      <c r="T129" s="257"/>
      <c r="U129" s="257"/>
      <c r="V129" s="316"/>
    </row>
    <row r="130" spans="1:22" s="44" customFormat="1">
      <c r="A130" s="1184"/>
      <c r="B130" s="1188" t="s">
        <v>571</v>
      </c>
      <c r="C130" s="1189"/>
      <c r="D130" s="1189"/>
      <c r="E130" s="1190"/>
      <c r="F130" s="421">
        <f>SUM(F128:F129)</f>
        <v>200000</v>
      </c>
      <c r="G130" s="337"/>
      <c r="H130" s="264"/>
      <c r="I130" s="265"/>
      <c r="J130" s="266"/>
      <c r="K130" s="257"/>
      <c r="L130" s="257"/>
      <c r="M130" s="257"/>
      <c r="N130" s="257"/>
      <c r="O130" s="257"/>
      <c r="P130" s="257"/>
      <c r="Q130" s="257"/>
      <c r="R130" s="257"/>
      <c r="S130" s="257"/>
      <c r="T130" s="257"/>
      <c r="U130" s="257"/>
      <c r="V130" s="316"/>
    </row>
    <row r="131" spans="1:22" s="19" customFormat="1" ht="58.5" customHeight="1">
      <c r="A131" s="1225" t="s">
        <v>585</v>
      </c>
      <c r="B131" s="338"/>
      <c r="C131" s="24" t="str">
        <f>+'2. Results Matrix'!A67</f>
        <v>1.2.2.1</v>
      </c>
      <c r="D131" s="25"/>
      <c r="E131" s="25"/>
      <c r="F131" s="25"/>
      <c r="G131" s="25"/>
      <c r="H131" s="25"/>
      <c r="I131" s="25"/>
      <c r="J131" s="25"/>
      <c r="K131" s="26"/>
      <c r="L131" s="27"/>
      <c r="M131" s="27"/>
      <c r="N131" s="27"/>
      <c r="O131" s="27"/>
      <c r="P131" s="27"/>
      <c r="Q131" s="27"/>
      <c r="R131" s="27"/>
      <c r="S131" s="27"/>
      <c r="T131" s="27"/>
      <c r="U131" s="27"/>
      <c r="V131" s="43"/>
    </row>
    <row r="132" spans="1:22" s="44" customFormat="1">
      <c r="A132" s="1226"/>
      <c r="B132" s="178"/>
      <c r="C132" s="178"/>
      <c r="D132" s="541" t="s">
        <v>830</v>
      </c>
      <c r="E132" s="178" t="s">
        <v>548</v>
      </c>
      <c r="F132" s="422">
        <v>9270.02</v>
      </c>
      <c r="G132" s="178"/>
      <c r="H132" s="136">
        <v>43831</v>
      </c>
      <c r="I132" s="136">
        <v>43891</v>
      </c>
      <c r="J132" s="159" t="s">
        <v>985</v>
      </c>
      <c r="K132" s="304"/>
      <c r="L132" s="304"/>
      <c r="M132" s="304"/>
      <c r="N132" s="61"/>
      <c r="O132" s="61"/>
      <c r="P132" s="61"/>
      <c r="Q132" s="61"/>
      <c r="R132" s="61"/>
      <c r="S132" s="61"/>
      <c r="T132" s="61"/>
      <c r="U132" s="61"/>
      <c r="V132" s="61"/>
    </row>
    <row r="133" spans="1:22" s="44" customFormat="1">
      <c r="A133" s="1227"/>
      <c r="B133" s="267" t="s">
        <v>572</v>
      </c>
      <c r="C133" s="267"/>
      <c r="D133" s="267"/>
      <c r="E133" s="267"/>
      <c r="F133" s="423">
        <f>SUM(F132:F132)</f>
        <v>9270.02</v>
      </c>
      <c r="G133" s="267"/>
      <c r="H133" s="268"/>
      <c r="I133" s="269"/>
      <c r="J133" s="270"/>
      <c r="K133" s="257"/>
      <c r="L133" s="257"/>
      <c r="M133" s="257"/>
      <c r="N133" s="257"/>
      <c r="O133" s="257"/>
      <c r="P133" s="257"/>
      <c r="Q133" s="257"/>
      <c r="R133" s="257"/>
      <c r="S133" s="257"/>
      <c r="T133" s="257"/>
      <c r="U133" s="257"/>
      <c r="V133" s="320"/>
    </row>
    <row r="134" spans="1:22" s="44" customFormat="1" ht="68.25" customHeight="1">
      <c r="A134" s="1166" t="s">
        <v>991</v>
      </c>
      <c r="B134" s="338"/>
      <c r="C134" s="24" t="str">
        <f>+'2. Results Matrix'!A69</f>
        <v>1.2.2.2</v>
      </c>
      <c r="D134" s="25"/>
      <c r="E134" s="25"/>
      <c r="F134" s="413"/>
      <c r="G134" s="25"/>
      <c r="H134" s="25"/>
      <c r="I134" s="25"/>
      <c r="J134" s="25"/>
      <c r="K134" s="26"/>
      <c r="L134" s="27"/>
      <c r="M134" s="27"/>
      <c r="N134" s="27"/>
      <c r="O134" s="27"/>
      <c r="P134" s="27"/>
      <c r="Q134" s="27"/>
      <c r="R134" s="27"/>
      <c r="S134" s="27"/>
      <c r="T134" s="27"/>
      <c r="U134" s="27"/>
      <c r="V134" s="43"/>
    </row>
    <row r="135" spans="1:22" s="44" customFormat="1" ht="24">
      <c r="A135" s="1183"/>
      <c r="B135" s="339"/>
      <c r="C135" s="48"/>
      <c r="D135" s="530" t="s">
        <v>832</v>
      </c>
      <c r="E135" s="155" t="s">
        <v>356</v>
      </c>
      <c r="F135" s="409">
        <v>29449.29</v>
      </c>
      <c r="G135" s="173"/>
      <c r="H135" s="136">
        <v>43831</v>
      </c>
      <c r="I135" s="136">
        <v>43891</v>
      </c>
      <c r="J135" s="159" t="s">
        <v>987</v>
      </c>
      <c r="K135" s="166"/>
      <c r="L135" s="167"/>
      <c r="M135" s="167"/>
      <c r="N135" s="147"/>
      <c r="O135" s="147"/>
      <c r="P135" s="147"/>
      <c r="Q135" s="147"/>
      <c r="R135" s="147"/>
      <c r="S135" s="147"/>
      <c r="T135" s="147"/>
      <c r="U135" s="147"/>
      <c r="V135" s="147"/>
    </row>
    <row r="136" spans="1:22" s="44" customFormat="1" ht="24">
      <c r="A136" s="1183"/>
      <c r="B136" s="522"/>
      <c r="C136" s="369"/>
      <c r="D136" s="530" t="s">
        <v>988</v>
      </c>
      <c r="E136" s="155" t="s">
        <v>989</v>
      </c>
      <c r="F136" s="409">
        <v>10714.29</v>
      </c>
      <c r="G136" s="173"/>
      <c r="H136" s="136">
        <v>43831</v>
      </c>
      <c r="I136" s="136">
        <v>43891</v>
      </c>
      <c r="J136" s="143" t="s">
        <v>993</v>
      </c>
      <c r="K136" s="166"/>
      <c r="L136" s="167"/>
      <c r="M136" s="167"/>
      <c r="N136" s="147"/>
      <c r="O136" s="147"/>
      <c r="P136" s="147"/>
      <c r="Q136" s="147"/>
      <c r="R136" s="147"/>
      <c r="S136" s="147"/>
      <c r="T136" s="147"/>
      <c r="U136" s="147"/>
      <c r="V136" s="181"/>
    </row>
    <row r="137" spans="1:22" s="44" customFormat="1">
      <c r="A137" s="1183"/>
      <c r="B137" s="522"/>
      <c r="C137" s="369"/>
      <c r="D137" s="530"/>
      <c r="E137" s="155" t="s">
        <v>990</v>
      </c>
      <c r="F137" s="409">
        <v>10714.29</v>
      </c>
      <c r="G137" s="173"/>
      <c r="H137" s="136">
        <v>43831</v>
      </c>
      <c r="I137" s="136">
        <v>43891</v>
      </c>
      <c r="J137" s="143" t="s">
        <v>993</v>
      </c>
      <c r="K137" s="166"/>
      <c r="L137" s="167"/>
      <c r="M137" s="167"/>
      <c r="N137" s="147"/>
      <c r="O137" s="147"/>
      <c r="P137" s="147"/>
      <c r="Q137" s="147"/>
      <c r="R137" s="147"/>
      <c r="S137" s="147"/>
      <c r="T137" s="147"/>
      <c r="U137" s="147"/>
      <c r="V137" s="181"/>
    </row>
    <row r="138" spans="1:22" s="44" customFormat="1">
      <c r="A138" s="1184"/>
      <c r="B138" s="1168" t="s">
        <v>573</v>
      </c>
      <c r="C138" s="1169"/>
      <c r="D138" s="1169"/>
      <c r="E138" s="1170"/>
      <c r="F138" s="410">
        <f>SUM(F135:F137)</f>
        <v>50877.87</v>
      </c>
      <c r="G138" s="258"/>
      <c r="H138" s="258"/>
      <c r="I138" s="258"/>
      <c r="J138" s="258"/>
      <c r="K138" s="51"/>
      <c r="L138" s="147"/>
      <c r="M138" s="147"/>
      <c r="N138" s="147"/>
      <c r="O138" s="147"/>
      <c r="P138" s="147"/>
      <c r="Q138" s="147"/>
      <c r="R138" s="147"/>
      <c r="S138" s="147"/>
      <c r="T138" s="147"/>
      <c r="U138" s="147"/>
      <c r="V138" s="163"/>
    </row>
    <row r="139" spans="1:22" s="44" customFormat="1" ht="38.25">
      <c r="A139" s="638" t="s">
        <v>994</v>
      </c>
      <c r="B139" s="639"/>
      <c r="C139" s="640"/>
      <c r="D139" s="638" t="s">
        <v>995</v>
      </c>
      <c r="E139" s="643" t="s">
        <v>996</v>
      </c>
      <c r="F139" s="424">
        <v>12607.03</v>
      </c>
      <c r="G139" s="173"/>
      <c r="H139" s="136">
        <v>43831</v>
      </c>
      <c r="I139" s="136">
        <v>43891</v>
      </c>
      <c r="J139" s="173" t="s">
        <v>997</v>
      </c>
      <c r="K139" s="166"/>
      <c r="L139" s="167"/>
      <c r="M139" s="167"/>
      <c r="N139" s="566"/>
      <c r="O139" s="566"/>
      <c r="P139" s="566"/>
      <c r="Q139" s="566"/>
      <c r="R139" s="566"/>
      <c r="S139" s="566"/>
      <c r="T139" s="566"/>
      <c r="U139" s="566"/>
      <c r="V139" s="566"/>
    </row>
    <row r="140" spans="1:22" s="44" customFormat="1" ht="25.5">
      <c r="A140" s="638"/>
      <c r="B140" s="639"/>
      <c r="C140" s="640"/>
      <c r="D140" s="640"/>
      <c r="E140" s="641" t="s">
        <v>353</v>
      </c>
      <c r="F140" s="424">
        <v>564.29</v>
      </c>
      <c r="G140" s="173"/>
      <c r="H140" s="136">
        <v>43831</v>
      </c>
      <c r="I140" s="136">
        <v>43891</v>
      </c>
      <c r="J140" s="173" t="s">
        <v>997</v>
      </c>
      <c r="K140" s="166"/>
      <c r="L140" s="167"/>
      <c r="M140" s="167"/>
      <c r="N140" s="566"/>
      <c r="O140" s="566"/>
      <c r="P140" s="566"/>
      <c r="Q140" s="566"/>
      <c r="R140" s="566"/>
      <c r="S140" s="566"/>
      <c r="T140" s="566"/>
      <c r="U140" s="566"/>
      <c r="V140" s="566"/>
    </row>
    <row r="141" spans="1:22" s="44" customFormat="1">
      <c r="A141" s="638"/>
      <c r="B141" s="1168" t="s">
        <v>998</v>
      </c>
      <c r="C141" s="1169"/>
      <c r="D141" s="1169"/>
      <c r="E141" s="1170"/>
      <c r="F141" s="410">
        <f>SUM(F139:F140)</f>
        <v>13171.32</v>
      </c>
      <c r="G141" s="258"/>
      <c r="H141" s="258"/>
      <c r="I141" s="258"/>
      <c r="J141" s="258"/>
      <c r="K141" s="51"/>
      <c r="L141" s="147"/>
      <c r="M141" s="147"/>
      <c r="N141" s="566"/>
      <c r="O141" s="566"/>
      <c r="P141" s="566"/>
      <c r="Q141" s="566"/>
      <c r="R141" s="566"/>
      <c r="S141" s="566"/>
      <c r="T141" s="566"/>
      <c r="U141" s="566"/>
      <c r="V141" s="566"/>
    </row>
    <row r="142" spans="1:22" s="44" customFormat="1" ht="38.25">
      <c r="A142" s="169"/>
      <c r="B142" s="169"/>
      <c r="C142" s="157"/>
      <c r="D142" s="155" t="s">
        <v>724</v>
      </c>
      <c r="E142" s="343" t="s">
        <v>351</v>
      </c>
      <c r="F142" s="414">
        <v>313864.63</v>
      </c>
      <c r="G142" s="343"/>
      <c r="H142" s="164">
        <v>43831</v>
      </c>
      <c r="I142" s="164">
        <v>43891</v>
      </c>
      <c r="J142" s="170" t="s">
        <v>992</v>
      </c>
      <c r="K142" s="167"/>
      <c r="L142" s="167"/>
      <c r="M142" s="167"/>
      <c r="N142" s="566"/>
      <c r="O142" s="566"/>
      <c r="P142" s="566"/>
      <c r="Q142" s="566"/>
      <c r="R142" s="566"/>
      <c r="S142" s="566"/>
      <c r="T142" s="566"/>
      <c r="U142" s="566"/>
      <c r="V142" s="566"/>
    </row>
    <row r="143" spans="1:22" s="44" customFormat="1">
      <c r="A143" s="239" t="s">
        <v>574</v>
      </c>
      <c r="B143" s="240"/>
      <c r="C143" s="241"/>
      <c r="D143" s="242"/>
      <c r="E143" s="243"/>
      <c r="F143" s="425">
        <f>+F142+F141+F138+F133+F130+F126+F121</f>
        <v>846469.12000000011</v>
      </c>
      <c r="G143" s="242"/>
      <c r="H143" s="295"/>
      <c r="I143" s="244"/>
      <c r="J143" s="242"/>
      <c r="K143" s="243"/>
      <c r="L143" s="243"/>
      <c r="M143" s="243"/>
      <c r="N143" s="243"/>
      <c r="O143" s="243"/>
      <c r="P143" s="243"/>
      <c r="Q143" s="243"/>
      <c r="R143" s="243"/>
      <c r="S143" s="243"/>
      <c r="T143" s="243"/>
      <c r="U143" s="243"/>
      <c r="V143" s="243"/>
    </row>
    <row r="144" spans="1:22" s="44" customFormat="1" ht="16.5" thickBot="1">
      <c r="A144" s="1152"/>
      <c r="B144" s="1153"/>
      <c r="C144" s="1153"/>
      <c r="D144" s="1153"/>
      <c r="E144" s="1153"/>
      <c r="F144" s="1153"/>
      <c r="G144" s="1153"/>
      <c r="H144" s="1153"/>
      <c r="I144" s="1153"/>
      <c r="J144" s="1153"/>
      <c r="K144" s="1153"/>
      <c r="L144" s="1153"/>
      <c r="M144" s="1153"/>
      <c r="N144" s="1153"/>
      <c r="O144" s="1153"/>
      <c r="P144" s="1153"/>
      <c r="Q144" s="1153"/>
      <c r="R144" s="1153"/>
      <c r="S144" s="1153"/>
      <c r="T144" s="1153"/>
      <c r="U144" s="1153"/>
      <c r="V144" s="1154"/>
    </row>
    <row r="145" spans="1:22" s="44" customFormat="1" ht="60" customHeight="1">
      <c r="A145" s="543"/>
      <c r="B145" s="338"/>
      <c r="C145" s="24" t="str">
        <f>+'2. Results Matrix'!A76</f>
        <v>1.3.1.1a,c,d</v>
      </c>
      <c r="D145" s="25"/>
      <c r="E145" s="25"/>
      <c r="F145" s="25"/>
      <c r="G145" s="25"/>
      <c r="H145" s="25"/>
      <c r="I145" s="25"/>
      <c r="J145" s="25"/>
      <c r="K145" s="26"/>
      <c r="L145" s="27"/>
      <c r="M145" s="27"/>
      <c r="N145" s="27"/>
      <c r="O145" s="27"/>
      <c r="P145" s="27"/>
      <c r="Q145" s="27"/>
      <c r="R145" s="27"/>
      <c r="S145" s="27"/>
      <c r="T145" s="27"/>
      <c r="U145" s="27"/>
      <c r="V145" s="43"/>
    </row>
    <row r="146" spans="1:22" s="44" customFormat="1" ht="60" customHeight="1">
      <c r="A146" s="544"/>
      <c r="B146" s="348"/>
      <c r="C146" s="48"/>
      <c r="D146" s="1106" t="s">
        <v>485</v>
      </c>
      <c r="E146" s="296" t="s">
        <v>999</v>
      </c>
      <c r="F146" s="623">
        <v>10800</v>
      </c>
      <c r="G146" s="25"/>
      <c r="H146" s="676">
        <v>43831</v>
      </c>
      <c r="I146" s="677">
        <v>44166</v>
      </c>
      <c r="J146" s="175" t="s">
        <v>726</v>
      </c>
      <c r="K146" s="167"/>
      <c r="L146" s="167"/>
      <c r="M146" s="167"/>
      <c r="N146" s="167"/>
      <c r="O146" s="167"/>
      <c r="P146" s="167"/>
      <c r="Q146" s="167"/>
      <c r="R146" s="167"/>
      <c r="S146" s="167"/>
      <c r="T146" s="167"/>
      <c r="U146" s="167"/>
      <c r="V146" s="167"/>
    </row>
    <row r="147" spans="1:22" s="44" customFormat="1" ht="60" customHeight="1">
      <c r="A147" s="544"/>
      <c r="B147" s="348"/>
      <c r="C147" s="48"/>
      <c r="D147" s="1107"/>
      <c r="E147" s="5" t="s">
        <v>1000</v>
      </c>
      <c r="F147" s="623">
        <v>13714.29</v>
      </c>
      <c r="G147" s="25"/>
      <c r="H147" s="676">
        <v>43831</v>
      </c>
      <c r="I147" s="677">
        <v>44166</v>
      </c>
      <c r="J147" s="175"/>
      <c r="K147" s="167"/>
      <c r="L147" s="167"/>
      <c r="M147" s="167"/>
      <c r="N147" s="167"/>
      <c r="O147" s="167"/>
      <c r="P147" s="167"/>
      <c r="Q147" s="167"/>
      <c r="R147" s="167"/>
      <c r="S147" s="167"/>
      <c r="T147" s="167"/>
      <c r="U147" s="167"/>
      <c r="V147" s="167"/>
    </row>
    <row r="148" spans="1:22" s="44" customFormat="1" ht="60" customHeight="1">
      <c r="A148" s="544"/>
      <c r="B148" s="348"/>
      <c r="C148" s="48" t="str">
        <f>+'4. Procurement Plan'!I10</f>
        <v>20-1311h(i)</v>
      </c>
      <c r="D148" s="1143" t="s">
        <v>727</v>
      </c>
      <c r="E148" s="645" t="s">
        <v>1001</v>
      </c>
      <c r="F148" s="623"/>
      <c r="G148" s="25"/>
      <c r="H148" s="659" t="s">
        <v>1070</v>
      </c>
      <c r="I148" s="659" t="s">
        <v>1070</v>
      </c>
      <c r="J148" s="660" t="s">
        <v>1071</v>
      </c>
      <c r="K148" s="26"/>
      <c r="L148" s="27"/>
      <c r="M148" s="27"/>
      <c r="N148" s="27"/>
      <c r="O148" s="27"/>
      <c r="P148" s="27"/>
      <c r="Q148" s="27"/>
      <c r="R148" s="27"/>
      <c r="S148" s="27"/>
      <c r="T148" s="27"/>
      <c r="U148" s="27"/>
      <c r="V148" s="644"/>
    </row>
    <row r="149" spans="1:22" s="44" customFormat="1" ht="60" customHeight="1">
      <c r="A149" s="1136" t="s">
        <v>1002</v>
      </c>
      <c r="B149" s="348"/>
      <c r="C149" s="48"/>
      <c r="D149" s="1144"/>
      <c r="E149" s="645" t="s">
        <v>1003</v>
      </c>
      <c r="F149" s="623">
        <v>16280</v>
      </c>
      <c r="G149" s="25"/>
      <c r="H149" s="659" t="s">
        <v>1072</v>
      </c>
      <c r="I149" s="659" t="s">
        <v>1073</v>
      </c>
      <c r="J149" s="660" t="s">
        <v>1071</v>
      </c>
      <c r="K149" s="167"/>
      <c r="L149" s="167"/>
      <c r="M149" s="27"/>
      <c r="N149" s="27"/>
      <c r="O149" s="27"/>
      <c r="P149" s="27"/>
      <c r="Q149" s="27"/>
      <c r="R149" s="27"/>
      <c r="S149" s="27"/>
      <c r="T149" s="27"/>
      <c r="U149" s="27"/>
      <c r="V149" s="644"/>
    </row>
    <row r="150" spans="1:22" s="44" customFormat="1" ht="60" customHeight="1">
      <c r="A150" s="1136"/>
      <c r="B150" s="348"/>
      <c r="C150" s="48"/>
      <c r="D150" s="1144"/>
      <c r="E150" s="645" t="s">
        <v>599</v>
      </c>
      <c r="F150" s="623">
        <v>8457.14</v>
      </c>
      <c r="G150" s="25"/>
      <c r="H150" s="659" t="s">
        <v>1073</v>
      </c>
      <c r="I150" s="659" t="s">
        <v>1074</v>
      </c>
      <c r="J150" s="660" t="s">
        <v>1071</v>
      </c>
      <c r="K150" s="26"/>
      <c r="L150" s="167"/>
      <c r="M150" s="167"/>
      <c r="N150" s="27"/>
      <c r="O150" s="27"/>
      <c r="P150" s="27"/>
      <c r="Q150" s="27"/>
      <c r="R150" s="27"/>
      <c r="S150" s="27"/>
      <c r="T150" s="27"/>
      <c r="U150" s="27"/>
      <c r="V150" s="644"/>
    </row>
    <row r="151" spans="1:22" s="44" customFormat="1" ht="60" customHeight="1">
      <c r="A151" s="1136"/>
      <c r="B151" s="348"/>
      <c r="C151" s="48"/>
      <c r="D151" s="1144"/>
      <c r="E151" s="645" t="s">
        <v>600</v>
      </c>
      <c r="F151" s="623">
        <v>8457.14</v>
      </c>
      <c r="G151" s="25"/>
      <c r="H151" s="659" t="s">
        <v>1073</v>
      </c>
      <c r="I151" s="659" t="s">
        <v>1074</v>
      </c>
      <c r="J151" s="660" t="s">
        <v>1071</v>
      </c>
      <c r="K151" s="26"/>
      <c r="L151" s="167"/>
      <c r="M151" s="167"/>
      <c r="N151" s="27"/>
      <c r="O151" s="27"/>
      <c r="P151" s="27"/>
      <c r="Q151" s="27"/>
      <c r="R151" s="27"/>
      <c r="S151" s="27"/>
      <c r="T151" s="27"/>
      <c r="U151" s="27"/>
      <c r="V151" s="644"/>
    </row>
    <row r="152" spans="1:22" s="44" customFormat="1" ht="60" customHeight="1">
      <c r="A152" s="1136"/>
      <c r="B152" s="348"/>
      <c r="C152" s="48"/>
      <c r="D152" s="1145"/>
      <c r="E152" s="645" t="s">
        <v>346</v>
      </c>
      <c r="F152" s="623">
        <v>1747</v>
      </c>
      <c r="G152" s="25"/>
      <c r="H152" s="659" t="s">
        <v>1074</v>
      </c>
      <c r="I152" s="659" t="s">
        <v>1075</v>
      </c>
      <c r="J152" s="660" t="s">
        <v>1071</v>
      </c>
      <c r="K152" s="26"/>
      <c r="L152" s="27"/>
      <c r="M152" s="167"/>
      <c r="N152" s="167"/>
      <c r="O152" s="167"/>
      <c r="P152" s="167"/>
      <c r="Q152" s="27"/>
      <c r="R152" s="27"/>
      <c r="S152" s="27"/>
      <c r="T152" s="27"/>
      <c r="U152" s="27"/>
      <c r="V152" s="644"/>
    </row>
    <row r="153" spans="1:22" s="44" customFormat="1" ht="60" customHeight="1">
      <c r="A153" s="646"/>
      <c r="B153" s="647"/>
      <c r="C153" s="648"/>
      <c r="D153" s="1162" t="s">
        <v>1004</v>
      </c>
      <c r="E153" s="1163"/>
      <c r="F153" s="683">
        <f>SUM(F148:F152)</f>
        <v>34941.279999999999</v>
      </c>
      <c r="G153" s="678"/>
      <c r="H153" s="661"/>
      <c r="I153" s="661"/>
      <c r="J153" s="679"/>
      <c r="K153" s="26"/>
      <c r="L153" s="27"/>
      <c r="M153" s="27"/>
      <c r="N153" s="27"/>
      <c r="O153" s="27"/>
      <c r="P153" s="27"/>
      <c r="Q153" s="27"/>
      <c r="R153" s="27"/>
      <c r="S153" s="27"/>
      <c r="T153" s="27"/>
      <c r="U153" s="27"/>
      <c r="V153" s="644"/>
    </row>
    <row r="154" spans="1:22" s="44" customFormat="1" ht="60" customHeight="1">
      <c r="A154" s="1164" t="s">
        <v>1005</v>
      </c>
      <c r="B154" s="348"/>
      <c r="C154" s="48" t="e">
        <f>+'4. Procurement Plan'!#REF!</f>
        <v>#REF!</v>
      </c>
      <c r="D154" s="649" t="s">
        <v>1006</v>
      </c>
      <c r="E154" s="645" t="s">
        <v>1007</v>
      </c>
      <c r="F154" s="623">
        <v>4750</v>
      </c>
      <c r="G154" s="25"/>
      <c r="H154" s="659" t="s">
        <v>1073</v>
      </c>
      <c r="I154" s="659" t="s">
        <v>1073</v>
      </c>
      <c r="J154" s="660" t="s">
        <v>1076</v>
      </c>
      <c r="K154" s="26"/>
      <c r="L154" s="167"/>
      <c r="M154" s="27"/>
      <c r="N154" s="27"/>
      <c r="O154" s="27"/>
      <c r="P154" s="27"/>
      <c r="Q154" s="27"/>
      <c r="R154" s="27"/>
      <c r="S154" s="27"/>
      <c r="T154" s="27"/>
      <c r="U154" s="27"/>
      <c r="V154" s="644"/>
    </row>
    <row r="155" spans="1:22" s="44" customFormat="1" ht="60" customHeight="1">
      <c r="A155" s="1165"/>
      <c r="B155" s="348"/>
      <c r="C155" s="48"/>
      <c r="D155" s="615"/>
      <c r="E155" s="645" t="s">
        <v>346</v>
      </c>
      <c r="F155" s="623">
        <v>250</v>
      </c>
      <c r="G155" s="25"/>
      <c r="H155" s="659" t="s">
        <v>1073</v>
      </c>
      <c r="I155" s="659" t="s">
        <v>1077</v>
      </c>
      <c r="J155" s="662" t="s">
        <v>1078</v>
      </c>
      <c r="K155" s="26"/>
      <c r="L155" s="167"/>
      <c r="M155" s="167"/>
      <c r="N155" s="167"/>
      <c r="O155" s="167"/>
      <c r="P155" s="27"/>
      <c r="Q155" s="27"/>
      <c r="R155" s="27"/>
      <c r="S155" s="27"/>
      <c r="T155" s="27"/>
      <c r="U155" s="27"/>
      <c r="V155" s="644"/>
    </row>
    <row r="156" spans="1:22" s="44" customFormat="1" ht="60" customHeight="1">
      <c r="A156" s="650"/>
      <c r="B156" s="647"/>
      <c r="C156" s="648"/>
      <c r="D156" s="1112" t="s">
        <v>1008</v>
      </c>
      <c r="E156" s="1113"/>
      <c r="F156" s="683">
        <f>SUM(F154:F155)</f>
        <v>5000</v>
      </c>
      <c r="G156" s="678"/>
      <c r="H156" s="661"/>
      <c r="I156" s="661"/>
      <c r="J156" s="663"/>
      <c r="K156" s="26"/>
      <c r="L156" s="27"/>
      <c r="M156" s="27"/>
      <c r="N156" s="27"/>
      <c r="O156" s="27"/>
      <c r="P156" s="27"/>
      <c r="Q156" s="27"/>
      <c r="R156" s="27"/>
      <c r="S156" s="27"/>
      <c r="T156" s="27"/>
      <c r="U156" s="27"/>
      <c r="V156" s="644"/>
    </row>
    <row r="157" spans="1:22" s="44" customFormat="1" ht="60" customHeight="1">
      <c r="A157" s="1136" t="s">
        <v>1009</v>
      </c>
      <c r="B157" s="348"/>
      <c r="C157" s="48" t="e">
        <f>+'4. Procurement Plan'!#REF!</f>
        <v>#REF!</v>
      </c>
      <c r="D157" s="615"/>
      <c r="E157" s="645" t="s">
        <v>1010</v>
      </c>
      <c r="F157" s="623"/>
      <c r="G157" s="25"/>
      <c r="H157" s="659" t="s">
        <v>1070</v>
      </c>
      <c r="I157" s="659" t="s">
        <v>1079</v>
      </c>
      <c r="J157" s="662" t="s">
        <v>1078</v>
      </c>
      <c r="K157" s="26"/>
      <c r="L157" s="27"/>
      <c r="M157" s="27"/>
      <c r="N157" s="27"/>
      <c r="O157" s="27"/>
      <c r="P157" s="27"/>
      <c r="Q157" s="27"/>
      <c r="R157" s="27"/>
      <c r="S157" s="27"/>
      <c r="T157" s="27"/>
      <c r="U157" s="27"/>
      <c r="V157" s="644"/>
    </row>
    <row r="158" spans="1:22" s="44" customFormat="1" ht="60" customHeight="1">
      <c r="A158" s="1136"/>
      <c r="B158" s="348"/>
      <c r="C158" s="48"/>
      <c r="D158" s="615"/>
      <c r="E158" s="645" t="s">
        <v>1011</v>
      </c>
      <c r="F158" s="623">
        <v>12857.14</v>
      </c>
      <c r="G158" s="25"/>
      <c r="H158" s="659" t="s">
        <v>1072</v>
      </c>
      <c r="I158" s="659" t="s">
        <v>1080</v>
      </c>
      <c r="J158" s="662" t="s">
        <v>1078</v>
      </c>
      <c r="K158" s="167"/>
      <c r="L158" s="27"/>
      <c r="M158" s="27"/>
      <c r="N158" s="27"/>
      <c r="O158" s="27"/>
      <c r="P158" s="27"/>
      <c r="Q158" s="27"/>
      <c r="R158" s="27"/>
      <c r="S158" s="27"/>
      <c r="T158" s="27"/>
      <c r="U158" s="27"/>
      <c r="V158" s="644"/>
    </row>
    <row r="159" spans="1:22" s="44" customFormat="1" ht="60" customHeight="1">
      <c r="A159" s="1136"/>
      <c r="B159" s="348"/>
      <c r="C159" s="48"/>
      <c r="D159" s="615"/>
      <c r="E159" s="645" t="s">
        <v>1012</v>
      </c>
      <c r="F159" s="623">
        <v>7142.86</v>
      </c>
      <c r="G159" s="25"/>
      <c r="H159" s="659" t="s">
        <v>1073</v>
      </c>
      <c r="I159" s="659" t="s">
        <v>1081</v>
      </c>
      <c r="J159" s="662" t="s">
        <v>1078</v>
      </c>
      <c r="K159" s="26"/>
      <c r="L159" s="167"/>
      <c r="M159" s="27"/>
      <c r="N159" s="27"/>
      <c r="O159" s="27"/>
      <c r="P159" s="27"/>
      <c r="Q159" s="27"/>
      <c r="R159" s="27"/>
      <c r="S159" s="27"/>
      <c r="T159" s="27"/>
      <c r="U159" s="27"/>
      <c r="V159" s="644"/>
    </row>
    <row r="160" spans="1:22" s="44" customFormat="1" ht="60" customHeight="1">
      <c r="A160" s="1136"/>
      <c r="B160" s="348"/>
      <c r="C160" s="48"/>
      <c r="D160" s="615"/>
      <c r="E160" s="645" t="s">
        <v>1013</v>
      </c>
      <c r="F160" s="623">
        <v>7142.86</v>
      </c>
      <c r="G160" s="25"/>
      <c r="H160" s="659" t="s">
        <v>1081</v>
      </c>
      <c r="I160" s="659" t="s">
        <v>1074</v>
      </c>
      <c r="J160" s="662" t="s">
        <v>1078</v>
      </c>
      <c r="K160" s="26"/>
      <c r="L160" s="167"/>
      <c r="M160" s="167"/>
      <c r="N160" s="27"/>
      <c r="O160" s="27"/>
      <c r="P160" s="27"/>
      <c r="Q160" s="27"/>
      <c r="R160" s="27"/>
      <c r="S160" s="27"/>
      <c r="T160" s="27"/>
      <c r="U160" s="27"/>
      <c r="V160" s="644"/>
    </row>
    <row r="161" spans="1:22" s="44" customFormat="1" ht="60" customHeight="1">
      <c r="A161" s="1136"/>
      <c r="B161" s="348"/>
      <c r="C161" s="48"/>
      <c r="D161" s="615"/>
      <c r="E161" s="645" t="s">
        <v>346</v>
      </c>
      <c r="F161" s="623"/>
      <c r="G161" s="25"/>
      <c r="H161" s="659" t="s">
        <v>1082</v>
      </c>
      <c r="I161" s="659" t="s">
        <v>1075</v>
      </c>
      <c r="J161" s="662" t="s">
        <v>1078</v>
      </c>
      <c r="K161" s="26"/>
      <c r="L161" s="27"/>
      <c r="M161" s="167"/>
      <c r="N161" s="167"/>
      <c r="O161" s="167"/>
      <c r="P161" s="167"/>
      <c r="Q161" s="27"/>
      <c r="R161" s="27"/>
      <c r="S161" s="27"/>
      <c r="T161" s="27"/>
      <c r="U161" s="27"/>
      <c r="V161" s="644"/>
    </row>
    <row r="162" spans="1:22" s="44" customFormat="1" ht="60" customHeight="1">
      <c r="A162" s="646"/>
      <c r="B162" s="647"/>
      <c r="C162" s="651"/>
      <c r="D162" s="1162" t="s">
        <v>1014</v>
      </c>
      <c r="E162" s="1163"/>
      <c r="F162" s="683">
        <f>SUM(F158:F161)</f>
        <v>27142.86</v>
      </c>
      <c r="G162" s="678"/>
      <c r="H162" s="664"/>
      <c r="I162" s="664"/>
      <c r="J162" s="662"/>
      <c r="K162" s="26"/>
      <c r="L162" s="27"/>
      <c r="M162" s="27"/>
      <c r="N162" s="27"/>
      <c r="O162" s="27"/>
      <c r="P162" s="27"/>
      <c r="Q162" s="27"/>
      <c r="R162" s="27"/>
      <c r="S162" s="27"/>
      <c r="T162" s="27"/>
      <c r="U162" s="27"/>
      <c r="V162" s="644"/>
    </row>
    <row r="163" spans="1:22" s="44" customFormat="1" ht="60" customHeight="1">
      <c r="A163" s="1136" t="s">
        <v>1015</v>
      </c>
      <c r="B163" s="348"/>
      <c r="C163" s="48" t="str">
        <f>+'4. Procurement Plan'!I11</f>
        <v>20-1311h(iii)</v>
      </c>
      <c r="D163" s="1143" t="s">
        <v>1016</v>
      </c>
      <c r="E163" s="649" t="s">
        <v>1017</v>
      </c>
      <c r="F163" s="623"/>
      <c r="G163" s="25"/>
      <c r="H163" s="665" t="s">
        <v>1074</v>
      </c>
      <c r="I163" s="665" t="s">
        <v>1074</v>
      </c>
      <c r="J163" s="666" t="s">
        <v>1071</v>
      </c>
      <c r="K163" s="26"/>
      <c r="L163" s="27"/>
      <c r="M163" s="167"/>
      <c r="N163" s="27"/>
      <c r="O163" s="27"/>
      <c r="P163" s="27"/>
      <c r="Q163" s="27"/>
      <c r="R163" s="27"/>
      <c r="S163" s="27"/>
      <c r="T163" s="27"/>
      <c r="U163" s="27"/>
      <c r="V163" s="644"/>
    </row>
    <row r="164" spans="1:22" s="44" customFormat="1" ht="60" customHeight="1">
      <c r="A164" s="1136"/>
      <c r="B164" s="348"/>
      <c r="C164" s="48"/>
      <c r="D164" s="1144"/>
      <c r="E164" s="649" t="s">
        <v>1011</v>
      </c>
      <c r="F164" s="623">
        <v>9464.2900000000009</v>
      </c>
      <c r="G164" s="25"/>
      <c r="H164" s="665" t="s">
        <v>1083</v>
      </c>
      <c r="I164" s="665" t="s">
        <v>1077</v>
      </c>
      <c r="J164" s="666" t="s">
        <v>1071</v>
      </c>
      <c r="K164" s="26"/>
      <c r="L164" s="27"/>
      <c r="M164" s="27"/>
      <c r="N164" s="167"/>
      <c r="O164" s="167"/>
      <c r="P164" s="27"/>
      <c r="Q164" s="27"/>
      <c r="R164" s="27"/>
      <c r="S164" s="27"/>
      <c r="T164" s="27"/>
      <c r="U164" s="27"/>
      <c r="V164" s="644"/>
    </row>
    <row r="165" spans="1:22" s="44" customFormat="1" ht="60" customHeight="1">
      <c r="A165" s="1136"/>
      <c r="B165" s="348"/>
      <c r="C165" s="48"/>
      <c r="D165" s="1144"/>
      <c r="E165" s="649" t="s">
        <v>1012</v>
      </c>
      <c r="F165" s="623">
        <v>8571.43</v>
      </c>
      <c r="G165" s="25"/>
      <c r="H165" s="665" t="s">
        <v>1084</v>
      </c>
      <c r="I165" s="665" t="s">
        <v>1075</v>
      </c>
      <c r="J165" s="666" t="s">
        <v>1071</v>
      </c>
      <c r="K165" s="26"/>
      <c r="L165" s="27"/>
      <c r="M165" s="27"/>
      <c r="N165" s="27"/>
      <c r="O165" s="167"/>
      <c r="P165" s="167"/>
      <c r="Q165" s="27"/>
      <c r="R165" s="27"/>
      <c r="S165" s="27"/>
      <c r="T165" s="27"/>
      <c r="U165" s="27"/>
      <c r="V165" s="644"/>
    </row>
    <row r="166" spans="1:22" s="44" customFormat="1" ht="60" customHeight="1">
      <c r="A166" s="1136"/>
      <c r="B166" s="348"/>
      <c r="C166" s="48"/>
      <c r="D166" s="1144"/>
      <c r="E166" s="649" t="s">
        <v>1018</v>
      </c>
      <c r="F166" s="623">
        <v>5714.29</v>
      </c>
      <c r="G166" s="25"/>
      <c r="H166" s="665" t="s">
        <v>1075</v>
      </c>
      <c r="I166" s="665" t="s">
        <v>1085</v>
      </c>
      <c r="J166" s="666" t="s">
        <v>1071</v>
      </c>
      <c r="K166" s="26"/>
      <c r="L166" s="27"/>
      <c r="M166" s="27"/>
      <c r="N166" s="27"/>
      <c r="O166" s="27"/>
      <c r="P166" s="167"/>
      <c r="Q166" s="167"/>
      <c r="R166" s="27"/>
      <c r="S166" s="27"/>
      <c r="T166" s="27"/>
      <c r="U166" s="27"/>
      <c r="V166" s="644"/>
    </row>
    <row r="167" spans="1:22" s="44" customFormat="1" ht="60" customHeight="1">
      <c r="A167" s="1136"/>
      <c r="B167" s="348"/>
      <c r="C167" s="48"/>
      <c r="D167" s="1145"/>
      <c r="E167" s="649" t="s">
        <v>346</v>
      </c>
      <c r="F167" s="623">
        <v>1250</v>
      </c>
      <c r="G167" s="25"/>
      <c r="H167" s="665" t="s">
        <v>1086</v>
      </c>
      <c r="I167" s="665" t="s">
        <v>1087</v>
      </c>
      <c r="J167" s="666" t="s">
        <v>1071</v>
      </c>
      <c r="K167" s="26"/>
      <c r="L167" s="27"/>
      <c r="M167" s="27"/>
      <c r="N167" s="27"/>
      <c r="O167" s="27"/>
      <c r="P167" s="27"/>
      <c r="Q167" s="167"/>
      <c r="R167" s="167"/>
      <c r="S167" s="167"/>
      <c r="T167" s="27"/>
      <c r="U167" s="27"/>
      <c r="V167" s="644"/>
    </row>
    <row r="168" spans="1:22" s="44" customFormat="1" ht="60" customHeight="1">
      <c r="A168" s="646"/>
      <c r="B168" s="647"/>
      <c r="C168" s="651"/>
      <c r="D168" s="1162" t="s">
        <v>1019</v>
      </c>
      <c r="E168" s="1163"/>
      <c r="F168" s="683">
        <f>SUM(F163:F167)</f>
        <v>25000.010000000002</v>
      </c>
      <c r="G168" s="678"/>
      <c r="H168" s="667"/>
      <c r="I168" s="667"/>
      <c r="J168" s="668"/>
      <c r="K168" s="26"/>
      <c r="L168" s="27"/>
      <c r="M168" s="27"/>
      <c r="N168" s="27"/>
      <c r="O168" s="27"/>
      <c r="P168" s="27"/>
      <c r="Q168" s="27"/>
      <c r="R168" s="27"/>
      <c r="S168" s="27"/>
      <c r="T168" s="27"/>
      <c r="U168" s="27"/>
      <c r="V168" s="644"/>
    </row>
    <row r="169" spans="1:22" s="44" customFormat="1" ht="60" customHeight="1">
      <c r="A169" s="1136" t="s">
        <v>1020</v>
      </c>
      <c r="B169" s="348"/>
      <c r="C169" s="48" t="e">
        <f>+'4. Procurement Plan'!#REF!</f>
        <v>#REF!</v>
      </c>
      <c r="D169" s="1143" t="s">
        <v>1020</v>
      </c>
      <c r="E169" s="649" t="s">
        <v>1021</v>
      </c>
      <c r="F169" s="623"/>
      <c r="G169" s="25"/>
      <c r="H169" s="665" t="s">
        <v>1074</v>
      </c>
      <c r="I169" s="665" t="s">
        <v>1074</v>
      </c>
      <c r="J169" s="662" t="s">
        <v>1078</v>
      </c>
      <c r="K169" s="26"/>
      <c r="L169" s="27"/>
      <c r="M169" s="167"/>
      <c r="N169" s="27"/>
      <c r="O169" s="27"/>
      <c r="P169" s="27"/>
      <c r="Q169" s="27"/>
      <c r="R169" s="27"/>
      <c r="S169" s="27"/>
      <c r="T169" s="27"/>
      <c r="U169" s="27"/>
      <c r="V169" s="644"/>
    </row>
    <row r="170" spans="1:22" s="44" customFormat="1" ht="60" customHeight="1">
      <c r="A170" s="1136"/>
      <c r="B170" s="348"/>
      <c r="C170" s="48"/>
      <c r="D170" s="1144"/>
      <c r="E170" s="649" t="s">
        <v>1022</v>
      </c>
      <c r="F170" s="623">
        <v>7142.86</v>
      </c>
      <c r="G170" s="25"/>
      <c r="H170" s="665" t="s">
        <v>1083</v>
      </c>
      <c r="I170" s="665" t="s">
        <v>1077</v>
      </c>
      <c r="J170" s="662" t="s">
        <v>1078</v>
      </c>
      <c r="K170" s="26"/>
      <c r="L170" s="27"/>
      <c r="M170" s="167"/>
      <c r="N170" s="167"/>
      <c r="O170" s="27"/>
      <c r="P170" s="27"/>
      <c r="Q170" s="27"/>
      <c r="R170" s="27"/>
      <c r="S170" s="27"/>
      <c r="T170" s="27"/>
      <c r="U170" s="27"/>
      <c r="V170" s="644"/>
    </row>
    <row r="171" spans="1:22" s="44" customFormat="1" ht="60" customHeight="1">
      <c r="A171" s="1136"/>
      <c r="B171" s="348"/>
      <c r="C171" s="48"/>
      <c r="D171" s="1144"/>
      <c r="E171" s="649" t="s">
        <v>1023</v>
      </c>
      <c r="F171" s="623">
        <v>14285.71</v>
      </c>
      <c r="G171" s="25"/>
      <c r="H171" s="665" t="s">
        <v>1084</v>
      </c>
      <c r="I171" s="665" t="s">
        <v>1075</v>
      </c>
      <c r="J171" s="662" t="s">
        <v>1078</v>
      </c>
      <c r="K171" s="26"/>
      <c r="L171" s="27"/>
      <c r="M171" s="27"/>
      <c r="N171" s="167"/>
      <c r="O171" s="167"/>
      <c r="P171" s="27"/>
      <c r="Q171" s="27"/>
      <c r="R171" s="27"/>
      <c r="S171" s="27"/>
      <c r="T171" s="27"/>
      <c r="U171" s="27"/>
      <c r="V171" s="644"/>
    </row>
    <row r="172" spans="1:22" s="44" customFormat="1" ht="60" customHeight="1">
      <c r="A172" s="1136"/>
      <c r="B172" s="348"/>
      <c r="C172" s="48"/>
      <c r="D172" s="1144"/>
      <c r="E172" s="649" t="s">
        <v>1024</v>
      </c>
      <c r="F172" s="623">
        <v>10714.29</v>
      </c>
      <c r="G172" s="25"/>
      <c r="H172" s="665" t="s">
        <v>1075</v>
      </c>
      <c r="I172" s="665" t="s">
        <v>1085</v>
      </c>
      <c r="J172" s="662" t="s">
        <v>1078</v>
      </c>
      <c r="K172" s="26"/>
      <c r="L172" s="27"/>
      <c r="M172" s="27"/>
      <c r="N172" s="27"/>
      <c r="O172" s="167"/>
      <c r="P172" s="167"/>
      <c r="Q172" s="27"/>
      <c r="R172" s="27"/>
      <c r="S172" s="27"/>
      <c r="T172" s="27"/>
      <c r="U172" s="27"/>
      <c r="V172" s="644"/>
    </row>
    <row r="173" spans="1:22" s="44" customFormat="1" ht="60" customHeight="1">
      <c r="A173" s="1136"/>
      <c r="B173" s="348"/>
      <c r="C173" s="48"/>
      <c r="D173" s="1145"/>
      <c r="E173" s="649" t="s">
        <v>346</v>
      </c>
      <c r="F173" s="623"/>
      <c r="G173" s="25"/>
      <c r="H173" s="665" t="s">
        <v>1088</v>
      </c>
      <c r="I173" s="665" t="s">
        <v>1089</v>
      </c>
      <c r="J173" s="662" t="s">
        <v>1078</v>
      </c>
      <c r="K173" s="26"/>
      <c r="L173" s="27"/>
      <c r="M173" s="27"/>
      <c r="N173" s="27"/>
      <c r="O173" s="27"/>
      <c r="P173" s="27"/>
      <c r="Q173" s="167"/>
      <c r="R173" s="167"/>
      <c r="S173" s="27"/>
      <c r="T173" s="27"/>
      <c r="U173" s="27"/>
      <c r="V173" s="644"/>
    </row>
    <row r="174" spans="1:22" s="44" customFormat="1" ht="60" customHeight="1">
      <c r="A174" s="652"/>
      <c r="B174" s="653"/>
      <c r="C174" s="654"/>
      <c r="D174" s="1162" t="s">
        <v>1025</v>
      </c>
      <c r="E174" s="1163"/>
      <c r="F174" s="683">
        <f>SUM(F169:F173)</f>
        <v>32142.86</v>
      </c>
      <c r="G174" s="678"/>
      <c r="H174" s="667"/>
      <c r="I174" s="667"/>
      <c r="J174" s="662"/>
      <c r="K174" s="26"/>
      <c r="L174" s="27"/>
      <c r="M174" s="27"/>
      <c r="N174" s="27"/>
      <c r="O174" s="27"/>
      <c r="P174" s="27"/>
      <c r="Q174" s="27"/>
      <c r="R174" s="27"/>
      <c r="S174" s="27"/>
      <c r="T174" s="27"/>
      <c r="U174" s="27"/>
      <c r="V174" s="644"/>
    </row>
    <row r="175" spans="1:22" s="44" customFormat="1" ht="60" customHeight="1">
      <c r="A175" s="655" t="s">
        <v>1026</v>
      </c>
      <c r="B175" s="348"/>
      <c r="C175" s="48" t="str">
        <f>+'4. Procurement Plan'!I38</f>
        <v>20-1311a</v>
      </c>
      <c r="D175" s="615"/>
      <c r="E175" s="655" t="s">
        <v>1026</v>
      </c>
      <c r="F175" s="623">
        <v>53571.43</v>
      </c>
      <c r="G175" s="25"/>
      <c r="H175" s="669" t="s">
        <v>1090</v>
      </c>
      <c r="I175" s="669" t="s">
        <v>1090</v>
      </c>
      <c r="J175" s="662" t="s">
        <v>1091</v>
      </c>
      <c r="K175" s="26"/>
      <c r="L175" s="27"/>
      <c r="M175" s="27"/>
      <c r="N175" s="167"/>
      <c r="O175" s="27"/>
      <c r="P175" s="27"/>
      <c r="Q175" s="27"/>
      <c r="R175" s="27"/>
      <c r="S175" s="27"/>
      <c r="T175" s="27"/>
      <c r="U175" s="27"/>
      <c r="V175" s="644"/>
    </row>
    <row r="176" spans="1:22" s="44" customFormat="1" ht="60" customHeight="1">
      <c r="A176" s="656" t="s">
        <v>1027</v>
      </c>
      <c r="B176" s="348"/>
      <c r="C176" s="48"/>
      <c r="D176" s="655" t="s">
        <v>1028</v>
      </c>
      <c r="E176" s="655" t="s">
        <v>1029</v>
      </c>
      <c r="F176" s="623">
        <v>70714.289999999994</v>
      </c>
      <c r="G176" s="25"/>
      <c r="H176" s="665" t="s">
        <v>1092</v>
      </c>
      <c r="I176" s="665" t="s">
        <v>1089</v>
      </c>
      <c r="J176" s="662" t="s">
        <v>1091</v>
      </c>
      <c r="K176" s="26"/>
      <c r="L176" s="27"/>
      <c r="M176" s="27"/>
      <c r="N176" s="167"/>
      <c r="O176" s="167"/>
      <c r="P176" s="167"/>
      <c r="Q176" s="167"/>
      <c r="R176" s="167"/>
      <c r="S176" s="167"/>
      <c r="T176" s="27"/>
      <c r="U176" s="27"/>
      <c r="V176" s="644"/>
    </row>
    <row r="177" spans="1:22" s="44" customFormat="1" ht="60" customHeight="1">
      <c r="A177" s="656" t="s">
        <v>1030</v>
      </c>
      <c r="B177" s="348"/>
      <c r="C177" s="48"/>
      <c r="D177" s="655" t="s">
        <v>1031</v>
      </c>
      <c r="E177" s="656" t="s">
        <v>481</v>
      </c>
      <c r="F177" s="623">
        <v>11785.71</v>
      </c>
      <c r="G177" s="25"/>
      <c r="H177" s="665" t="s">
        <v>1092</v>
      </c>
      <c r="I177" s="665" t="s">
        <v>1089</v>
      </c>
      <c r="J177" s="662" t="s">
        <v>1093</v>
      </c>
      <c r="K177" s="26"/>
      <c r="L177" s="27"/>
      <c r="M177" s="27"/>
      <c r="N177" s="167"/>
      <c r="O177" s="167"/>
      <c r="P177" s="167"/>
      <c r="Q177" s="167"/>
      <c r="R177" s="167"/>
      <c r="S177" s="167"/>
      <c r="T177" s="27"/>
      <c r="U177" s="27"/>
      <c r="V177" s="644"/>
    </row>
    <row r="178" spans="1:22" s="44" customFormat="1" ht="60" customHeight="1">
      <c r="A178" s="544" t="s">
        <v>1032</v>
      </c>
      <c r="B178" s="348"/>
      <c r="C178" s="48"/>
      <c r="D178" s="655" t="s">
        <v>1033</v>
      </c>
      <c r="E178" s="655" t="s">
        <v>1034</v>
      </c>
      <c r="F178" s="623">
        <v>21428.57</v>
      </c>
      <c r="G178" s="25"/>
      <c r="H178" s="665">
        <v>43831</v>
      </c>
      <c r="I178" s="665">
        <v>43831</v>
      </c>
      <c r="J178" s="662" t="s">
        <v>1093</v>
      </c>
      <c r="K178" s="167"/>
      <c r="L178" s="27"/>
      <c r="M178" s="27"/>
      <c r="N178" s="27"/>
      <c r="O178" s="27"/>
      <c r="P178" s="27"/>
      <c r="Q178" s="27"/>
      <c r="R178" s="27"/>
      <c r="S178" s="27"/>
      <c r="T178" s="27"/>
      <c r="U178" s="27"/>
      <c r="V178" s="644"/>
    </row>
    <row r="179" spans="1:22" s="44" customFormat="1" ht="60" customHeight="1">
      <c r="A179" s="544" t="s">
        <v>1035</v>
      </c>
      <c r="B179" s="348"/>
      <c r="C179" s="48" t="e">
        <f>+'4. Procurement Plan'!#REF!</f>
        <v>#REF!</v>
      </c>
      <c r="D179" s="655" t="s">
        <v>1036</v>
      </c>
      <c r="E179" s="655" t="s">
        <v>1037</v>
      </c>
      <c r="F179" s="623">
        <v>2500</v>
      </c>
      <c r="G179" s="25"/>
      <c r="H179" s="665" t="s">
        <v>1083</v>
      </c>
      <c r="I179" s="665" t="s">
        <v>1092</v>
      </c>
      <c r="J179" s="662" t="s">
        <v>1091</v>
      </c>
      <c r="K179" s="26"/>
      <c r="L179" s="27"/>
      <c r="M179" s="27"/>
      <c r="N179" s="167"/>
      <c r="O179" s="27"/>
      <c r="P179" s="27"/>
      <c r="Q179" s="27"/>
      <c r="R179" s="27"/>
      <c r="S179" s="27"/>
      <c r="T179" s="27"/>
      <c r="U179" s="27"/>
      <c r="V179" s="644"/>
    </row>
    <row r="180" spans="1:22" s="44" customFormat="1" ht="60" customHeight="1">
      <c r="A180" s="1136" t="s">
        <v>1038</v>
      </c>
      <c r="B180" s="348"/>
      <c r="C180" s="48" t="e">
        <f>+'4. Procurement Plan'!#REF!</f>
        <v>#REF!</v>
      </c>
      <c r="D180" s="1155" t="s">
        <v>1039</v>
      </c>
      <c r="E180" s="655" t="s">
        <v>482</v>
      </c>
      <c r="F180" s="623">
        <v>7142.86</v>
      </c>
      <c r="G180" s="25"/>
      <c r="H180" s="670" t="s">
        <v>1089</v>
      </c>
      <c r="I180" s="670" t="s">
        <v>1089</v>
      </c>
      <c r="J180" s="662" t="s">
        <v>1093</v>
      </c>
      <c r="K180" s="26"/>
      <c r="L180" s="27"/>
      <c r="M180" s="27"/>
      <c r="N180" s="27"/>
      <c r="O180" s="27"/>
      <c r="P180" s="27"/>
      <c r="Q180" s="27"/>
      <c r="R180" s="27"/>
      <c r="S180" s="147"/>
      <c r="T180" s="167"/>
      <c r="U180" s="27"/>
      <c r="V180" s="644"/>
    </row>
    <row r="181" spans="1:22" s="44" customFormat="1" ht="60" customHeight="1">
      <c r="A181" s="1136"/>
      <c r="B181" s="348"/>
      <c r="C181" s="48" t="e">
        <f>+'4. Procurement Plan'!#REF!</f>
        <v>#REF!</v>
      </c>
      <c r="D181" s="1156"/>
      <c r="E181" s="655" t="s">
        <v>1040</v>
      </c>
      <c r="F181" s="623">
        <v>7142.86</v>
      </c>
      <c r="G181" s="25"/>
      <c r="H181" s="670" t="s">
        <v>1086</v>
      </c>
      <c r="I181" s="670" t="s">
        <v>1086</v>
      </c>
      <c r="J181" s="662" t="s">
        <v>1093</v>
      </c>
      <c r="K181" s="26"/>
      <c r="L181" s="27"/>
      <c r="M181" s="27"/>
      <c r="N181" s="27"/>
      <c r="O181" s="27"/>
      <c r="P181" s="147"/>
      <c r="Q181" s="167"/>
      <c r="R181" s="27"/>
      <c r="S181" s="27"/>
      <c r="T181" s="27"/>
      <c r="U181" s="27"/>
      <c r="V181" s="644"/>
    </row>
    <row r="182" spans="1:22" s="44" customFormat="1" ht="60" customHeight="1">
      <c r="A182" s="1136"/>
      <c r="B182" s="348"/>
      <c r="C182" s="48" t="e">
        <f>+'4. Procurement Plan'!#REF!</f>
        <v>#REF!</v>
      </c>
      <c r="D182" s="1156"/>
      <c r="E182" s="655" t="s">
        <v>1041</v>
      </c>
      <c r="F182" s="623">
        <v>2857.14</v>
      </c>
      <c r="G182" s="25"/>
      <c r="H182" s="670" t="s">
        <v>1089</v>
      </c>
      <c r="I182" s="670" t="s">
        <v>1089</v>
      </c>
      <c r="J182" s="662" t="s">
        <v>1093</v>
      </c>
      <c r="K182" s="26"/>
      <c r="L182" s="27"/>
      <c r="M182" s="27"/>
      <c r="N182" s="27"/>
      <c r="O182" s="27"/>
      <c r="P182" s="27"/>
      <c r="Q182" s="27"/>
      <c r="R182" s="27"/>
      <c r="S182" s="147"/>
      <c r="T182" s="167"/>
      <c r="U182" s="27"/>
      <c r="V182" s="644"/>
    </row>
    <row r="183" spans="1:22" s="44" customFormat="1" ht="60" customHeight="1">
      <c r="A183" s="1136"/>
      <c r="B183" s="348"/>
      <c r="C183" s="48" t="str">
        <f>+'4. Procurement Plan'!I41</f>
        <v>20-1311a(ii)</v>
      </c>
      <c r="D183" s="1156"/>
      <c r="E183" s="655" t="s">
        <v>483</v>
      </c>
      <c r="F183" s="623">
        <v>3571.43</v>
      </c>
      <c r="G183" s="25"/>
      <c r="H183" s="670" t="s">
        <v>1086</v>
      </c>
      <c r="I183" s="670" t="s">
        <v>1086</v>
      </c>
      <c r="J183" s="662" t="s">
        <v>1093</v>
      </c>
      <c r="K183" s="26"/>
      <c r="L183" s="27"/>
      <c r="M183" s="27"/>
      <c r="N183" s="27"/>
      <c r="O183" s="27"/>
      <c r="P183" s="147"/>
      <c r="Q183" s="167"/>
      <c r="R183" s="27"/>
      <c r="S183" s="27"/>
      <c r="T183" s="27"/>
      <c r="U183" s="27"/>
      <c r="V183" s="644"/>
    </row>
    <row r="184" spans="1:22" s="44" customFormat="1" ht="60" customHeight="1">
      <c r="A184" s="1136"/>
      <c r="B184" s="348"/>
      <c r="C184" s="48" t="str">
        <f>+'4. Procurement Plan'!I42</f>
        <v>20-1311a(iii)</v>
      </c>
      <c r="D184" s="1156"/>
      <c r="E184" s="655" t="s">
        <v>1042</v>
      </c>
      <c r="F184" s="623">
        <v>5000</v>
      </c>
      <c r="G184" s="25"/>
      <c r="H184" s="670" t="s">
        <v>1086</v>
      </c>
      <c r="I184" s="670" t="s">
        <v>1086</v>
      </c>
      <c r="J184" s="662" t="s">
        <v>1093</v>
      </c>
      <c r="K184" s="26"/>
      <c r="L184" s="27"/>
      <c r="M184" s="27"/>
      <c r="N184" s="27"/>
      <c r="O184" s="27"/>
      <c r="P184" s="147"/>
      <c r="Q184" s="167"/>
      <c r="R184" s="27"/>
      <c r="S184" s="27"/>
      <c r="T184" s="27"/>
      <c r="U184" s="27"/>
      <c r="V184" s="644"/>
    </row>
    <row r="185" spans="1:22" s="44" customFormat="1" ht="60" customHeight="1">
      <c r="A185" s="1136"/>
      <c r="B185" s="348"/>
      <c r="C185" s="48" t="e">
        <f>+'4. Procurement Plan'!#REF!</f>
        <v>#REF!</v>
      </c>
      <c r="D185" s="1156"/>
      <c r="E185" s="655" t="s">
        <v>1043</v>
      </c>
      <c r="F185" s="623">
        <v>714.29</v>
      </c>
      <c r="G185" s="25"/>
      <c r="H185" s="670" t="s">
        <v>1089</v>
      </c>
      <c r="I185" s="670" t="s">
        <v>1089</v>
      </c>
      <c r="J185" s="662" t="s">
        <v>1093</v>
      </c>
      <c r="K185" s="26"/>
      <c r="L185" s="27"/>
      <c r="M185" s="27"/>
      <c r="N185" s="27"/>
      <c r="O185" s="27"/>
      <c r="P185" s="27"/>
      <c r="Q185" s="27"/>
      <c r="R185" s="27"/>
      <c r="S185" s="147"/>
      <c r="T185" s="167"/>
      <c r="U185" s="27"/>
      <c r="V185" s="644"/>
    </row>
    <row r="186" spans="1:22" s="44" customFormat="1" ht="60" customHeight="1">
      <c r="A186" s="1136"/>
      <c r="B186" s="348"/>
      <c r="C186" s="48" t="str">
        <f>+'4. Procurement Plan'!I126</f>
        <v>19-1311c</v>
      </c>
      <c r="D186" s="1157"/>
      <c r="E186" s="655" t="s">
        <v>484</v>
      </c>
      <c r="F186" s="623">
        <v>1142.8599999999999</v>
      </c>
      <c r="G186" s="25"/>
      <c r="H186" s="670" t="s">
        <v>1089</v>
      </c>
      <c r="I186" s="670" t="s">
        <v>1089</v>
      </c>
      <c r="J186" s="662" t="s">
        <v>1093</v>
      </c>
      <c r="K186" s="26"/>
      <c r="L186" s="27"/>
      <c r="M186" s="27"/>
      <c r="N186" s="27"/>
      <c r="O186" s="27"/>
      <c r="P186" s="27"/>
      <c r="Q186" s="27"/>
      <c r="R186" s="27"/>
      <c r="S186" s="147"/>
      <c r="T186" s="167"/>
      <c r="U186" s="27"/>
      <c r="V186" s="644"/>
    </row>
    <row r="187" spans="1:22" s="44" customFormat="1" ht="60" customHeight="1">
      <c r="A187" s="1136"/>
      <c r="B187" s="647"/>
      <c r="C187" s="651"/>
      <c r="D187" s="1112" t="s">
        <v>1044</v>
      </c>
      <c r="E187" s="1113"/>
      <c r="F187" s="683">
        <f>SUM(F180:F186)</f>
        <v>27571.440000000002</v>
      </c>
      <c r="G187" s="678"/>
      <c r="H187" s="671"/>
      <c r="I187" s="671"/>
      <c r="J187" s="672"/>
      <c r="K187" s="26"/>
      <c r="L187" s="27"/>
      <c r="M187" s="27"/>
      <c r="N187" s="27"/>
      <c r="O187" s="27"/>
      <c r="P187" s="27"/>
      <c r="Q187" s="27"/>
      <c r="R187" s="27"/>
      <c r="S187" s="27"/>
      <c r="T187" s="27"/>
      <c r="U187" s="27"/>
      <c r="V187" s="644"/>
    </row>
    <row r="188" spans="1:22" s="44" customFormat="1" ht="60" customHeight="1">
      <c r="A188" s="1136" t="s">
        <v>1045</v>
      </c>
      <c r="B188" s="348"/>
      <c r="C188" s="48" t="e">
        <f>+'4. Procurement Plan'!#REF!</f>
        <v>#REF!</v>
      </c>
      <c r="D188" s="1155" t="s">
        <v>1046</v>
      </c>
      <c r="E188" s="656" t="s">
        <v>1047</v>
      </c>
      <c r="F188" s="623">
        <v>1071.43</v>
      </c>
      <c r="G188" s="25"/>
      <c r="H188" s="665" t="s">
        <v>1086</v>
      </c>
      <c r="I188" s="665" t="s">
        <v>1088</v>
      </c>
      <c r="J188" s="662" t="s">
        <v>1093</v>
      </c>
      <c r="K188" s="26"/>
      <c r="L188" s="27"/>
      <c r="M188" s="27"/>
      <c r="N188" s="27"/>
      <c r="O188" s="27"/>
      <c r="P188" s="147"/>
      <c r="Q188" s="167"/>
      <c r="R188" s="167"/>
      <c r="S188" s="27"/>
      <c r="T188" s="27"/>
      <c r="U188" s="27"/>
      <c r="V188" s="644"/>
    </row>
    <row r="189" spans="1:22" s="44" customFormat="1" ht="60" customHeight="1">
      <c r="A189" s="1136"/>
      <c r="B189" s="348"/>
      <c r="C189" s="48" t="e">
        <f>+C188</f>
        <v>#REF!</v>
      </c>
      <c r="D189" s="1156"/>
      <c r="E189" s="656" t="s">
        <v>1048</v>
      </c>
      <c r="F189" s="623">
        <v>3214.29</v>
      </c>
      <c r="G189" s="25"/>
      <c r="H189" s="665" t="s">
        <v>1086</v>
      </c>
      <c r="I189" s="665" t="s">
        <v>1088</v>
      </c>
      <c r="J189" s="662" t="s">
        <v>1093</v>
      </c>
      <c r="K189" s="26"/>
      <c r="L189" s="27"/>
      <c r="M189" s="27"/>
      <c r="N189" s="27"/>
      <c r="O189" s="27"/>
      <c r="P189" s="147"/>
      <c r="Q189" s="167"/>
      <c r="R189" s="167"/>
      <c r="S189" s="27"/>
      <c r="T189" s="27"/>
      <c r="U189" s="27"/>
      <c r="V189" s="644"/>
    </row>
    <row r="190" spans="1:22" s="44" customFormat="1" ht="60" customHeight="1">
      <c r="A190" s="1136"/>
      <c r="B190" s="348"/>
      <c r="C190" s="48" t="e">
        <f>+'4. Procurement Plan'!#REF!</f>
        <v>#REF!</v>
      </c>
      <c r="D190" s="1156"/>
      <c r="E190" s="656" t="s">
        <v>1049</v>
      </c>
      <c r="F190" s="623">
        <v>857.14</v>
      </c>
      <c r="G190" s="25"/>
      <c r="H190" s="665" t="s">
        <v>1086</v>
      </c>
      <c r="I190" s="665" t="s">
        <v>1088</v>
      </c>
      <c r="J190" s="662" t="s">
        <v>1093</v>
      </c>
      <c r="K190" s="26"/>
      <c r="L190" s="27"/>
      <c r="M190" s="27"/>
      <c r="N190" s="27"/>
      <c r="O190" s="27"/>
      <c r="P190" s="147"/>
      <c r="Q190" s="167"/>
      <c r="R190" s="167"/>
      <c r="S190" s="27"/>
      <c r="T190" s="27"/>
      <c r="U190" s="27"/>
      <c r="V190" s="644"/>
    </row>
    <row r="191" spans="1:22" s="44" customFormat="1" ht="60" customHeight="1">
      <c r="A191" s="1136"/>
      <c r="B191" s="348"/>
      <c r="C191" s="48" t="e">
        <f>+'4. Procurement Plan'!#REF!</f>
        <v>#REF!</v>
      </c>
      <c r="D191" s="1156"/>
      <c r="E191" s="656" t="s">
        <v>484</v>
      </c>
      <c r="F191" s="623">
        <v>857.14</v>
      </c>
      <c r="G191" s="25"/>
      <c r="H191" s="665" t="s">
        <v>1086</v>
      </c>
      <c r="I191" s="665" t="s">
        <v>1088</v>
      </c>
      <c r="J191" s="662" t="s">
        <v>1093</v>
      </c>
      <c r="K191" s="26"/>
      <c r="L191" s="27"/>
      <c r="M191" s="27"/>
      <c r="N191" s="27"/>
      <c r="O191" s="27"/>
      <c r="P191" s="147"/>
      <c r="Q191" s="167"/>
      <c r="R191" s="167"/>
      <c r="S191" s="27"/>
      <c r="T191" s="27"/>
      <c r="U191" s="27"/>
      <c r="V191" s="644"/>
    </row>
    <row r="192" spans="1:22" s="44" customFormat="1" ht="60" customHeight="1">
      <c r="A192" s="1136"/>
      <c r="B192" s="348"/>
      <c r="C192" s="48" t="str">
        <f>+'4. Procurement Plan'!I44</f>
        <v>20-1311a(vii)</v>
      </c>
      <c r="D192" s="1156"/>
      <c r="E192" s="656" t="s">
        <v>1050</v>
      </c>
      <c r="F192" s="623">
        <v>1071.43</v>
      </c>
      <c r="G192" s="25"/>
      <c r="H192" s="665" t="s">
        <v>1077</v>
      </c>
      <c r="I192" s="665" t="s">
        <v>1077</v>
      </c>
      <c r="J192" s="662" t="s">
        <v>1093</v>
      </c>
      <c r="K192" s="26"/>
      <c r="L192" s="27"/>
      <c r="M192" s="27"/>
      <c r="N192" s="27"/>
      <c r="O192" s="167"/>
      <c r="P192" s="27"/>
      <c r="Q192" s="27"/>
      <c r="R192" s="27"/>
      <c r="S192" s="27"/>
      <c r="T192" s="27"/>
      <c r="U192" s="27"/>
      <c r="V192" s="644"/>
    </row>
    <row r="193" spans="1:22" s="44" customFormat="1" ht="60" customHeight="1">
      <c r="A193" s="1136"/>
      <c r="B193" s="348"/>
      <c r="C193" s="48" t="e">
        <f>+'4. Procurement Plan'!#REF!</f>
        <v>#REF!</v>
      </c>
      <c r="D193" s="1156"/>
      <c r="E193" s="656" t="s">
        <v>1040</v>
      </c>
      <c r="F193" s="623">
        <v>2142.86</v>
      </c>
      <c r="G193" s="25"/>
      <c r="H193" s="665" t="s">
        <v>1077</v>
      </c>
      <c r="I193" s="665" t="s">
        <v>1077</v>
      </c>
      <c r="J193" s="662" t="s">
        <v>1093</v>
      </c>
      <c r="K193" s="26"/>
      <c r="L193" s="27"/>
      <c r="M193" s="27"/>
      <c r="N193" s="27"/>
      <c r="O193" s="167"/>
      <c r="P193" s="27"/>
      <c r="Q193" s="27"/>
      <c r="R193" s="27"/>
      <c r="S193" s="27"/>
      <c r="T193" s="27"/>
      <c r="U193" s="27"/>
      <c r="V193" s="644"/>
    </row>
    <row r="194" spans="1:22" s="44" customFormat="1" ht="60" customHeight="1">
      <c r="A194" s="1136"/>
      <c r="B194" s="348"/>
      <c r="C194" s="48" t="e">
        <f>+'4. Procurement Plan'!#REF!</f>
        <v>#REF!</v>
      </c>
      <c r="D194" s="1156"/>
      <c r="E194" s="656" t="s">
        <v>1051</v>
      </c>
      <c r="F194" s="623">
        <v>2142.86</v>
      </c>
      <c r="G194" s="25"/>
      <c r="H194" s="665" t="s">
        <v>1086</v>
      </c>
      <c r="I194" s="665" t="s">
        <v>1088</v>
      </c>
      <c r="J194" s="662" t="s">
        <v>1093</v>
      </c>
      <c r="K194" s="26"/>
      <c r="L194" s="27"/>
      <c r="M194" s="27"/>
      <c r="N194" s="27"/>
      <c r="O194" s="27"/>
      <c r="P194" s="27"/>
      <c r="Q194" s="167"/>
      <c r="R194" s="167"/>
      <c r="S194" s="27"/>
      <c r="T194" s="27"/>
      <c r="U194" s="27"/>
      <c r="V194" s="644"/>
    </row>
    <row r="195" spans="1:22" s="44" customFormat="1" ht="60" customHeight="1">
      <c r="A195" s="1136"/>
      <c r="B195" s="348"/>
      <c r="C195" s="48" t="e">
        <f>+'4. Procurement Plan'!#REF!</f>
        <v>#REF!</v>
      </c>
      <c r="D195" s="1157"/>
      <c r="E195" s="656" t="s">
        <v>1052</v>
      </c>
      <c r="F195" s="623">
        <v>1142.8599999999999</v>
      </c>
      <c r="G195" s="25"/>
      <c r="H195" s="665" t="s">
        <v>1077</v>
      </c>
      <c r="I195" s="665" t="s">
        <v>1077</v>
      </c>
      <c r="J195" s="662" t="s">
        <v>1093</v>
      </c>
      <c r="K195" s="26"/>
      <c r="L195" s="27"/>
      <c r="M195" s="27"/>
      <c r="N195" s="27"/>
      <c r="O195" s="167"/>
      <c r="P195" s="27"/>
      <c r="Q195" s="27"/>
      <c r="R195" s="27"/>
      <c r="S195" s="27"/>
      <c r="T195" s="27"/>
      <c r="U195" s="27"/>
      <c r="V195" s="644"/>
    </row>
    <row r="196" spans="1:22" s="44" customFormat="1" ht="41.25" customHeight="1">
      <c r="A196" s="657"/>
      <c r="B196" s="647"/>
      <c r="C196" s="651"/>
      <c r="D196" s="1158" t="s">
        <v>1053</v>
      </c>
      <c r="E196" s="1159"/>
      <c r="F196" s="683">
        <f>SUM(F188:F195)</f>
        <v>12500.010000000002</v>
      </c>
      <c r="G196" s="678"/>
      <c r="H196" s="671"/>
      <c r="I196" s="671"/>
      <c r="J196" s="672"/>
      <c r="K196" s="26"/>
      <c r="L196" s="27"/>
      <c r="M196" s="27"/>
      <c r="N196" s="27"/>
      <c r="O196" s="27"/>
      <c r="P196" s="27"/>
      <c r="Q196" s="27"/>
      <c r="R196" s="27"/>
      <c r="S196" s="27"/>
      <c r="T196" s="27"/>
      <c r="U196" s="27"/>
      <c r="V196" s="644"/>
    </row>
    <row r="197" spans="1:22" s="44" customFormat="1" ht="60" customHeight="1">
      <c r="A197" s="1136" t="s">
        <v>1054</v>
      </c>
      <c r="B197" s="348"/>
      <c r="C197" s="48" t="e">
        <f>+'4. Procurement Plan'!#REF!</f>
        <v>#REF!</v>
      </c>
      <c r="D197" s="1160" t="s">
        <v>1055</v>
      </c>
      <c r="E197" s="656" t="s">
        <v>1056</v>
      </c>
      <c r="F197" s="682">
        <v>1428.57</v>
      </c>
      <c r="G197" s="173"/>
      <c r="H197" s="673" t="s">
        <v>1094</v>
      </c>
      <c r="I197" s="673" t="s">
        <v>1094</v>
      </c>
      <c r="J197" s="662" t="s">
        <v>1093</v>
      </c>
      <c r="K197" s="26"/>
      <c r="L197" s="27"/>
      <c r="M197" s="27"/>
      <c r="N197" s="27"/>
      <c r="O197" s="27"/>
      <c r="P197" s="27"/>
      <c r="Q197" s="167"/>
      <c r="R197" s="27"/>
      <c r="S197" s="27"/>
      <c r="T197" s="27"/>
      <c r="U197" s="27"/>
      <c r="V197" s="644"/>
    </row>
    <row r="198" spans="1:22" s="44" customFormat="1" ht="87.75" customHeight="1">
      <c r="A198" s="1136"/>
      <c r="B198" s="348"/>
      <c r="C198" s="48" t="e">
        <f>+'4. Procurement Plan'!#REF!</f>
        <v>#REF!</v>
      </c>
      <c r="D198" s="1161"/>
      <c r="E198" s="656" t="s">
        <v>483</v>
      </c>
      <c r="F198" s="682">
        <v>357.14</v>
      </c>
      <c r="G198" s="173"/>
      <c r="H198" s="665" t="s">
        <v>1077</v>
      </c>
      <c r="I198" s="665" t="s">
        <v>1077</v>
      </c>
      <c r="J198" s="662" t="s">
        <v>1093</v>
      </c>
      <c r="K198" s="26"/>
      <c r="L198" s="27"/>
      <c r="M198" s="27"/>
      <c r="N198" s="27"/>
      <c r="O198" s="167"/>
      <c r="P198" s="27"/>
      <c r="Q198" s="27"/>
      <c r="R198" s="27"/>
      <c r="S198" s="27"/>
      <c r="T198" s="27"/>
      <c r="U198" s="27"/>
      <c r="V198" s="644"/>
    </row>
    <row r="199" spans="1:22" s="44" customFormat="1" ht="60" customHeight="1">
      <c r="A199" s="657"/>
      <c r="B199" s="647"/>
      <c r="C199" s="1114" t="s">
        <v>1057</v>
      </c>
      <c r="D199" s="1073"/>
      <c r="E199" s="1074"/>
      <c r="F199" s="683">
        <f>SUM(F197:F198)</f>
        <v>1785.71</v>
      </c>
      <c r="G199" s="678"/>
      <c r="H199" s="671"/>
      <c r="I199" s="671"/>
      <c r="J199" s="672"/>
      <c r="K199" s="26"/>
      <c r="L199" s="27"/>
      <c r="M199" s="27"/>
      <c r="N199" s="27"/>
      <c r="O199" s="27"/>
      <c r="P199" s="27"/>
      <c r="Q199" s="27"/>
      <c r="R199" s="27"/>
      <c r="S199" s="27"/>
      <c r="T199" s="27"/>
      <c r="U199" s="27"/>
      <c r="V199" s="644"/>
    </row>
    <row r="200" spans="1:22" s="44" customFormat="1" ht="60" customHeight="1">
      <c r="A200" s="1136" t="s">
        <v>1058</v>
      </c>
      <c r="B200" s="348"/>
      <c r="C200" s="48" t="e">
        <f>+'4. Procurement Plan'!#REF!</f>
        <v>#REF!</v>
      </c>
      <c r="D200" s="1143" t="s">
        <v>1059</v>
      </c>
      <c r="E200" s="655" t="s">
        <v>1048</v>
      </c>
      <c r="F200" s="623">
        <v>3646.43</v>
      </c>
      <c r="G200" s="25"/>
      <c r="H200" s="665" t="s">
        <v>1089</v>
      </c>
      <c r="I200" s="665" t="s">
        <v>1095</v>
      </c>
      <c r="J200" s="662" t="s">
        <v>1093</v>
      </c>
      <c r="K200" s="26"/>
      <c r="L200" s="27"/>
      <c r="M200" s="27"/>
      <c r="N200" s="27"/>
      <c r="O200" s="27"/>
      <c r="P200" s="27"/>
      <c r="Q200" s="27"/>
      <c r="R200" s="27"/>
      <c r="S200" s="27"/>
      <c r="T200" s="167"/>
      <c r="U200" s="167"/>
      <c r="V200" s="644"/>
    </row>
    <row r="201" spans="1:22" s="44" customFormat="1" ht="60" customHeight="1">
      <c r="A201" s="1136"/>
      <c r="B201" s="348"/>
      <c r="C201" s="48" t="e">
        <f>+'4. Procurement Plan'!#REF!</f>
        <v>#REF!</v>
      </c>
      <c r="D201" s="1144"/>
      <c r="E201" s="655" t="s">
        <v>1060</v>
      </c>
      <c r="F201" s="623">
        <v>2142.86</v>
      </c>
      <c r="G201" s="25"/>
      <c r="H201" s="665" t="s">
        <v>1086</v>
      </c>
      <c r="I201" s="665" t="s">
        <v>1086</v>
      </c>
      <c r="J201" s="662" t="s">
        <v>1093</v>
      </c>
      <c r="K201" s="26"/>
      <c r="L201" s="27"/>
      <c r="M201" s="27"/>
      <c r="N201" s="27"/>
      <c r="O201" s="27"/>
      <c r="P201" s="27"/>
      <c r="Q201" s="167"/>
      <c r="R201" s="27"/>
      <c r="S201" s="27"/>
      <c r="T201" s="27"/>
      <c r="U201" s="27"/>
      <c r="V201" s="644"/>
    </row>
    <row r="202" spans="1:22" s="44" customFormat="1" ht="60" customHeight="1">
      <c r="A202" s="1136"/>
      <c r="B202" s="348"/>
      <c r="C202" s="48" t="e">
        <f>+'4. Procurement Plan'!#REF!</f>
        <v>#REF!</v>
      </c>
      <c r="D202" s="1144"/>
      <c r="E202" s="655" t="s">
        <v>1050</v>
      </c>
      <c r="F202" s="623">
        <v>1571.43</v>
      </c>
      <c r="G202" s="25"/>
      <c r="H202" s="665" t="s">
        <v>1086</v>
      </c>
      <c r="I202" s="665" t="s">
        <v>1086</v>
      </c>
      <c r="J202" s="662" t="s">
        <v>1093</v>
      </c>
      <c r="K202" s="26"/>
      <c r="L202" s="27"/>
      <c r="M202" s="27"/>
      <c r="N202" s="27"/>
      <c r="O202" s="27"/>
      <c r="P202" s="27"/>
      <c r="Q202" s="167"/>
      <c r="R202" s="27"/>
      <c r="S202" s="27"/>
      <c r="T202" s="27"/>
      <c r="U202" s="27"/>
      <c r="V202" s="644"/>
    </row>
    <row r="203" spans="1:22" s="44" customFormat="1" ht="60" customHeight="1">
      <c r="A203" s="1136"/>
      <c r="B203" s="348"/>
      <c r="C203" s="48" t="e">
        <f>+'4. Procurement Plan'!#REF!</f>
        <v>#REF!</v>
      </c>
      <c r="D203" s="1144"/>
      <c r="E203" s="655" t="s">
        <v>484</v>
      </c>
      <c r="F203" s="623">
        <v>1428.57</v>
      </c>
      <c r="G203" s="25"/>
      <c r="H203" s="665" t="s">
        <v>1089</v>
      </c>
      <c r="I203" s="665" t="s">
        <v>1095</v>
      </c>
      <c r="J203" s="662" t="s">
        <v>1093</v>
      </c>
      <c r="K203" s="26"/>
      <c r="L203" s="27"/>
      <c r="M203" s="27"/>
      <c r="N203" s="27"/>
      <c r="O203" s="27"/>
      <c r="P203" s="27"/>
      <c r="Q203" s="27"/>
      <c r="R203" s="27"/>
      <c r="S203" s="27"/>
      <c r="T203" s="167"/>
      <c r="U203" s="167"/>
      <c r="V203" s="644"/>
    </row>
    <row r="204" spans="1:22" s="44" customFormat="1" ht="60" customHeight="1">
      <c r="A204" s="1136"/>
      <c r="B204" s="348"/>
      <c r="C204" s="48" t="e">
        <f>+'4. Procurement Plan'!#REF!</f>
        <v>#REF!</v>
      </c>
      <c r="D204" s="1144"/>
      <c r="E204" s="655" t="s">
        <v>1061</v>
      </c>
      <c r="F204" s="623">
        <v>107.14</v>
      </c>
      <c r="G204" s="25"/>
      <c r="H204" s="665" t="s">
        <v>1086</v>
      </c>
      <c r="I204" s="665" t="s">
        <v>1086</v>
      </c>
      <c r="J204" s="662" t="s">
        <v>1093</v>
      </c>
      <c r="K204" s="26"/>
      <c r="L204" s="27"/>
      <c r="M204" s="27"/>
      <c r="N204" s="27"/>
      <c r="O204" s="27"/>
      <c r="P204" s="27"/>
      <c r="Q204" s="167"/>
      <c r="R204" s="27"/>
      <c r="S204" s="27"/>
      <c r="T204" s="27"/>
      <c r="U204" s="27"/>
      <c r="V204" s="644"/>
    </row>
    <row r="205" spans="1:22" s="44" customFormat="1" ht="60" customHeight="1">
      <c r="A205" s="1136"/>
      <c r="B205" s="348"/>
      <c r="C205" s="48" t="e">
        <f>+'4. Procurement Plan'!#REF!</f>
        <v>#REF!</v>
      </c>
      <c r="D205" s="1145"/>
      <c r="E205" s="655" t="s">
        <v>1062</v>
      </c>
      <c r="F205" s="623">
        <v>857.14</v>
      </c>
      <c r="G205" s="25"/>
      <c r="H205" s="665" t="s">
        <v>1087</v>
      </c>
      <c r="I205" s="665" t="s">
        <v>1087</v>
      </c>
      <c r="J205" s="662" t="s">
        <v>1093</v>
      </c>
      <c r="K205" s="26"/>
      <c r="L205" s="27"/>
      <c r="M205" s="27"/>
      <c r="N205" s="27"/>
      <c r="O205" s="27"/>
      <c r="P205" s="27"/>
      <c r="Q205" s="27"/>
      <c r="R205" s="27"/>
      <c r="S205" s="167"/>
      <c r="T205" s="27"/>
      <c r="U205" s="27"/>
      <c r="V205" s="644"/>
    </row>
    <row r="206" spans="1:22" s="44" customFormat="1" ht="60" customHeight="1">
      <c r="A206" s="657"/>
      <c r="B206" s="647"/>
      <c r="C206" s="648"/>
      <c r="D206" s="1112" t="s">
        <v>1063</v>
      </c>
      <c r="E206" s="1113"/>
      <c r="F206" s="683">
        <f>SUM(F200:F205)</f>
        <v>9753.57</v>
      </c>
      <c r="G206" s="678"/>
      <c r="H206" s="674"/>
      <c r="I206" s="674"/>
      <c r="J206" s="675"/>
      <c r="K206" s="26"/>
      <c r="L206" s="27"/>
      <c r="M206" s="27"/>
      <c r="N206" s="27"/>
      <c r="O206" s="27"/>
      <c r="P206" s="27"/>
      <c r="Q206" s="27"/>
      <c r="R206" s="27"/>
      <c r="S206" s="27"/>
      <c r="T206" s="27"/>
      <c r="U206" s="27"/>
      <c r="V206" s="644"/>
    </row>
    <row r="207" spans="1:22" s="44" customFormat="1" ht="60" customHeight="1">
      <c r="A207" s="1136" t="s">
        <v>1064</v>
      </c>
      <c r="B207" s="348"/>
      <c r="C207" s="48" t="e">
        <f>+'4. Procurement Plan'!#REF!</f>
        <v>#REF!</v>
      </c>
      <c r="D207" s="1143" t="s">
        <v>1046</v>
      </c>
      <c r="E207" s="656" t="s">
        <v>1047</v>
      </c>
      <c r="F207" s="623">
        <v>535.71</v>
      </c>
      <c r="G207" s="25"/>
      <c r="H207" s="665" t="s">
        <v>1088</v>
      </c>
      <c r="I207" s="665" t="s">
        <v>1088</v>
      </c>
      <c r="J207" s="662" t="s">
        <v>1093</v>
      </c>
      <c r="K207" s="26"/>
      <c r="L207" s="27"/>
      <c r="M207" s="27"/>
      <c r="N207" s="27"/>
      <c r="O207" s="27"/>
      <c r="P207" s="27"/>
      <c r="Q207" s="27"/>
      <c r="R207" s="167"/>
      <c r="S207" s="27"/>
      <c r="T207" s="27"/>
      <c r="U207" s="27"/>
      <c r="V207" s="644"/>
    </row>
    <row r="208" spans="1:22" s="44" customFormat="1" ht="60" customHeight="1">
      <c r="A208" s="1136"/>
      <c r="B208" s="348"/>
      <c r="C208" s="48" t="e">
        <f>+C207</f>
        <v>#REF!</v>
      </c>
      <c r="D208" s="1144"/>
      <c r="E208" s="656" t="s">
        <v>1048</v>
      </c>
      <c r="F208" s="623">
        <v>1607.14</v>
      </c>
      <c r="G208" s="25"/>
      <c r="H208" s="665" t="s">
        <v>1088</v>
      </c>
      <c r="I208" s="665" t="s">
        <v>1088</v>
      </c>
      <c r="J208" s="662" t="s">
        <v>1093</v>
      </c>
      <c r="K208" s="26"/>
      <c r="L208" s="27"/>
      <c r="M208" s="27"/>
      <c r="N208" s="27"/>
      <c r="O208" s="27"/>
      <c r="P208" s="27"/>
      <c r="Q208" s="27"/>
      <c r="R208" s="167"/>
      <c r="S208" s="27"/>
      <c r="T208" s="27"/>
      <c r="U208" s="27"/>
      <c r="V208" s="644"/>
    </row>
    <row r="209" spans="1:22" s="44" customFormat="1" ht="60" customHeight="1">
      <c r="A209" s="1136"/>
      <c r="B209" s="348"/>
      <c r="C209" s="48" t="e">
        <f>+'4. Procurement Plan'!#REF!</f>
        <v>#REF!</v>
      </c>
      <c r="D209" s="1144"/>
      <c r="E209" s="656" t="s">
        <v>1049</v>
      </c>
      <c r="F209" s="623">
        <v>428.57</v>
      </c>
      <c r="G209" s="25"/>
      <c r="H209" s="665" t="s">
        <v>1088</v>
      </c>
      <c r="I209" s="665" t="s">
        <v>1088</v>
      </c>
      <c r="J209" s="662" t="s">
        <v>1093</v>
      </c>
      <c r="K209" s="26"/>
      <c r="L209" s="27"/>
      <c r="M209" s="27"/>
      <c r="N209" s="27"/>
      <c r="O209" s="27"/>
      <c r="P209" s="27"/>
      <c r="Q209" s="27"/>
      <c r="R209" s="167"/>
      <c r="S209" s="27"/>
      <c r="T209" s="27"/>
      <c r="U209" s="27"/>
      <c r="V209" s="644"/>
    </row>
    <row r="210" spans="1:22" s="44" customFormat="1" ht="60" customHeight="1">
      <c r="A210" s="1136"/>
      <c r="B210" s="348"/>
      <c r="C210" s="48" t="e">
        <f>+'4. Procurement Plan'!#REF!</f>
        <v>#REF!</v>
      </c>
      <c r="D210" s="1144"/>
      <c r="E210" s="656" t="s">
        <v>484</v>
      </c>
      <c r="F210" s="623">
        <v>428.57</v>
      </c>
      <c r="G210" s="25"/>
      <c r="H210" s="665" t="s">
        <v>1088</v>
      </c>
      <c r="I210" s="665" t="s">
        <v>1088</v>
      </c>
      <c r="J210" s="662" t="s">
        <v>1093</v>
      </c>
      <c r="K210" s="26"/>
      <c r="L210" s="27"/>
      <c r="M210" s="27"/>
      <c r="N210" s="27"/>
      <c r="O210" s="27"/>
      <c r="P210" s="27"/>
      <c r="Q210" s="27"/>
      <c r="R210" s="167"/>
      <c r="S210" s="27"/>
      <c r="T210" s="27"/>
      <c r="U210" s="27"/>
      <c r="V210" s="644"/>
    </row>
    <row r="211" spans="1:22" s="44" customFormat="1" ht="60" customHeight="1">
      <c r="A211" s="1136"/>
      <c r="B211" s="348"/>
      <c r="C211" s="48" t="str">
        <f>+'4. Procurement Plan'!I44</f>
        <v>20-1311a(vii)</v>
      </c>
      <c r="D211" s="1144"/>
      <c r="E211" s="656" t="s">
        <v>1050</v>
      </c>
      <c r="F211" s="623">
        <v>535.71</v>
      </c>
      <c r="G211" s="25"/>
      <c r="H211" s="665" t="s">
        <v>1077</v>
      </c>
      <c r="I211" s="665" t="s">
        <v>1077</v>
      </c>
      <c r="J211" s="662" t="s">
        <v>1093</v>
      </c>
      <c r="K211" s="26"/>
      <c r="L211" s="27"/>
      <c r="M211" s="27"/>
      <c r="N211" s="27"/>
      <c r="O211" s="167"/>
      <c r="P211" s="27"/>
      <c r="Q211" s="27"/>
      <c r="R211" s="27"/>
      <c r="S211" s="27"/>
      <c r="T211" s="27"/>
      <c r="U211" s="27"/>
      <c r="V211" s="644"/>
    </row>
    <row r="212" spans="1:22" s="44" customFormat="1" ht="60" customHeight="1">
      <c r="A212" s="1136"/>
      <c r="B212" s="348"/>
      <c r="C212" s="48" t="e">
        <f>+'4. Procurement Plan'!#REF!</f>
        <v>#REF!</v>
      </c>
      <c r="D212" s="1144"/>
      <c r="E212" s="656" t="s">
        <v>1040</v>
      </c>
      <c r="F212" s="623">
        <v>1071.43</v>
      </c>
      <c r="G212" s="25"/>
      <c r="H212" s="665" t="s">
        <v>1077</v>
      </c>
      <c r="I212" s="665" t="s">
        <v>1077</v>
      </c>
      <c r="J212" s="662" t="s">
        <v>1093</v>
      </c>
      <c r="K212" s="26"/>
      <c r="L212" s="27"/>
      <c r="M212" s="27"/>
      <c r="N212" s="27"/>
      <c r="O212" s="167"/>
      <c r="P212" s="27"/>
      <c r="Q212" s="27"/>
      <c r="R212" s="27"/>
      <c r="S212" s="27"/>
      <c r="T212" s="27"/>
      <c r="U212" s="27"/>
      <c r="V212" s="644"/>
    </row>
    <row r="213" spans="1:22" s="44" customFormat="1" ht="60" customHeight="1">
      <c r="A213" s="1136"/>
      <c r="B213" s="348"/>
      <c r="C213" s="48" t="e">
        <f>+'4. Procurement Plan'!#REF!</f>
        <v>#REF!</v>
      </c>
      <c r="D213" s="1144"/>
      <c r="E213" s="656" t="s">
        <v>1051</v>
      </c>
      <c r="F213" s="623">
        <v>1071.43</v>
      </c>
      <c r="G213" s="25"/>
      <c r="H213" s="665" t="s">
        <v>1086</v>
      </c>
      <c r="I213" s="665" t="s">
        <v>1088</v>
      </c>
      <c r="J213" s="662" t="s">
        <v>1093</v>
      </c>
      <c r="K213" s="26"/>
      <c r="L213" s="27"/>
      <c r="M213" s="27"/>
      <c r="N213" s="27"/>
      <c r="O213" s="27"/>
      <c r="P213" s="27"/>
      <c r="Q213" s="27"/>
      <c r="R213" s="167"/>
      <c r="S213" s="27"/>
      <c r="T213" s="27"/>
      <c r="U213" s="27"/>
      <c r="V213" s="644"/>
    </row>
    <row r="214" spans="1:22" s="44" customFormat="1" ht="60" customHeight="1">
      <c r="A214" s="1136"/>
      <c r="B214" s="348"/>
      <c r="C214" s="48" t="e">
        <f>+'4. Procurement Plan'!#REF!</f>
        <v>#REF!</v>
      </c>
      <c r="D214" s="1145"/>
      <c r="E214" s="656" t="s">
        <v>1052</v>
      </c>
      <c r="F214" s="623">
        <v>500</v>
      </c>
      <c r="G214" s="25"/>
      <c r="H214" s="665" t="s">
        <v>1077</v>
      </c>
      <c r="I214" s="665" t="s">
        <v>1077</v>
      </c>
      <c r="J214" s="662" t="s">
        <v>1093</v>
      </c>
      <c r="K214" s="26"/>
      <c r="L214" s="27"/>
      <c r="M214" s="27"/>
      <c r="N214" s="27"/>
      <c r="O214" s="167"/>
      <c r="P214" s="27"/>
      <c r="Q214" s="27"/>
      <c r="R214" s="27"/>
      <c r="S214" s="27"/>
      <c r="T214" s="27"/>
      <c r="U214" s="27"/>
      <c r="V214" s="644"/>
    </row>
    <row r="215" spans="1:22" s="44" customFormat="1" ht="60" customHeight="1">
      <c r="A215" s="657"/>
      <c r="B215" s="647"/>
      <c r="C215" s="648"/>
      <c r="D215" s="1112" t="s">
        <v>1053</v>
      </c>
      <c r="E215" s="1113"/>
      <c r="F215" s="683">
        <f>SUM(F207:F214)</f>
        <v>6178.5600000000013</v>
      </c>
      <c r="G215" s="678"/>
      <c r="H215" s="674"/>
      <c r="I215" s="674"/>
      <c r="J215" s="675"/>
      <c r="K215" s="26"/>
      <c r="L215" s="27"/>
      <c r="M215" s="27"/>
      <c r="N215" s="27"/>
      <c r="O215" s="27"/>
      <c r="P215" s="27"/>
      <c r="Q215" s="27"/>
      <c r="R215" s="27"/>
      <c r="S215" s="27"/>
      <c r="T215" s="27"/>
      <c r="U215" s="27"/>
      <c r="V215" s="644"/>
    </row>
    <row r="216" spans="1:22" s="44" customFormat="1" ht="60" customHeight="1">
      <c r="A216" s="1136" t="s">
        <v>1065</v>
      </c>
      <c r="B216" s="348"/>
      <c r="C216" s="48" t="e">
        <f>+'4. Procurement Plan'!#REF!</f>
        <v>#REF!</v>
      </c>
      <c r="D216" s="1143" t="s">
        <v>1066</v>
      </c>
      <c r="E216" s="655" t="s">
        <v>482</v>
      </c>
      <c r="F216" s="623">
        <v>4285.71</v>
      </c>
      <c r="G216" s="25"/>
      <c r="H216" s="665" t="s">
        <v>1089</v>
      </c>
      <c r="I216" s="665" t="s">
        <v>1089</v>
      </c>
      <c r="J216" s="662" t="s">
        <v>1093</v>
      </c>
      <c r="K216" s="26"/>
      <c r="L216" s="27"/>
      <c r="M216" s="27"/>
      <c r="N216" s="27"/>
      <c r="O216" s="27"/>
      <c r="P216" s="27"/>
      <c r="Q216" s="27"/>
      <c r="R216" s="27"/>
      <c r="S216" s="27"/>
      <c r="T216" s="167"/>
      <c r="U216" s="27"/>
      <c r="V216" s="644"/>
    </row>
    <row r="217" spans="1:22" s="44" customFormat="1" ht="60" customHeight="1">
      <c r="A217" s="1136"/>
      <c r="B217" s="348"/>
      <c r="C217" s="48" t="e">
        <f>+'4. Procurement Plan'!#REF!</f>
        <v>#REF!</v>
      </c>
      <c r="D217" s="1144"/>
      <c r="E217" s="655" t="s">
        <v>1040</v>
      </c>
      <c r="F217" s="623">
        <v>3571.43</v>
      </c>
      <c r="G217" s="25"/>
      <c r="H217" s="665" t="s">
        <v>1086</v>
      </c>
      <c r="I217" s="665" t="s">
        <v>1086</v>
      </c>
      <c r="J217" s="662" t="s">
        <v>1093</v>
      </c>
      <c r="K217" s="26"/>
      <c r="L217" s="27"/>
      <c r="M217" s="27"/>
      <c r="N217" s="27"/>
      <c r="O217" s="27"/>
      <c r="P217" s="27"/>
      <c r="Q217" s="167"/>
      <c r="R217" s="27"/>
      <c r="S217" s="27"/>
      <c r="T217" s="27"/>
      <c r="U217" s="27"/>
      <c r="V217" s="644"/>
    </row>
    <row r="218" spans="1:22" s="44" customFormat="1" ht="60" customHeight="1">
      <c r="A218" s="1136"/>
      <c r="B218" s="348"/>
      <c r="C218" s="48" t="e">
        <f>+'4. Procurement Plan'!#REF!</f>
        <v>#REF!</v>
      </c>
      <c r="D218" s="1144"/>
      <c r="E218" s="655" t="s">
        <v>1041</v>
      </c>
      <c r="F218" s="623">
        <v>1571.43</v>
      </c>
      <c r="G218" s="25"/>
      <c r="H218" s="665" t="s">
        <v>1089</v>
      </c>
      <c r="I218" s="665" t="s">
        <v>1089</v>
      </c>
      <c r="J218" s="662" t="s">
        <v>1093</v>
      </c>
      <c r="K218" s="26"/>
      <c r="L218" s="27"/>
      <c r="M218" s="27"/>
      <c r="N218" s="27"/>
      <c r="O218" s="27"/>
      <c r="P218" s="27"/>
      <c r="Q218" s="27"/>
      <c r="R218" s="27"/>
      <c r="S218" s="27"/>
      <c r="T218" s="167"/>
      <c r="U218" s="27"/>
      <c r="V218" s="644"/>
    </row>
    <row r="219" spans="1:22" s="44" customFormat="1" ht="60" customHeight="1">
      <c r="A219" s="1136"/>
      <c r="B219" s="348"/>
      <c r="C219" s="48" t="str">
        <f>+'4. Procurement Plan'!I41</f>
        <v>20-1311a(ii)</v>
      </c>
      <c r="D219" s="1144"/>
      <c r="E219" s="655" t="s">
        <v>483</v>
      </c>
      <c r="F219" s="623">
        <v>1785.71</v>
      </c>
      <c r="G219" s="25"/>
      <c r="H219" s="665" t="s">
        <v>1086</v>
      </c>
      <c r="I219" s="665" t="s">
        <v>1086</v>
      </c>
      <c r="J219" s="662" t="s">
        <v>1093</v>
      </c>
      <c r="K219" s="26"/>
      <c r="L219" s="27"/>
      <c r="M219" s="27"/>
      <c r="N219" s="27"/>
      <c r="O219" s="27"/>
      <c r="P219" s="27"/>
      <c r="Q219" s="27"/>
      <c r="R219" s="27"/>
      <c r="S219" s="27"/>
      <c r="T219" s="27"/>
      <c r="U219" s="27"/>
      <c r="V219" s="644"/>
    </row>
    <row r="220" spans="1:22" s="44" customFormat="1" ht="60" customHeight="1">
      <c r="A220" s="1136"/>
      <c r="B220" s="348"/>
      <c r="C220" s="48" t="str">
        <f>+'4. Procurement Plan'!I42</f>
        <v>20-1311a(iii)</v>
      </c>
      <c r="D220" s="1144"/>
      <c r="E220" s="655" t="s">
        <v>1042</v>
      </c>
      <c r="F220" s="623">
        <v>2500</v>
      </c>
      <c r="G220" s="25"/>
      <c r="H220" s="665" t="s">
        <v>1086</v>
      </c>
      <c r="I220" s="665" t="s">
        <v>1086</v>
      </c>
      <c r="J220" s="662" t="s">
        <v>1093</v>
      </c>
      <c r="K220" s="26"/>
      <c r="L220" s="27"/>
      <c r="M220" s="27"/>
      <c r="N220" s="27"/>
      <c r="O220" s="27"/>
      <c r="P220" s="27"/>
      <c r="Q220" s="167"/>
      <c r="R220" s="27"/>
      <c r="S220" s="27"/>
      <c r="T220" s="27"/>
      <c r="U220" s="27"/>
      <c r="V220" s="644"/>
    </row>
    <row r="221" spans="1:22" s="44" customFormat="1" ht="60" customHeight="1">
      <c r="A221" s="1136"/>
      <c r="B221" s="348"/>
      <c r="C221" s="48"/>
      <c r="D221" s="1144"/>
      <c r="E221" s="655" t="s">
        <v>1043</v>
      </c>
      <c r="F221" s="623">
        <v>357.14</v>
      </c>
      <c r="G221" s="25"/>
      <c r="H221" s="665" t="s">
        <v>1089</v>
      </c>
      <c r="I221" s="665" t="s">
        <v>1089</v>
      </c>
      <c r="J221" s="662" t="s">
        <v>1093</v>
      </c>
      <c r="K221" s="26"/>
      <c r="L221" s="27"/>
      <c r="M221" s="27"/>
      <c r="N221" s="27"/>
      <c r="O221" s="27"/>
      <c r="P221" s="27"/>
      <c r="Q221" s="27"/>
      <c r="R221" s="27"/>
      <c r="S221" s="27"/>
      <c r="T221" s="167"/>
      <c r="U221" s="27"/>
      <c r="V221" s="644"/>
    </row>
    <row r="222" spans="1:22" s="44" customFormat="1" ht="60" customHeight="1">
      <c r="A222" s="1136"/>
      <c r="B222" s="348"/>
      <c r="C222" s="48" t="str">
        <f>+'4. Procurement Plan'!I126</f>
        <v>19-1311c</v>
      </c>
      <c r="D222" s="1145"/>
      <c r="E222" s="655" t="s">
        <v>484</v>
      </c>
      <c r="F222" s="623">
        <v>571.42999999999995</v>
      </c>
      <c r="G222" s="25"/>
      <c r="H222" s="665" t="s">
        <v>1089</v>
      </c>
      <c r="I222" s="665" t="s">
        <v>1089</v>
      </c>
      <c r="J222" s="662" t="s">
        <v>1093</v>
      </c>
      <c r="K222" s="26"/>
      <c r="L222" s="27"/>
      <c r="M222" s="27"/>
      <c r="N222" s="27"/>
      <c r="O222" s="27"/>
      <c r="P222" s="27"/>
      <c r="Q222" s="27"/>
      <c r="R222" s="27"/>
      <c r="S222" s="27"/>
      <c r="T222" s="167"/>
      <c r="U222" s="27"/>
      <c r="V222" s="644"/>
    </row>
    <row r="223" spans="1:22" s="44" customFormat="1" ht="60" customHeight="1">
      <c r="A223" s="657"/>
      <c r="B223" s="647"/>
      <c r="C223" s="651"/>
      <c r="D223" s="1112" t="s">
        <v>1044</v>
      </c>
      <c r="E223" s="1113"/>
      <c r="F223" s="683">
        <f>SUM(F216:F222)</f>
        <v>14642.849999999999</v>
      </c>
      <c r="G223" s="678"/>
      <c r="H223" s="674"/>
      <c r="I223" s="671"/>
      <c r="J223" s="672"/>
      <c r="K223" s="26"/>
      <c r="L223" s="27"/>
      <c r="M223" s="27"/>
      <c r="N223" s="27"/>
      <c r="O223" s="27"/>
      <c r="P223" s="27"/>
      <c r="Q223" s="27"/>
      <c r="R223" s="27"/>
      <c r="S223" s="27"/>
      <c r="T223" s="27"/>
      <c r="U223" s="27"/>
      <c r="V223" s="644"/>
    </row>
    <row r="224" spans="1:22" s="44" customFormat="1" ht="93" customHeight="1">
      <c r="A224" s="544" t="s">
        <v>1067</v>
      </c>
      <c r="B224" s="348"/>
      <c r="C224" s="48"/>
      <c r="D224" s="615" t="s">
        <v>1068</v>
      </c>
      <c r="E224" s="658" t="s">
        <v>1069</v>
      </c>
      <c r="F224" s="623">
        <v>5142.8599999999997</v>
      </c>
      <c r="G224" s="25"/>
      <c r="H224" s="670" t="s">
        <v>1072</v>
      </c>
      <c r="I224" s="670" t="s">
        <v>1096</v>
      </c>
      <c r="J224" s="662" t="s">
        <v>1097</v>
      </c>
      <c r="K224" s="167"/>
      <c r="L224" s="167"/>
      <c r="M224" s="167"/>
      <c r="N224" s="27"/>
      <c r="O224" s="27"/>
      <c r="P224" s="27"/>
      <c r="Q224" s="27"/>
      <c r="R224" s="27"/>
      <c r="S224" s="27"/>
      <c r="T224" s="27"/>
      <c r="U224" s="27"/>
      <c r="V224" s="644"/>
    </row>
    <row r="225" spans="1:22" s="44" customFormat="1" ht="60" customHeight="1">
      <c r="A225" s="1146" t="s">
        <v>575</v>
      </c>
      <c r="B225" s="1147"/>
      <c r="C225" s="1147"/>
      <c r="D225" s="1147"/>
      <c r="E225" s="1148"/>
      <c r="F225" s="684">
        <f>+F224+F223+F215+F206+F199+F196+F187+F179+F178+F177+F176+F175+F174+F168+F162+F156+F153+F146+F147</f>
        <v>386316.3</v>
      </c>
      <c r="G225" s="258"/>
      <c r="H225" s="258"/>
      <c r="I225" s="258"/>
      <c r="J225" s="258"/>
      <c r="K225" s="26"/>
      <c r="L225" s="27"/>
      <c r="M225" s="27"/>
      <c r="N225" s="27"/>
      <c r="O225" s="27"/>
      <c r="P225" s="27"/>
      <c r="Q225" s="27"/>
      <c r="R225" s="27"/>
      <c r="S225" s="27"/>
      <c r="T225" s="27"/>
      <c r="U225" s="27"/>
      <c r="V225" s="644"/>
    </row>
    <row r="226" spans="1:22" s="44" customFormat="1" ht="60" customHeight="1">
      <c r="A226" s="539" t="s">
        <v>1098</v>
      </c>
      <c r="B226" s="47"/>
      <c r="C226" s="48"/>
      <c r="D226" s="63" t="s">
        <v>1099</v>
      </c>
      <c r="E226" s="685" t="s">
        <v>486</v>
      </c>
      <c r="F226" s="682">
        <v>9714.2900000000009</v>
      </c>
      <c r="G226" s="173"/>
      <c r="H226" s="676" t="s">
        <v>1072</v>
      </c>
      <c r="I226" s="676" t="s">
        <v>1128</v>
      </c>
      <c r="J226" s="692" t="s">
        <v>1129</v>
      </c>
      <c r="K226" s="167"/>
      <c r="L226" s="167"/>
      <c r="M226" s="167"/>
      <c r="N226" s="167"/>
      <c r="O226" s="167"/>
      <c r="P226" s="167"/>
      <c r="Q226" s="167"/>
      <c r="R226" s="167"/>
      <c r="S226" s="167"/>
      <c r="T226" s="167"/>
      <c r="U226" s="167"/>
      <c r="V226" s="167"/>
    </row>
    <row r="227" spans="1:22" s="44" customFormat="1" ht="60" customHeight="1">
      <c r="A227" s="539"/>
      <c r="B227" s="47"/>
      <c r="C227" s="48"/>
      <c r="D227" s="335"/>
      <c r="E227" s="685" t="s">
        <v>1100</v>
      </c>
      <c r="F227" s="682">
        <v>19428.57</v>
      </c>
      <c r="G227" s="173"/>
      <c r="H227" s="676" t="s">
        <v>1072</v>
      </c>
      <c r="I227" s="676" t="s">
        <v>1128</v>
      </c>
      <c r="J227" s="692" t="s">
        <v>1129</v>
      </c>
      <c r="K227" s="167"/>
      <c r="L227" s="167"/>
      <c r="M227" s="167"/>
      <c r="N227" s="167"/>
      <c r="O227" s="167"/>
      <c r="P227" s="167"/>
      <c r="Q227" s="167"/>
      <c r="R227" s="167"/>
      <c r="S227" s="167"/>
      <c r="T227" s="167"/>
      <c r="U227" s="167"/>
      <c r="V227" s="167"/>
    </row>
    <row r="228" spans="1:22" s="44" customFormat="1" ht="60" customHeight="1">
      <c r="A228" s="539"/>
      <c r="B228" s="47"/>
      <c r="C228" s="48"/>
      <c r="D228" s="335"/>
      <c r="E228" s="685" t="s">
        <v>487</v>
      </c>
      <c r="F228" s="682">
        <v>154.29</v>
      </c>
      <c r="G228" s="173"/>
      <c r="H228" s="676" t="s">
        <v>1130</v>
      </c>
      <c r="I228" s="676" t="s">
        <v>1130</v>
      </c>
      <c r="J228" s="692" t="s">
        <v>1129</v>
      </c>
      <c r="K228" s="51"/>
      <c r="L228" s="147"/>
      <c r="M228" s="147"/>
      <c r="N228" s="147"/>
      <c r="O228" s="147"/>
      <c r="P228" s="147"/>
      <c r="Q228" s="147"/>
      <c r="R228" s="147"/>
      <c r="S228" s="147"/>
      <c r="T228" s="147"/>
      <c r="U228" s="167"/>
      <c r="V228" s="181"/>
    </row>
    <row r="229" spans="1:22" s="44" customFormat="1" ht="60" customHeight="1">
      <c r="A229" s="539"/>
      <c r="B229" s="47"/>
      <c r="C229" s="48"/>
      <c r="D229" s="182"/>
      <c r="E229" s="685" t="s">
        <v>488</v>
      </c>
      <c r="F229" s="682">
        <v>5714.29</v>
      </c>
      <c r="G229" s="173"/>
      <c r="H229" s="676" t="s">
        <v>1072</v>
      </c>
      <c r="I229" s="676" t="s">
        <v>1086</v>
      </c>
      <c r="J229" s="692" t="s">
        <v>1129</v>
      </c>
      <c r="K229" s="167"/>
      <c r="L229" s="167"/>
      <c r="M229" s="167"/>
      <c r="N229" s="167"/>
      <c r="O229" s="167"/>
      <c r="P229" s="167"/>
      <c r="Q229" s="167"/>
      <c r="R229" s="147"/>
      <c r="S229" s="147"/>
      <c r="T229" s="147"/>
      <c r="U229" s="147"/>
      <c r="V229" s="181"/>
    </row>
    <row r="230" spans="1:22" s="44" customFormat="1" ht="60" customHeight="1">
      <c r="A230" s="539"/>
      <c r="B230" s="47"/>
      <c r="C230" s="48"/>
      <c r="D230" s="156" t="s">
        <v>1101</v>
      </c>
      <c r="E230" s="685" t="s">
        <v>1102</v>
      </c>
      <c r="F230" s="682">
        <v>6000</v>
      </c>
      <c r="G230" s="173"/>
      <c r="H230" s="676" t="s">
        <v>1072</v>
      </c>
      <c r="I230" s="676" t="s">
        <v>1128</v>
      </c>
      <c r="J230" s="692" t="s">
        <v>1129</v>
      </c>
      <c r="K230" s="167"/>
      <c r="L230" s="167"/>
      <c r="M230" s="167"/>
      <c r="N230" s="167"/>
      <c r="O230" s="167"/>
      <c r="P230" s="167"/>
      <c r="Q230" s="167"/>
      <c r="R230" s="167"/>
      <c r="S230" s="167"/>
      <c r="T230" s="167"/>
      <c r="U230" s="167"/>
      <c r="V230" s="167"/>
    </row>
    <row r="231" spans="1:22" s="44" customFormat="1" ht="60" customHeight="1">
      <c r="A231" s="539"/>
      <c r="B231" s="47"/>
      <c r="C231" s="48" t="str">
        <f>+'4. Procurement Plan'!I127</f>
        <v>19-1312c(i)</v>
      </c>
      <c r="D231" s="156" t="s">
        <v>1103</v>
      </c>
      <c r="E231" s="685" t="s">
        <v>1104</v>
      </c>
      <c r="F231" s="682">
        <v>11000</v>
      </c>
      <c r="G231" s="173"/>
      <c r="H231" s="676">
        <v>43862</v>
      </c>
      <c r="I231" s="676" t="s">
        <v>1128</v>
      </c>
      <c r="J231" s="692" t="s">
        <v>1129</v>
      </c>
      <c r="K231" s="51"/>
      <c r="L231" s="167"/>
      <c r="M231" s="167"/>
      <c r="N231" s="167"/>
      <c r="O231" s="167"/>
      <c r="P231" s="167"/>
      <c r="Q231" s="167"/>
      <c r="R231" s="167"/>
      <c r="S231" s="167"/>
      <c r="T231" s="167"/>
      <c r="U231" s="167"/>
      <c r="V231" s="167"/>
    </row>
    <row r="232" spans="1:22" s="44" customFormat="1" ht="60" customHeight="1">
      <c r="A232" s="539"/>
      <c r="B232" s="47"/>
      <c r="C232" s="48"/>
      <c r="D232" s="156" t="s">
        <v>704</v>
      </c>
      <c r="E232" s="685" t="s">
        <v>1105</v>
      </c>
      <c r="F232" s="682">
        <v>17027.400000000001</v>
      </c>
      <c r="G232" s="173"/>
      <c r="H232" s="676" t="s">
        <v>1092</v>
      </c>
      <c r="I232" s="676" t="s">
        <v>1128</v>
      </c>
      <c r="J232" s="692" t="s">
        <v>1129</v>
      </c>
      <c r="K232" s="51"/>
      <c r="L232" s="147"/>
      <c r="M232" s="147"/>
      <c r="N232" s="167"/>
      <c r="O232" s="167"/>
      <c r="P232" s="167"/>
      <c r="Q232" s="167"/>
      <c r="R232" s="167"/>
      <c r="S232" s="167"/>
      <c r="T232" s="167"/>
      <c r="U232" s="167"/>
      <c r="V232" s="167"/>
    </row>
    <row r="233" spans="1:22" s="44" customFormat="1" ht="60" customHeight="1">
      <c r="A233" s="539"/>
      <c r="B233" s="368"/>
      <c r="C233" s="369" t="str">
        <f>+'4. Procurement Plan'!I129</f>
        <v>19-1312c(ii)</v>
      </c>
      <c r="D233" s="156" t="s">
        <v>1106</v>
      </c>
      <c r="E233" s="685" t="s">
        <v>1107</v>
      </c>
      <c r="F233" s="682">
        <v>31216.9</v>
      </c>
      <c r="G233" s="173"/>
      <c r="H233" s="676">
        <v>43862</v>
      </c>
      <c r="I233" s="676" t="s">
        <v>1128</v>
      </c>
      <c r="J233" s="692" t="s">
        <v>1129</v>
      </c>
      <c r="K233" s="51"/>
      <c r="L233" s="167"/>
      <c r="M233" s="167"/>
      <c r="N233" s="167"/>
      <c r="O233" s="167"/>
      <c r="P233" s="167"/>
      <c r="Q233" s="167"/>
      <c r="R233" s="167"/>
      <c r="S233" s="167"/>
      <c r="T233" s="167"/>
      <c r="U233" s="167"/>
      <c r="V233" s="167"/>
    </row>
    <row r="234" spans="1:22" s="44" customFormat="1" ht="60" customHeight="1">
      <c r="A234" s="539"/>
      <c r="B234" s="368"/>
      <c r="C234" s="369"/>
      <c r="D234" s="156" t="s">
        <v>489</v>
      </c>
      <c r="E234" s="685" t="s">
        <v>1108</v>
      </c>
      <c r="F234" s="682">
        <v>14360.26</v>
      </c>
      <c r="G234" s="173"/>
      <c r="H234" s="676" t="s">
        <v>1092</v>
      </c>
      <c r="I234" s="676" t="s">
        <v>1128</v>
      </c>
      <c r="J234" s="692" t="s">
        <v>1129</v>
      </c>
      <c r="K234" s="51"/>
      <c r="L234" s="147"/>
      <c r="M234" s="147"/>
      <c r="N234" s="167"/>
      <c r="O234" s="167"/>
      <c r="P234" s="167"/>
      <c r="Q234" s="167"/>
      <c r="R234" s="167"/>
      <c r="S234" s="167"/>
      <c r="T234" s="167"/>
      <c r="U234" s="167"/>
      <c r="V234" s="167"/>
    </row>
    <row r="235" spans="1:22" s="44" customFormat="1" ht="60" customHeight="1">
      <c r="A235" s="539"/>
      <c r="B235" s="368"/>
      <c r="C235" s="369" t="str">
        <f>+'4. Procurement Plan'!I128</f>
        <v>19-1312c(ii)</v>
      </c>
      <c r="D235" s="156" t="s">
        <v>1109</v>
      </c>
      <c r="E235" s="685" t="s">
        <v>1110</v>
      </c>
      <c r="F235" s="682">
        <v>13163.57</v>
      </c>
      <c r="G235" s="173"/>
      <c r="H235" s="676">
        <v>43862</v>
      </c>
      <c r="I235" s="676" t="s">
        <v>1128</v>
      </c>
      <c r="J235" s="692" t="s">
        <v>1129</v>
      </c>
      <c r="K235" s="51"/>
      <c r="L235" s="167"/>
      <c r="M235" s="167"/>
      <c r="N235" s="167"/>
      <c r="O235" s="167"/>
      <c r="P235" s="167"/>
      <c r="Q235" s="167"/>
      <c r="R235" s="167"/>
      <c r="S235" s="167"/>
      <c r="T235" s="167"/>
      <c r="U235" s="167"/>
      <c r="V235" s="167"/>
    </row>
    <row r="236" spans="1:22" s="44" customFormat="1" ht="60" customHeight="1">
      <c r="A236" s="686"/>
      <c r="B236" s="687"/>
      <c r="C236" s="688"/>
      <c r="D236" s="1137" t="s">
        <v>1111</v>
      </c>
      <c r="E236" s="1137"/>
      <c r="F236" s="683">
        <f>SUM(F226:F235)</f>
        <v>127779.56999999998</v>
      </c>
      <c r="G236" s="678"/>
      <c r="H236" s="693"/>
      <c r="I236" s="694"/>
      <c r="J236" s="695"/>
      <c r="K236" s="51"/>
      <c r="L236" s="147"/>
      <c r="M236" s="147"/>
      <c r="N236" s="147"/>
      <c r="O236" s="147"/>
      <c r="P236" s="147"/>
      <c r="Q236" s="147"/>
      <c r="R236" s="147"/>
      <c r="S236" s="147"/>
      <c r="T236" s="147"/>
      <c r="U236" s="147"/>
      <c r="V236" s="181"/>
    </row>
    <row r="237" spans="1:22" s="44" customFormat="1" ht="60" customHeight="1">
      <c r="A237" s="1039" t="s">
        <v>1112</v>
      </c>
      <c r="B237" s="368"/>
      <c r="C237" s="369" t="str">
        <f>+'4. Procurement Plan'!I48</f>
        <v>19-1312b(iv)</v>
      </c>
      <c r="D237" s="1133" t="s">
        <v>1113</v>
      </c>
      <c r="E237" s="685" t="s">
        <v>1114</v>
      </c>
      <c r="F237" s="682">
        <v>7500</v>
      </c>
      <c r="G237" s="173"/>
      <c r="H237" s="676" t="s">
        <v>1092</v>
      </c>
      <c r="I237" s="676" t="s">
        <v>1075</v>
      </c>
      <c r="J237" s="692" t="s">
        <v>1129</v>
      </c>
      <c r="K237" s="51"/>
      <c r="L237" s="147"/>
      <c r="M237" s="147"/>
      <c r="N237" s="167"/>
      <c r="O237" s="167"/>
      <c r="P237" s="167"/>
      <c r="Q237" s="147"/>
      <c r="R237" s="147"/>
      <c r="S237" s="147"/>
      <c r="T237" s="147"/>
      <c r="U237" s="147"/>
      <c r="V237" s="181"/>
    </row>
    <row r="238" spans="1:22" s="44" customFormat="1" ht="60" customHeight="1">
      <c r="A238" s="1039"/>
      <c r="B238" s="368"/>
      <c r="C238" s="369" t="e">
        <f>+'4. Procurement Plan'!#REF!</f>
        <v>#REF!</v>
      </c>
      <c r="D238" s="1134"/>
      <c r="E238" s="685" t="s">
        <v>1048</v>
      </c>
      <c r="F238" s="682">
        <v>2142.86</v>
      </c>
      <c r="G238" s="173"/>
      <c r="H238" s="676" t="s">
        <v>1092</v>
      </c>
      <c r="I238" s="676" t="s">
        <v>1075</v>
      </c>
      <c r="J238" s="692" t="s">
        <v>1129</v>
      </c>
      <c r="K238" s="51"/>
      <c r="L238" s="147"/>
      <c r="M238" s="147"/>
      <c r="N238" s="167"/>
      <c r="O238" s="167"/>
      <c r="P238" s="167"/>
      <c r="Q238" s="147"/>
      <c r="R238" s="147"/>
      <c r="S238" s="147"/>
      <c r="T238" s="147"/>
      <c r="U238" s="147"/>
      <c r="V238" s="181"/>
    </row>
    <row r="239" spans="1:22" s="44" customFormat="1" ht="60" customHeight="1">
      <c r="A239" s="1039"/>
      <c r="B239" s="368"/>
      <c r="C239" s="877" t="str">
        <f>+'4. Procurement Plan'!I50</f>
        <v>19-1312b(v)</v>
      </c>
      <c r="D239" s="1134"/>
      <c r="E239" s="685" t="s">
        <v>1115</v>
      </c>
      <c r="F239" s="682">
        <v>4285.71</v>
      </c>
      <c r="G239" s="173"/>
      <c r="H239" s="676" t="s">
        <v>1092</v>
      </c>
      <c r="I239" s="676" t="s">
        <v>1075</v>
      </c>
      <c r="J239" s="692" t="s">
        <v>1129</v>
      </c>
      <c r="K239" s="51"/>
      <c r="L239" s="147"/>
      <c r="M239" s="147"/>
      <c r="N239" s="167"/>
      <c r="O239" s="167"/>
      <c r="P239" s="167"/>
      <c r="Q239" s="147"/>
      <c r="R239" s="147"/>
      <c r="S239" s="147"/>
      <c r="T239" s="147"/>
      <c r="U239" s="147"/>
      <c r="V239" s="181"/>
    </row>
    <row r="240" spans="1:22" s="44" customFormat="1" ht="60" customHeight="1">
      <c r="A240" s="1039"/>
      <c r="B240" s="368"/>
      <c r="C240" s="369" t="e">
        <f>+'4. Procurement Plan'!#REF!</f>
        <v>#REF!</v>
      </c>
      <c r="D240" s="1134"/>
      <c r="E240" s="685" t="s">
        <v>1116</v>
      </c>
      <c r="F240" s="682">
        <v>3214.29</v>
      </c>
      <c r="G240" s="173"/>
      <c r="H240" s="676" t="s">
        <v>1092</v>
      </c>
      <c r="I240" s="676" t="s">
        <v>1075</v>
      </c>
      <c r="J240" s="692" t="s">
        <v>1129</v>
      </c>
      <c r="K240" s="51"/>
      <c r="L240" s="147"/>
      <c r="M240" s="147"/>
      <c r="N240" s="167"/>
      <c r="O240" s="167"/>
      <c r="P240" s="167"/>
      <c r="Q240" s="147"/>
      <c r="R240" s="147"/>
      <c r="S240" s="147"/>
      <c r="T240" s="147"/>
      <c r="U240" s="147"/>
      <c r="V240" s="181"/>
    </row>
    <row r="241" spans="1:22" s="44" customFormat="1" ht="60" customHeight="1">
      <c r="A241" s="1039"/>
      <c r="B241" s="368"/>
      <c r="C241" s="369" t="str">
        <f>+'4. Procurement Plan'!I50</f>
        <v>19-1312b(v)</v>
      </c>
      <c r="D241" s="1134"/>
      <c r="E241" s="685" t="s">
        <v>1117</v>
      </c>
      <c r="F241" s="682">
        <v>4285.71</v>
      </c>
      <c r="G241" s="173"/>
      <c r="H241" s="676" t="s">
        <v>1092</v>
      </c>
      <c r="I241" s="676" t="s">
        <v>1075</v>
      </c>
      <c r="J241" s="692" t="s">
        <v>1129</v>
      </c>
      <c r="K241" s="51"/>
      <c r="L241" s="147"/>
      <c r="M241" s="147"/>
      <c r="N241" s="167"/>
      <c r="O241" s="167"/>
      <c r="P241" s="167"/>
      <c r="Q241" s="147"/>
      <c r="R241" s="147"/>
      <c r="S241" s="147"/>
      <c r="T241" s="147"/>
      <c r="U241" s="147"/>
      <c r="V241" s="181"/>
    </row>
    <row r="242" spans="1:22" s="44" customFormat="1" ht="60" customHeight="1">
      <c r="A242" s="1039"/>
      <c r="B242" s="368"/>
      <c r="C242" s="369" t="e">
        <f>+'4. Procurement Plan'!#REF!</f>
        <v>#REF!</v>
      </c>
      <c r="D242" s="1134"/>
      <c r="E242" s="685" t="s">
        <v>1118</v>
      </c>
      <c r="F242" s="682">
        <v>214.29</v>
      </c>
      <c r="G242" s="173"/>
      <c r="H242" s="676" t="s">
        <v>1092</v>
      </c>
      <c r="I242" s="676" t="s">
        <v>1075</v>
      </c>
      <c r="J242" s="692" t="s">
        <v>1129</v>
      </c>
      <c r="K242" s="51"/>
      <c r="L242" s="147"/>
      <c r="M242" s="147"/>
      <c r="N242" s="167"/>
      <c r="O242" s="167"/>
      <c r="P242" s="167"/>
      <c r="Q242" s="147"/>
      <c r="R242" s="147"/>
      <c r="S242" s="147"/>
      <c r="T242" s="147"/>
      <c r="U242" s="147"/>
      <c r="V242" s="181"/>
    </row>
    <row r="243" spans="1:22" s="44" customFormat="1" ht="60" customHeight="1">
      <c r="A243" s="1039"/>
      <c r="B243" s="368"/>
      <c r="C243" s="369" t="e">
        <f>+'4. Procurement Plan'!#REF!</f>
        <v>#REF!</v>
      </c>
      <c r="D243" s="1134"/>
      <c r="E243" s="685" t="s">
        <v>1119</v>
      </c>
      <c r="F243" s="682">
        <v>3035.71</v>
      </c>
      <c r="G243" s="173"/>
      <c r="H243" s="676" t="s">
        <v>1092</v>
      </c>
      <c r="I243" s="676" t="s">
        <v>1075</v>
      </c>
      <c r="J243" s="692" t="s">
        <v>1129</v>
      </c>
      <c r="K243" s="51"/>
      <c r="L243" s="147"/>
      <c r="M243" s="147"/>
      <c r="N243" s="167"/>
      <c r="O243" s="167"/>
      <c r="P243" s="167"/>
      <c r="Q243" s="147"/>
      <c r="R243" s="147"/>
      <c r="S243" s="147"/>
      <c r="T243" s="147"/>
      <c r="U243" s="147"/>
      <c r="V243" s="181"/>
    </row>
    <row r="244" spans="1:22" s="44" customFormat="1" ht="60" customHeight="1">
      <c r="A244" s="1039"/>
      <c r="B244" s="368"/>
      <c r="C244" s="369" t="e">
        <f>+'4. Procurement Plan'!#REF!</f>
        <v>#REF!</v>
      </c>
      <c r="D244" s="1135"/>
      <c r="E244" s="685" t="s">
        <v>1120</v>
      </c>
      <c r="F244" s="682">
        <v>642.86</v>
      </c>
      <c r="G244" s="173"/>
      <c r="H244" s="676" t="s">
        <v>1092</v>
      </c>
      <c r="I244" s="676" t="s">
        <v>1075</v>
      </c>
      <c r="J244" s="692" t="s">
        <v>1129</v>
      </c>
      <c r="K244" s="51"/>
      <c r="L244" s="147"/>
      <c r="M244" s="147"/>
      <c r="N244" s="167"/>
      <c r="O244" s="167"/>
      <c r="P244" s="167"/>
      <c r="Q244" s="147"/>
      <c r="R244" s="147"/>
      <c r="S244" s="147"/>
      <c r="T244" s="147"/>
      <c r="U244" s="147"/>
      <c r="V244" s="181"/>
    </row>
    <row r="245" spans="1:22" s="44" customFormat="1" ht="60" customHeight="1">
      <c r="A245" s="686"/>
      <c r="B245" s="687"/>
      <c r="C245" s="688"/>
      <c r="D245" s="1137" t="s">
        <v>1121</v>
      </c>
      <c r="E245" s="1137"/>
      <c r="F245" s="683">
        <f>SUM(F237:F244)</f>
        <v>25321.43</v>
      </c>
      <c r="G245" s="678"/>
      <c r="H245" s="693"/>
      <c r="I245" s="694"/>
      <c r="J245" s="695"/>
      <c r="K245" s="51"/>
      <c r="L245" s="147"/>
      <c r="M245" s="147"/>
      <c r="N245" s="147"/>
      <c r="O245" s="147"/>
      <c r="P245" s="147"/>
      <c r="Q245" s="147"/>
      <c r="R245" s="147"/>
      <c r="S245" s="147"/>
      <c r="T245" s="147"/>
      <c r="U245" s="147"/>
      <c r="V245" s="181"/>
    </row>
    <row r="246" spans="1:22" s="44" customFormat="1" ht="60" customHeight="1">
      <c r="A246" s="1138" t="s">
        <v>1122</v>
      </c>
      <c r="B246" s="368"/>
      <c r="C246" s="689" t="str">
        <f>+'4. Procurement Plan'!I88</f>
        <v>19-1312b</v>
      </c>
      <c r="D246" s="1140" t="s">
        <v>1123</v>
      </c>
      <c r="E246" s="685" t="s">
        <v>1048</v>
      </c>
      <c r="F246" s="682">
        <v>5500</v>
      </c>
      <c r="G246" s="173"/>
      <c r="H246" s="676" t="s">
        <v>1131</v>
      </c>
      <c r="I246" s="676" t="s">
        <v>1131</v>
      </c>
      <c r="J246" s="692" t="s">
        <v>1129</v>
      </c>
      <c r="K246" s="51"/>
      <c r="L246" s="147"/>
      <c r="M246" s="167"/>
      <c r="N246" s="147"/>
      <c r="O246" s="147"/>
      <c r="P246" s="147"/>
      <c r="Q246" s="147"/>
      <c r="R246" s="147"/>
      <c r="S246" s="147"/>
      <c r="T246" s="147"/>
      <c r="U246" s="147"/>
      <c r="V246" s="181"/>
    </row>
    <row r="247" spans="1:22" s="44" customFormat="1" ht="60" customHeight="1">
      <c r="A247" s="1138"/>
      <c r="B247" s="368"/>
      <c r="C247" s="689" t="str">
        <f>+C246</f>
        <v>19-1312b</v>
      </c>
      <c r="D247" s="1141"/>
      <c r="E247" s="685" t="s">
        <v>1047</v>
      </c>
      <c r="F247" s="682">
        <v>1879.18</v>
      </c>
      <c r="G247" s="173"/>
      <c r="H247" s="676" t="s">
        <v>1131</v>
      </c>
      <c r="I247" s="676" t="s">
        <v>1131</v>
      </c>
      <c r="J247" s="692" t="s">
        <v>1129</v>
      </c>
      <c r="K247" s="51"/>
      <c r="L247" s="147"/>
      <c r="M247" s="167"/>
      <c r="N247" s="147"/>
      <c r="O247" s="147"/>
      <c r="P247" s="147"/>
      <c r="Q247" s="147"/>
      <c r="R247" s="147"/>
      <c r="S247" s="147"/>
      <c r="T247" s="147"/>
      <c r="U247" s="147"/>
      <c r="V247" s="181"/>
    </row>
    <row r="248" spans="1:22" s="44" customFormat="1" ht="60" customHeight="1">
      <c r="A248" s="1138"/>
      <c r="B248" s="368"/>
      <c r="C248" s="689" t="e">
        <f>+'4. Procurement Plan'!#REF!</f>
        <v>#REF!</v>
      </c>
      <c r="D248" s="1141"/>
      <c r="E248" s="685" t="s">
        <v>484</v>
      </c>
      <c r="F248" s="682">
        <v>714.29</v>
      </c>
      <c r="G248" s="173"/>
      <c r="H248" s="676" t="s">
        <v>1131</v>
      </c>
      <c r="I248" s="676" t="s">
        <v>1131</v>
      </c>
      <c r="J248" s="692" t="s">
        <v>1129</v>
      </c>
      <c r="K248" s="51"/>
      <c r="L248" s="147"/>
      <c r="M248" s="167"/>
      <c r="N248" s="147"/>
      <c r="O248" s="147"/>
      <c r="P248" s="147"/>
      <c r="Q248" s="147"/>
      <c r="R248" s="147"/>
      <c r="S248" s="147"/>
      <c r="T248" s="147"/>
      <c r="U248" s="147"/>
      <c r="V248" s="181"/>
    </row>
    <row r="249" spans="1:22" s="44" customFormat="1" ht="60" customHeight="1">
      <c r="A249" s="1138"/>
      <c r="B249" s="368"/>
      <c r="C249" s="689" t="e">
        <f>+'4. Procurement Plan'!#REF!</f>
        <v>#REF!</v>
      </c>
      <c r="D249" s="1141"/>
      <c r="E249" s="685" t="s">
        <v>1124</v>
      </c>
      <c r="F249" s="682">
        <v>2571.4299999999998</v>
      </c>
      <c r="G249" s="173"/>
      <c r="H249" s="676" t="s">
        <v>1131</v>
      </c>
      <c r="I249" s="676" t="s">
        <v>1131</v>
      </c>
      <c r="J249" s="692" t="s">
        <v>1129</v>
      </c>
      <c r="K249" s="51"/>
      <c r="L249" s="147"/>
      <c r="M249" s="167"/>
      <c r="N249" s="147"/>
      <c r="O249" s="147"/>
      <c r="P249" s="147"/>
      <c r="Q249" s="147"/>
      <c r="R249" s="147"/>
      <c r="S249" s="147"/>
      <c r="T249" s="147"/>
      <c r="U249" s="147"/>
      <c r="V249" s="181"/>
    </row>
    <row r="250" spans="1:22" s="44" customFormat="1" ht="60" customHeight="1">
      <c r="A250" s="1138"/>
      <c r="B250" s="368"/>
      <c r="C250" s="878" t="e">
        <f>+'4. Procurement Plan'!#REF!</f>
        <v>#REF!</v>
      </c>
      <c r="D250" s="1142"/>
      <c r="E250" s="685" t="s">
        <v>1125</v>
      </c>
      <c r="F250" s="682">
        <v>2071.4299999999998</v>
      </c>
      <c r="G250" s="173"/>
      <c r="H250" s="676" t="s">
        <v>1132</v>
      </c>
      <c r="I250" s="676" t="s">
        <v>1073</v>
      </c>
      <c r="J250" s="692" t="s">
        <v>1129</v>
      </c>
      <c r="K250" s="51"/>
      <c r="L250" s="167"/>
      <c r="M250" s="147"/>
      <c r="N250" s="147"/>
      <c r="O250" s="147"/>
      <c r="P250" s="147"/>
      <c r="Q250" s="147"/>
      <c r="R250" s="147"/>
      <c r="S250" s="147"/>
      <c r="T250" s="147"/>
      <c r="U250" s="147"/>
      <c r="V250" s="181"/>
    </row>
    <row r="251" spans="1:22" s="44" customFormat="1" ht="60" customHeight="1">
      <c r="A251" s="1139"/>
      <c r="B251" s="687"/>
      <c r="C251" s="1073" t="s">
        <v>1126</v>
      </c>
      <c r="D251" s="1073"/>
      <c r="E251" s="1073"/>
      <c r="F251" s="683">
        <f>SUM(F246:F250)</f>
        <v>12736.33</v>
      </c>
      <c r="G251" s="678"/>
      <c r="H251" s="693"/>
      <c r="I251" s="694"/>
      <c r="J251" s="695"/>
      <c r="K251" s="51"/>
      <c r="L251" s="147"/>
      <c r="M251" s="147"/>
      <c r="N251" s="147"/>
      <c r="O251" s="147"/>
      <c r="P251" s="147"/>
      <c r="Q251" s="147"/>
      <c r="R251" s="147"/>
      <c r="S251" s="147"/>
      <c r="T251" s="147"/>
      <c r="U251" s="147"/>
      <c r="V251" s="181"/>
    </row>
    <row r="252" spans="1:22" s="44" customFormat="1" ht="60" customHeight="1">
      <c r="A252" s="1125" t="s">
        <v>1127</v>
      </c>
      <c r="B252" s="1125"/>
      <c r="C252" s="1126"/>
      <c r="D252" s="690"/>
      <c r="E252" s="691"/>
      <c r="F252" s="703">
        <f>+F251+F245+F236</f>
        <v>165837.32999999999</v>
      </c>
      <c r="G252" s="258"/>
      <c r="H252" s="697"/>
      <c r="I252" s="698"/>
      <c r="J252" s="699"/>
      <c r="K252" s="51"/>
      <c r="L252" s="147"/>
      <c r="M252" s="147"/>
      <c r="N252" s="147"/>
      <c r="O252" s="147"/>
      <c r="P252" s="147"/>
      <c r="Q252" s="147"/>
      <c r="R252" s="147"/>
      <c r="S252" s="147"/>
      <c r="T252" s="147"/>
      <c r="U252" s="147"/>
      <c r="V252" s="181"/>
    </row>
    <row r="253" spans="1:22" s="44" customFormat="1" ht="60" customHeight="1">
      <c r="A253" s="1127" t="s">
        <v>1133</v>
      </c>
      <c r="B253" s="368"/>
      <c r="C253" s="369" t="str">
        <f>+'4. Procurement Plan'!I90</f>
        <v>20-1313c</v>
      </c>
      <c r="D253" s="1128" t="s">
        <v>1134</v>
      </c>
      <c r="E253" s="526" t="s">
        <v>482</v>
      </c>
      <c r="F253" s="682">
        <v>60428.57</v>
      </c>
      <c r="G253" s="173"/>
      <c r="H253" s="725" t="s">
        <v>1073</v>
      </c>
      <c r="I253" s="726" t="s">
        <v>1086</v>
      </c>
      <c r="J253" s="175" t="s">
        <v>1163</v>
      </c>
      <c r="K253" s="51"/>
      <c r="L253" s="167"/>
      <c r="M253" s="167"/>
      <c r="N253" s="167"/>
      <c r="O253" s="167"/>
      <c r="P253" s="167"/>
      <c r="Q253" s="167"/>
      <c r="R253" s="147"/>
      <c r="S253" s="147"/>
      <c r="T253" s="147"/>
      <c r="U253" s="147"/>
      <c r="V253" s="181"/>
    </row>
    <row r="254" spans="1:22" s="44" customFormat="1" ht="60" customHeight="1">
      <c r="A254" s="1127"/>
      <c r="B254" s="368"/>
      <c r="C254" s="369" t="str">
        <f>+'4. Procurement Plan'!I51</f>
        <v>20-1313c</v>
      </c>
      <c r="D254" s="1129"/>
      <c r="E254" s="526" t="s">
        <v>490</v>
      </c>
      <c r="F254" s="682">
        <v>5500</v>
      </c>
      <c r="G254" s="173"/>
      <c r="H254" s="725" t="s">
        <v>1073</v>
      </c>
      <c r="I254" s="726" t="s">
        <v>1086</v>
      </c>
      <c r="J254" s="175" t="s">
        <v>1163</v>
      </c>
      <c r="K254" s="51"/>
      <c r="L254" s="167"/>
      <c r="M254" s="167"/>
      <c r="N254" s="167"/>
      <c r="O254" s="167"/>
      <c r="P254" s="167"/>
      <c r="Q254" s="167"/>
      <c r="R254" s="147"/>
      <c r="S254" s="147"/>
      <c r="T254" s="147"/>
      <c r="U254" s="147"/>
      <c r="V254" s="181"/>
    </row>
    <row r="255" spans="1:22" s="44" customFormat="1" ht="60" customHeight="1">
      <c r="A255" s="1127"/>
      <c r="B255" s="368"/>
      <c r="C255" s="369" t="str">
        <f>+'4. Procurement Plan'!I130</f>
        <v>19-1313a(ii)</v>
      </c>
      <c r="D255" s="1129"/>
      <c r="E255" s="526" t="s">
        <v>484</v>
      </c>
      <c r="F255" s="682">
        <v>7071.43</v>
      </c>
      <c r="G255" s="173"/>
      <c r="H255" s="725" t="s">
        <v>1073</v>
      </c>
      <c r="I255" s="726" t="s">
        <v>1086</v>
      </c>
      <c r="J255" s="175" t="s">
        <v>1163</v>
      </c>
      <c r="K255" s="51"/>
      <c r="L255" s="167"/>
      <c r="M255" s="167"/>
      <c r="N255" s="167"/>
      <c r="O255" s="167"/>
      <c r="P255" s="167"/>
      <c r="Q255" s="167"/>
      <c r="R255" s="147"/>
      <c r="S255" s="147"/>
      <c r="T255" s="147"/>
      <c r="U255" s="147"/>
      <c r="V255" s="181"/>
    </row>
    <row r="256" spans="1:22" s="44" customFormat="1" ht="60" customHeight="1">
      <c r="A256" s="1127"/>
      <c r="B256" s="368"/>
      <c r="C256" s="369" t="e">
        <f>+'4. Procurement Plan'!#REF!</f>
        <v>#REF!</v>
      </c>
      <c r="D256" s="1130"/>
      <c r="E256" s="526" t="s">
        <v>491</v>
      </c>
      <c r="F256" s="682">
        <v>10714.29</v>
      </c>
      <c r="G256" s="173"/>
      <c r="H256" s="725" t="s">
        <v>1073</v>
      </c>
      <c r="I256" s="726" t="s">
        <v>1086</v>
      </c>
      <c r="J256" s="175" t="s">
        <v>1163</v>
      </c>
      <c r="K256" s="51"/>
      <c r="L256" s="167"/>
      <c r="M256" s="167"/>
      <c r="N256" s="167"/>
      <c r="O256" s="167"/>
      <c r="P256" s="167"/>
      <c r="Q256" s="167"/>
      <c r="R256" s="147"/>
      <c r="S256" s="147"/>
      <c r="T256" s="147"/>
      <c r="U256" s="147"/>
      <c r="V256" s="181"/>
    </row>
    <row r="257" spans="1:22" s="44" customFormat="1" ht="60" customHeight="1">
      <c r="A257" s="1127"/>
      <c r="B257" s="1131" t="s">
        <v>1135</v>
      </c>
      <c r="C257" s="1132"/>
      <c r="D257" s="1132"/>
      <c r="E257" s="1132"/>
      <c r="F257" s="683">
        <f>SUM(F253:F256)</f>
        <v>83714.290000000008</v>
      </c>
      <c r="G257" s="678"/>
      <c r="H257" s="701"/>
      <c r="I257" s="702"/>
      <c r="J257" s="696"/>
      <c r="K257" s="51"/>
      <c r="L257" s="167"/>
      <c r="M257" s="147"/>
      <c r="N257" s="147"/>
      <c r="O257" s="147"/>
      <c r="P257" s="147"/>
      <c r="Q257" s="147"/>
      <c r="R257" s="147"/>
      <c r="S257" s="147"/>
      <c r="T257" s="147"/>
      <c r="U257" s="147"/>
      <c r="V257" s="181"/>
    </row>
    <row r="258" spans="1:22" s="44" customFormat="1" ht="60" customHeight="1">
      <c r="A258" s="1127" t="s">
        <v>1136</v>
      </c>
      <c r="B258" s="368"/>
      <c r="C258" s="369" t="e">
        <f>+'4. Procurement Plan'!#REF!</f>
        <v>#REF!</v>
      </c>
      <c r="D258" s="1133" t="s">
        <v>1137</v>
      </c>
      <c r="E258" s="526" t="s">
        <v>482</v>
      </c>
      <c r="F258" s="682">
        <v>6942.86</v>
      </c>
      <c r="G258" s="173"/>
      <c r="H258" s="725" t="s">
        <v>1081</v>
      </c>
      <c r="I258" s="725" t="s">
        <v>1081</v>
      </c>
      <c r="J258" s="175" t="s">
        <v>1163</v>
      </c>
      <c r="K258" s="51"/>
      <c r="L258" s="167"/>
      <c r="M258" s="147"/>
      <c r="N258" s="147"/>
      <c r="O258" s="147"/>
      <c r="P258" s="147"/>
      <c r="Q258" s="147"/>
      <c r="R258" s="147"/>
      <c r="S258" s="147"/>
      <c r="T258" s="147"/>
      <c r="U258" s="147"/>
      <c r="V258" s="181"/>
    </row>
    <row r="259" spans="1:22" s="44" customFormat="1" ht="60" customHeight="1">
      <c r="A259" s="1127"/>
      <c r="B259" s="368"/>
      <c r="C259" s="369" t="e">
        <f>+'4. Procurement Plan'!#REF!</f>
        <v>#REF!</v>
      </c>
      <c r="D259" s="1134"/>
      <c r="E259" s="526" t="s">
        <v>1138</v>
      </c>
      <c r="F259" s="682">
        <v>714.29</v>
      </c>
      <c r="G259" s="173"/>
      <c r="H259" s="725" t="s">
        <v>1081</v>
      </c>
      <c r="I259" s="725" t="s">
        <v>1081</v>
      </c>
      <c r="J259" s="175" t="s">
        <v>1163</v>
      </c>
      <c r="K259" s="51"/>
      <c r="L259" s="167"/>
      <c r="M259" s="147"/>
      <c r="N259" s="147"/>
      <c r="O259" s="147"/>
      <c r="P259" s="147"/>
      <c r="Q259" s="147"/>
      <c r="R259" s="147"/>
      <c r="S259" s="147"/>
      <c r="T259" s="147"/>
      <c r="U259" s="147"/>
      <c r="V259" s="181"/>
    </row>
    <row r="260" spans="1:22" s="44" customFormat="1" ht="60" customHeight="1">
      <c r="A260" s="1127"/>
      <c r="B260" s="368"/>
      <c r="C260" s="369"/>
      <c r="D260" s="1134"/>
      <c r="E260" s="526" t="s">
        <v>484</v>
      </c>
      <c r="F260" s="682">
        <v>2142.86</v>
      </c>
      <c r="G260" s="173"/>
      <c r="H260" s="725" t="s">
        <v>1081</v>
      </c>
      <c r="I260" s="725" t="s">
        <v>1081</v>
      </c>
      <c r="J260" s="175" t="s">
        <v>1163</v>
      </c>
      <c r="K260" s="51"/>
      <c r="L260" s="167"/>
      <c r="M260" s="147"/>
      <c r="N260" s="147"/>
      <c r="O260" s="147"/>
      <c r="P260" s="147"/>
      <c r="Q260" s="147"/>
      <c r="R260" s="147"/>
      <c r="S260" s="147"/>
      <c r="T260" s="147"/>
      <c r="U260" s="147"/>
      <c r="V260" s="181"/>
    </row>
    <row r="261" spans="1:22" s="44" customFormat="1" ht="60" customHeight="1">
      <c r="A261" s="1127"/>
      <c r="B261" s="368"/>
      <c r="C261" s="369" t="e">
        <f>+'4. Procurement Plan'!#REF!</f>
        <v>#REF!</v>
      </c>
      <c r="D261" s="1135"/>
      <c r="E261" s="526" t="s">
        <v>491</v>
      </c>
      <c r="F261" s="682">
        <v>4485.71</v>
      </c>
      <c r="G261" s="173"/>
      <c r="H261" s="725" t="s">
        <v>1081</v>
      </c>
      <c r="I261" s="725" t="s">
        <v>1081</v>
      </c>
      <c r="J261" s="175" t="s">
        <v>1163</v>
      </c>
      <c r="K261" s="51"/>
      <c r="L261" s="167"/>
      <c r="M261" s="147"/>
      <c r="N261" s="147"/>
      <c r="O261" s="147"/>
      <c r="P261" s="147"/>
      <c r="Q261" s="147"/>
      <c r="R261" s="147"/>
      <c r="S261" s="147"/>
      <c r="T261" s="147"/>
      <c r="U261" s="147"/>
      <c r="V261" s="181"/>
    </row>
    <row r="262" spans="1:22" s="44" customFormat="1" ht="60" customHeight="1">
      <c r="A262" s="1127"/>
      <c r="B262" s="687"/>
      <c r="C262" s="1073" t="s">
        <v>794</v>
      </c>
      <c r="D262" s="1073"/>
      <c r="E262" s="1073"/>
      <c r="F262" s="728">
        <f>SUM(F258:F261)</f>
        <v>14285.720000000001</v>
      </c>
      <c r="G262" s="678"/>
      <c r="H262" s="701"/>
      <c r="I262" s="702"/>
      <c r="J262" s="727"/>
      <c r="K262" s="51"/>
      <c r="L262" s="147"/>
      <c r="M262" s="147"/>
      <c r="N262" s="147"/>
      <c r="O262" s="147"/>
      <c r="P262" s="147"/>
      <c r="Q262" s="147"/>
      <c r="R262" s="147"/>
      <c r="S262" s="147"/>
      <c r="T262" s="147"/>
      <c r="U262" s="147"/>
      <c r="V262" s="181"/>
    </row>
    <row r="263" spans="1:22" s="44" customFormat="1" ht="60" customHeight="1">
      <c r="A263" s="1117" t="s">
        <v>1139</v>
      </c>
      <c r="B263" s="47"/>
      <c r="C263" s="529" t="e">
        <f>+'4. Procurement Plan'!#REF!</f>
        <v>#REF!</v>
      </c>
      <c r="D263" s="1118" t="s">
        <v>1140</v>
      </c>
      <c r="E263" s="155" t="s">
        <v>482</v>
      </c>
      <c r="F263" s="682">
        <v>15000</v>
      </c>
      <c r="G263" s="173"/>
      <c r="H263" s="725" t="s">
        <v>1081</v>
      </c>
      <c r="I263" s="725" t="s">
        <v>1081</v>
      </c>
      <c r="J263" s="175" t="s">
        <v>1163</v>
      </c>
      <c r="K263" s="51"/>
      <c r="L263" s="167"/>
      <c r="M263" s="147"/>
      <c r="N263" s="147"/>
      <c r="O263" s="147"/>
      <c r="P263" s="147"/>
      <c r="Q263" s="147"/>
      <c r="R263" s="147"/>
      <c r="S263" s="147"/>
      <c r="T263" s="147"/>
      <c r="U263" s="147"/>
      <c r="V263" s="181"/>
    </row>
    <row r="264" spans="1:22" s="44" customFormat="1" ht="60" customHeight="1">
      <c r="A264" s="1090"/>
      <c r="B264" s="47"/>
      <c r="C264" s="529" t="e">
        <f>+'4. Procurement Plan'!#REF!</f>
        <v>#REF!</v>
      </c>
      <c r="D264" s="1119"/>
      <c r="E264" s="155" t="s">
        <v>1141</v>
      </c>
      <c r="F264" s="682">
        <v>4285.71</v>
      </c>
      <c r="G264" s="173"/>
      <c r="H264" s="725" t="s">
        <v>1081</v>
      </c>
      <c r="I264" s="725" t="s">
        <v>1081</v>
      </c>
      <c r="J264" s="175" t="s">
        <v>1163</v>
      </c>
      <c r="K264" s="51"/>
      <c r="L264" s="167"/>
      <c r="M264" s="147"/>
      <c r="N264" s="147"/>
      <c r="O264" s="147"/>
      <c r="P264" s="147"/>
      <c r="Q264" s="147"/>
      <c r="R264" s="147"/>
      <c r="S264" s="147"/>
      <c r="T264" s="147"/>
      <c r="U264" s="147"/>
      <c r="V264" s="181"/>
    </row>
    <row r="265" spans="1:22" s="44" customFormat="1" ht="60" customHeight="1">
      <c r="A265" s="704"/>
      <c r="B265" s="706"/>
      <c r="C265" s="718"/>
      <c r="D265" s="1120" t="s">
        <v>1142</v>
      </c>
      <c r="E265" s="1121"/>
      <c r="F265" s="683">
        <f>SUM(F263:F264)</f>
        <v>19285.71</v>
      </c>
      <c r="G265" s="678"/>
      <c r="H265" s="671"/>
      <c r="I265" s="671"/>
      <c r="J265" s="721"/>
      <c r="K265" s="51"/>
      <c r="L265" s="147"/>
      <c r="M265" s="147"/>
      <c r="N265" s="147"/>
      <c r="O265" s="147"/>
      <c r="P265" s="147"/>
      <c r="Q265" s="147"/>
      <c r="R265" s="147"/>
      <c r="S265" s="147"/>
      <c r="T265" s="147"/>
      <c r="U265" s="147"/>
      <c r="V265" s="181"/>
    </row>
    <row r="266" spans="1:22" s="44" customFormat="1" ht="60" customHeight="1">
      <c r="A266" s="1039" t="s">
        <v>1143</v>
      </c>
      <c r="B266" s="47"/>
      <c r="C266" s="48"/>
      <c r="D266" s="1122" t="s">
        <v>1144</v>
      </c>
      <c r="E266" s="526" t="s">
        <v>482</v>
      </c>
      <c r="F266" s="682">
        <v>10714.29</v>
      </c>
      <c r="G266" s="173"/>
      <c r="H266" s="294">
        <v>43862</v>
      </c>
      <c r="I266" s="294">
        <v>43862</v>
      </c>
      <c r="J266" s="175" t="s">
        <v>728</v>
      </c>
      <c r="K266" s="51"/>
      <c r="L266" s="167"/>
      <c r="M266" s="147"/>
      <c r="N266" s="147"/>
      <c r="O266" s="147"/>
      <c r="P266" s="147"/>
      <c r="Q266" s="147"/>
      <c r="R266" s="147"/>
      <c r="S266" s="147"/>
      <c r="T266" s="147"/>
      <c r="U266" s="147"/>
      <c r="V266" s="181"/>
    </row>
    <row r="267" spans="1:22" s="44" customFormat="1" ht="60" customHeight="1">
      <c r="A267" s="1039"/>
      <c r="B267" s="47"/>
      <c r="C267" s="48" t="str">
        <f>+'4. Procurement Plan'!I52</f>
        <v>20-1313c</v>
      </c>
      <c r="D267" s="1123"/>
      <c r="E267" s="526" t="s">
        <v>490</v>
      </c>
      <c r="F267" s="682">
        <v>1028.57</v>
      </c>
      <c r="G267" s="173"/>
      <c r="H267" s="294">
        <v>43862</v>
      </c>
      <c r="I267" s="294">
        <v>43862</v>
      </c>
      <c r="J267" s="175" t="s">
        <v>728</v>
      </c>
      <c r="K267" s="51"/>
      <c r="L267" s="167"/>
      <c r="M267" s="147"/>
      <c r="N267" s="147"/>
      <c r="O267" s="147"/>
      <c r="P267" s="147"/>
      <c r="Q267" s="147"/>
      <c r="R267" s="147"/>
      <c r="S267" s="147"/>
      <c r="T267" s="147"/>
      <c r="U267" s="147"/>
      <c r="V267" s="181"/>
    </row>
    <row r="268" spans="1:22" s="44" customFormat="1" ht="60" customHeight="1">
      <c r="A268" s="1039"/>
      <c r="B268" s="47"/>
      <c r="C268" s="48" t="e">
        <f>+'4. Procurement Plan'!#REF!</f>
        <v>#REF!</v>
      </c>
      <c r="D268" s="1124"/>
      <c r="E268" s="705" t="s">
        <v>484</v>
      </c>
      <c r="F268" s="682">
        <v>1071.43</v>
      </c>
      <c r="G268" s="173"/>
      <c r="H268" s="294">
        <v>43862</v>
      </c>
      <c r="I268" s="294">
        <v>43862</v>
      </c>
      <c r="J268" s="175" t="s">
        <v>1162</v>
      </c>
      <c r="K268" s="51"/>
      <c r="L268" s="167"/>
      <c r="M268" s="147"/>
      <c r="N268" s="147"/>
      <c r="O268" s="147"/>
      <c r="P268" s="147"/>
      <c r="Q268" s="147"/>
      <c r="R268" s="147"/>
      <c r="S268" s="147"/>
      <c r="T268" s="147"/>
      <c r="U268" s="147"/>
      <c r="V268" s="181"/>
    </row>
    <row r="269" spans="1:22" s="44" customFormat="1" ht="60" customHeight="1">
      <c r="A269" s="1039"/>
      <c r="B269" s="706"/>
      <c r="C269" s="707" t="s">
        <v>795</v>
      </c>
      <c r="D269" s="708"/>
      <c r="E269" s="709"/>
      <c r="F269" s="683">
        <f>SUM(F266:F268)</f>
        <v>12814.29</v>
      </c>
      <c r="G269" s="678"/>
      <c r="H269" s="671"/>
      <c r="I269" s="671"/>
      <c r="J269" s="721"/>
      <c r="K269" s="51"/>
      <c r="L269" s="147"/>
      <c r="M269" s="147"/>
      <c r="N269" s="147"/>
      <c r="O269" s="147"/>
      <c r="P269" s="147"/>
      <c r="Q269" s="147"/>
      <c r="R269" s="147"/>
      <c r="S269" s="147"/>
      <c r="T269" s="147"/>
      <c r="U269" s="147"/>
      <c r="V269" s="181"/>
    </row>
    <row r="270" spans="1:22" s="44" customFormat="1" ht="60" customHeight="1">
      <c r="A270" s="1057" t="s">
        <v>1145</v>
      </c>
      <c r="B270" s="47"/>
      <c r="C270" s="710" t="e">
        <f>+'4. Procurement Plan'!#REF!</f>
        <v>#REF!</v>
      </c>
      <c r="D270" s="711" t="s">
        <v>1146</v>
      </c>
      <c r="E270" s="713" t="s">
        <v>1147</v>
      </c>
      <c r="F270" s="682">
        <v>1785.71</v>
      </c>
      <c r="G270" s="173"/>
      <c r="H270" s="725" t="s">
        <v>1161</v>
      </c>
      <c r="I270" s="726" t="s">
        <v>1077</v>
      </c>
      <c r="J270" s="175" t="s">
        <v>1162</v>
      </c>
      <c r="K270" s="51"/>
      <c r="L270" s="147"/>
      <c r="M270" s="147"/>
      <c r="N270" s="147"/>
      <c r="O270" s="167"/>
      <c r="P270" s="147"/>
      <c r="Q270" s="147"/>
      <c r="R270" s="147"/>
      <c r="S270" s="147"/>
      <c r="T270" s="147"/>
      <c r="U270" s="147"/>
      <c r="V270" s="181"/>
    </row>
    <row r="271" spans="1:22" s="44" customFormat="1" ht="60" customHeight="1">
      <c r="A271" s="1058"/>
      <c r="B271" s="47"/>
      <c r="C271" s="710"/>
      <c r="D271" s="711"/>
      <c r="E271" s="713" t="s">
        <v>1148</v>
      </c>
      <c r="F271" s="682">
        <v>1785.71</v>
      </c>
      <c r="G271" s="173"/>
      <c r="H271" s="725" t="s">
        <v>1086</v>
      </c>
      <c r="I271" s="726" t="s">
        <v>1086</v>
      </c>
      <c r="J271" s="175" t="s">
        <v>1162</v>
      </c>
      <c r="K271" s="51"/>
      <c r="L271" s="147"/>
      <c r="M271" s="147"/>
      <c r="N271" s="147"/>
      <c r="O271" s="147"/>
      <c r="P271" s="147"/>
      <c r="Q271" s="167"/>
      <c r="R271" s="147"/>
      <c r="S271" s="147"/>
      <c r="T271" s="147"/>
      <c r="U271" s="147"/>
      <c r="V271" s="181"/>
    </row>
    <row r="272" spans="1:22" s="44" customFormat="1" ht="60" customHeight="1">
      <c r="A272" s="1059"/>
      <c r="B272" s="47"/>
      <c r="C272" s="710"/>
      <c r="D272" s="711"/>
      <c r="E272" s="713" t="s">
        <v>1149</v>
      </c>
      <c r="F272" s="682">
        <v>1428.57</v>
      </c>
      <c r="G272" s="173"/>
      <c r="H272" s="725" t="s">
        <v>1161</v>
      </c>
      <c r="I272" s="726" t="s">
        <v>1077</v>
      </c>
      <c r="J272" s="175" t="s">
        <v>1162</v>
      </c>
      <c r="K272" s="51"/>
      <c r="L272" s="147"/>
      <c r="M272" s="147"/>
      <c r="N272" s="147"/>
      <c r="O272" s="167"/>
      <c r="P272" s="147"/>
      <c r="Q272" s="147"/>
      <c r="R272" s="147"/>
      <c r="S272" s="147"/>
      <c r="T272" s="147"/>
      <c r="U272" s="147"/>
      <c r="V272" s="181"/>
    </row>
    <row r="273" spans="1:22" s="44" customFormat="1" ht="60" customHeight="1">
      <c r="A273" s="712"/>
      <c r="B273" s="47"/>
      <c r="C273" s="710"/>
      <c r="D273" s="711"/>
      <c r="E273" s="713" t="s">
        <v>1150</v>
      </c>
      <c r="F273" s="682">
        <v>1428.57</v>
      </c>
      <c r="G273" s="173"/>
      <c r="H273" s="725" t="s">
        <v>1086</v>
      </c>
      <c r="I273" s="726" t="s">
        <v>1086</v>
      </c>
      <c r="J273" s="175" t="s">
        <v>1162</v>
      </c>
      <c r="K273" s="51"/>
      <c r="L273" s="147"/>
      <c r="M273" s="147"/>
      <c r="N273" s="147"/>
      <c r="O273" s="147"/>
      <c r="P273" s="147"/>
      <c r="Q273" s="167"/>
      <c r="R273" s="147"/>
      <c r="S273" s="147"/>
      <c r="T273" s="147"/>
      <c r="U273" s="147"/>
      <c r="V273" s="181"/>
    </row>
    <row r="274" spans="1:22" s="44" customFormat="1" ht="60" customHeight="1">
      <c r="A274" s="712"/>
      <c r="B274" s="47"/>
      <c r="C274" s="710"/>
      <c r="D274" s="711"/>
      <c r="E274" s="713" t="s">
        <v>1151</v>
      </c>
      <c r="F274" s="682">
        <v>2142.86</v>
      </c>
      <c r="G274" s="173"/>
      <c r="H274" s="725" t="s">
        <v>1088</v>
      </c>
      <c r="I274" s="726" t="s">
        <v>1088</v>
      </c>
      <c r="J274" s="175" t="s">
        <v>1162</v>
      </c>
      <c r="K274" s="51"/>
      <c r="L274" s="147"/>
      <c r="M274" s="147"/>
      <c r="N274" s="147"/>
      <c r="O274" s="147"/>
      <c r="P274" s="147"/>
      <c r="Q274" s="147"/>
      <c r="R274" s="167"/>
      <c r="S274" s="147"/>
      <c r="T274" s="147"/>
      <c r="U274" s="147"/>
      <c r="V274" s="181"/>
    </row>
    <row r="275" spans="1:22" s="44" customFormat="1" ht="60" customHeight="1">
      <c r="A275" s="714" t="s">
        <v>1152</v>
      </c>
      <c r="B275" s="47"/>
      <c r="C275" s="710" t="e">
        <f>+'4. Procurement Plan'!#REF!</f>
        <v>#REF!</v>
      </c>
      <c r="D275" s="711"/>
      <c r="E275" s="713" t="s">
        <v>1153</v>
      </c>
      <c r="F275" s="682">
        <v>17142.86</v>
      </c>
      <c r="G275" s="173"/>
      <c r="H275" s="725" t="s">
        <v>1087</v>
      </c>
      <c r="I275" s="725" t="s">
        <v>1087</v>
      </c>
      <c r="J275" s="175" t="s">
        <v>1162</v>
      </c>
      <c r="K275" s="51"/>
      <c r="L275" s="147"/>
      <c r="M275" s="147"/>
      <c r="N275" s="147"/>
      <c r="O275" s="147"/>
      <c r="P275" s="147"/>
      <c r="Q275" s="147"/>
      <c r="R275" s="147"/>
      <c r="S275" s="167"/>
      <c r="T275" s="147"/>
      <c r="U275" s="147"/>
      <c r="V275" s="181"/>
    </row>
    <row r="276" spans="1:22" s="44" customFormat="1" ht="99" customHeight="1">
      <c r="A276" s="715" t="s">
        <v>1154</v>
      </c>
      <c r="B276" s="47"/>
      <c r="C276" s="710" t="e">
        <f>+'4. Procurement Plan'!#REF!</f>
        <v>#REF!</v>
      </c>
      <c r="D276" s="713" t="s">
        <v>1155</v>
      </c>
      <c r="E276" s="713" t="s">
        <v>1156</v>
      </c>
      <c r="F276" s="682">
        <v>1785.71</v>
      </c>
      <c r="G276" s="173"/>
      <c r="H276" s="725" t="s">
        <v>1087</v>
      </c>
      <c r="I276" s="725" t="s">
        <v>1087</v>
      </c>
      <c r="J276" s="175" t="s">
        <v>1162</v>
      </c>
      <c r="K276" s="51"/>
      <c r="L276" s="147"/>
      <c r="M276" s="147"/>
      <c r="N276" s="147"/>
      <c r="O276" s="147"/>
      <c r="P276" s="147"/>
      <c r="Q276" s="147"/>
      <c r="R276" s="147"/>
      <c r="S276" s="167"/>
      <c r="T276" s="147"/>
      <c r="U276" s="147"/>
      <c r="V276" s="181"/>
    </row>
    <row r="277" spans="1:22" s="44" customFormat="1" ht="60" customHeight="1">
      <c r="A277" s="716"/>
      <c r="B277" s="47"/>
      <c r="C277" s="710"/>
      <c r="D277" s="711" t="e">
        <f>+'4. Procurement Plan'!#REF!</f>
        <v>#REF!</v>
      </c>
      <c r="E277" s="713" t="s">
        <v>1157</v>
      </c>
      <c r="F277" s="682">
        <v>714.29</v>
      </c>
      <c r="G277" s="173"/>
      <c r="H277" s="725" t="s">
        <v>1087</v>
      </c>
      <c r="I277" s="725" t="s">
        <v>1087</v>
      </c>
      <c r="J277" s="175" t="s">
        <v>1162</v>
      </c>
      <c r="K277" s="51"/>
      <c r="L277" s="51"/>
      <c r="M277" s="51"/>
      <c r="N277" s="147"/>
      <c r="O277" s="61"/>
      <c r="P277" s="61"/>
      <c r="Q277" s="61"/>
      <c r="R277" s="61"/>
      <c r="S277" s="167"/>
      <c r="T277" s="61"/>
      <c r="U277" s="61"/>
      <c r="V277" s="61"/>
    </row>
    <row r="278" spans="1:22" s="44" customFormat="1" ht="60" customHeight="1">
      <c r="A278" s="716"/>
      <c r="B278" s="47"/>
      <c r="C278" s="710" t="e">
        <f>+'4. Procurement Plan'!#REF!</f>
        <v>#REF!</v>
      </c>
      <c r="D278" s="711"/>
      <c r="E278" s="713" t="s">
        <v>1158</v>
      </c>
      <c r="F278" s="732">
        <v>357.14</v>
      </c>
      <c r="G278" s="173"/>
      <c r="H278" s="725" t="s">
        <v>1087</v>
      </c>
      <c r="I278" s="725" t="s">
        <v>1087</v>
      </c>
      <c r="J278" s="175" t="s">
        <v>1162</v>
      </c>
      <c r="K278" s="51"/>
      <c r="L278" s="51"/>
      <c r="M278" s="51"/>
      <c r="N278" s="147"/>
      <c r="O278" s="257"/>
      <c r="P278" s="257"/>
      <c r="Q278" s="257"/>
      <c r="R278" s="257"/>
      <c r="S278" s="167"/>
      <c r="T278" s="257"/>
      <c r="U278" s="257"/>
      <c r="V278" s="320"/>
    </row>
    <row r="279" spans="1:22" s="44" customFormat="1" ht="60" customHeight="1">
      <c r="A279" s="686"/>
      <c r="B279" s="706"/>
      <c r="C279" s="717"/>
      <c r="D279" s="1112" t="s">
        <v>1159</v>
      </c>
      <c r="E279" s="1113"/>
      <c r="F279" s="730">
        <f>SUM(F270:F278)</f>
        <v>28571.42</v>
      </c>
      <c r="G279" s="678"/>
      <c r="H279" s="671"/>
      <c r="I279" s="671"/>
      <c r="J279" s="721"/>
      <c r="K279" s="51"/>
      <c r="L279" s="51"/>
      <c r="M279" s="51"/>
      <c r="N279" s="147"/>
      <c r="O279" s="257"/>
      <c r="P279" s="257"/>
      <c r="Q279" s="257"/>
      <c r="R279" s="257"/>
      <c r="S279" s="257"/>
      <c r="T279" s="257"/>
      <c r="U279" s="257"/>
      <c r="V279" s="320"/>
    </row>
    <row r="280" spans="1:22" s="44" customFormat="1" ht="60" customHeight="1">
      <c r="A280" s="540" t="s">
        <v>1160</v>
      </c>
      <c r="B280" s="47"/>
      <c r="C280" s="48"/>
      <c r="D280" s="63" t="s">
        <v>797</v>
      </c>
      <c r="E280" s="59" t="s">
        <v>492</v>
      </c>
      <c r="F280" s="424">
        <v>13750</v>
      </c>
      <c r="G280" s="173"/>
      <c r="H280" s="294">
        <v>43862</v>
      </c>
      <c r="I280" s="294">
        <v>43862</v>
      </c>
      <c r="J280" s="175" t="s">
        <v>1162</v>
      </c>
      <c r="K280" s="51"/>
      <c r="L280" s="167"/>
      <c r="M280" s="51"/>
      <c r="N280" s="147"/>
      <c r="O280" s="257"/>
      <c r="P280" s="257"/>
      <c r="Q280" s="257"/>
      <c r="R280" s="257"/>
      <c r="S280" s="257"/>
      <c r="T280" s="257"/>
      <c r="U280" s="257"/>
      <c r="V280" s="320"/>
    </row>
    <row r="281" spans="1:22" s="44" customFormat="1" ht="60" customHeight="1">
      <c r="A281" s="261"/>
      <c r="B281" s="1041" t="s">
        <v>588</v>
      </c>
      <c r="C281" s="1042"/>
      <c r="D281" s="1042"/>
      <c r="E281" s="1043"/>
      <c r="F281" s="410">
        <f>+F280+F279+F269+F265+F262+F257</f>
        <v>172421.43</v>
      </c>
      <c r="G281" s="258"/>
      <c r="H281" s="357"/>
      <c r="I281" s="249"/>
      <c r="J281" s="358"/>
      <c r="K281" s="51"/>
      <c r="L281" s="51"/>
      <c r="M281" s="51"/>
      <c r="N281" s="147"/>
      <c r="O281" s="257"/>
      <c r="P281" s="257"/>
      <c r="Q281" s="257"/>
      <c r="R281" s="257"/>
      <c r="S281" s="257"/>
      <c r="T281" s="257"/>
      <c r="U281" s="257"/>
      <c r="V281" s="320"/>
    </row>
    <row r="282" spans="1:22" s="44" customFormat="1" ht="60" customHeight="1">
      <c r="A282" s="539"/>
      <c r="B282" s="339"/>
      <c r="C282" s="48"/>
      <c r="D282" s="59" t="s">
        <v>493</v>
      </c>
      <c r="E282" s="733" t="s">
        <v>495</v>
      </c>
      <c r="F282" s="424">
        <v>25928.57</v>
      </c>
      <c r="G282" s="173"/>
      <c r="H282" s="677" t="s">
        <v>1229</v>
      </c>
      <c r="I282" s="677" t="s">
        <v>1128</v>
      </c>
      <c r="J282" s="692" t="s">
        <v>1230</v>
      </c>
      <c r="K282" s="167"/>
      <c r="L282" s="167"/>
      <c r="M282" s="167"/>
      <c r="N282" s="167"/>
      <c r="O282" s="167"/>
      <c r="P282" s="167"/>
      <c r="Q282" s="167"/>
      <c r="R282" s="167"/>
      <c r="S282" s="167"/>
      <c r="T282" s="167"/>
      <c r="U282" s="167"/>
      <c r="V282" s="167"/>
    </row>
    <row r="283" spans="1:22" s="44" customFormat="1" ht="60" customHeight="1">
      <c r="A283" s="539"/>
      <c r="B283" s="339"/>
      <c r="C283" s="48"/>
      <c r="D283" s="614"/>
      <c r="E283" s="5" t="s">
        <v>510</v>
      </c>
      <c r="F283" s="424">
        <v>12857.14</v>
      </c>
      <c r="G283" s="173"/>
      <c r="H283" s="677" t="s">
        <v>1229</v>
      </c>
      <c r="I283" s="677" t="s">
        <v>1128</v>
      </c>
      <c r="J283" s="692" t="s">
        <v>1230</v>
      </c>
      <c r="K283" s="167"/>
      <c r="L283" s="167"/>
      <c r="M283" s="167"/>
      <c r="N283" s="167"/>
      <c r="O283" s="167"/>
      <c r="P283" s="167"/>
      <c r="Q283" s="167"/>
      <c r="R283" s="167"/>
      <c r="S283" s="167"/>
      <c r="T283" s="167"/>
      <c r="U283" s="167"/>
      <c r="V283" s="167"/>
    </row>
    <row r="284" spans="1:22" s="44" customFormat="1" ht="60" customHeight="1">
      <c r="A284" s="734"/>
      <c r="B284" s="339"/>
      <c r="C284" s="48" t="e">
        <f>+'4. Procurement Plan'!#REF!</f>
        <v>#REF!</v>
      </c>
      <c r="D284" s="614"/>
      <c r="E284" s="713" t="s">
        <v>1164</v>
      </c>
      <c r="F284" s="424">
        <v>17000</v>
      </c>
      <c r="G284" s="173"/>
      <c r="H284" s="677" t="s">
        <v>1073</v>
      </c>
      <c r="I284" s="677" t="s">
        <v>1128</v>
      </c>
      <c r="J284" s="692" t="s">
        <v>1230</v>
      </c>
      <c r="K284" s="51"/>
      <c r="L284" s="167"/>
      <c r="M284" s="167"/>
      <c r="N284" s="167"/>
      <c r="O284" s="167"/>
      <c r="P284" s="167"/>
      <c r="Q284" s="167"/>
      <c r="R284" s="167"/>
      <c r="S284" s="167"/>
      <c r="T284" s="167"/>
      <c r="U284" s="167"/>
      <c r="V284" s="167"/>
    </row>
    <row r="285" spans="1:22" s="44" customFormat="1" ht="60" customHeight="1">
      <c r="A285" s="539" t="s">
        <v>1165</v>
      </c>
      <c r="B285" s="339"/>
      <c r="C285" s="48" t="str">
        <f>+'4. Procurement Plan'!I18</f>
        <v>20-1315b</v>
      </c>
      <c r="D285" s="735" t="s">
        <v>1166</v>
      </c>
      <c r="E285" s="649" t="s">
        <v>1017</v>
      </c>
      <c r="F285" s="424"/>
      <c r="G285" s="173"/>
      <c r="H285" s="676" t="s">
        <v>1074</v>
      </c>
      <c r="I285" s="676" t="s">
        <v>1074</v>
      </c>
      <c r="J285" s="692" t="s">
        <v>1230</v>
      </c>
      <c r="K285" s="51"/>
      <c r="L285" s="51"/>
      <c r="M285" s="167"/>
      <c r="N285" s="167"/>
      <c r="O285" s="167"/>
      <c r="P285" s="167"/>
      <c r="Q285" s="167"/>
      <c r="R285" s="167"/>
      <c r="S285" s="167"/>
      <c r="T285" s="167"/>
      <c r="U285" s="167"/>
      <c r="V285" s="167"/>
    </row>
    <row r="286" spans="1:22" s="44" customFormat="1" ht="60" customHeight="1">
      <c r="A286" s="544"/>
      <c r="B286" s="339"/>
      <c r="C286" s="48"/>
      <c r="D286" s="736"/>
      <c r="E286" s="649" t="s">
        <v>1167</v>
      </c>
      <c r="F286" s="424">
        <v>8571.43</v>
      </c>
      <c r="G286" s="173"/>
      <c r="H286" s="676" t="s">
        <v>1092</v>
      </c>
      <c r="I286" s="676" t="s">
        <v>1092</v>
      </c>
      <c r="J286" s="692" t="s">
        <v>1230</v>
      </c>
      <c r="K286" s="51"/>
      <c r="L286" s="51"/>
      <c r="M286" s="51"/>
      <c r="N286" s="167"/>
      <c r="O286" s="167"/>
      <c r="P286" s="167"/>
      <c r="Q286" s="167"/>
      <c r="R286" s="167"/>
      <c r="S286" s="167"/>
      <c r="T286" s="167"/>
      <c r="U286" s="167"/>
      <c r="V286" s="167"/>
    </row>
    <row r="287" spans="1:22" s="44" customFormat="1" ht="60" customHeight="1">
      <c r="A287" s="544"/>
      <c r="B287" s="339"/>
      <c r="C287" s="48"/>
      <c r="D287" s="736"/>
      <c r="E287" s="649" t="s">
        <v>1012</v>
      </c>
      <c r="F287" s="424">
        <v>7142.86</v>
      </c>
      <c r="G287" s="173"/>
      <c r="H287" s="676" t="s">
        <v>1077</v>
      </c>
      <c r="I287" s="676" t="s">
        <v>1077</v>
      </c>
      <c r="J287" s="692" t="s">
        <v>1230</v>
      </c>
      <c r="K287" s="51"/>
      <c r="L287" s="51"/>
      <c r="M287" s="51"/>
      <c r="N287" s="147"/>
      <c r="O287" s="167"/>
      <c r="P287" s="167"/>
      <c r="Q287" s="167"/>
      <c r="R287" s="167"/>
      <c r="S287" s="167"/>
      <c r="T287" s="167"/>
      <c r="U287" s="167"/>
      <c r="V287" s="167"/>
    </row>
    <row r="288" spans="1:22" s="44" customFormat="1" ht="60" customHeight="1">
      <c r="A288" s="544"/>
      <c r="B288" s="339"/>
      <c r="C288" s="48"/>
      <c r="D288" s="736"/>
      <c r="E288" s="649" t="s">
        <v>1168</v>
      </c>
      <c r="F288" s="424">
        <v>3571.43</v>
      </c>
      <c r="G288" s="173"/>
      <c r="H288" s="676" t="s">
        <v>1075</v>
      </c>
      <c r="I288" s="676" t="s">
        <v>1075</v>
      </c>
      <c r="J288" s="692" t="s">
        <v>1230</v>
      </c>
      <c r="K288" s="51"/>
      <c r="L288" s="51"/>
      <c r="M288" s="51"/>
      <c r="N288" s="147"/>
      <c r="O288" s="257"/>
      <c r="P288" s="167"/>
      <c r="Q288" s="167"/>
      <c r="R288" s="167"/>
      <c r="S288" s="167"/>
      <c r="T288" s="167"/>
      <c r="U288" s="167"/>
      <c r="V288" s="167"/>
    </row>
    <row r="289" spans="1:22" s="44" customFormat="1" ht="60" customHeight="1">
      <c r="A289" s="544"/>
      <c r="B289" s="339"/>
      <c r="C289" s="48"/>
      <c r="D289" s="736"/>
      <c r="E289" s="649" t="s">
        <v>346</v>
      </c>
      <c r="F289" s="424">
        <v>5714.29</v>
      </c>
      <c r="G289" s="173"/>
      <c r="H289" s="676" t="s">
        <v>1075</v>
      </c>
      <c r="I289" s="676" t="s">
        <v>1088</v>
      </c>
      <c r="J289" s="692" t="s">
        <v>1230</v>
      </c>
      <c r="K289" s="51"/>
      <c r="L289" s="51"/>
      <c r="M289" s="51"/>
      <c r="N289" s="147"/>
      <c r="O289" s="257"/>
      <c r="P289" s="167"/>
      <c r="Q289" s="167"/>
      <c r="R289" s="167"/>
      <c r="S289" s="257"/>
      <c r="T289" s="257"/>
      <c r="U289" s="257"/>
      <c r="V289" s="320"/>
    </row>
    <row r="290" spans="1:22" s="44" customFormat="1" ht="60" customHeight="1">
      <c r="A290" s="544"/>
      <c r="B290" s="740"/>
      <c r="C290" s="1114" t="s">
        <v>1169</v>
      </c>
      <c r="D290" s="1073"/>
      <c r="E290" s="1074"/>
      <c r="F290" s="772">
        <f>SUM(F285:F289)</f>
        <v>25000.010000000002</v>
      </c>
      <c r="G290" s="678"/>
      <c r="H290" s="757"/>
      <c r="I290" s="757"/>
      <c r="J290" s="758"/>
      <c r="K290" s="51"/>
      <c r="L290" s="51"/>
      <c r="M290" s="51"/>
      <c r="N290" s="147"/>
      <c r="O290" s="257"/>
      <c r="P290" s="257"/>
      <c r="Q290" s="257"/>
      <c r="R290" s="257"/>
      <c r="S290" s="257"/>
      <c r="T290" s="257"/>
      <c r="U290" s="257"/>
      <c r="V290" s="320"/>
    </row>
    <row r="291" spans="1:22" s="44" customFormat="1" ht="60" customHeight="1">
      <c r="A291" s="1104" t="s">
        <v>1170</v>
      </c>
      <c r="B291" s="339"/>
      <c r="C291" s="48" t="e">
        <f>+'4. Procurement Plan'!#REF!</f>
        <v>#REF!</v>
      </c>
      <c r="D291" s="1106" t="s">
        <v>1171</v>
      </c>
      <c r="E291" s="737" t="s">
        <v>1172</v>
      </c>
      <c r="F291" s="424">
        <v>23142.86</v>
      </c>
      <c r="G291" s="173"/>
      <c r="H291" s="677" t="s">
        <v>1092</v>
      </c>
      <c r="I291" s="677" t="s">
        <v>1128</v>
      </c>
      <c r="J291" s="692" t="s">
        <v>1230</v>
      </c>
      <c r="K291" s="51"/>
      <c r="L291" s="51"/>
      <c r="M291" s="51"/>
      <c r="N291" s="167"/>
      <c r="O291" s="167"/>
      <c r="P291" s="167"/>
      <c r="Q291" s="167"/>
      <c r="R291" s="167"/>
      <c r="S291" s="167"/>
      <c r="T291" s="167"/>
      <c r="U291" s="167"/>
      <c r="V291" s="167"/>
    </row>
    <row r="292" spans="1:22" s="44" customFormat="1" ht="41.25" customHeight="1">
      <c r="A292" s="1115"/>
      <c r="B292" s="339"/>
      <c r="C292" s="48"/>
      <c r="D292" s="1116"/>
      <c r="E292" s="737" t="s">
        <v>1173</v>
      </c>
      <c r="F292" s="424"/>
      <c r="G292" s="173"/>
      <c r="H292" s="677" t="s">
        <v>1092</v>
      </c>
      <c r="I292" s="677" t="s">
        <v>1128</v>
      </c>
      <c r="J292" s="692" t="s">
        <v>1230</v>
      </c>
      <c r="K292" s="51"/>
      <c r="L292" s="51"/>
      <c r="M292" s="51"/>
      <c r="N292" s="167"/>
      <c r="O292" s="167"/>
      <c r="P292" s="167"/>
      <c r="Q292" s="167"/>
      <c r="R292" s="167"/>
      <c r="S292" s="167"/>
      <c r="T292" s="167"/>
      <c r="U292" s="167"/>
      <c r="V292" s="167"/>
    </row>
    <row r="293" spans="1:22" s="44" customFormat="1" ht="60" customHeight="1">
      <c r="A293" s="1105"/>
      <c r="B293" s="740"/>
      <c r="C293" s="651"/>
      <c r="D293" s="1110" t="s">
        <v>1185</v>
      </c>
      <c r="E293" s="1111"/>
      <c r="F293" s="772">
        <f>SUM(F291:F292)</f>
        <v>23142.86</v>
      </c>
      <c r="G293" s="678"/>
      <c r="H293" s="757"/>
      <c r="I293" s="757"/>
      <c r="J293" s="758"/>
      <c r="K293" s="51"/>
      <c r="L293" s="51"/>
      <c r="M293" s="51"/>
      <c r="N293" s="147"/>
      <c r="O293" s="257"/>
      <c r="P293" s="257"/>
      <c r="Q293" s="257"/>
      <c r="R293" s="257"/>
      <c r="S293" s="257"/>
      <c r="T293" s="257"/>
      <c r="U293" s="257"/>
      <c r="V293" s="320"/>
    </row>
    <row r="294" spans="1:22" s="44" customFormat="1" ht="60" customHeight="1">
      <c r="A294" s="1104" t="s">
        <v>1174</v>
      </c>
      <c r="B294" s="339"/>
      <c r="C294" s="48" t="str">
        <f>+'4. Procurement Plan'!I131</f>
        <v>19-1313a(ii)</v>
      </c>
      <c r="D294" s="1106" t="s">
        <v>1175</v>
      </c>
      <c r="E294" s="739" t="s">
        <v>1176</v>
      </c>
      <c r="F294" s="424">
        <v>42203.57</v>
      </c>
      <c r="G294" s="173"/>
      <c r="H294" s="677" t="s">
        <v>1092</v>
      </c>
      <c r="I294" s="677" t="s">
        <v>1128</v>
      </c>
      <c r="J294" s="692" t="s">
        <v>1230</v>
      </c>
      <c r="K294" s="51"/>
      <c r="L294" s="51"/>
      <c r="M294" s="51"/>
      <c r="N294" s="167"/>
      <c r="O294" s="167"/>
      <c r="P294" s="167"/>
      <c r="Q294" s="167"/>
      <c r="R294" s="167"/>
      <c r="S294" s="167"/>
      <c r="T294" s="167"/>
      <c r="U294" s="167"/>
      <c r="V294" s="167"/>
    </row>
    <row r="295" spans="1:22" s="44" customFormat="1" ht="60" customHeight="1">
      <c r="A295" s="1105"/>
      <c r="B295" s="339"/>
      <c r="C295" s="48" t="e">
        <f>+'4. Procurement Plan'!#REF!</f>
        <v>#REF!</v>
      </c>
      <c r="D295" s="1107"/>
      <c r="E295" s="739" t="s">
        <v>494</v>
      </c>
      <c r="F295" s="424">
        <v>14000</v>
      </c>
      <c r="G295" s="173"/>
      <c r="H295" s="677" t="s">
        <v>1073</v>
      </c>
      <c r="I295" s="677" t="s">
        <v>1128</v>
      </c>
      <c r="J295" s="692" t="s">
        <v>1230</v>
      </c>
      <c r="K295" s="51"/>
      <c r="L295" s="167"/>
      <c r="M295" s="167"/>
      <c r="N295" s="167"/>
      <c r="O295" s="167"/>
      <c r="P295" s="167"/>
      <c r="Q295" s="167"/>
      <c r="R295" s="167"/>
      <c r="S295" s="167"/>
      <c r="T295" s="167"/>
      <c r="U295" s="167"/>
      <c r="V295" s="167"/>
    </row>
    <row r="296" spans="1:22" s="44" customFormat="1" ht="60" customHeight="1">
      <c r="A296" s="741"/>
      <c r="B296" s="740"/>
      <c r="C296" s="651"/>
      <c r="D296" s="1110" t="s">
        <v>1184</v>
      </c>
      <c r="E296" s="1111"/>
      <c r="F296" s="772">
        <f>SUM(F294:F295)</f>
        <v>56203.57</v>
      </c>
      <c r="G296" s="678"/>
      <c r="H296" s="720"/>
      <c r="I296" s="720"/>
      <c r="J296" s="721"/>
      <c r="K296" s="51"/>
      <c r="L296" s="51"/>
      <c r="M296" s="51"/>
      <c r="N296" s="147"/>
      <c r="O296" s="257"/>
      <c r="P296" s="257"/>
      <c r="Q296" s="257"/>
      <c r="R296" s="257"/>
      <c r="S296" s="257"/>
      <c r="T296" s="257"/>
      <c r="U296" s="257"/>
      <c r="V296" s="320"/>
    </row>
    <row r="297" spans="1:22" s="44" customFormat="1" ht="60" customHeight="1">
      <c r="A297" s="1054" t="s">
        <v>1177</v>
      </c>
      <c r="B297" s="339"/>
      <c r="C297" s="48" t="str">
        <f>+'4. Procurement Plan'!I57</f>
        <v>20-1315c</v>
      </c>
      <c r="D297" s="289" t="s">
        <v>1177</v>
      </c>
      <c r="E297" s="526" t="s">
        <v>1178</v>
      </c>
      <c r="F297" s="424">
        <v>1928.57</v>
      </c>
      <c r="G297" s="173"/>
      <c r="H297" s="526" t="s">
        <v>1229</v>
      </c>
      <c r="I297" s="526" t="s">
        <v>1073</v>
      </c>
      <c r="J297" s="692" t="s">
        <v>1230</v>
      </c>
      <c r="K297" s="167"/>
      <c r="L297" s="167"/>
      <c r="M297" s="51"/>
      <c r="N297" s="147"/>
      <c r="O297" s="257"/>
      <c r="P297" s="257"/>
      <c r="Q297" s="257"/>
      <c r="R297" s="257"/>
      <c r="S297" s="257"/>
      <c r="T297" s="257"/>
      <c r="U297" s="257"/>
      <c r="V297" s="320"/>
    </row>
    <row r="298" spans="1:22" s="44" customFormat="1" ht="60" customHeight="1">
      <c r="A298" s="1054"/>
      <c r="B298" s="339"/>
      <c r="C298" s="48" t="str">
        <f>+'4. Procurement Plan'!I58</f>
        <v>20-1315c</v>
      </c>
      <c r="D298" s="616"/>
      <c r="E298" s="526" t="s">
        <v>1179</v>
      </c>
      <c r="F298" s="424">
        <v>1785.71</v>
      </c>
      <c r="G298" s="173"/>
      <c r="H298" s="526" t="s">
        <v>1229</v>
      </c>
      <c r="I298" s="526" t="s">
        <v>1073</v>
      </c>
      <c r="J298" s="692" t="s">
        <v>1230</v>
      </c>
      <c r="K298" s="167"/>
      <c r="L298" s="167"/>
      <c r="M298" s="51"/>
      <c r="N298" s="147"/>
      <c r="O298" s="257"/>
      <c r="P298" s="257"/>
      <c r="Q298" s="257"/>
      <c r="R298" s="257"/>
      <c r="S298" s="257"/>
      <c r="T298" s="257"/>
      <c r="U298" s="257"/>
      <c r="V298" s="320"/>
    </row>
    <row r="299" spans="1:22" s="44" customFormat="1" ht="60" customHeight="1">
      <c r="A299" s="1054"/>
      <c r="B299" s="339"/>
      <c r="C299" s="48" t="str">
        <f>+'4. Procurement Plan'!I61</f>
        <v>20-1316b</v>
      </c>
      <c r="D299" s="616"/>
      <c r="E299" s="526" t="s">
        <v>1180</v>
      </c>
      <c r="F299" s="424">
        <v>4892.8599999999997</v>
      </c>
      <c r="G299" s="173"/>
      <c r="H299" s="526" t="s">
        <v>1229</v>
      </c>
      <c r="I299" s="526" t="s">
        <v>1073</v>
      </c>
      <c r="J299" s="692" t="s">
        <v>1230</v>
      </c>
      <c r="K299" s="167"/>
      <c r="L299" s="167"/>
      <c r="M299" s="51"/>
      <c r="N299" s="147"/>
      <c r="O299" s="257"/>
      <c r="P299" s="257"/>
      <c r="Q299" s="257"/>
      <c r="R299" s="257"/>
      <c r="S299" s="257"/>
      <c r="T299" s="257"/>
      <c r="U299" s="257"/>
      <c r="V299" s="320"/>
    </row>
    <row r="300" spans="1:22" s="44" customFormat="1" ht="60" customHeight="1">
      <c r="A300" s="1054"/>
      <c r="B300" s="339"/>
      <c r="C300" s="48" t="str">
        <f>+'4. Procurement Plan'!I62</f>
        <v>20-1316b</v>
      </c>
      <c r="D300" s="616"/>
      <c r="E300" s="526" t="s">
        <v>1181</v>
      </c>
      <c r="F300" s="424">
        <v>8214.2900000000009</v>
      </c>
      <c r="G300" s="173"/>
      <c r="H300" s="526" t="s">
        <v>1229</v>
      </c>
      <c r="I300" s="526" t="s">
        <v>1073</v>
      </c>
      <c r="J300" s="692" t="s">
        <v>1230</v>
      </c>
      <c r="K300" s="167"/>
      <c r="L300" s="167"/>
      <c r="M300" s="51"/>
      <c r="N300" s="147"/>
      <c r="O300" s="257"/>
      <c r="P300" s="257"/>
      <c r="Q300" s="257"/>
      <c r="R300" s="257"/>
      <c r="S300" s="257"/>
      <c r="T300" s="257"/>
      <c r="U300" s="257"/>
      <c r="V300" s="320"/>
    </row>
    <row r="301" spans="1:22" s="44" customFormat="1" ht="60" customHeight="1">
      <c r="A301" s="1054"/>
      <c r="B301" s="339"/>
      <c r="C301" s="48" t="str">
        <f>+'4. Procurement Plan'!I91</f>
        <v>20-1315c(iii)</v>
      </c>
      <c r="D301" s="616"/>
      <c r="E301" s="526" t="s">
        <v>1182</v>
      </c>
      <c r="F301" s="424">
        <v>2321.4299999999998</v>
      </c>
      <c r="G301" s="173"/>
      <c r="H301" s="526" t="s">
        <v>1229</v>
      </c>
      <c r="I301" s="526" t="s">
        <v>1073</v>
      </c>
      <c r="J301" s="692" t="s">
        <v>1230</v>
      </c>
      <c r="K301" s="167"/>
      <c r="L301" s="167"/>
      <c r="M301" s="51"/>
      <c r="N301" s="147"/>
      <c r="O301" s="257"/>
      <c r="P301" s="257"/>
      <c r="Q301" s="257"/>
      <c r="R301" s="257"/>
      <c r="S301" s="257"/>
      <c r="T301" s="257"/>
      <c r="U301" s="257"/>
      <c r="V301" s="320"/>
    </row>
    <row r="302" spans="1:22" s="44" customFormat="1" ht="60" customHeight="1">
      <c r="A302" s="1054"/>
      <c r="B302" s="740"/>
      <c r="C302" s="651"/>
      <c r="D302" s="1108" t="s">
        <v>1183</v>
      </c>
      <c r="E302" s="1109"/>
      <c r="F302" s="719">
        <f>SUM(F297:F301)</f>
        <v>19142.86</v>
      </c>
      <c r="G302" s="678"/>
      <c r="H302" s="759"/>
      <c r="I302" s="759"/>
      <c r="J302" s="760"/>
      <c r="K302" s="51"/>
      <c r="L302" s="51"/>
      <c r="M302" s="51"/>
      <c r="N302" s="147"/>
      <c r="O302" s="257"/>
      <c r="P302" s="257"/>
      <c r="Q302" s="257"/>
      <c r="R302" s="257"/>
      <c r="S302" s="257"/>
      <c r="T302" s="257"/>
      <c r="U302" s="257"/>
      <c r="V302" s="320"/>
    </row>
    <row r="303" spans="1:22" s="44" customFormat="1" ht="60" customHeight="1">
      <c r="A303" s="1091" t="s">
        <v>1186</v>
      </c>
      <c r="B303" s="339"/>
      <c r="C303" s="48" t="e">
        <f>+'4. Procurement Plan'!#REF!</f>
        <v>#REF!</v>
      </c>
      <c r="D303" s="1057" t="s">
        <v>1187</v>
      </c>
      <c r="E303" s="742" t="s">
        <v>1188</v>
      </c>
      <c r="F303" s="424">
        <v>10714.29</v>
      </c>
      <c r="G303" s="173"/>
      <c r="H303" s="761" t="s">
        <v>1092</v>
      </c>
      <c r="I303" s="761" t="s">
        <v>1075</v>
      </c>
      <c r="J303" s="762" t="s">
        <v>1231</v>
      </c>
      <c r="K303" s="51"/>
      <c r="L303" s="51"/>
      <c r="M303" s="51"/>
      <c r="N303" s="167"/>
      <c r="O303" s="167"/>
      <c r="P303" s="167"/>
      <c r="Q303" s="257"/>
      <c r="R303" s="257"/>
      <c r="S303" s="257"/>
      <c r="T303" s="257"/>
      <c r="U303" s="257"/>
      <c r="V303" s="320"/>
    </row>
    <row r="304" spans="1:22" s="44" customFormat="1" ht="60" customHeight="1">
      <c r="A304" s="1092"/>
      <c r="B304" s="339"/>
      <c r="C304" s="48"/>
      <c r="D304" s="1058"/>
      <c r="E304" s="527" t="s">
        <v>1189</v>
      </c>
      <c r="F304" s="424">
        <v>10714.29</v>
      </c>
      <c r="G304" s="173"/>
      <c r="H304" s="761" t="s">
        <v>1077</v>
      </c>
      <c r="I304" s="761" t="s">
        <v>1075</v>
      </c>
      <c r="J304" s="762" t="s">
        <v>1231</v>
      </c>
      <c r="K304" s="51"/>
      <c r="L304" s="51"/>
      <c r="M304" s="51"/>
      <c r="N304" s="147"/>
      <c r="O304" s="167"/>
      <c r="P304" s="167"/>
      <c r="Q304" s="257"/>
      <c r="R304" s="257"/>
      <c r="S304" s="257"/>
      <c r="T304" s="257"/>
      <c r="U304" s="257"/>
      <c r="V304" s="320"/>
    </row>
    <row r="305" spans="1:22" s="44" customFormat="1" ht="60" customHeight="1">
      <c r="A305" s="1093"/>
      <c r="B305" s="339"/>
      <c r="C305" s="48"/>
      <c r="D305" s="1058"/>
      <c r="E305" s="527" t="s">
        <v>1190</v>
      </c>
      <c r="F305" s="424">
        <v>10714.29</v>
      </c>
      <c r="G305" s="173"/>
      <c r="H305" s="761" t="s">
        <v>1075</v>
      </c>
      <c r="I305" s="761" t="s">
        <v>1086</v>
      </c>
      <c r="J305" s="762" t="s">
        <v>1231</v>
      </c>
      <c r="K305" s="51"/>
      <c r="L305" s="51"/>
      <c r="M305" s="51"/>
      <c r="N305" s="147"/>
      <c r="O305" s="257"/>
      <c r="P305" s="167"/>
      <c r="Q305" s="167"/>
      <c r="R305" s="257"/>
      <c r="S305" s="257"/>
      <c r="T305" s="257"/>
      <c r="U305" s="257"/>
      <c r="V305" s="320"/>
    </row>
    <row r="306" spans="1:22" s="44" customFormat="1" ht="60" customHeight="1">
      <c r="A306" s="743"/>
      <c r="B306" s="740"/>
      <c r="C306" s="651"/>
      <c r="D306" s="1099" t="s">
        <v>1191</v>
      </c>
      <c r="E306" s="1100"/>
      <c r="F306" s="772">
        <f>SUM(F303:F305)</f>
        <v>32142.870000000003</v>
      </c>
      <c r="G306" s="678"/>
      <c r="H306" s="770"/>
      <c r="I306" s="770"/>
      <c r="J306" s="771"/>
      <c r="K306" s="769"/>
      <c r="L306" s="51"/>
      <c r="M306" s="51"/>
      <c r="N306" s="147"/>
      <c r="O306" s="257"/>
      <c r="P306" s="257"/>
      <c r="Q306" s="257"/>
      <c r="R306" s="257"/>
      <c r="S306" s="257"/>
      <c r="T306" s="257"/>
      <c r="U306" s="257"/>
      <c r="V306" s="320"/>
    </row>
    <row r="307" spans="1:22" s="44" customFormat="1" ht="60" customHeight="1">
      <c r="A307" s="1101" t="s">
        <v>1192</v>
      </c>
      <c r="B307" s="339"/>
      <c r="C307" s="48" t="e">
        <f>+'4. Procurement Plan'!#REF!</f>
        <v>#REF!</v>
      </c>
      <c r="D307" s="744" t="s">
        <v>1193</v>
      </c>
      <c r="E307" s="733" t="s">
        <v>1173</v>
      </c>
      <c r="F307" s="424">
        <v>1642.86</v>
      </c>
      <c r="G307" s="173"/>
      <c r="H307" s="761" t="s">
        <v>1075</v>
      </c>
      <c r="I307" s="761" t="s">
        <v>1086</v>
      </c>
      <c r="J307" s="762" t="s">
        <v>1231</v>
      </c>
      <c r="K307" s="51"/>
      <c r="L307" s="51"/>
      <c r="M307" s="51"/>
      <c r="N307" s="147"/>
      <c r="O307" s="257"/>
      <c r="P307" s="167"/>
      <c r="Q307" s="167"/>
      <c r="R307" s="257"/>
      <c r="S307" s="257"/>
      <c r="T307" s="257"/>
      <c r="U307" s="257"/>
      <c r="V307" s="320"/>
    </row>
    <row r="308" spans="1:22" s="44" customFormat="1" ht="60" customHeight="1">
      <c r="A308" s="1102"/>
      <c r="B308" s="339"/>
      <c r="C308" s="48" t="e">
        <f>+C307</f>
        <v>#REF!</v>
      </c>
      <c r="D308" s="744"/>
      <c r="E308" s="733" t="s">
        <v>1172</v>
      </c>
      <c r="F308" s="424">
        <v>1697.86</v>
      </c>
      <c r="G308" s="173"/>
      <c r="H308" s="761" t="s">
        <v>1075</v>
      </c>
      <c r="I308" s="761" t="s">
        <v>1086</v>
      </c>
      <c r="J308" s="762" t="s">
        <v>1231</v>
      </c>
      <c r="K308" s="51"/>
      <c r="L308" s="51"/>
      <c r="M308" s="51"/>
      <c r="N308" s="147"/>
      <c r="O308" s="257"/>
      <c r="P308" s="167"/>
      <c r="Q308" s="167"/>
      <c r="R308" s="257"/>
      <c r="S308" s="257"/>
      <c r="T308" s="257"/>
      <c r="U308" s="257"/>
      <c r="V308" s="320"/>
    </row>
    <row r="309" spans="1:22" s="44" customFormat="1" ht="60" customHeight="1">
      <c r="A309" s="1102"/>
      <c r="B309" s="339"/>
      <c r="C309" s="48" t="e">
        <f>+'4. Procurement Plan'!#REF!</f>
        <v>#REF!</v>
      </c>
      <c r="D309" s="744"/>
      <c r="E309" s="733" t="s">
        <v>1194</v>
      </c>
      <c r="F309" s="424">
        <v>8697.86</v>
      </c>
      <c r="G309" s="173"/>
      <c r="H309" s="761" t="s">
        <v>1075</v>
      </c>
      <c r="I309" s="761" t="s">
        <v>1086</v>
      </c>
      <c r="J309" s="762" t="s">
        <v>1231</v>
      </c>
      <c r="K309" s="51"/>
      <c r="L309" s="51"/>
      <c r="M309" s="51"/>
      <c r="N309" s="147"/>
      <c r="O309" s="257"/>
      <c r="P309" s="167"/>
      <c r="Q309" s="167"/>
      <c r="R309" s="257"/>
      <c r="S309" s="257"/>
      <c r="T309" s="257"/>
      <c r="U309" s="257"/>
      <c r="V309" s="320"/>
    </row>
    <row r="310" spans="1:22" s="44" customFormat="1" ht="60" customHeight="1">
      <c r="A310" s="745"/>
      <c r="B310" s="740"/>
      <c r="C310" s="648"/>
      <c r="D310" s="1103" t="s">
        <v>1195</v>
      </c>
      <c r="E310" s="1098"/>
      <c r="F310" s="772">
        <f>SUM(F307:F309)</f>
        <v>12038.58</v>
      </c>
      <c r="G310" s="678"/>
      <c r="H310" s="763"/>
      <c r="I310" s="763"/>
      <c r="J310" s="764"/>
      <c r="K310" s="51"/>
      <c r="L310" s="51"/>
      <c r="M310" s="51"/>
      <c r="N310" s="147"/>
      <c r="O310" s="257"/>
      <c r="P310" s="257"/>
      <c r="Q310" s="257"/>
      <c r="R310" s="257"/>
      <c r="S310" s="257"/>
      <c r="T310" s="257"/>
      <c r="U310" s="257"/>
      <c r="V310" s="320"/>
    </row>
    <row r="311" spans="1:22" s="44" customFormat="1" ht="60" customHeight="1">
      <c r="A311" s="1083" t="s">
        <v>1196</v>
      </c>
      <c r="B311" s="339"/>
      <c r="C311" s="746" t="e">
        <f>+'4. Procurement Plan'!#REF!</f>
        <v>#REF!</v>
      </c>
      <c r="D311" s="714" t="s">
        <v>1197</v>
      </c>
      <c r="E311" s="733" t="s">
        <v>1173</v>
      </c>
      <c r="F311" s="424">
        <v>1678.57</v>
      </c>
      <c r="G311" s="173"/>
      <c r="H311" s="761" t="s">
        <v>1092</v>
      </c>
      <c r="I311" s="676" t="s">
        <v>1077</v>
      </c>
      <c r="J311" s="762" t="s">
        <v>1231</v>
      </c>
      <c r="K311" s="51"/>
      <c r="L311" s="51"/>
      <c r="M311" s="51"/>
      <c r="N311" s="167"/>
      <c r="O311" s="167"/>
      <c r="P311" s="257"/>
      <c r="Q311" s="257"/>
      <c r="R311" s="257"/>
      <c r="S311" s="257"/>
      <c r="T311" s="257"/>
      <c r="U311" s="257"/>
      <c r="V311" s="320"/>
    </row>
    <row r="312" spans="1:22" s="44" customFormat="1" ht="60" customHeight="1">
      <c r="A312" s="1083"/>
      <c r="B312" s="339"/>
      <c r="C312" s="746" t="e">
        <f>+C311</f>
        <v>#REF!</v>
      </c>
      <c r="D312" s="747"/>
      <c r="E312" s="733" t="s">
        <v>945</v>
      </c>
      <c r="F312" s="424">
        <v>3178.57</v>
      </c>
      <c r="G312" s="173"/>
      <c r="H312" s="761" t="s">
        <v>1092</v>
      </c>
      <c r="I312" s="676" t="s">
        <v>1077</v>
      </c>
      <c r="J312" s="762" t="s">
        <v>1231</v>
      </c>
      <c r="K312" s="51"/>
      <c r="L312" s="51"/>
      <c r="M312" s="51"/>
      <c r="N312" s="167"/>
      <c r="O312" s="167"/>
      <c r="P312" s="257"/>
      <c r="Q312" s="257"/>
      <c r="R312" s="257"/>
      <c r="S312" s="257"/>
      <c r="T312" s="257"/>
      <c r="U312" s="257"/>
      <c r="V312" s="320"/>
    </row>
    <row r="313" spans="1:22" s="44" customFormat="1" ht="60" customHeight="1">
      <c r="A313" s="743"/>
      <c r="B313" s="740"/>
      <c r="C313" s="1094" t="s">
        <v>1198</v>
      </c>
      <c r="D313" s="1095"/>
      <c r="E313" s="1096"/>
      <c r="F313" s="719">
        <f>SUM(F311:F312)</f>
        <v>4857.1400000000003</v>
      </c>
      <c r="G313" s="678"/>
      <c r="H313" s="763"/>
      <c r="I313" s="763"/>
      <c r="J313" s="764"/>
      <c r="K313" s="51"/>
      <c r="L313" s="51"/>
      <c r="M313" s="51"/>
      <c r="N313" s="147"/>
      <c r="O313" s="257"/>
      <c r="P313" s="257"/>
      <c r="Q313" s="257"/>
      <c r="R313" s="257"/>
      <c r="S313" s="257"/>
      <c r="T313" s="257"/>
      <c r="U313" s="257"/>
      <c r="V313" s="320"/>
    </row>
    <row r="314" spans="1:22" s="44" customFormat="1" ht="60" customHeight="1">
      <c r="A314" s="1083" t="s">
        <v>1199</v>
      </c>
      <c r="B314" s="339"/>
      <c r="C314" s="748" t="e">
        <f>+'4. Procurement Plan'!#REF!</f>
        <v>#REF!</v>
      </c>
      <c r="D314" s="749" t="s">
        <v>1200</v>
      </c>
      <c r="E314" s="733" t="s">
        <v>1173</v>
      </c>
      <c r="F314" s="424"/>
      <c r="G314" s="173"/>
      <c r="H314" s="761" t="s">
        <v>1092</v>
      </c>
      <c r="I314" s="676" t="s">
        <v>1077</v>
      </c>
      <c r="J314" s="762" t="s">
        <v>1231</v>
      </c>
      <c r="K314" s="51"/>
      <c r="L314" s="51"/>
      <c r="M314" s="51"/>
      <c r="N314" s="167"/>
      <c r="O314" s="167"/>
      <c r="P314" s="257"/>
      <c r="Q314" s="257"/>
      <c r="R314" s="257"/>
      <c r="S314" s="257"/>
      <c r="T314" s="257"/>
      <c r="U314" s="257"/>
      <c r="V314" s="320"/>
    </row>
    <row r="315" spans="1:22" s="44" customFormat="1" ht="60" customHeight="1">
      <c r="A315" s="1083"/>
      <c r="B315" s="339"/>
      <c r="C315" s="748" t="e">
        <f>+C314</f>
        <v>#REF!</v>
      </c>
      <c r="D315" s="749"/>
      <c r="E315" s="733" t="s">
        <v>945</v>
      </c>
      <c r="F315" s="424">
        <v>2500</v>
      </c>
      <c r="G315" s="173"/>
      <c r="H315" s="761" t="s">
        <v>1092</v>
      </c>
      <c r="I315" s="676" t="s">
        <v>1077</v>
      </c>
      <c r="J315" s="762" t="s">
        <v>1231</v>
      </c>
      <c r="K315" s="51"/>
      <c r="L315" s="51"/>
      <c r="M315" s="51"/>
      <c r="N315" s="167"/>
      <c r="O315" s="167"/>
      <c r="P315" s="257"/>
      <c r="Q315" s="257"/>
      <c r="R315" s="257"/>
      <c r="S315" s="257"/>
      <c r="T315" s="257"/>
      <c r="U315" s="257"/>
      <c r="V315" s="320"/>
    </row>
    <row r="316" spans="1:22" s="44" customFormat="1" ht="60" customHeight="1">
      <c r="A316" s="743"/>
      <c r="B316" s="740"/>
      <c r="C316" s="750"/>
      <c r="D316" s="1097" t="s">
        <v>1201</v>
      </c>
      <c r="E316" s="1098"/>
      <c r="F316" s="719">
        <f>SUM(F315)</f>
        <v>2500</v>
      </c>
      <c r="G316" s="678"/>
      <c r="H316" s="763"/>
      <c r="I316" s="763"/>
      <c r="J316" s="764"/>
      <c r="K316" s="51"/>
      <c r="L316" s="51"/>
      <c r="M316" s="51"/>
      <c r="N316" s="147"/>
      <c r="O316" s="257"/>
      <c r="P316" s="257"/>
      <c r="Q316" s="257"/>
      <c r="R316" s="257"/>
      <c r="S316" s="257"/>
      <c r="T316" s="257"/>
      <c r="U316" s="257"/>
      <c r="V316" s="320"/>
    </row>
    <row r="317" spans="1:22" s="44" customFormat="1" ht="60" customHeight="1">
      <c r="A317" s="1083" t="s">
        <v>1202</v>
      </c>
      <c r="B317" s="339"/>
      <c r="C317" s="748" t="e">
        <f>+'4. Procurement Plan'!#REF!</f>
        <v>#REF!</v>
      </c>
      <c r="D317" s="733" t="s">
        <v>1203</v>
      </c>
      <c r="E317" s="733" t="s">
        <v>1173</v>
      </c>
      <c r="F317" s="424">
        <v>1285.71</v>
      </c>
      <c r="G317" s="173"/>
      <c r="H317" s="761" t="s">
        <v>1075</v>
      </c>
      <c r="I317" s="761" t="s">
        <v>1075</v>
      </c>
      <c r="J317" s="762" t="s">
        <v>1231</v>
      </c>
      <c r="K317" s="51"/>
      <c r="L317" s="51"/>
      <c r="M317" s="51"/>
      <c r="N317" s="147"/>
      <c r="O317" s="257"/>
      <c r="P317" s="257"/>
      <c r="Q317" s="167"/>
      <c r="R317" s="257"/>
      <c r="S317" s="257"/>
      <c r="T317" s="257"/>
      <c r="U317" s="257"/>
      <c r="V317" s="320"/>
    </row>
    <row r="318" spans="1:22" s="44" customFormat="1" ht="60" customHeight="1">
      <c r="A318" s="1083"/>
      <c r="B318" s="339"/>
      <c r="C318" s="748" t="e">
        <f>+C317</f>
        <v>#REF!</v>
      </c>
      <c r="D318" s="749"/>
      <c r="E318" s="733" t="s">
        <v>945</v>
      </c>
      <c r="F318" s="424">
        <v>4428.57</v>
      </c>
      <c r="G318" s="173"/>
      <c r="H318" s="761" t="s">
        <v>1075</v>
      </c>
      <c r="I318" s="761" t="s">
        <v>1075</v>
      </c>
      <c r="J318" s="762" t="s">
        <v>1231</v>
      </c>
      <c r="K318" s="51"/>
      <c r="L318" s="51"/>
      <c r="M318" s="51"/>
      <c r="N318" s="147"/>
      <c r="O318" s="257"/>
      <c r="P318" s="257"/>
      <c r="Q318" s="167"/>
      <c r="R318" s="257"/>
      <c r="S318" s="257"/>
      <c r="T318" s="257"/>
      <c r="U318" s="257"/>
      <c r="V318" s="320"/>
    </row>
    <row r="319" spans="1:22" s="44" customFormat="1" ht="60" customHeight="1">
      <c r="A319" s="1083"/>
      <c r="B319" s="339"/>
      <c r="C319" s="748" t="e">
        <f>+'4. Procurement Plan'!#REF!</f>
        <v>#REF!</v>
      </c>
      <c r="D319" s="749"/>
      <c r="E319" s="733" t="s">
        <v>1194</v>
      </c>
      <c r="F319" s="424">
        <v>40000</v>
      </c>
      <c r="G319" s="173"/>
      <c r="H319" s="761" t="s">
        <v>1075</v>
      </c>
      <c r="I319" s="761" t="s">
        <v>1075</v>
      </c>
      <c r="J319" s="762" t="s">
        <v>1231</v>
      </c>
      <c r="K319" s="51"/>
      <c r="L319" s="51"/>
      <c r="M319" s="51"/>
      <c r="N319" s="147"/>
      <c r="O319" s="257"/>
      <c r="P319" s="257"/>
      <c r="Q319" s="167"/>
      <c r="R319" s="257"/>
      <c r="S319" s="257"/>
      <c r="T319" s="257"/>
      <c r="U319" s="257"/>
      <c r="V319" s="320"/>
    </row>
    <row r="320" spans="1:22" s="44" customFormat="1" ht="60" customHeight="1">
      <c r="A320" s="1083"/>
      <c r="B320" s="740"/>
      <c r="C320" s="750"/>
      <c r="D320" s="1097" t="s">
        <v>1204</v>
      </c>
      <c r="E320" s="1098"/>
      <c r="F320" s="719">
        <f>SUM(F317:F319)</f>
        <v>45714.28</v>
      </c>
      <c r="G320" s="678"/>
      <c r="H320" s="763"/>
      <c r="I320" s="763"/>
      <c r="J320" s="764"/>
      <c r="K320" s="51"/>
      <c r="L320" s="51"/>
      <c r="M320" s="51"/>
      <c r="N320" s="147"/>
      <c r="O320" s="257"/>
      <c r="P320" s="257"/>
      <c r="Q320" s="257"/>
      <c r="R320" s="257"/>
      <c r="S320" s="257"/>
      <c r="T320" s="257"/>
      <c r="U320" s="257"/>
      <c r="V320" s="320"/>
    </row>
    <row r="321" spans="1:22" s="44" customFormat="1" ht="60" customHeight="1">
      <c r="A321" s="1089" t="s">
        <v>1205</v>
      </c>
      <c r="B321" s="339"/>
      <c r="C321" s="751" t="e">
        <f>+'4. Procurement Plan'!#REF!</f>
        <v>#REF!</v>
      </c>
      <c r="D321" s="1057" t="s">
        <v>1206</v>
      </c>
      <c r="E321" s="733" t="s">
        <v>1173</v>
      </c>
      <c r="F321" s="424">
        <v>1000</v>
      </c>
      <c r="G321" s="173"/>
      <c r="H321" s="761" t="s">
        <v>1077</v>
      </c>
      <c r="I321" s="761" t="s">
        <v>1075</v>
      </c>
      <c r="J321" s="762" t="s">
        <v>1231</v>
      </c>
      <c r="K321" s="51"/>
      <c r="L321" s="51"/>
      <c r="M321" s="51"/>
      <c r="N321" s="147"/>
      <c r="O321" s="167"/>
      <c r="P321" s="167"/>
      <c r="Q321" s="257"/>
      <c r="R321" s="257"/>
      <c r="S321" s="257"/>
      <c r="T321" s="257"/>
      <c r="U321" s="257"/>
      <c r="V321" s="320"/>
    </row>
    <row r="322" spans="1:22" s="44" customFormat="1" ht="60" customHeight="1">
      <c r="A322" s="1089"/>
      <c r="B322" s="339"/>
      <c r="C322" s="751" t="e">
        <f>+C321</f>
        <v>#REF!</v>
      </c>
      <c r="D322" s="1058"/>
      <c r="E322" s="733" t="s">
        <v>945</v>
      </c>
      <c r="F322" s="424">
        <v>2571.4299999999998</v>
      </c>
      <c r="G322" s="173"/>
      <c r="H322" s="761" t="s">
        <v>1077</v>
      </c>
      <c r="I322" s="761" t="s">
        <v>1075</v>
      </c>
      <c r="J322" s="762" t="s">
        <v>1231</v>
      </c>
      <c r="K322" s="51"/>
      <c r="L322" s="51"/>
      <c r="M322" s="51"/>
      <c r="N322" s="147"/>
      <c r="O322" s="167"/>
      <c r="P322" s="167"/>
      <c r="Q322" s="257"/>
      <c r="R322" s="257"/>
      <c r="S322" s="257"/>
      <c r="T322" s="257"/>
      <c r="U322" s="257"/>
      <c r="V322" s="320"/>
    </row>
    <row r="323" spans="1:22" s="44" customFormat="1" ht="60" customHeight="1">
      <c r="A323" s="1089"/>
      <c r="B323" s="339"/>
      <c r="C323" s="879" t="e">
        <f>+'4. Procurement Plan'!#REF!</f>
        <v>#REF!</v>
      </c>
      <c r="D323" s="1058"/>
      <c r="E323" s="733" t="s">
        <v>1207</v>
      </c>
      <c r="F323" s="424">
        <v>30000</v>
      </c>
      <c r="G323" s="173"/>
      <c r="H323" s="761" t="s">
        <v>1077</v>
      </c>
      <c r="I323" s="761" t="s">
        <v>1075</v>
      </c>
      <c r="J323" s="762" t="s">
        <v>1231</v>
      </c>
      <c r="K323" s="51"/>
      <c r="L323" s="51"/>
      <c r="M323" s="51"/>
      <c r="N323" s="147"/>
      <c r="O323" s="167"/>
      <c r="P323" s="167"/>
      <c r="Q323" s="257"/>
      <c r="R323" s="257"/>
      <c r="S323" s="257"/>
      <c r="T323" s="257"/>
      <c r="U323" s="257"/>
      <c r="V323" s="320"/>
    </row>
    <row r="324" spans="1:22" s="44" customFormat="1" ht="60" customHeight="1">
      <c r="A324" s="1090"/>
      <c r="B324" s="740"/>
      <c r="C324" s="768"/>
      <c r="D324" s="1084" t="s">
        <v>1208</v>
      </c>
      <c r="E324" s="1085"/>
      <c r="F324" s="719">
        <f>SUM(F321:F323)</f>
        <v>33571.43</v>
      </c>
      <c r="G324" s="678"/>
      <c r="H324" s="765"/>
      <c r="I324" s="765"/>
      <c r="J324" s="766"/>
      <c r="K324" s="51"/>
      <c r="L324" s="51"/>
      <c r="M324" s="51"/>
      <c r="N324" s="147"/>
      <c r="O324" s="257"/>
      <c r="P324" s="257"/>
      <c r="Q324" s="257"/>
      <c r="R324" s="257"/>
      <c r="S324" s="257"/>
      <c r="T324" s="257"/>
      <c r="U324" s="257"/>
      <c r="V324" s="320"/>
    </row>
    <row r="325" spans="1:22" s="44" customFormat="1" ht="60" customHeight="1">
      <c r="A325" s="1091" t="s">
        <v>1209</v>
      </c>
      <c r="B325" s="339"/>
      <c r="C325" s="751" t="str">
        <f>+'4. Procurement Plan'!I95</f>
        <v>20-1315c(iii)</v>
      </c>
      <c r="D325" s="1057" t="s">
        <v>1210</v>
      </c>
      <c r="E325" s="733" t="s">
        <v>1173</v>
      </c>
      <c r="F325" s="424">
        <v>7928.57</v>
      </c>
      <c r="G325" s="173"/>
      <c r="H325" s="761">
        <v>43862</v>
      </c>
      <c r="I325" s="676" t="s">
        <v>1075</v>
      </c>
      <c r="J325" s="762" t="s">
        <v>1231</v>
      </c>
      <c r="K325" s="51"/>
      <c r="L325" s="167"/>
      <c r="M325" s="167"/>
      <c r="N325" s="167"/>
      <c r="O325" s="167"/>
      <c r="P325" s="167"/>
      <c r="Q325" s="257"/>
      <c r="R325" s="257"/>
      <c r="S325" s="257"/>
      <c r="T325" s="257"/>
      <c r="U325" s="257"/>
      <c r="V325" s="320"/>
    </row>
    <row r="326" spans="1:22" s="44" customFormat="1" ht="60" customHeight="1">
      <c r="A326" s="1092"/>
      <c r="B326" s="339"/>
      <c r="C326" s="751" t="str">
        <f>+C325</f>
        <v>20-1315c(iii)</v>
      </c>
      <c r="D326" s="1058"/>
      <c r="E326" s="733" t="s">
        <v>945</v>
      </c>
      <c r="F326" s="424">
        <v>22685.71</v>
      </c>
      <c r="G326" s="173"/>
      <c r="H326" s="761">
        <v>43862</v>
      </c>
      <c r="I326" s="676" t="s">
        <v>1075</v>
      </c>
      <c r="J326" s="762" t="s">
        <v>1231</v>
      </c>
      <c r="K326" s="51"/>
      <c r="L326" s="167"/>
      <c r="M326" s="167"/>
      <c r="N326" s="167"/>
      <c r="O326" s="167"/>
      <c r="P326" s="167"/>
      <c r="Q326" s="257"/>
      <c r="R326" s="257"/>
      <c r="S326" s="257"/>
      <c r="T326" s="257"/>
      <c r="U326" s="257"/>
      <c r="V326" s="320"/>
    </row>
    <row r="327" spans="1:22" s="44" customFormat="1" ht="60" customHeight="1">
      <c r="A327" s="1092"/>
      <c r="B327" s="339"/>
      <c r="C327" s="751" t="str">
        <f>+'4. Procurement Plan'!I94</f>
        <v>20-1315c(iii)</v>
      </c>
      <c r="D327" s="1058"/>
      <c r="E327" s="733" t="s">
        <v>1207</v>
      </c>
      <c r="F327" s="424">
        <v>95250</v>
      </c>
      <c r="G327" s="173"/>
      <c r="H327" s="761">
        <v>43862</v>
      </c>
      <c r="I327" s="676" t="s">
        <v>1075</v>
      </c>
      <c r="J327" s="762" t="s">
        <v>1231</v>
      </c>
      <c r="K327" s="51"/>
      <c r="L327" s="167"/>
      <c r="M327" s="167"/>
      <c r="N327" s="167"/>
      <c r="O327" s="167"/>
      <c r="P327" s="167"/>
      <c r="Q327" s="257"/>
      <c r="R327" s="257"/>
      <c r="S327" s="257"/>
      <c r="T327" s="257"/>
      <c r="U327" s="257"/>
      <c r="V327" s="320"/>
    </row>
    <row r="328" spans="1:22" s="44" customFormat="1" ht="60" customHeight="1">
      <c r="A328" s="1093"/>
      <c r="B328" s="740"/>
      <c r="C328" s="768"/>
      <c r="D328" s="1084" t="s">
        <v>1211</v>
      </c>
      <c r="E328" s="1085"/>
      <c r="F328" s="719">
        <f>SUM(F325:F327)</f>
        <v>125864.28</v>
      </c>
      <c r="G328" s="678"/>
      <c r="H328" s="765"/>
      <c r="I328" s="765"/>
      <c r="J328" s="766"/>
      <c r="K328" s="51"/>
      <c r="L328" s="51"/>
      <c r="M328" s="51"/>
      <c r="N328" s="147"/>
      <c r="O328" s="257"/>
      <c r="P328" s="257"/>
      <c r="Q328" s="257"/>
      <c r="R328" s="257"/>
      <c r="S328" s="257"/>
      <c r="T328" s="257"/>
      <c r="U328" s="257"/>
      <c r="V328" s="320"/>
    </row>
    <row r="329" spans="1:22" s="44" customFormat="1" ht="60" customHeight="1">
      <c r="A329" s="1083" t="s">
        <v>1212</v>
      </c>
      <c r="B329" s="339"/>
      <c r="C329" s="751"/>
      <c r="D329" s="1057" t="s">
        <v>1213</v>
      </c>
      <c r="E329" s="733" t="s">
        <v>1173</v>
      </c>
      <c r="F329" s="424"/>
      <c r="G329" s="173"/>
      <c r="H329" s="761" t="s">
        <v>1092</v>
      </c>
      <c r="I329" s="761" t="s">
        <v>1092</v>
      </c>
      <c r="J329" s="762" t="s">
        <v>1231</v>
      </c>
      <c r="K329" s="51"/>
      <c r="L329" s="51"/>
      <c r="M329" s="51"/>
      <c r="N329" s="167"/>
      <c r="O329" s="257"/>
      <c r="P329" s="257"/>
      <c r="Q329" s="257"/>
      <c r="R329" s="257"/>
      <c r="S329" s="257"/>
      <c r="T329" s="257"/>
      <c r="U329" s="257"/>
      <c r="V329" s="320"/>
    </row>
    <row r="330" spans="1:22" s="44" customFormat="1" ht="60" customHeight="1">
      <c r="A330" s="1083"/>
      <c r="B330" s="339"/>
      <c r="C330" s="751" t="e">
        <f>+'4. Procurement Plan'!#REF!</f>
        <v>#REF!</v>
      </c>
      <c r="D330" s="1058"/>
      <c r="E330" s="733" t="s">
        <v>945</v>
      </c>
      <c r="F330" s="424">
        <v>1428.57</v>
      </c>
      <c r="G330" s="173"/>
      <c r="H330" s="761" t="s">
        <v>1092</v>
      </c>
      <c r="I330" s="761" t="s">
        <v>1092</v>
      </c>
      <c r="J330" s="762" t="s">
        <v>1231</v>
      </c>
      <c r="K330" s="51"/>
      <c r="L330" s="51"/>
      <c r="M330" s="51"/>
      <c r="N330" s="167"/>
      <c r="O330" s="257"/>
      <c r="P330" s="257"/>
      <c r="Q330" s="257"/>
      <c r="R330" s="257"/>
      <c r="S330" s="257"/>
      <c r="T330" s="257"/>
      <c r="U330" s="257"/>
      <c r="V330" s="320"/>
    </row>
    <row r="331" spans="1:22" s="44" customFormat="1" ht="60" customHeight="1">
      <c r="A331" s="1083"/>
      <c r="B331" s="740"/>
      <c r="C331" s="768"/>
      <c r="D331" s="1084" t="s">
        <v>1214</v>
      </c>
      <c r="E331" s="1085"/>
      <c r="F331" s="719">
        <f>SUM(F330)</f>
        <v>1428.57</v>
      </c>
      <c r="G331" s="678"/>
      <c r="H331" s="765"/>
      <c r="I331" s="765"/>
      <c r="J331" s="766"/>
      <c r="K331" s="51"/>
      <c r="L331" s="51"/>
      <c r="M331" s="51"/>
      <c r="N331" s="147"/>
      <c r="O331" s="257"/>
      <c r="P331" s="257"/>
      <c r="Q331" s="257"/>
      <c r="R331" s="257"/>
      <c r="S331" s="257"/>
      <c r="T331" s="257"/>
      <c r="U331" s="257"/>
      <c r="V331" s="320"/>
    </row>
    <row r="332" spans="1:22" s="44" customFormat="1" ht="60" customHeight="1">
      <c r="A332" s="1083" t="s">
        <v>1215</v>
      </c>
      <c r="B332" s="339"/>
      <c r="C332" s="751" t="e">
        <f>+'4. Procurement Plan'!#REF!</f>
        <v>#REF!</v>
      </c>
      <c r="D332" s="1086" t="s">
        <v>1216</v>
      </c>
      <c r="E332" s="733" t="s">
        <v>1173</v>
      </c>
      <c r="F332" s="424">
        <v>1285.71</v>
      </c>
      <c r="G332" s="173"/>
      <c r="H332" s="676" t="s">
        <v>1075</v>
      </c>
      <c r="I332" s="676" t="s">
        <v>1232</v>
      </c>
      <c r="J332" s="762" t="s">
        <v>1231</v>
      </c>
      <c r="K332" s="51"/>
      <c r="L332" s="51"/>
      <c r="M332" s="51"/>
      <c r="N332" s="147"/>
      <c r="O332" s="257"/>
      <c r="P332" s="167"/>
      <c r="Q332" s="167"/>
      <c r="R332" s="167"/>
      <c r="S332" s="167"/>
      <c r="T332" s="257"/>
      <c r="U332" s="257"/>
      <c r="V332" s="320"/>
    </row>
    <row r="333" spans="1:22" s="44" customFormat="1" ht="60" customHeight="1">
      <c r="A333" s="1083"/>
      <c r="B333" s="339"/>
      <c r="C333" s="751" t="e">
        <f>+C332</f>
        <v>#REF!</v>
      </c>
      <c r="D333" s="1087"/>
      <c r="E333" s="733" t="s">
        <v>945</v>
      </c>
      <c r="F333" s="424">
        <v>1705.71</v>
      </c>
      <c r="G333" s="173"/>
      <c r="H333" s="676" t="s">
        <v>1075</v>
      </c>
      <c r="I333" s="676" t="s">
        <v>1232</v>
      </c>
      <c r="J333" s="762" t="s">
        <v>1231</v>
      </c>
      <c r="K333" s="51"/>
      <c r="L333" s="51"/>
      <c r="M333" s="51"/>
      <c r="N333" s="147"/>
      <c r="O333" s="257"/>
      <c r="P333" s="167"/>
      <c r="Q333" s="167"/>
      <c r="R333" s="167"/>
      <c r="S333" s="167"/>
      <c r="T333" s="257"/>
      <c r="U333" s="257"/>
      <c r="V333" s="320"/>
    </row>
    <row r="334" spans="1:22" s="44" customFormat="1" ht="60" customHeight="1">
      <c r="A334" s="1083"/>
      <c r="B334" s="339"/>
      <c r="C334" s="751" t="e">
        <f>+'4. Procurement Plan'!#REF!</f>
        <v>#REF!</v>
      </c>
      <c r="D334" s="1087"/>
      <c r="E334" s="733" t="s">
        <v>1158</v>
      </c>
      <c r="F334" s="424">
        <v>428.57</v>
      </c>
      <c r="G334" s="173"/>
      <c r="H334" s="676" t="s">
        <v>1075</v>
      </c>
      <c r="I334" s="676" t="s">
        <v>1232</v>
      </c>
      <c r="J334" s="762" t="s">
        <v>1231</v>
      </c>
      <c r="K334" s="51"/>
      <c r="L334" s="51"/>
      <c r="M334" s="51"/>
      <c r="N334" s="147"/>
      <c r="O334" s="257"/>
      <c r="P334" s="167"/>
      <c r="Q334" s="167"/>
      <c r="R334" s="167"/>
      <c r="S334" s="167"/>
      <c r="T334" s="257"/>
      <c r="U334" s="257"/>
      <c r="V334" s="320"/>
    </row>
    <row r="335" spans="1:22" s="44" customFormat="1" ht="60" customHeight="1">
      <c r="A335" s="1083"/>
      <c r="B335" s="339"/>
      <c r="C335" s="751" t="e">
        <f>+'4. Procurement Plan'!#REF!</f>
        <v>#REF!</v>
      </c>
      <c r="D335" s="1088"/>
      <c r="E335" s="733" t="s">
        <v>1207</v>
      </c>
      <c r="F335" s="424">
        <v>12651.43</v>
      </c>
      <c r="G335" s="173"/>
      <c r="H335" s="676" t="s">
        <v>1075</v>
      </c>
      <c r="I335" s="676" t="s">
        <v>1232</v>
      </c>
      <c r="J335" s="762" t="s">
        <v>1231</v>
      </c>
      <c r="K335" s="51"/>
      <c r="L335" s="51"/>
      <c r="M335" s="51"/>
      <c r="N335" s="147"/>
      <c r="O335" s="257"/>
      <c r="P335" s="167"/>
      <c r="Q335" s="167"/>
      <c r="R335" s="167"/>
      <c r="S335" s="167"/>
      <c r="T335" s="257"/>
      <c r="U335" s="257"/>
      <c r="V335" s="320"/>
    </row>
    <row r="336" spans="1:22" s="44" customFormat="1" ht="60" customHeight="1">
      <c r="A336" s="752"/>
      <c r="B336" s="740"/>
      <c r="C336" s="768"/>
      <c r="D336" s="1073" t="s">
        <v>1217</v>
      </c>
      <c r="E336" s="1074"/>
      <c r="F336" s="719">
        <f>SUM(F332:F335)</f>
        <v>16071.42</v>
      </c>
      <c r="G336" s="678"/>
      <c r="H336" s="765"/>
      <c r="I336" s="765"/>
      <c r="J336" s="766"/>
      <c r="K336" s="51"/>
      <c r="L336" s="51"/>
      <c r="M336" s="51"/>
      <c r="N336" s="147"/>
      <c r="O336" s="257"/>
      <c r="P336" s="257"/>
      <c r="Q336" s="257"/>
      <c r="R336" s="257"/>
      <c r="S336" s="257"/>
      <c r="T336" s="257"/>
      <c r="U336" s="257"/>
      <c r="V336" s="320"/>
    </row>
    <row r="337" spans="1:22" s="44" customFormat="1" ht="60" customHeight="1">
      <c r="A337" s="753"/>
      <c r="B337" s="339"/>
      <c r="C337" s="751" t="str">
        <f>+'4. Procurement Plan'!I58</f>
        <v>20-1315c</v>
      </c>
      <c r="D337" s="737" t="s">
        <v>1218</v>
      </c>
      <c r="E337" s="737" t="s">
        <v>1219</v>
      </c>
      <c r="F337" s="424">
        <v>43571.43</v>
      </c>
      <c r="G337" s="173"/>
      <c r="H337" s="761" t="s">
        <v>1077</v>
      </c>
      <c r="I337" s="761">
        <v>43983</v>
      </c>
      <c r="J337" s="692" t="s">
        <v>1233</v>
      </c>
      <c r="K337" s="51"/>
      <c r="L337" s="51"/>
      <c r="M337" s="51"/>
      <c r="N337" s="147"/>
      <c r="O337" s="167"/>
      <c r="P337" s="167"/>
      <c r="Q337" s="257"/>
      <c r="R337" s="257"/>
      <c r="S337" s="257"/>
      <c r="T337" s="257"/>
      <c r="U337" s="257"/>
      <c r="V337" s="320"/>
    </row>
    <row r="338" spans="1:22" s="44" customFormat="1" ht="60" customHeight="1">
      <c r="A338" s="754" t="s">
        <v>1220</v>
      </c>
      <c r="B338" s="339"/>
      <c r="C338" s="751" t="str">
        <f>+'4. Procurement Plan'!I116</f>
        <v>19-1315e</v>
      </c>
      <c r="D338" s="755" t="s">
        <v>1221</v>
      </c>
      <c r="E338" s="756" t="s">
        <v>1222</v>
      </c>
      <c r="F338" s="424">
        <v>13107.14</v>
      </c>
      <c r="G338" s="173"/>
      <c r="H338" s="767">
        <v>43891</v>
      </c>
      <c r="I338" s="767">
        <v>43922</v>
      </c>
      <c r="J338" s="756" t="s">
        <v>1234</v>
      </c>
      <c r="K338" s="51"/>
      <c r="L338" s="51"/>
      <c r="M338" s="167"/>
      <c r="N338" s="167"/>
      <c r="O338" s="257"/>
      <c r="P338" s="257"/>
      <c r="Q338" s="257"/>
      <c r="R338" s="257"/>
      <c r="S338" s="257"/>
      <c r="T338" s="257"/>
      <c r="U338" s="257"/>
      <c r="V338" s="320"/>
    </row>
    <row r="339" spans="1:22" s="44" customFormat="1" ht="60" customHeight="1">
      <c r="A339" s="753"/>
      <c r="B339" s="339"/>
      <c r="C339" s="751"/>
      <c r="D339" s="755" t="s">
        <v>1223</v>
      </c>
      <c r="E339" s="755" t="s">
        <v>1224</v>
      </c>
      <c r="F339" s="424">
        <v>6750</v>
      </c>
      <c r="G339" s="173"/>
      <c r="H339" s="761" t="s">
        <v>1092</v>
      </c>
      <c r="I339" s="761" t="s">
        <v>1128</v>
      </c>
      <c r="J339" s="692" t="s">
        <v>1233</v>
      </c>
      <c r="K339" s="51"/>
      <c r="L339" s="51"/>
      <c r="M339" s="51"/>
      <c r="N339" s="167"/>
      <c r="O339" s="167"/>
      <c r="P339" s="167"/>
      <c r="Q339" s="167"/>
      <c r="R339" s="167"/>
      <c r="S339" s="167"/>
      <c r="T339" s="167"/>
      <c r="U339" s="167"/>
      <c r="V339" s="167"/>
    </row>
    <row r="340" spans="1:22" s="44" customFormat="1" ht="60" customHeight="1">
      <c r="A340" s="753"/>
      <c r="B340" s="339"/>
      <c r="C340" s="751" t="str">
        <f>+'4. Procurement Plan'!I54</f>
        <v>20-1315c</v>
      </c>
      <c r="D340" s="755" t="s">
        <v>1225</v>
      </c>
      <c r="E340" s="755" t="s">
        <v>1226</v>
      </c>
      <c r="F340" s="424">
        <v>46428.57</v>
      </c>
      <c r="G340" s="173"/>
      <c r="H340" s="761">
        <v>43891</v>
      </c>
      <c r="I340" s="761" t="s">
        <v>1077</v>
      </c>
      <c r="J340" s="692" t="s">
        <v>1233</v>
      </c>
      <c r="K340" s="51"/>
      <c r="L340" s="51"/>
      <c r="M340" s="51"/>
      <c r="N340" s="147"/>
      <c r="O340" s="167"/>
      <c r="P340" s="257"/>
      <c r="Q340" s="257"/>
      <c r="R340" s="257"/>
      <c r="S340" s="257"/>
      <c r="T340" s="257"/>
      <c r="U340" s="257"/>
      <c r="V340" s="320"/>
    </row>
    <row r="341" spans="1:22" s="44" customFormat="1" ht="60" customHeight="1">
      <c r="A341" s="753"/>
      <c r="B341" s="339"/>
      <c r="C341" s="48" t="str">
        <f>+'4. Procurement Plan'!I55</f>
        <v>20-1315c</v>
      </c>
      <c r="D341" s="755" t="s">
        <v>1227</v>
      </c>
      <c r="E341" s="755" t="s">
        <v>1228</v>
      </c>
      <c r="F341" s="424">
        <v>46428.57</v>
      </c>
      <c r="G341" s="173"/>
      <c r="H341" s="761">
        <v>43983</v>
      </c>
      <c r="I341" s="761">
        <v>43983</v>
      </c>
      <c r="J341" s="692" t="s">
        <v>1233</v>
      </c>
      <c r="K341" s="51"/>
      <c r="L341" s="51"/>
      <c r="M341" s="51"/>
      <c r="N341" s="147"/>
      <c r="O341" s="257"/>
      <c r="P341" s="167"/>
      <c r="Q341" s="257"/>
      <c r="R341" s="257"/>
      <c r="S341" s="257"/>
      <c r="T341" s="257"/>
      <c r="U341" s="257"/>
      <c r="V341" s="320"/>
    </row>
    <row r="342" spans="1:22" s="44" customFormat="1" ht="60" customHeight="1">
      <c r="A342" s="540"/>
      <c r="B342" s="339"/>
      <c r="C342" s="48"/>
      <c r="D342" s="614" t="s">
        <v>497</v>
      </c>
      <c r="E342" s="161" t="s">
        <v>496</v>
      </c>
      <c r="F342" s="424">
        <v>381497.58</v>
      </c>
      <c r="G342" s="173"/>
      <c r="H342" s="294">
        <v>43831</v>
      </c>
      <c r="I342" s="294" t="s">
        <v>1128</v>
      </c>
      <c r="J342" s="175" t="s">
        <v>728</v>
      </c>
      <c r="K342" s="167"/>
      <c r="L342" s="167"/>
      <c r="M342" s="167"/>
      <c r="N342" s="167"/>
      <c r="O342" s="167"/>
      <c r="P342" s="167"/>
      <c r="Q342" s="167"/>
      <c r="R342" s="167"/>
      <c r="S342" s="167"/>
      <c r="T342" s="167"/>
      <c r="U342" s="167"/>
      <c r="V342" s="167"/>
    </row>
    <row r="343" spans="1:22" s="44" customFormat="1" ht="60" customHeight="1">
      <c r="A343" s="261"/>
      <c r="B343" s="349" t="s">
        <v>584</v>
      </c>
      <c r="C343" s="279"/>
      <c r="D343" s="297"/>
      <c r="E343" s="298"/>
      <c r="F343" s="724">
        <f>+F342+F341+F340+F339+F338+F337+F336+F331+F328+F324+F320+F316+F313+F310+F306+F302+F296+F293+F290+F284+F283+F282</f>
        <v>991246.87</v>
      </c>
      <c r="G343" s="258"/>
      <c r="H343" s="357"/>
      <c r="I343" s="357"/>
      <c r="J343" s="358"/>
      <c r="K343" s="51"/>
      <c r="L343" s="51"/>
      <c r="M343" s="51"/>
      <c r="N343" s="147"/>
      <c r="O343" s="257"/>
      <c r="P343" s="257"/>
      <c r="Q343" s="257"/>
      <c r="R343" s="257"/>
      <c r="S343" s="257"/>
      <c r="T343" s="257"/>
      <c r="U343" s="257"/>
      <c r="V343" s="320"/>
    </row>
    <row r="344" spans="1:22" s="44" customFormat="1" ht="60" customHeight="1">
      <c r="A344" s="713" t="s">
        <v>1235</v>
      </c>
      <c r="B344" s="383"/>
      <c r="C344" s="525"/>
      <c r="D344" s="1075" t="s">
        <v>1236</v>
      </c>
      <c r="E344" s="733" t="s">
        <v>495</v>
      </c>
      <c r="F344" s="731">
        <v>39475</v>
      </c>
      <c r="G344" s="173"/>
      <c r="H344" s="788" t="s">
        <v>1072</v>
      </c>
      <c r="I344" s="788" t="s">
        <v>1128</v>
      </c>
      <c r="J344" s="713" t="s">
        <v>1321</v>
      </c>
      <c r="K344" s="167"/>
      <c r="L344" s="167"/>
      <c r="M344" s="167"/>
      <c r="N344" s="167"/>
      <c r="O344" s="167"/>
      <c r="P344" s="167"/>
      <c r="Q344" s="167"/>
      <c r="R344" s="167"/>
      <c r="S344" s="167"/>
      <c r="T344" s="167"/>
      <c r="U344" s="167"/>
      <c r="V344" s="167"/>
    </row>
    <row r="345" spans="1:22" s="44" customFormat="1" ht="60" customHeight="1">
      <c r="A345" s="713" t="s">
        <v>1237</v>
      </c>
      <c r="B345" s="383"/>
      <c r="C345" s="525"/>
      <c r="D345" s="1076"/>
      <c r="E345" s="5" t="s">
        <v>510</v>
      </c>
      <c r="F345" s="731">
        <v>5357.14</v>
      </c>
      <c r="G345" s="173"/>
      <c r="H345" s="788" t="s">
        <v>1072</v>
      </c>
      <c r="I345" s="788" t="s">
        <v>1128</v>
      </c>
      <c r="J345" s="713" t="s">
        <v>1321</v>
      </c>
      <c r="K345" s="167"/>
      <c r="L345" s="167"/>
      <c r="M345" s="167"/>
      <c r="N345" s="167"/>
      <c r="O345" s="167"/>
      <c r="P345" s="167"/>
      <c r="Q345" s="167"/>
      <c r="R345" s="167"/>
      <c r="S345" s="167"/>
      <c r="T345" s="167"/>
      <c r="U345" s="167"/>
      <c r="V345" s="167"/>
    </row>
    <row r="346" spans="1:22" s="44" customFormat="1" ht="60" customHeight="1">
      <c r="A346" s="773"/>
      <c r="B346" s="383"/>
      <c r="C346" s="525"/>
      <c r="D346" s="774"/>
      <c r="E346" s="5" t="s">
        <v>1238</v>
      </c>
      <c r="F346" s="731">
        <v>2142.86</v>
      </c>
      <c r="G346" s="173"/>
      <c r="H346" s="788" t="s">
        <v>1072</v>
      </c>
      <c r="I346" s="788" t="s">
        <v>1092</v>
      </c>
      <c r="J346" s="713" t="s">
        <v>1321</v>
      </c>
      <c r="K346" s="167"/>
      <c r="L346" s="167"/>
      <c r="M346" s="167"/>
      <c r="N346" s="167"/>
      <c r="O346" s="257"/>
      <c r="P346" s="257"/>
      <c r="Q346" s="257"/>
      <c r="R346" s="257"/>
      <c r="S346" s="257"/>
      <c r="T346" s="257"/>
      <c r="U346" s="257"/>
      <c r="V346" s="320"/>
    </row>
    <row r="347" spans="1:22" s="44" customFormat="1" ht="60" customHeight="1">
      <c r="A347" s="542"/>
      <c r="B347" s="775"/>
      <c r="C347" s="776"/>
      <c r="D347" s="1077" t="s">
        <v>1239</v>
      </c>
      <c r="E347" s="1078"/>
      <c r="F347" s="729">
        <f>SUM(F344:F346)</f>
        <v>46975</v>
      </c>
      <c r="G347" s="678"/>
      <c r="H347" s="720"/>
      <c r="I347" s="720"/>
      <c r="J347" s="721"/>
      <c r="K347" s="51"/>
      <c r="L347" s="51"/>
      <c r="M347" s="51"/>
      <c r="N347" s="147"/>
      <c r="O347" s="257"/>
      <c r="P347" s="257"/>
      <c r="Q347" s="257"/>
      <c r="R347" s="257"/>
      <c r="S347" s="257"/>
      <c r="T347" s="257"/>
      <c r="U347" s="257"/>
      <c r="V347" s="320"/>
    </row>
    <row r="348" spans="1:22" s="44" customFormat="1" ht="60" customHeight="1">
      <c r="A348" s="777" t="s">
        <v>1240</v>
      </c>
      <c r="B348" s="383"/>
      <c r="C348" s="525" t="str">
        <f>+'4. Procurement Plan'!I133</f>
        <v>19-1316c</v>
      </c>
      <c r="D348" s="1079" t="s">
        <v>1241</v>
      </c>
      <c r="E348" s="713" t="s">
        <v>1242</v>
      </c>
      <c r="F348" s="424">
        <v>51071.43</v>
      </c>
      <c r="G348" s="173"/>
      <c r="H348" s="789" t="s">
        <v>1073</v>
      </c>
      <c r="I348" s="789" t="s">
        <v>1128</v>
      </c>
      <c r="J348" s="713" t="s">
        <v>1322</v>
      </c>
      <c r="K348" s="167"/>
      <c r="L348" s="167"/>
      <c r="M348" s="167"/>
      <c r="N348" s="167"/>
      <c r="O348" s="167"/>
      <c r="P348" s="167"/>
      <c r="Q348" s="167"/>
      <c r="R348" s="167"/>
      <c r="S348" s="167"/>
      <c r="T348" s="167"/>
      <c r="U348" s="167"/>
      <c r="V348" s="167"/>
    </row>
    <row r="349" spans="1:22" s="44" customFormat="1" ht="60" customHeight="1">
      <c r="A349" s="777" t="s">
        <v>1243</v>
      </c>
      <c r="B349" s="383"/>
      <c r="C349" s="525"/>
      <c r="D349" s="1080"/>
      <c r="E349" s="713" t="s">
        <v>1244</v>
      </c>
      <c r="F349" s="424">
        <v>28285.71</v>
      </c>
      <c r="G349" s="173"/>
      <c r="H349" s="789" t="s">
        <v>1073</v>
      </c>
      <c r="I349" s="789" t="s">
        <v>1128</v>
      </c>
      <c r="J349" s="713"/>
      <c r="K349" s="167"/>
      <c r="L349" s="167"/>
      <c r="M349" s="167"/>
      <c r="N349" s="167"/>
      <c r="O349" s="167"/>
      <c r="P349" s="167"/>
      <c r="Q349" s="167"/>
      <c r="R349" s="167"/>
      <c r="S349" s="167"/>
      <c r="T349" s="167"/>
      <c r="U349" s="167"/>
      <c r="V349" s="167"/>
    </row>
    <row r="350" spans="1:22" s="44" customFormat="1" ht="60" customHeight="1">
      <c r="A350" s="777"/>
      <c r="B350" s="775"/>
      <c r="C350" s="776"/>
      <c r="D350" s="1081" t="s">
        <v>1245</v>
      </c>
      <c r="E350" s="1082"/>
      <c r="F350" s="719">
        <f>SUM(F348:F349)</f>
        <v>79357.14</v>
      </c>
      <c r="G350" s="678"/>
      <c r="H350" s="790"/>
      <c r="I350" s="790"/>
      <c r="J350" s="738"/>
      <c r="K350" s="51"/>
      <c r="L350" s="51"/>
      <c r="M350" s="51"/>
      <c r="N350" s="147"/>
      <c r="O350" s="257"/>
      <c r="P350" s="257"/>
      <c r="Q350" s="257"/>
      <c r="R350" s="257"/>
      <c r="S350" s="257"/>
      <c r="T350" s="257"/>
      <c r="U350" s="257"/>
      <c r="V350" s="320"/>
    </row>
    <row r="351" spans="1:22" s="44" customFormat="1" ht="60" customHeight="1">
      <c r="A351" s="714" t="s">
        <v>1246</v>
      </c>
      <c r="B351" s="383"/>
      <c r="C351" s="525" t="str">
        <f>+'4. Procurement Plan'!I62</f>
        <v>20-1316b</v>
      </c>
      <c r="D351" s="1069" t="s">
        <v>1221</v>
      </c>
      <c r="E351" s="756" t="s">
        <v>1247</v>
      </c>
      <c r="F351" s="424">
        <v>357.14</v>
      </c>
      <c r="G351" s="173"/>
      <c r="H351" s="767" t="s">
        <v>1073</v>
      </c>
      <c r="I351" s="789" t="s">
        <v>1073</v>
      </c>
      <c r="J351" s="756" t="s">
        <v>1234</v>
      </c>
      <c r="K351" s="51"/>
      <c r="L351" s="167"/>
      <c r="M351" s="51"/>
      <c r="N351" s="147"/>
      <c r="O351" s="257"/>
      <c r="P351" s="257"/>
      <c r="Q351" s="257"/>
      <c r="R351" s="257"/>
      <c r="S351" s="257"/>
      <c r="T351" s="257"/>
      <c r="U351" s="257"/>
      <c r="V351" s="320"/>
    </row>
    <row r="352" spans="1:22" s="44" customFormat="1" ht="60" customHeight="1">
      <c r="A352" s="714" t="s">
        <v>1220</v>
      </c>
      <c r="B352" s="383"/>
      <c r="C352" s="525" t="e">
        <f>+'4. Procurement Plan'!#REF!</f>
        <v>#REF!</v>
      </c>
      <c r="D352" s="1051"/>
      <c r="E352" s="756" t="s">
        <v>1222</v>
      </c>
      <c r="F352" s="424">
        <v>46428.57</v>
      </c>
      <c r="G352" s="173"/>
      <c r="H352" s="789" t="s">
        <v>1073</v>
      </c>
      <c r="I352" s="789" t="s">
        <v>1074</v>
      </c>
      <c r="J352" s="756" t="s">
        <v>1234</v>
      </c>
      <c r="K352" s="51"/>
      <c r="L352" s="167"/>
      <c r="M352" s="167"/>
      <c r="N352" s="147"/>
      <c r="O352" s="257"/>
      <c r="P352" s="257"/>
      <c r="Q352" s="257"/>
      <c r="R352" s="257"/>
      <c r="S352" s="257"/>
      <c r="T352" s="257"/>
      <c r="U352" s="257"/>
      <c r="V352" s="320"/>
    </row>
    <row r="353" spans="1:22" s="44" customFormat="1" ht="60" customHeight="1">
      <c r="A353" s="714" t="s">
        <v>1248</v>
      </c>
      <c r="B353" s="383"/>
      <c r="C353" s="525" t="str">
        <f>+'4. Procurement Plan'!I61</f>
        <v>20-1316b</v>
      </c>
      <c r="D353" s="1051"/>
      <c r="E353" s="756" t="s">
        <v>1249</v>
      </c>
      <c r="F353" s="424">
        <v>3571.43</v>
      </c>
      <c r="G353" s="173"/>
      <c r="H353" s="789" t="s">
        <v>1073</v>
      </c>
      <c r="I353" s="789" t="s">
        <v>1073</v>
      </c>
      <c r="J353" s="756" t="s">
        <v>1234</v>
      </c>
      <c r="K353" s="51"/>
      <c r="L353" s="167"/>
      <c r="M353" s="51"/>
      <c r="N353" s="147"/>
      <c r="O353" s="257"/>
      <c r="P353" s="257"/>
      <c r="Q353" s="257"/>
      <c r="R353" s="257"/>
      <c r="S353" s="257"/>
      <c r="T353" s="257"/>
      <c r="U353" s="257"/>
      <c r="V353" s="320"/>
    </row>
    <row r="354" spans="1:22" s="44" customFormat="1" ht="60" customHeight="1">
      <c r="A354" s="714"/>
      <c r="B354" s="775"/>
      <c r="C354" s="776"/>
      <c r="D354" s="1052" t="s">
        <v>1250</v>
      </c>
      <c r="E354" s="1053"/>
      <c r="F354" s="719">
        <f>SUM(F351:F353)</f>
        <v>50357.14</v>
      </c>
      <c r="G354" s="678"/>
      <c r="H354" s="720"/>
      <c r="I354" s="720"/>
      <c r="J354" s="721"/>
      <c r="K354" s="51"/>
      <c r="L354" s="51"/>
      <c r="M354" s="51"/>
      <c r="N354" s="147"/>
      <c r="O354" s="257"/>
      <c r="P354" s="257"/>
      <c r="Q354" s="257"/>
      <c r="R354" s="257"/>
      <c r="S354" s="257"/>
      <c r="T354" s="257"/>
      <c r="U354" s="257"/>
      <c r="V354" s="320"/>
    </row>
    <row r="355" spans="1:22" s="44" customFormat="1" ht="60" customHeight="1">
      <c r="A355" s="714" t="s">
        <v>1251</v>
      </c>
      <c r="B355" s="383"/>
      <c r="C355" s="525" t="e">
        <f>+'4. Procurement Plan'!#REF!</f>
        <v>#REF!</v>
      </c>
      <c r="D355" s="778"/>
      <c r="E355" s="756" t="s">
        <v>1252</v>
      </c>
      <c r="F355" s="424">
        <v>8214.2900000000009</v>
      </c>
      <c r="G355" s="173"/>
      <c r="H355" s="789" t="s">
        <v>1092</v>
      </c>
      <c r="I355" s="789" t="s">
        <v>1092</v>
      </c>
      <c r="J355" s="756" t="s">
        <v>1234</v>
      </c>
      <c r="K355" s="51"/>
      <c r="L355" s="51"/>
      <c r="M355" s="51"/>
      <c r="N355" s="167"/>
      <c r="O355" s="257"/>
      <c r="P355" s="257"/>
      <c r="Q355" s="257"/>
      <c r="R355" s="257"/>
      <c r="S355" s="257"/>
      <c r="T355" s="257"/>
      <c r="U355" s="257"/>
      <c r="V355" s="320"/>
    </row>
    <row r="356" spans="1:22" s="44" customFormat="1" ht="60" customHeight="1">
      <c r="A356" s="779"/>
      <c r="B356" s="383"/>
      <c r="C356" s="525" t="e">
        <f>+C355</f>
        <v>#REF!</v>
      </c>
      <c r="D356" s="780"/>
      <c r="E356" s="756" t="s">
        <v>1253</v>
      </c>
      <c r="F356" s="424">
        <v>3285.71</v>
      </c>
      <c r="G356" s="173"/>
      <c r="H356" s="789" t="s">
        <v>1092</v>
      </c>
      <c r="I356" s="789" t="s">
        <v>1092</v>
      </c>
      <c r="J356" s="756" t="s">
        <v>1234</v>
      </c>
      <c r="K356" s="51"/>
      <c r="L356" s="51"/>
      <c r="M356" s="51"/>
      <c r="N356" s="167"/>
      <c r="O356" s="257"/>
      <c r="P356" s="257"/>
      <c r="Q356" s="257"/>
      <c r="R356" s="257"/>
      <c r="S356" s="257"/>
      <c r="T356" s="257"/>
      <c r="U356" s="257"/>
      <c r="V356" s="320"/>
    </row>
    <row r="357" spans="1:22" s="44" customFormat="1" ht="60" customHeight="1">
      <c r="A357" s="779"/>
      <c r="B357" s="383"/>
      <c r="C357" s="525" t="e">
        <f>+'4. Procurement Plan'!#REF!</f>
        <v>#REF!</v>
      </c>
      <c r="D357" s="780"/>
      <c r="E357" s="756" t="s">
        <v>961</v>
      </c>
      <c r="F357" s="424">
        <v>714.29</v>
      </c>
      <c r="G357" s="173"/>
      <c r="H357" s="789" t="s">
        <v>1092</v>
      </c>
      <c r="I357" s="789" t="s">
        <v>1092</v>
      </c>
      <c r="J357" s="756" t="s">
        <v>1234</v>
      </c>
      <c r="K357" s="51"/>
      <c r="L357" s="51"/>
      <c r="M357" s="51"/>
      <c r="N357" s="167"/>
      <c r="O357" s="257"/>
      <c r="P357" s="257"/>
      <c r="Q357" s="257"/>
      <c r="R357" s="257"/>
      <c r="S357" s="257"/>
      <c r="T357" s="257"/>
      <c r="U357" s="257"/>
      <c r="V357" s="320"/>
    </row>
    <row r="358" spans="1:22" s="44" customFormat="1" ht="60" customHeight="1">
      <c r="A358" s="779"/>
      <c r="B358" s="383"/>
      <c r="C358" s="525" t="e">
        <f>+'4. Procurement Plan'!#REF!</f>
        <v>#REF!</v>
      </c>
      <c r="D358" s="780"/>
      <c r="E358" s="756" t="s">
        <v>1254</v>
      </c>
      <c r="F358" s="424">
        <v>428.57</v>
      </c>
      <c r="G358" s="173"/>
      <c r="H358" s="789" t="s">
        <v>1074</v>
      </c>
      <c r="I358" s="789" t="s">
        <v>1074</v>
      </c>
      <c r="J358" s="756" t="s">
        <v>1234</v>
      </c>
      <c r="K358" s="51"/>
      <c r="L358" s="51"/>
      <c r="M358" s="167"/>
      <c r="N358" s="147"/>
      <c r="O358" s="257"/>
      <c r="P358" s="257"/>
      <c r="Q358" s="257"/>
      <c r="R358" s="257"/>
      <c r="S358" s="257"/>
      <c r="T358" s="257"/>
      <c r="U358" s="257"/>
      <c r="V358" s="320"/>
    </row>
    <row r="359" spans="1:22" s="44" customFormat="1" ht="60" customHeight="1">
      <c r="A359" s="779"/>
      <c r="B359" s="383"/>
      <c r="C359" s="525" t="e">
        <f>+'4. Procurement Plan'!#REF!</f>
        <v>#REF!</v>
      </c>
      <c r="D359" s="780"/>
      <c r="E359" s="756" t="s">
        <v>1255</v>
      </c>
      <c r="F359" s="424">
        <v>1428.57</v>
      </c>
      <c r="G359" s="173"/>
      <c r="H359" s="789" t="s">
        <v>1092</v>
      </c>
      <c r="I359" s="789" t="s">
        <v>1092</v>
      </c>
      <c r="J359" s="756" t="s">
        <v>1234</v>
      </c>
      <c r="K359" s="51"/>
      <c r="L359" s="51"/>
      <c r="M359" s="51"/>
      <c r="N359" s="167"/>
      <c r="O359" s="257"/>
      <c r="P359" s="257"/>
      <c r="Q359" s="257"/>
      <c r="R359" s="257"/>
      <c r="S359" s="257"/>
      <c r="T359" s="257"/>
      <c r="U359" s="257"/>
      <c r="V359" s="320"/>
    </row>
    <row r="360" spans="1:22" s="44" customFormat="1" ht="60" customHeight="1">
      <c r="A360" s="779"/>
      <c r="B360" s="383"/>
      <c r="C360" s="525" t="e">
        <f>+C359</f>
        <v>#REF!</v>
      </c>
      <c r="D360" s="780"/>
      <c r="E360" s="756" t="s">
        <v>1256</v>
      </c>
      <c r="F360" s="424">
        <v>214.29</v>
      </c>
      <c r="G360" s="173"/>
      <c r="H360" s="789" t="s">
        <v>1092</v>
      </c>
      <c r="I360" s="789" t="s">
        <v>1092</v>
      </c>
      <c r="J360" s="756" t="s">
        <v>1234</v>
      </c>
      <c r="K360" s="51"/>
      <c r="L360" s="51"/>
      <c r="M360" s="51"/>
      <c r="N360" s="167"/>
      <c r="O360" s="257"/>
      <c r="P360" s="257"/>
      <c r="Q360" s="257"/>
      <c r="R360" s="257"/>
      <c r="S360" s="257"/>
      <c r="T360" s="257"/>
      <c r="U360" s="257"/>
      <c r="V360" s="320"/>
    </row>
    <row r="361" spans="1:22" s="44" customFormat="1" ht="60" customHeight="1">
      <c r="A361" s="779"/>
      <c r="B361" s="775"/>
      <c r="C361" s="1070" t="s">
        <v>1257</v>
      </c>
      <c r="D361" s="1071"/>
      <c r="E361" s="1072"/>
      <c r="F361" s="719">
        <f>SUM(F355:F360)</f>
        <v>14285.720000000001</v>
      </c>
      <c r="G361" s="678"/>
      <c r="H361" s="790"/>
      <c r="I361" s="790"/>
      <c r="J361" s="791"/>
      <c r="K361" s="51"/>
      <c r="L361" s="51"/>
      <c r="M361" s="51"/>
      <c r="N361" s="147"/>
      <c r="O361" s="257"/>
      <c r="P361" s="257"/>
      <c r="Q361" s="257"/>
      <c r="R361" s="257"/>
      <c r="S361" s="257"/>
      <c r="T361" s="257"/>
      <c r="U361" s="257"/>
      <c r="V361" s="320"/>
    </row>
    <row r="362" spans="1:22" s="44" customFormat="1" ht="60" customHeight="1">
      <c r="A362" s="542"/>
      <c r="B362" s="383"/>
      <c r="C362" s="525" t="str">
        <f>+'4. Procurement Plan'!I63</f>
        <v>20-1316b</v>
      </c>
      <c r="D362" s="1051" t="s">
        <v>1258</v>
      </c>
      <c r="E362" s="756" t="s">
        <v>1259</v>
      </c>
      <c r="F362" s="424">
        <v>23857.14</v>
      </c>
      <c r="G362" s="173"/>
      <c r="H362" s="789" t="s">
        <v>1073</v>
      </c>
      <c r="I362" s="789" t="s">
        <v>1323</v>
      </c>
      <c r="J362" s="756" t="s">
        <v>1234</v>
      </c>
      <c r="K362" s="51"/>
      <c r="L362" s="167"/>
      <c r="M362" s="167"/>
      <c r="N362" s="167"/>
      <c r="O362" s="167"/>
      <c r="P362" s="167"/>
      <c r="Q362" s="257"/>
      <c r="R362" s="257"/>
      <c r="S362" s="257"/>
      <c r="T362" s="257"/>
      <c r="U362" s="257"/>
      <c r="V362" s="320"/>
    </row>
    <row r="363" spans="1:22" s="44" customFormat="1" ht="60" customHeight="1">
      <c r="A363" s="542"/>
      <c r="B363" s="383"/>
      <c r="C363" s="525" t="e">
        <f>+'4. Procurement Plan'!#REF!</f>
        <v>#REF!</v>
      </c>
      <c r="D363" s="1051"/>
      <c r="E363" s="756" t="s">
        <v>1260</v>
      </c>
      <c r="F363" s="424">
        <v>4071.43</v>
      </c>
      <c r="G363" s="173"/>
      <c r="H363" s="789" t="s">
        <v>1073</v>
      </c>
      <c r="I363" s="789" t="s">
        <v>1074</v>
      </c>
      <c r="J363" s="756" t="s">
        <v>1234</v>
      </c>
      <c r="K363" s="51"/>
      <c r="L363" s="167"/>
      <c r="M363" s="167"/>
      <c r="N363" s="147"/>
      <c r="O363" s="257"/>
      <c r="P363" s="257"/>
      <c r="Q363" s="257"/>
      <c r="R363" s="257"/>
      <c r="S363" s="257"/>
      <c r="T363" s="257"/>
      <c r="U363" s="257"/>
      <c r="V363" s="320"/>
    </row>
    <row r="364" spans="1:22" s="44" customFormat="1" ht="60" customHeight="1">
      <c r="A364" s="542"/>
      <c r="B364" s="383"/>
      <c r="C364" s="525" t="e">
        <f>+'4. Procurement Plan'!#REF!</f>
        <v>#REF!</v>
      </c>
      <c r="D364" s="1051"/>
      <c r="E364" s="756" t="s">
        <v>1261</v>
      </c>
      <c r="F364" s="424">
        <v>14285.71</v>
      </c>
      <c r="G364" s="173"/>
      <c r="H364" s="789" t="s">
        <v>1073</v>
      </c>
      <c r="I364" s="789" t="s">
        <v>1074</v>
      </c>
      <c r="J364" s="756" t="s">
        <v>1234</v>
      </c>
      <c r="K364" s="51"/>
      <c r="L364" s="167"/>
      <c r="M364" s="167"/>
      <c r="N364" s="147"/>
      <c r="O364" s="257"/>
      <c r="P364" s="257"/>
      <c r="Q364" s="257"/>
      <c r="R364" s="257"/>
      <c r="S364" s="257"/>
      <c r="T364" s="257"/>
      <c r="U364" s="257"/>
      <c r="V364" s="320"/>
    </row>
    <row r="365" spans="1:22" s="44" customFormat="1" ht="60" customHeight="1" thickBot="1">
      <c r="A365" s="542"/>
      <c r="B365" s="775"/>
      <c r="C365" s="776"/>
      <c r="D365" s="1055" t="s">
        <v>1262</v>
      </c>
      <c r="E365" s="1056"/>
      <c r="F365" s="719">
        <f>SUM(F362:F364)</f>
        <v>42214.28</v>
      </c>
      <c r="G365" s="678"/>
      <c r="H365" s="720"/>
      <c r="I365" s="720"/>
      <c r="J365" s="721"/>
      <c r="K365" s="51"/>
      <c r="L365" s="51"/>
      <c r="M365" s="51"/>
      <c r="N365" s="147"/>
      <c r="O365" s="257"/>
      <c r="P365" s="257"/>
      <c r="Q365" s="257"/>
      <c r="R365" s="257"/>
      <c r="S365" s="257"/>
      <c r="T365" s="257"/>
      <c r="U365" s="257"/>
      <c r="V365" s="320"/>
    </row>
    <row r="366" spans="1:22" s="44" customFormat="1" ht="60" customHeight="1">
      <c r="A366" s="1060" t="s">
        <v>1263</v>
      </c>
      <c r="B366" s="383"/>
      <c r="C366" s="48" t="str">
        <f>+'4. Procurement Plan'!I97</f>
        <v>20-1316a</v>
      </c>
      <c r="D366" s="1066" t="s">
        <v>1264</v>
      </c>
      <c r="E366" s="781" t="s">
        <v>1265</v>
      </c>
      <c r="F366" s="424">
        <v>9000</v>
      </c>
      <c r="G366" s="173"/>
      <c r="H366" s="792" t="s">
        <v>1073</v>
      </c>
      <c r="I366" s="792" t="s">
        <v>1074</v>
      </c>
      <c r="J366" s="713" t="s">
        <v>1322</v>
      </c>
      <c r="K366" s="51"/>
      <c r="L366" s="167"/>
      <c r="M366" s="167"/>
      <c r="N366" s="147"/>
      <c r="O366" s="257"/>
      <c r="P366" s="257"/>
      <c r="Q366" s="257"/>
      <c r="R366" s="257"/>
      <c r="S366" s="257"/>
      <c r="T366" s="257"/>
      <c r="U366" s="257"/>
      <c r="V366" s="320"/>
    </row>
    <row r="367" spans="1:22" s="44" customFormat="1" ht="60" customHeight="1">
      <c r="A367" s="1061"/>
      <c r="B367" s="383"/>
      <c r="C367" s="48" t="str">
        <f>+C366</f>
        <v>20-1316a</v>
      </c>
      <c r="D367" s="1051"/>
      <c r="E367" s="781" t="s">
        <v>1266</v>
      </c>
      <c r="F367" s="424">
        <v>18214.29</v>
      </c>
      <c r="G367" s="173"/>
      <c r="H367" s="792" t="s">
        <v>1073</v>
      </c>
      <c r="I367" s="792" t="s">
        <v>1074</v>
      </c>
      <c r="J367" s="713" t="s">
        <v>1322</v>
      </c>
      <c r="K367" s="51"/>
      <c r="L367" s="167"/>
      <c r="M367" s="167"/>
      <c r="N367" s="147"/>
      <c r="O367" s="257"/>
      <c r="P367" s="257"/>
      <c r="Q367" s="257"/>
      <c r="R367" s="257"/>
      <c r="S367" s="257"/>
      <c r="T367" s="257"/>
      <c r="U367" s="257"/>
      <c r="V367" s="320"/>
    </row>
    <row r="368" spans="1:22" s="44" customFormat="1" ht="60" customHeight="1">
      <c r="A368" s="1061"/>
      <c r="B368" s="383"/>
      <c r="C368" s="48" t="str">
        <f>+'4. Procurement Plan'!I98</f>
        <v>20-1316a</v>
      </c>
      <c r="D368" s="1051"/>
      <c r="E368" s="781" t="s">
        <v>1267</v>
      </c>
      <c r="F368" s="424">
        <v>3180</v>
      </c>
      <c r="G368" s="173"/>
      <c r="H368" s="792" t="s">
        <v>1073</v>
      </c>
      <c r="I368" s="792" t="s">
        <v>1074</v>
      </c>
      <c r="J368" s="713" t="s">
        <v>1322</v>
      </c>
      <c r="K368" s="51"/>
      <c r="L368" s="167"/>
      <c r="M368" s="167"/>
      <c r="N368" s="147"/>
      <c r="O368" s="257"/>
      <c r="P368" s="257"/>
      <c r="Q368" s="257"/>
      <c r="R368" s="257"/>
      <c r="S368" s="257"/>
      <c r="T368" s="257"/>
      <c r="U368" s="257"/>
      <c r="V368" s="320"/>
    </row>
    <row r="369" spans="1:22" s="44" customFormat="1" ht="60" customHeight="1">
      <c r="A369" s="1061"/>
      <c r="B369" s="383"/>
      <c r="C369" s="48" t="str">
        <f>+'4. Procurement Plan'!I134</f>
        <v>20-1316a</v>
      </c>
      <c r="D369" s="1051"/>
      <c r="E369" s="781" t="s">
        <v>1158</v>
      </c>
      <c r="F369" s="424">
        <v>5320</v>
      </c>
      <c r="G369" s="173"/>
      <c r="H369" s="792" t="s">
        <v>1073</v>
      </c>
      <c r="I369" s="792" t="s">
        <v>1074</v>
      </c>
      <c r="J369" s="713" t="s">
        <v>1322</v>
      </c>
      <c r="K369" s="51"/>
      <c r="L369" s="167"/>
      <c r="M369" s="167"/>
      <c r="N369" s="147"/>
      <c r="O369" s="257"/>
      <c r="P369" s="257"/>
      <c r="Q369" s="257"/>
      <c r="R369" s="257"/>
      <c r="S369" s="257"/>
      <c r="T369" s="257"/>
      <c r="U369" s="257"/>
      <c r="V369" s="320"/>
    </row>
    <row r="370" spans="1:22" s="44" customFormat="1" ht="60" customHeight="1">
      <c r="A370" s="1062"/>
      <c r="B370" s="775"/>
      <c r="C370" s="651"/>
      <c r="D370" s="1067" t="s">
        <v>1268</v>
      </c>
      <c r="E370" s="1068"/>
      <c r="F370" s="719">
        <f>SUM(F366:F369)</f>
        <v>35714.29</v>
      </c>
      <c r="G370" s="678"/>
      <c r="H370" s="793"/>
      <c r="I370" s="793"/>
      <c r="J370" s="738"/>
      <c r="K370" s="51"/>
      <c r="L370" s="51"/>
      <c r="M370" s="51"/>
      <c r="N370" s="147"/>
      <c r="O370" s="257"/>
      <c r="P370" s="257"/>
      <c r="Q370" s="257"/>
      <c r="R370" s="257"/>
      <c r="S370" s="257"/>
      <c r="T370" s="257"/>
      <c r="U370" s="257"/>
      <c r="V370" s="320"/>
    </row>
    <row r="371" spans="1:22" s="44" customFormat="1" ht="60" customHeight="1">
      <c r="A371" s="1060" t="s">
        <v>1269</v>
      </c>
      <c r="B371" s="383"/>
      <c r="C371" s="48" t="str">
        <f>+'4. Procurement Plan'!I99</f>
        <v>20-1316a</v>
      </c>
      <c r="D371" s="1069" t="s">
        <v>1270</v>
      </c>
      <c r="E371" s="781" t="s">
        <v>1265</v>
      </c>
      <c r="F371" s="424">
        <v>5214.29</v>
      </c>
      <c r="G371" s="173"/>
      <c r="H371" s="792" t="s">
        <v>1073</v>
      </c>
      <c r="I371" s="792" t="s">
        <v>1074</v>
      </c>
      <c r="J371" s="713" t="s">
        <v>1322</v>
      </c>
      <c r="K371" s="51"/>
      <c r="L371" s="167"/>
      <c r="M371" s="167"/>
      <c r="N371" s="147"/>
      <c r="O371" s="257"/>
      <c r="P371" s="257"/>
      <c r="Q371" s="257"/>
      <c r="R371" s="257"/>
      <c r="S371" s="257"/>
      <c r="T371" s="257"/>
      <c r="U371" s="257"/>
      <c r="V371" s="320"/>
    </row>
    <row r="372" spans="1:22" s="44" customFormat="1" ht="60" customHeight="1">
      <c r="A372" s="1061"/>
      <c r="B372" s="383"/>
      <c r="C372" s="48" t="str">
        <f>+C371</f>
        <v>20-1316a</v>
      </c>
      <c r="D372" s="1051"/>
      <c r="E372" s="781" t="s">
        <v>1266</v>
      </c>
      <c r="F372" s="424">
        <v>21428.57</v>
      </c>
      <c r="G372" s="173"/>
      <c r="H372" s="792" t="s">
        <v>1073</v>
      </c>
      <c r="I372" s="792" t="s">
        <v>1074</v>
      </c>
      <c r="J372" s="713" t="s">
        <v>1322</v>
      </c>
      <c r="K372" s="51"/>
      <c r="L372" s="167"/>
      <c r="M372" s="167"/>
      <c r="N372" s="147"/>
      <c r="O372" s="257"/>
      <c r="P372" s="257"/>
      <c r="Q372" s="257"/>
      <c r="R372" s="257"/>
      <c r="S372" s="257"/>
      <c r="T372" s="257"/>
      <c r="U372" s="257"/>
      <c r="V372" s="320"/>
    </row>
    <row r="373" spans="1:22" s="44" customFormat="1" ht="60" customHeight="1">
      <c r="A373" s="1062"/>
      <c r="B373" s="383"/>
      <c r="C373" s="48" t="e">
        <f>+'4. Procurement Plan'!#REF!</f>
        <v>#REF!</v>
      </c>
      <c r="D373" s="1051"/>
      <c r="E373" s="781" t="s">
        <v>1267</v>
      </c>
      <c r="F373" s="424">
        <v>78571.429999999993</v>
      </c>
      <c r="G373" s="173"/>
      <c r="H373" s="792" t="s">
        <v>1073</v>
      </c>
      <c r="I373" s="792" t="s">
        <v>1074</v>
      </c>
      <c r="J373" s="713" t="s">
        <v>1322</v>
      </c>
      <c r="K373" s="51"/>
      <c r="L373" s="167"/>
      <c r="M373" s="167"/>
      <c r="N373" s="147"/>
      <c r="O373" s="257"/>
      <c r="P373" s="257"/>
      <c r="Q373" s="257"/>
      <c r="R373" s="257"/>
      <c r="S373" s="257"/>
      <c r="T373" s="257"/>
      <c r="U373" s="257"/>
      <c r="V373" s="320"/>
    </row>
    <row r="374" spans="1:22" s="44" customFormat="1" ht="60" customHeight="1">
      <c r="A374" s="713"/>
      <c r="B374" s="775"/>
      <c r="C374" s="651"/>
      <c r="D374" s="1052" t="s">
        <v>1271</v>
      </c>
      <c r="E374" s="1053"/>
      <c r="F374" s="719">
        <f>SUM(F371:F373)</f>
        <v>105214.29</v>
      </c>
      <c r="G374" s="678"/>
      <c r="H374" s="790"/>
      <c r="I374" s="790"/>
      <c r="J374" s="738"/>
      <c r="K374" s="51"/>
      <c r="L374" s="51"/>
      <c r="M374" s="51"/>
      <c r="N374" s="147"/>
      <c r="O374" s="257"/>
      <c r="P374" s="257"/>
      <c r="Q374" s="257"/>
      <c r="R374" s="257"/>
      <c r="S374" s="257"/>
      <c r="T374" s="257"/>
      <c r="U374" s="257"/>
      <c r="V374" s="320"/>
    </row>
    <row r="375" spans="1:22" s="44" customFormat="1" ht="60" customHeight="1">
      <c r="A375" s="1057" t="s">
        <v>1272</v>
      </c>
      <c r="B375" s="383"/>
      <c r="C375" s="48" t="e">
        <f>+'4. Procurement Plan'!#REF!</f>
        <v>#REF!</v>
      </c>
      <c r="D375" s="528" t="s">
        <v>1273</v>
      </c>
      <c r="E375" s="781" t="s">
        <v>1265</v>
      </c>
      <c r="F375" s="424">
        <v>1289.29</v>
      </c>
      <c r="G375" s="173"/>
      <c r="H375" s="794" t="s">
        <v>1074</v>
      </c>
      <c r="I375" s="794" t="s">
        <v>1074</v>
      </c>
      <c r="J375" s="713" t="s">
        <v>1322</v>
      </c>
      <c r="K375" s="51"/>
      <c r="L375" s="51"/>
      <c r="M375" s="167"/>
      <c r="N375" s="147"/>
      <c r="O375" s="257"/>
      <c r="P375" s="257"/>
      <c r="Q375" s="257"/>
      <c r="R375" s="257"/>
      <c r="S375" s="257"/>
      <c r="T375" s="257"/>
      <c r="U375" s="257"/>
      <c r="V375" s="320"/>
    </row>
    <row r="376" spans="1:22" s="44" customFormat="1" ht="60" customHeight="1">
      <c r="A376" s="1058"/>
      <c r="B376" s="383"/>
      <c r="C376" s="48" t="e">
        <f>+C375</f>
        <v>#REF!</v>
      </c>
      <c r="D376" s="528"/>
      <c r="E376" s="781" t="s">
        <v>1266</v>
      </c>
      <c r="F376" s="424">
        <v>2857.14</v>
      </c>
      <c r="G376" s="173"/>
      <c r="H376" s="794" t="s">
        <v>1074</v>
      </c>
      <c r="I376" s="794" t="s">
        <v>1074</v>
      </c>
      <c r="J376" s="713" t="s">
        <v>1322</v>
      </c>
      <c r="K376" s="51"/>
      <c r="L376" s="51"/>
      <c r="M376" s="167"/>
      <c r="N376" s="147"/>
      <c r="O376" s="257"/>
      <c r="P376" s="257"/>
      <c r="Q376" s="257"/>
      <c r="R376" s="257"/>
      <c r="S376" s="257"/>
      <c r="T376" s="257"/>
      <c r="U376" s="257"/>
      <c r="V376" s="320"/>
    </row>
    <row r="377" spans="1:22" s="44" customFormat="1" ht="60" customHeight="1">
      <c r="A377" s="1058"/>
      <c r="B377" s="383"/>
      <c r="C377" s="48" t="str">
        <f>+'4. Procurement Plan'!I135</f>
        <v>20-1316a</v>
      </c>
      <c r="D377" s="528"/>
      <c r="E377" s="781" t="s">
        <v>1158</v>
      </c>
      <c r="F377" s="424">
        <v>714.29</v>
      </c>
      <c r="G377" s="173"/>
      <c r="H377" s="794" t="s">
        <v>1074</v>
      </c>
      <c r="I377" s="794" t="s">
        <v>1074</v>
      </c>
      <c r="J377" s="713" t="s">
        <v>1322</v>
      </c>
      <c r="K377" s="51"/>
      <c r="L377" s="51"/>
      <c r="M377" s="167"/>
      <c r="N377" s="147"/>
      <c r="O377" s="257"/>
      <c r="P377" s="257"/>
      <c r="Q377" s="257"/>
      <c r="R377" s="257"/>
      <c r="S377" s="257"/>
      <c r="T377" s="257"/>
      <c r="U377" s="257"/>
      <c r="V377" s="320"/>
    </row>
    <row r="378" spans="1:22" s="44" customFormat="1" ht="60" customHeight="1">
      <c r="A378" s="1059"/>
      <c r="B378" s="383"/>
      <c r="C378" s="48" t="e">
        <f>+'4. Procurement Plan'!#REF!</f>
        <v>#REF!</v>
      </c>
      <c r="D378" s="528"/>
      <c r="E378" s="781" t="s">
        <v>1267</v>
      </c>
      <c r="F378" s="424">
        <v>24500</v>
      </c>
      <c r="G378" s="173"/>
      <c r="H378" s="794" t="s">
        <v>1074</v>
      </c>
      <c r="I378" s="794" t="s">
        <v>1074</v>
      </c>
      <c r="J378" s="713" t="s">
        <v>1322</v>
      </c>
      <c r="K378" s="51"/>
      <c r="L378" s="51"/>
      <c r="M378" s="167"/>
      <c r="N378" s="147"/>
      <c r="O378" s="257"/>
      <c r="P378" s="257"/>
      <c r="Q378" s="257"/>
      <c r="R378" s="257"/>
      <c r="S378" s="257"/>
      <c r="T378" s="257"/>
      <c r="U378" s="257"/>
      <c r="V378" s="320"/>
    </row>
    <row r="379" spans="1:22" s="44" customFormat="1" ht="60" customHeight="1">
      <c r="A379" s="713"/>
      <c r="B379" s="775"/>
      <c r="C379" s="651"/>
      <c r="D379" s="1052" t="s">
        <v>1274</v>
      </c>
      <c r="E379" s="1053"/>
      <c r="F379" s="719">
        <f>SUM(F375:F378)</f>
        <v>29360.720000000001</v>
      </c>
      <c r="G379" s="678"/>
      <c r="H379" s="790"/>
      <c r="I379" s="790"/>
      <c r="J379" s="738"/>
      <c r="K379" s="51"/>
      <c r="L379" s="51"/>
      <c r="M379" s="51"/>
      <c r="N379" s="147"/>
      <c r="O379" s="257"/>
      <c r="P379" s="257"/>
      <c r="Q379" s="257"/>
      <c r="R379" s="257"/>
      <c r="S379" s="257"/>
      <c r="T379" s="257"/>
      <c r="U379" s="257"/>
      <c r="V379" s="320"/>
    </row>
    <row r="380" spans="1:22" s="44" customFormat="1" ht="60" customHeight="1">
      <c r="A380" s="1060" t="s">
        <v>1275</v>
      </c>
      <c r="B380" s="383"/>
      <c r="C380" s="48" t="e">
        <f>+'4. Procurement Plan'!#REF!</f>
        <v>#REF!</v>
      </c>
      <c r="D380" s="1051" t="s">
        <v>1276</v>
      </c>
      <c r="E380" s="781" t="s">
        <v>1265</v>
      </c>
      <c r="F380" s="424">
        <v>1289.29</v>
      </c>
      <c r="G380" s="173"/>
      <c r="H380" s="794" t="s">
        <v>1092</v>
      </c>
      <c r="I380" s="794" t="s">
        <v>1092</v>
      </c>
      <c r="J380" s="713" t="s">
        <v>1322</v>
      </c>
      <c r="K380" s="51"/>
      <c r="L380" s="51"/>
      <c r="M380" s="51"/>
      <c r="N380" s="167"/>
      <c r="O380" s="257"/>
      <c r="P380" s="257"/>
      <c r="Q380" s="257"/>
      <c r="R380" s="257"/>
      <c r="S380" s="257"/>
      <c r="T380" s="257"/>
      <c r="U380" s="257"/>
      <c r="V380" s="320"/>
    </row>
    <row r="381" spans="1:22" s="44" customFormat="1" ht="60" customHeight="1">
      <c r="A381" s="1061"/>
      <c r="B381" s="383"/>
      <c r="C381" s="48" t="e">
        <f>+C380</f>
        <v>#REF!</v>
      </c>
      <c r="D381" s="1051"/>
      <c r="E381" s="781" t="s">
        <v>1266</v>
      </c>
      <c r="F381" s="424">
        <v>3178.57</v>
      </c>
      <c r="G381" s="173"/>
      <c r="H381" s="794" t="s">
        <v>1092</v>
      </c>
      <c r="I381" s="794" t="s">
        <v>1092</v>
      </c>
      <c r="J381" s="713" t="s">
        <v>1322</v>
      </c>
      <c r="K381" s="51"/>
      <c r="L381" s="51"/>
      <c r="M381" s="51"/>
      <c r="N381" s="167"/>
      <c r="O381" s="257"/>
      <c r="P381" s="257"/>
      <c r="Q381" s="257"/>
      <c r="R381" s="257"/>
      <c r="S381" s="257"/>
      <c r="T381" s="257"/>
      <c r="U381" s="257"/>
      <c r="V381" s="320"/>
    </row>
    <row r="382" spans="1:22" s="44" customFormat="1" ht="60" customHeight="1">
      <c r="A382" s="1061"/>
      <c r="B382" s="383"/>
      <c r="C382" s="48" t="e">
        <f>+'4. Procurement Plan'!#REF!</f>
        <v>#REF!</v>
      </c>
      <c r="D382" s="1051"/>
      <c r="E382" s="781" t="s">
        <v>1158</v>
      </c>
      <c r="F382" s="424">
        <v>714.29</v>
      </c>
      <c r="G382" s="173"/>
      <c r="H382" s="794" t="s">
        <v>1092</v>
      </c>
      <c r="I382" s="794" t="s">
        <v>1092</v>
      </c>
      <c r="J382" s="713" t="s">
        <v>1322</v>
      </c>
      <c r="K382" s="51"/>
      <c r="L382" s="51"/>
      <c r="M382" s="51"/>
      <c r="N382" s="167"/>
      <c r="O382" s="257"/>
      <c r="P382" s="257"/>
      <c r="Q382" s="257"/>
      <c r="R382" s="257"/>
      <c r="S382" s="257"/>
      <c r="T382" s="257"/>
      <c r="U382" s="257"/>
      <c r="V382" s="320"/>
    </row>
    <row r="383" spans="1:22" s="44" customFormat="1" ht="60" customHeight="1">
      <c r="A383" s="1061"/>
      <c r="B383" s="383"/>
      <c r="C383" s="48" t="e">
        <f>+'4. Procurement Plan'!#REF!</f>
        <v>#REF!</v>
      </c>
      <c r="D383" s="1051"/>
      <c r="E383" s="781" t="s">
        <v>1267</v>
      </c>
      <c r="F383" s="424">
        <v>27714.29</v>
      </c>
      <c r="G383" s="173"/>
      <c r="H383" s="794" t="s">
        <v>1092</v>
      </c>
      <c r="I383" s="794" t="s">
        <v>1092</v>
      </c>
      <c r="J383" s="713" t="s">
        <v>1322</v>
      </c>
      <c r="K383" s="51"/>
      <c r="L383" s="51"/>
      <c r="M383" s="51"/>
      <c r="N383" s="167"/>
      <c r="O383" s="257"/>
      <c r="P383" s="257"/>
      <c r="Q383" s="257"/>
      <c r="R383" s="257"/>
      <c r="S383" s="257"/>
      <c r="T383" s="257"/>
      <c r="U383" s="257"/>
      <c r="V383" s="320"/>
    </row>
    <row r="384" spans="1:22" s="44" customFormat="1" ht="60" customHeight="1">
      <c r="A384" s="1062"/>
      <c r="B384" s="775"/>
      <c r="C384" s="651"/>
      <c r="D384" s="1052" t="s">
        <v>1277</v>
      </c>
      <c r="E384" s="1053"/>
      <c r="F384" s="719">
        <f>SUM(F380:F383)</f>
        <v>32896.44</v>
      </c>
      <c r="G384" s="678"/>
      <c r="H384" s="790"/>
      <c r="I384" s="790"/>
      <c r="J384" s="738"/>
      <c r="K384" s="51"/>
      <c r="L384" s="51"/>
      <c r="M384" s="51"/>
      <c r="N384" s="147"/>
      <c r="O384" s="257"/>
      <c r="P384" s="257"/>
      <c r="Q384" s="257"/>
      <c r="R384" s="257"/>
      <c r="S384" s="257"/>
      <c r="T384" s="257"/>
      <c r="U384" s="257"/>
      <c r="V384" s="320"/>
    </row>
    <row r="385" spans="1:23" s="44" customFormat="1" ht="60" customHeight="1">
      <c r="A385" s="1060" t="s">
        <v>1278</v>
      </c>
      <c r="B385" s="383"/>
      <c r="C385" s="48" t="e">
        <f>+'4. Procurement Plan'!#REF!</f>
        <v>#REF!</v>
      </c>
      <c r="D385" s="1051" t="s">
        <v>1279</v>
      </c>
      <c r="E385" s="781" t="s">
        <v>1265</v>
      </c>
      <c r="F385" s="424">
        <v>1428.57</v>
      </c>
      <c r="G385" s="173"/>
      <c r="H385" s="794" t="s">
        <v>1077</v>
      </c>
      <c r="I385" s="794" t="s">
        <v>1077</v>
      </c>
      <c r="J385" s="713" t="s">
        <v>1322</v>
      </c>
      <c r="K385" s="51"/>
      <c r="L385" s="51"/>
      <c r="M385" s="51"/>
      <c r="N385" s="147"/>
      <c r="O385" s="167"/>
      <c r="P385" s="257"/>
      <c r="Q385" s="257"/>
      <c r="R385" s="257"/>
      <c r="S385" s="257"/>
      <c r="T385" s="257"/>
      <c r="U385" s="257"/>
      <c r="V385" s="320"/>
    </row>
    <row r="386" spans="1:23" s="44" customFormat="1" ht="60" customHeight="1">
      <c r="A386" s="1061"/>
      <c r="B386" s="383"/>
      <c r="C386" s="48" t="e">
        <f>+C385</f>
        <v>#REF!</v>
      </c>
      <c r="D386" s="1051"/>
      <c r="E386" s="781" t="s">
        <v>1266</v>
      </c>
      <c r="F386" s="424">
        <v>3571.43</v>
      </c>
      <c r="G386" s="173"/>
      <c r="H386" s="794" t="s">
        <v>1077</v>
      </c>
      <c r="I386" s="794" t="s">
        <v>1077</v>
      </c>
      <c r="J386" s="713" t="s">
        <v>1322</v>
      </c>
      <c r="K386" s="51"/>
      <c r="L386" s="51"/>
      <c r="M386" s="51"/>
      <c r="N386" s="147"/>
      <c r="O386" s="167"/>
      <c r="P386" s="257"/>
      <c r="Q386" s="257"/>
      <c r="R386" s="257"/>
      <c r="S386" s="257"/>
      <c r="T386" s="257"/>
      <c r="U386" s="257"/>
      <c r="V386" s="320"/>
    </row>
    <row r="387" spans="1:23" s="44" customFormat="1" ht="60" customHeight="1">
      <c r="A387" s="1061"/>
      <c r="B387" s="383"/>
      <c r="C387" s="48" t="e">
        <f>+'4. Procurement Plan'!#REF!</f>
        <v>#REF!</v>
      </c>
      <c r="D387" s="1051"/>
      <c r="E387" s="781" t="s">
        <v>1158</v>
      </c>
      <c r="F387" s="424">
        <v>2142.86</v>
      </c>
      <c r="G387" s="173"/>
      <c r="H387" s="794" t="s">
        <v>1077</v>
      </c>
      <c r="I387" s="794" t="s">
        <v>1077</v>
      </c>
      <c r="J387" s="713" t="s">
        <v>1322</v>
      </c>
      <c r="K387" s="51"/>
      <c r="L387" s="51"/>
      <c r="M387" s="51"/>
      <c r="N387" s="147"/>
      <c r="O387" s="167"/>
      <c r="P387" s="257"/>
      <c r="Q387" s="257"/>
      <c r="R387" s="257"/>
      <c r="S387" s="257"/>
      <c r="T387" s="257"/>
      <c r="U387" s="257"/>
      <c r="V387" s="320"/>
    </row>
    <row r="388" spans="1:23" s="44" customFormat="1" ht="60" customHeight="1">
      <c r="A388" s="1062"/>
      <c r="B388" s="383"/>
      <c r="C388" s="48" t="e">
        <f>+'4. Procurement Plan'!#REF!</f>
        <v>#REF!</v>
      </c>
      <c r="D388" s="1051"/>
      <c r="E388" s="781" t="s">
        <v>1267</v>
      </c>
      <c r="F388" s="424">
        <v>32785.71</v>
      </c>
      <c r="G388" s="173"/>
      <c r="H388" s="794" t="s">
        <v>1077</v>
      </c>
      <c r="I388" s="794" t="s">
        <v>1077</v>
      </c>
      <c r="J388" s="713" t="s">
        <v>1322</v>
      </c>
      <c r="K388" s="51"/>
      <c r="L388" s="51"/>
      <c r="M388" s="51"/>
      <c r="N388" s="147"/>
      <c r="O388" s="167"/>
      <c r="P388" s="257"/>
      <c r="Q388" s="257"/>
      <c r="R388" s="257"/>
      <c r="S388" s="257"/>
      <c r="T388" s="257"/>
      <c r="U388" s="257"/>
      <c r="V388" s="320"/>
    </row>
    <row r="389" spans="1:23" s="44" customFormat="1" ht="60" customHeight="1">
      <c r="A389" s="713"/>
      <c r="B389" s="775"/>
      <c r="C389" s="651"/>
      <c r="D389" s="1052" t="s">
        <v>1280</v>
      </c>
      <c r="E389" s="1053"/>
      <c r="F389" s="719">
        <f>SUM(F385:F388)</f>
        <v>39928.57</v>
      </c>
      <c r="G389" s="678"/>
      <c r="H389" s="790"/>
      <c r="I389" s="790"/>
      <c r="J389" s="738"/>
      <c r="K389" s="51"/>
      <c r="L389" s="51"/>
      <c r="M389" s="51"/>
      <c r="N389" s="147"/>
      <c r="O389" s="257"/>
      <c r="P389" s="257"/>
      <c r="Q389" s="257"/>
      <c r="R389" s="257"/>
      <c r="S389" s="257"/>
      <c r="T389" s="257"/>
      <c r="U389" s="257"/>
      <c r="V389" s="320"/>
    </row>
    <row r="390" spans="1:23" s="44" customFormat="1" ht="60" customHeight="1">
      <c r="A390" s="1063" t="s">
        <v>1278</v>
      </c>
      <c r="B390" s="383"/>
      <c r="C390" s="48" t="e">
        <f>+'4. Procurement Plan'!#REF!</f>
        <v>#REF!</v>
      </c>
      <c r="D390" s="528" t="s">
        <v>1281</v>
      </c>
      <c r="E390" s="781" t="s">
        <v>1265</v>
      </c>
      <c r="F390" s="424">
        <v>1428.57</v>
      </c>
      <c r="G390" s="173"/>
      <c r="H390" s="789" t="s">
        <v>1075</v>
      </c>
      <c r="I390" s="789" t="s">
        <v>1075</v>
      </c>
      <c r="J390" s="685" t="s">
        <v>1324</v>
      </c>
      <c r="K390" s="51"/>
      <c r="L390" s="51"/>
      <c r="M390" s="51"/>
      <c r="N390" s="147"/>
      <c r="O390" s="257"/>
      <c r="P390" s="167"/>
      <c r="Q390" s="257"/>
      <c r="R390" s="257"/>
      <c r="S390" s="257"/>
      <c r="T390" s="257"/>
      <c r="U390" s="257"/>
      <c r="V390" s="320"/>
    </row>
    <row r="391" spans="1:23" s="44" customFormat="1" ht="60" customHeight="1">
      <c r="A391" s="1064"/>
      <c r="B391" s="383"/>
      <c r="C391" s="48" t="e">
        <f>+C390</f>
        <v>#REF!</v>
      </c>
      <c r="D391" s="528"/>
      <c r="E391" s="781" t="s">
        <v>1266</v>
      </c>
      <c r="F391" s="424">
        <v>1714.29</v>
      </c>
      <c r="G391" s="173"/>
      <c r="H391" s="789" t="s">
        <v>1075</v>
      </c>
      <c r="I391" s="789" t="s">
        <v>1075</v>
      </c>
      <c r="J391" s="685" t="s">
        <v>1324</v>
      </c>
      <c r="K391" s="51"/>
      <c r="L391" s="51"/>
      <c r="M391" s="51"/>
      <c r="N391" s="147"/>
      <c r="O391" s="257"/>
      <c r="P391" s="167"/>
      <c r="Q391" s="257"/>
      <c r="R391" s="257"/>
      <c r="S391" s="257"/>
      <c r="T391" s="257"/>
      <c r="U391" s="257"/>
      <c r="V391" s="320"/>
    </row>
    <row r="392" spans="1:23" s="44" customFormat="1" ht="60" customHeight="1">
      <c r="A392" s="1064"/>
      <c r="B392" s="383"/>
      <c r="C392" s="48" t="e">
        <f>+'4. Procurement Plan'!#REF!</f>
        <v>#REF!</v>
      </c>
      <c r="D392" s="528"/>
      <c r="E392" s="781" t="s">
        <v>1282</v>
      </c>
      <c r="F392" s="424">
        <v>2285.71</v>
      </c>
      <c r="G392" s="173"/>
      <c r="H392" s="789" t="s">
        <v>1075</v>
      </c>
      <c r="I392" s="789" t="s">
        <v>1075</v>
      </c>
      <c r="J392" s="685" t="s">
        <v>1324</v>
      </c>
      <c r="K392" s="51"/>
      <c r="L392" s="51"/>
      <c r="M392" s="51"/>
      <c r="N392" s="147"/>
      <c r="O392" s="257"/>
      <c r="P392" s="167"/>
      <c r="Q392" s="257"/>
      <c r="R392" s="257"/>
      <c r="S392" s="257"/>
      <c r="T392" s="257"/>
      <c r="U392" s="257"/>
      <c r="V392" s="320"/>
    </row>
    <row r="393" spans="1:23" s="44" customFormat="1" ht="60" customHeight="1">
      <c r="A393" s="1065"/>
      <c r="B393" s="383"/>
      <c r="C393" s="48" t="e">
        <f>+'4. Procurement Plan'!#REF!</f>
        <v>#REF!</v>
      </c>
      <c r="D393" s="528"/>
      <c r="E393" s="781" t="s">
        <v>1267</v>
      </c>
      <c r="F393" s="424">
        <v>13928.57</v>
      </c>
      <c r="G393" s="173"/>
      <c r="H393" s="789" t="s">
        <v>1075</v>
      </c>
      <c r="I393" s="789" t="s">
        <v>1075</v>
      </c>
      <c r="J393" s="685" t="s">
        <v>1324</v>
      </c>
      <c r="K393" s="51"/>
      <c r="L393" s="51"/>
      <c r="M393" s="51"/>
      <c r="N393" s="147"/>
      <c r="O393" s="257"/>
      <c r="P393" s="167"/>
      <c r="Q393" s="257"/>
      <c r="R393" s="257"/>
      <c r="S393" s="257"/>
      <c r="T393" s="257"/>
      <c r="U393" s="257"/>
      <c r="V393" s="320"/>
    </row>
    <row r="394" spans="1:23" s="44" customFormat="1" ht="60" customHeight="1">
      <c r="A394" s="713"/>
      <c r="B394" s="775"/>
      <c r="C394" s="651"/>
      <c r="D394" s="1052" t="s">
        <v>1283</v>
      </c>
      <c r="E394" s="1053"/>
      <c r="F394" s="772">
        <f>SUM(F390:F393)</f>
        <v>19357.14</v>
      </c>
      <c r="G394" s="678"/>
      <c r="H394" s="790"/>
      <c r="I394" s="790"/>
      <c r="J394" s="738"/>
      <c r="K394" s="51"/>
      <c r="L394" s="51"/>
      <c r="M394" s="51"/>
      <c r="N394" s="147"/>
      <c r="O394" s="257"/>
      <c r="P394" s="257"/>
      <c r="Q394" s="257"/>
      <c r="R394" s="257"/>
      <c r="S394" s="257"/>
      <c r="T394" s="257"/>
      <c r="U394" s="257"/>
      <c r="V394" s="320"/>
    </row>
    <row r="395" spans="1:23" s="44" customFormat="1" ht="60" customHeight="1">
      <c r="A395" s="713" t="s">
        <v>1284</v>
      </c>
      <c r="B395" s="383"/>
      <c r="C395" s="48"/>
      <c r="D395" s="528" t="s">
        <v>1285</v>
      </c>
      <c r="E395" s="119" t="s">
        <v>1286</v>
      </c>
      <c r="F395" s="424">
        <v>50560.71</v>
      </c>
      <c r="G395" s="173"/>
      <c r="H395" s="789" t="s">
        <v>1073</v>
      </c>
      <c r="I395" s="789" t="s">
        <v>1128</v>
      </c>
      <c r="J395" s="713" t="s">
        <v>1234</v>
      </c>
      <c r="K395" s="51"/>
      <c r="L395" s="167"/>
      <c r="M395" s="167"/>
      <c r="N395" s="167"/>
      <c r="O395" s="167"/>
      <c r="P395" s="167"/>
      <c r="Q395" s="167"/>
      <c r="R395" s="167"/>
      <c r="S395" s="167"/>
      <c r="T395" s="167"/>
      <c r="U395" s="167"/>
      <c r="V395" s="167"/>
    </row>
    <row r="396" spans="1:23" s="44" customFormat="1" ht="60" customHeight="1">
      <c r="A396" s="713" t="s">
        <v>1287</v>
      </c>
      <c r="B396" s="383"/>
      <c r="C396" s="48" t="e">
        <f>+'4. Procurement Plan'!#REF!</f>
        <v>#REF!</v>
      </c>
      <c r="D396" s="528"/>
      <c r="E396" s="119" t="s">
        <v>1288</v>
      </c>
      <c r="F396" s="424">
        <v>18464.29</v>
      </c>
      <c r="G396" s="173"/>
      <c r="H396" s="789" t="s">
        <v>1073</v>
      </c>
      <c r="I396" s="789" t="s">
        <v>1128</v>
      </c>
      <c r="J396" s="713" t="s">
        <v>1234</v>
      </c>
      <c r="K396" s="51"/>
      <c r="L396" s="167"/>
      <c r="M396" s="167"/>
      <c r="N396" s="167"/>
      <c r="O396" s="167"/>
      <c r="P396" s="167"/>
      <c r="Q396" s="167"/>
      <c r="R396" s="167"/>
      <c r="S396" s="167"/>
      <c r="T396" s="167"/>
      <c r="U396" s="167"/>
      <c r="V396" s="167"/>
    </row>
    <row r="397" spans="1:23" s="44" customFormat="1" ht="60" customHeight="1">
      <c r="A397" s="713" t="s">
        <v>1289</v>
      </c>
      <c r="B397" s="383"/>
      <c r="C397" s="48"/>
      <c r="D397" s="528"/>
      <c r="E397" s="119" t="s">
        <v>1290</v>
      </c>
      <c r="F397" s="424">
        <v>18385.71</v>
      </c>
      <c r="G397" s="173"/>
      <c r="H397" s="789" t="s">
        <v>1073</v>
      </c>
      <c r="I397" s="789" t="s">
        <v>1128</v>
      </c>
      <c r="J397" s="713" t="s">
        <v>1234</v>
      </c>
      <c r="K397" s="51"/>
      <c r="L397" s="167"/>
      <c r="M397" s="167"/>
      <c r="N397" s="167"/>
      <c r="O397" s="167"/>
      <c r="P397" s="167"/>
      <c r="Q397" s="167"/>
      <c r="R397" s="167"/>
      <c r="S397" s="167"/>
      <c r="T397" s="167"/>
      <c r="U397" s="167"/>
      <c r="V397" s="167"/>
    </row>
    <row r="398" spans="1:23" s="44" customFormat="1" ht="60" customHeight="1">
      <c r="A398" s="713" t="s">
        <v>1291</v>
      </c>
      <c r="B398" s="383"/>
      <c r="C398" s="48" t="e">
        <f>+C396</f>
        <v>#REF!</v>
      </c>
      <c r="D398" s="782"/>
      <c r="E398" s="119" t="s">
        <v>1292</v>
      </c>
      <c r="F398" s="424">
        <v>12257.14</v>
      </c>
      <c r="G398" s="173"/>
      <c r="H398" s="789" t="s">
        <v>1073</v>
      </c>
      <c r="I398" s="789" t="s">
        <v>1128</v>
      </c>
      <c r="J398" s="713" t="s">
        <v>1234</v>
      </c>
      <c r="K398" s="51"/>
      <c r="L398" s="167"/>
      <c r="M398" s="167"/>
      <c r="N398" s="167"/>
      <c r="O398" s="167"/>
      <c r="P398" s="167"/>
      <c r="Q398" s="167"/>
      <c r="R398" s="167"/>
      <c r="S398" s="167"/>
      <c r="T398" s="167"/>
      <c r="U398" s="167"/>
      <c r="V398" s="167"/>
      <c r="W398" s="880"/>
    </row>
    <row r="399" spans="1:23" s="44" customFormat="1" ht="60" customHeight="1">
      <c r="A399" s="733" t="s">
        <v>1293</v>
      </c>
      <c r="B399" s="383"/>
      <c r="C399" s="48" t="e">
        <f>+C398</f>
        <v>#REF!</v>
      </c>
      <c r="D399" s="782"/>
      <c r="E399" s="783" t="s">
        <v>1294</v>
      </c>
      <c r="F399" s="424">
        <v>642.86</v>
      </c>
      <c r="G399" s="173"/>
      <c r="H399" s="789" t="s">
        <v>1074</v>
      </c>
      <c r="I399" s="789" t="s">
        <v>1128</v>
      </c>
      <c r="J399" s="713" t="s">
        <v>1234</v>
      </c>
      <c r="K399" s="51"/>
      <c r="L399" s="51"/>
      <c r="M399" s="167"/>
      <c r="N399" s="167"/>
      <c r="O399" s="167"/>
      <c r="P399" s="167"/>
      <c r="Q399" s="167"/>
      <c r="R399" s="167"/>
      <c r="S399" s="167"/>
      <c r="T399" s="167"/>
      <c r="U399" s="167"/>
      <c r="V399" s="167"/>
    </row>
    <row r="400" spans="1:23" s="44" customFormat="1" ht="60" customHeight="1">
      <c r="A400" s="542"/>
      <c r="B400" s="775"/>
      <c r="C400" s="651"/>
      <c r="D400" s="1055" t="s">
        <v>1295</v>
      </c>
      <c r="E400" s="1056"/>
      <c r="F400" s="719">
        <f>SUM(F395:F399)</f>
        <v>100310.70999999999</v>
      </c>
      <c r="G400" s="678"/>
      <c r="H400" s="720"/>
      <c r="I400" s="720"/>
      <c r="J400" s="721"/>
      <c r="K400" s="51"/>
      <c r="L400" s="51"/>
      <c r="M400" s="51"/>
      <c r="N400" s="147"/>
      <c r="O400" s="257"/>
      <c r="P400" s="257"/>
      <c r="Q400" s="257"/>
      <c r="R400" s="257"/>
      <c r="S400" s="257"/>
      <c r="T400" s="257"/>
      <c r="U400" s="257"/>
      <c r="V400" s="320"/>
    </row>
    <row r="401" spans="1:22" s="44" customFormat="1" ht="60" customHeight="1">
      <c r="A401" s="784" t="s">
        <v>1296</v>
      </c>
      <c r="B401" s="383"/>
      <c r="C401" s="48"/>
      <c r="D401" s="780" t="s">
        <v>1297</v>
      </c>
      <c r="E401" s="785" t="s">
        <v>1298</v>
      </c>
      <c r="F401" s="424">
        <v>54641.760000000002</v>
      </c>
      <c r="G401" s="173"/>
      <c r="H401" s="788" t="s">
        <v>1072</v>
      </c>
      <c r="I401" s="788" t="s">
        <v>1128</v>
      </c>
      <c r="J401" s="662" t="s">
        <v>1322</v>
      </c>
      <c r="K401" s="167"/>
      <c r="L401" s="167"/>
      <c r="M401" s="167"/>
      <c r="N401" s="167"/>
      <c r="O401" s="167"/>
      <c r="P401" s="167"/>
      <c r="Q401" s="167"/>
      <c r="R401" s="167"/>
      <c r="S401" s="167"/>
      <c r="T401" s="167"/>
      <c r="U401" s="167"/>
      <c r="V401" s="167"/>
    </row>
    <row r="402" spans="1:22" s="44" customFormat="1" ht="60" customHeight="1">
      <c r="A402" s="784" t="s">
        <v>1299</v>
      </c>
      <c r="B402" s="383"/>
      <c r="C402" s="48"/>
      <c r="D402" s="780"/>
      <c r="E402" s="785" t="s">
        <v>1300</v>
      </c>
      <c r="F402" s="424">
        <v>35871.949999999997</v>
      </c>
      <c r="G402" s="173"/>
      <c r="H402" s="788" t="s">
        <v>1092</v>
      </c>
      <c r="I402" s="788" t="s">
        <v>1128</v>
      </c>
      <c r="J402" s="662" t="s">
        <v>1322</v>
      </c>
      <c r="K402" s="51"/>
      <c r="L402" s="51"/>
      <c r="M402" s="51"/>
      <c r="N402" s="167"/>
      <c r="O402" s="167"/>
      <c r="P402" s="167"/>
      <c r="Q402" s="167"/>
      <c r="R402" s="167"/>
      <c r="S402" s="167"/>
      <c r="T402" s="167"/>
      <c r="U402" s="167"/>
      <c r="V402" s="167"/>
    </row>
    <row r="403" spans="1:22" s="44" customFormat="1" ht="60" customHeight="1">
      <c r="A403" s="784" t="s">
        <v>1301</v>
      </c>
      <c r="B403" s="383"/>
      <c r="C403" s="48"/>
      <c r="D403" s="780"/>
      <c r="E403" s="785" t="s">
        <v>1302</v>
      </c>
      <c r="F403" s="424">
        <v>171973.73</v>
      </c>
      <c r="G403" s="173"/>
      <c r="H403" s="788" t="s">
        <v>1073</v>
      </c>
      <c r="I403" s="788" t="s">
        <v>1128</v>
      </c>
      <c r="J403" s="662" t="s">
        <v>1322</v>
      </c>
      <c r="K403" s="51"/>
      <c r="L403" s="167"/>
      <c r="M403" s="167"/>
      <c r="N403" s="167"/>
      <c r="O403" s="167"/>
      <c r="P403" s="167"/>
      <c r="Q403" s="167"/>
      <c r="R403" s="167"/>
      <c r="S403" s="167"/>
      <c r="T403" s="167"/>
      <c r="U403" s="167"/>
      <c r="V403" s="167"/>
    </row>
    <row r="404" spans="1:22" s="44" customFormat="1" ht="60" customHeight="1">
      <c r="A404" s="786" t="s">
        <v>1303</v>
      </c>
      <c r="B404" s="383"/>
      <c r="C404" s="48" t="str">
        <f>+'4. Procurement Plan'!I138</f>
        <v>19-1316c(ii)</v>
      </c>
      <c r="D404" s="780"/>
      <c r="E404" s="787" t="s">
        <v>1304</v>
      </c>
      <c r="F404" s="424">
        <v>52973.38</v>
      </c>
      <c r="G404" s="173"/>
      <c r="H404" s="788" t="s">
        <v>1092</v>
      </c>
      <c r="I404" s="788" t="s">
        <v>1128</v>
      </c>
      <c r="J404" s="662" t="s">
        <v>1322</v>
      </c>
      <c r="K404" s="51"/>
      <c r="L404" s="51"/>
      <c r="M404" s="51"/>
      <c r="N404" s="167"/>
      <c r="O404" s="167"/>
      <c r="P404" s="167"/>
      <c r="Q404" s="167"/>
      <c r="R404" s="167"/>
      <c r="S404" s="167"/>
      <c r="T404" s="167"/>
      <c r="U404" s="167"/>
      <c r="V404" s="167"/>
    </row>
    <row r="405" spans="1:22" s="44" customFormat="1" ht="60" customHeight="1">
      <c r="A405" s="713" t="s">
        <v>1305</v>
      </c>
      <c r="B405" s="383"/>
      <c r="C405" s="48"/>
      <c r="D405" s="780"/>
      <c r="E405" s="713" t="s">
        <v>1306</v>
      </c>
      <c r="F405" s="424">
        <v>31428.57</v>
      </c>
      <c r="G405" s="173"/>
      <c r="H405" s="788" t="s">
        <v>1073</v>
      </c>
      <c r="I405" s="788" t="s">
        <v>1128</v>
      </c>
      <c r="J405" s="662" t="s">
        <v>1322</v>
      </c>
      <c r="K405" s="51"/>
      <c r="L405" s="167"/>
      <c r="M405" s="167"/>
      <c r="N405" s="167"/>
      <c r="O405" s="167"/>
      <c r="P405" s="167"/>
      <c r="Q405" s="167"/>
      <c r="R405" s="167"/>
      <c r="S405" s="167"/>
      <c r="T405" s="167"/>
      <c r="U405" s="167"/>
      <c r="V405" s="167"/>
    </row>
    <row r="406" spans="1:22" s="44" customFormat="1" ht="60" customHeight="1">
      <c r="A406" s="713"/>
      <c r="B406" s="383"/>
      <c r="C406" s="48"/>
      <c r="D406" s="780"/>
      <c r="E406" s="713" t="s">
        <v>1307</v>
      </c>
      <c r="F406" s="424">
        <v>9428.57</v>
      </c>
      <c r="G406" s="173"/>
      <c r="H406" s="788" t="s">
        <v>1073</v>
      </c>
      <c r="I406" s="788" t="s">
        <v>1128</v>
      </c>
      <c r="J406" s="662" t="s">
        <v>1322</v>
      </c>
      <c r="K406" s="51"/>
      <c r="L406" s="167"/>
      <c r="M406" s="167"/>
      <c r="N406" s="167"/>
      <c r="O406" s="167"/>
      <c r="P406" s="167"/>
      <c r="Q406" s="167"/>
      <c r="R406" s="167"/>
      <c r="S406" s="167"/>
      <c r="T406" s="167"/>
      <c r="U406" s="167"/>
      <c r="V406" s="167"/>
    </row>
    <row r="407" spans="1:22" s="44" customFormat="1" ht="60" customHeight="1">
      <c r="A407" s="713" t="s">
        <v>1308</v>
      </c>
      <c r="B407" s="383"/>
      <c r="C407" s="48" t="e">
        <f>+'4. Procurement Plan'!#REF!</f>
        <v>#REF!</v>
      </c>
      <c r="D407" s="778" t="s">
        <v>1309</v>
      </c>
      <c r="E407" s="713" t="s">
        <v>1310</v>
      </c>
      <c r="F407" s="424">
        <v>19108.189999999999</v>
      </c>
      <c r="G407" s="173"/>
      <c r="H407" s="788" t="s">
        <v>1073</v>
      </c>
      <c r="I407" s="788" t="s">
        <v>1128</v>
      </c>
      <c r="J407" s="662" t="s">
        <v>1322</v>
      </c>
      <c r="K407" s="51"/>
      <c r="L407" s="167"/>
      <c r="M407" s="167"/>
      <c r="N407" s="167"/>
      <c r="O407" s="167"/>
      <c r="P407" s="167"/>
      <c r="Q407" s="167"/>
      <c r="R407" s="167"/>
      <c r="S407" s="167"/>
      <c r="T407" s="167"/>
      <c r="U407" s="167"/>
      <c r="V407" s="167"/>
    </row>
    <row r="408" spans="1:22" s="44" customFormat="1" ht="60" customHeight="1">
      <c r="A408" s="542"/>
      <c r="B408" s="775"/>
      <c r="C408" s="651"/>
      <c r="D408" s="1055" t="s">
        <v>1311</v>
      </c>
      <c r="E408" s="1056"/>
      <c r="F408" s="719">
        <f>SUM(F401:F407)</f>
        <v>375426.15</v>
      </c>
      <c r="G408" s="678"/>
      <c r="H408" s="765"/>
      <c r="I408" s="765"/>
      <c r="J408" s="766"/>
      <c r="K408" s="51"/>
      <c r="L408" s="51"/>
      <c r="M408" s="51"/>
      <c r="N408" s="147"/>
      <c r="O408" s="257"/>
      <c r="P408" s="257"/>
      <c r="Q408" s="257"/>
      <c r="R408" s="257"/>
      <c r="S408" s="257"/>
      <c r="T408" s="257"/>
      <c r="U408" s="257"/>
      <c r="V408" s="320"/>
    </row>
    <row r="409" spans="1:22" s="44" customFormat="1" ht="60" customHeight="1">
      <c r="A409" s="1057" t="s">
        <v>1312</v>
      </c>
      <c r="B409" s="383"/>
      <c r="C409" s="48" t="str">
        <f>+'4. Procurement Plan'!I137</f>
        <v>19-1316c(ii)</v>
      </c>
      <c r="D409" s="1057" t="s">
        <v>1313</v>
      </c>
      <c r="E409" s="756" t="s">
        <v>1314</v>
      </c>
      <c r="F409" s="424">
        <v>2857.14</v>
      </c>
      <c r="G409" s="173"/>
      <c r="H409" s="789" t="s">
        <v>1073</v>
      </c>
      <c r="I409" s="789" t="s">
        <v>1074</v>
      </c>
      <c r="J409" s="756" t="s">
        <v>1234</v>
      </c>
      <c r="K409" s="167"/>
      <c r="L409" s="167"/>
      <c r="M409" s="167"/>
      <c r="N409" s="147"/>
      <c r="O409" s="257"/>
      <c r="P409" s="257"/>
      <c r="Q409" s="257"/>
      <c r="R409" s="257"/>
      <c r="S409" s="257"/>
      <c r="T409" s="257"/>
      <c r="U409" s="257"/>
      <c r="V409" s="320"/>
    </row>
    <row r="410" spans="1:22" s="44" customFormat="1" ht="60" customHeight="1">
      <c r="A410" s="1058"/>
      <c r="B410" s="383"/>
      <c r="C410" s="48"/>
      <c r="D410" s="1058"/>
      <c r="E410" s="756" t="s">
        <v>1315</v>
      </c>
      <c r="F410" s="424">
        <v>4464.29</v>
      </c>
      <c r="G410" s="173"/>
      <c r="H410" s="789" t="s">
        <v>1073</v>
      </c>
      <c r="I410" s="789" t="s">
        <v>1074</v>
      </c>
      <c r="J410" s="756"/>
      <c r="K410" s="167"/>
      <c r="L410" s="167"/>
      <c r="M410" s="167"/>
      <c r="N410" s="147"/>
      <c r="O410" s="257"/>
      <c r="P410" s="257"/>
      <c r="Q410" s="257"/>
      <c r="R410" s="257"/>
      <c r="S410" s="257"/>
      <c r="T410" s="257"/>
      <c r="U410" s="257"/>
      <c r="V410" s="320"/>
    </row>
    <row r="411" spans="1:22" s="44" customFormat="1" ht="60" customHeight="1">
      <c r="A411" s="1059"/>
      <c r="B411" s="383"/>
      <c r="C411" s="48"/>
      <c r="D411" s="1058"/>
      <c r="E411" s="756" t="s">
        <v>1316</v>
      </c>
      <c r="F411" s="424">
        <v>7571.43</v>
      </c>
      <c r="G411" s="173"/>
      <c r="H411" s="789" t="s">
        <v>1073</v>
      </c>
      <c r="I411" s="789" t="s">
        <v>1074</v>
      </c>
      <c r="J411" s="756"/>
      <c r="K411" s="167"/>
      <c r="L411" s="167"/>
      <c r="M411" s="167"/>
      <c r="N411" s="147"/>
      <c r="O411" s="257"/>
      <c r="P411" s="257"/>
      <c r="Q411" s="257"/>
      <c r="R411" s="257"/>
      <c r="S411" s="257"/>
      <c r="T411" s="257"/>
      <c r="U411" s="257"/>
      <c r="V411" s="320"/>
    </row>
    <row r="412" spans="1:22" s="44" customFormat="1" ht="60" customHeight="1">
      <c r="A412" s="756"/>
      <c r="B412" s="775"/>
      <c r="C412" s="651"/>
      <c r="D412" s="1052" t="s">
        <v>1317</v>
      </c>
      <c r="E412" s="1053"/>
      <c r="F412" s="719">
        <f>SUM(F409:F411)</f>
        <v>14892.86</v>
      </c>
      <c r="G412" s="678"/>
      <c r="H412" s="790"/>
      <c r="I412" s="790"/>
      <c r="J412" s="791"/>
      <c r="K412" s="51"/>
      <c r="L412" s="51"/>
      <c r="M412" s="51"/>
      <c r="N412" s="147"/>
      <c r="O412" s="257"/>
      <c r="P412" s="257"/>
      <c r="Q412" s="257"/>
      <c r="R412" s="257"/>
      <c r="S412" s="257"/>
      <c r="T412" s="257"/>
      <c r="U412" s="257"/>
      <c r="V412" s="320"/>
    </row>
    <row r="413" spans="1:22" s="44" customFormat="1" ht="60" customHeight="1">
      <c r="A413" s="756" t="s">
        <v>1318</v>
      </c>
      <c r="B413" s="383"/>
      <c r="C413" s="48" t="str">
        <f>+'4. Procurement Plan'!I136</f>
        <v>19-1316c(ii)</v>
      </c>
      <c r="D413" s="1051" t="s">
        <v>1319</v>
      </c>
      <c r="E413" s="756" t="s">
        <v>1314</v>
      </c>
      <c r="F413" s="424">
        <v>5714.29</v>
      </c>
      <c r="G413" s="173"/>
      <c r="H413" s="789" t="s">
        <v>1074</v>
      </c>
      <c r="I413" s="789" t="s">
        <v>1074</v>
      </c>
      <c r="J413" s="756" t="s">
        <v>1234</v>
      </c>
      <c r="K413" s="51"/>
      <c r="L413" s="51"/>
      <c r="M413" s="167"/>
      <c r="N413" s="147"/>
      <c r="O413" s="257"/>
      <c r="P413" s="257"/>
      <c r="Q413" s="257"/>
      <c r="R413" s="257"/>
      <c r="S413" s="257"/>
      <c r="T413" s="257"/>
      <c r="U413" s="257"/>
      <c r="V413" s="320"/>
    </row>
    <row r="414" spans="1:22" s="44" customFormat="1" ht="60" customHeight="1">
      <c r="A414" s="756"/>
      <c r="B414" s="383"/>
      <c r="C414" s="48"/>
      <c r="D414" s="1051"/>
      <c r="E414" s="756" t="s">
        <v>1315</v>
      </c>
      <c r="F414" s="424">
        <v>8750</v>
      </c>
      <c r="G414" s="173"/>
      <c r="H414" s="795" t="s">
        <v>1092</v>
      </c>
      <c r="I414" s="795" t="s">
        <v>1092</v>
      </c>
      <c r="J414" s="756" t="s">
        <v>1234</v>
      </c>
      <c r="K414" s="51"/>
      <c r="L414" s="51"/>
      <c r="M414" s="51"/>
      <c r="N414" s="167"/>
      <c r="O414" s="257"/>
      <c r="P414" s="257"/>
      <c r="Q414" s="257"/>
      <c r="R414" s="257"/>
      <c r="S414" s="257"/>
      <c r="T414" s="257"/>
      <c r="U414" s="257"/>
      <c r="V414" s="320"/>
    </row>
    <row r="415" spans="1:22" s="44" customFormat="1" ht="60" customHeight="1">
      <c r="A415" s="756"/>
      <c r="B415" s="383"/>
      <c r="C415" s="48"/>
      <c r="D415" s="1051"/>
      <c r="E415" s="756" t="s">
        <v>1316</v>
      </c>
      <c r="F415" s="424">
        <v>14464.29</v>
      </c>
      <c r="G415" s="173"/>
      <c r="H415" s="795" t="s">
        <v>1077</v>
      </c>
      <c r="I415" s="795" t="s">
        <v>1077</v>
      </c>
      <c r="J415" s="756" t="s">
        <v>1234</v>
      </c>
      <c r="K415" s="51"/>
      <c r="L415" s="51"/>
      <c r="M415" s="51"/>
      <c r="N415" s="147"/>
      <c r="O415" s="167"/>
      <c r="P415" s="257"/>
      <c r="Q415" s="257"/>
      <c r="R415" s="257"/>
      <c r="S415" s="257"/>
      <c r="T415" s="257"/>
      <c r="U415" s="257"/>
      <c r="V415" s="320"/>
    </row>
    <row r="416" spans="1:22" s="44" customFormat="1" ht="60" customHeight="1">
      <c r="A416" s="756"/>
      <c r="B416" s="775"/>
      <c r="C416" s="651"/>
      <c r="D416" s="1052" t="s">
        <v>1320</v>
      </c>
      <c r="E416" s="1053"/>
      <c r="F416" s="719">
        <f>SUM(F413:F415)</f>
        <v>28928.58</v>
      </c>
      <c r="G416" s="678"/>
      <c r="H416" s="796"/>
      <c r="I416" s="796"/>
      <c r="J416" s="791"/>
      <c r="K416" s="51"/>
      <c r="L416" s="51"/>
      <c r="M416" s="51"/>
      <c r="N416" s="147"/>
      <c r="O416" s="257"/>
      <c r="P416" s="257"/>
      <c r="Q416" s="257"/>
      <c r="R416" s="257"/>
      <c r="S416" s="257"/>
      <c r="T416" s="257"/>
      <c r="U416" s="257"/>
      <c r="V416" s="320"/>
    </row>
    <row r="417" spans="1:22" s="44" customFormat="1" ht="60" customHeight="1">
      <c r="A417" s="350"/>
      <c r="B417" s="351" t="s">
        <v>583</v>
      </c>
      <c r="C417" s="352"/>
      <c r="D417" s="299"/>
      <c r="E417" s="300"/>
      <c r="F417" s="724">
        <f>+F416+F412+F408+F400+F394+F389+F384+F379+F374+F370+F365+F361+F354+F350+F347</f>
        <v>1015219.03</v>
      </c>
      <c r="G417" s="258"/>
      <c r="H417" s="353"/>
      <c r="I417" s="353"/>
      <c r="J417" s="354"/>
      <c r="K417" s="51"/>
      <c r="L417" s="51"/>
      <c r="M417" s="51"/>
      <c r="N417" s="147"/>
      <c r="O417" s="257"/>
      <c r="P417" s="257"/>
      <c r="Q417" s="257"/>
      <c r="R417" s="257"/>
      <c r="S417" s="257"/>
      <c r="T417" s="257"/>
      <c r="U417" s="257"/>
      <c r="V417" s="320"/>
    </row>
    <row r="418" spans="1:22" s="44" customFormat="1" ht="60" customHeight="1">
      <c r="A418" s="1039" t="s">
        <v>834</v>
      </c>
      <c r="B418" s="338"/>
      <c r="C418" s="24" t="str">
        <f>+'[1]2. Results Matrix'!A81</f>
        <v>IDB code: 5.3</v>
      </c>
      <c r="D418" s="301" t="s">
        <v>833</v>
      </c>
      <c r="E418" s="25"/>
      <c r="F418" s="424">
        <v>34532.14</v>
      </c>
      <c r="G418" s="173"/>
      <c r="H418" s="789" t="s">
        <v>1073</v>
      </c>
      <c r="I418" s="788" t="s">
        <v>1128</v>
      </c>
      <c r="J418" s="175" t="s">
        <v>728</v>
      </c>
      <c r="K418" s="51"/>
      <c r="L418" s="167"/>
      <c r="M418" s="167"/>
      <c r="N418" s="167"/>
      <c r="O418" s="167"/>
      <c r="P418" s="167"/>
      <c r="Q418" s="167"/>
      <c r="R418" s="167"/>
      <c r="S418" s="167"/>
      <c r="T418" s="167"/>
      <c r="U418" s="167"/>
      <c r="V418" s="167"/>
    </row>
    <row r="419" spans="1:22" s="44" customFormat="1" ht="60" customHeight="1">
      <c r="A419" s="1040"/>
      <c r="B419" s="349"/>
      <c r="C419" s="262"/>
      <c r="D419" s="355" t="s">
        <v>796</v>
      </c>
      <c r="E419" s="356" t="s">
        <v>498</v>
      </c>
      <c r="F419" s="724">
        <f>SUM(F418)</f>
        <v>34532.14</v>
      </c>
      <c r="G419" s="258"/>
      <c r="H419" s="357"/>
      <c r="I419" s="357"/>
      <c r="J419" s="358"/>
      <c r="K419" s="51"/>
      <c r="L419" s="51"/>
      <c r="M419" s="51"/>
      <c r="N419" s="147"/>
      <c r="O419" s="257"/>
      <c r="P419" s="257"/>
      <c r="Q419" s="257"/>
      <c r="R419" s="257"/>
      <c r="S419" s="257"/>
      <c r="T419" s="257"/>
      <c r="U419" s="257"/>
      <c r="V419" s="320"/>
    </row>
    <row r="420" spans="1:22" s="44" customFormat="1" ht="60" customHeight="1">
      <c r="A420" s="281"/>
      <c r="B420" s="359"/>
      <c r="C420" s="1022" t="s">
        <v>601</v>
      </c>
      <c r="D420" s="1023"/>
      <c r="E420" s="1024"/>
      <c r="F420" s="797">
        <f>+F419+F417+F343+F281+F252+F225</f>
        <v>2765573.1</v>
      </c>
      <c r="G420" s="282"/>
      <c r="H420" s="722"/>
      <c r="I420" s="681"/>
      <c r="J420" s="723"/>
      <c r="K420" s="51"/>
      <c r="L420" s="51"/>
      <c r="M420" s="51"/>
      <c r="N420" s="147"/>
      <c r="O420" s="257"/>
      <c r="P420" s="257"/>
      <c r="Q420" s="257"/>
      <c r="R420" s="257"/>
      <c r="S420" s="257"/>
      <c r="T420" s="257"/>
      <c r="U420" s="257"/>
      <c r="V420" s="320"/>
    </row>
    <row r="421" spans="1:22" s="44" customFormat="1" ht="60" customHeight="1">
      <c r="A421" s="799" t="s">
        <v>1325</v>
      </c>
      <c r="B421" s="386"/>
      <c r="C421" s="803" t="str">
        <f>+'4. Procurement Plan'!I118</f>
        <v>Transition 9</v>
      </c>
      <c r="D421" s="387" t="s">
        <v>733</v>
      </c>
      <c r="E421" s="388" t="s">
        <v>798</v>
      </c>
      <c r="F421" s="642">
        <v>314285.71000000002</v>
      </c>
      <c r="G421" s="173"/>
      <c r="H421" s="136">
        <v>43831</v>
      </c>
      <c r="I421" s="531">
        <v>43983</v>
      </c>
      <c r="J421" s="155" t="s">
        <v>812</v>
      </c>
      <c r="K421" s="167"/>
      <c r="L421" s="167"/>
      <c r="M421" s="167"/>
      <c r="N421" s="167"/>
      <c r="O421" s="167"/>
      <c r="P421" s="167"/>
      <c r="Q421" s="257"/>
      <c r="R421" s="257"/>
      <c r="S421" s="257"/>
      <c r="T421" s="257"/>
      <c r="U421" s="257"/>
      <c r="V421" s="320"/>
    </row>
    <row r="422" spans="1:22" s="44" customFormat="1" ht="60" customHeight="1">
      <c r="A422" s="801"/>
      <c r="B422" s="516"/>
      <c r="C422" s="803" t="str">
        <f>+'4. Procurement Plan'!I117</f>
        <v>Transition 10</v>
      </c>
      <c r="D422" s="1054" t="s">
        <v>1326</v>
      </c>
      <c r="E422" s="626" t="s">
        <v>1327</v>
      </c>
      <c r="F422" s="642">
        <v>51814.29</v>
      </c>
      <c r="G422" s="173"/>
      <c r="H422" s="136">
        <v>43831</v>
      </c>
      <c r="I422" s="136">
        <v>43891</v>
      </c>
      <c r="J422" s="143" t="s">
        <v>712</v>
      </c>
      <c r="K422" s="167"/>
      <c r="L422" s="167"/>
      <c r="M422" s="167"/>
      <c r="N422" s="147"/>
      <c r="O422" s="257"/>
      <c r="P422" s="257"/>
      <c r="Q422" s="257"/>
      <c r="R422" s="257"/>
      <c r="S422" s="257"/>
      <c r="T422" s="257"/>
      <c r="U422" s="257"/>
      <c r="V422" s="320"/>
    </row>
    <row r="423" spans="1:22" s="44" customFormat="1" ht="60" customHeight="1">
      <c r="A423" s="801"/>
      <c r="B423" s="516"/>
      <c r="C423" s="800"/>
      <c r="D423" s="1054"/>
      <c r="E423" s="626" t="s">
        <v>1328</v>
      </c>
      <c r="F423" s="642">
        <v>19928.57</v>
      </c>
      <c r="G423" s="173"/>
      <c r="H423" s="136">
        <v>43862</v>
      </c>
      <c r="I423" s="136">
        <v>43862</v>
      </c>
      <c r="J423" s="143" t="s">
        <v>712</v>
      </c>
      <c r="K423" s="51"/>
      <c r="L423" s="167"/>
      <c r="M423" s="51"/>
      <c r="N423" s="147"/>
      <c r="O423" s="257"/>
      <c r="P423" s="257"/>
      <c r="Q423" s="257"/>
      <c r="R423" s="257"/>
      <c r="S423" s="257"/>
      <c r="T423" s="257"/>
      <c r="U423" s="257"/>
      <c r="V423" s="320"/>
    </row>
    <row r="424" spans="1:22" s="44" customFormat="1" ht="60" customHeight="1">
      <c r="A424" s="801"/>
      <c r="B424" s="516"/>
      <c r="C424" s="800"/>
      <c r="D424" s="1054"/>
      <c r="E424" s="626" t="s">
        <v>782</v>
      </c>
      <c r="F424" s="642">
        <v>7971.43</v>
      </c>
      <c r="G424" s="173"/>
      <c r="H424" s="136">
        <v>43891</v>
      </c>
      <c r="I424" s="136">
        <v>43891</v>
      </c>
      <c r="J424" s="143" t="s">
        <v>712</v>
      </c>
      <c r="K424" s="51"/>
      <c r="L424" s="51"/>
      <c r="M424" s="167"/>
      <c r="N424" s="147"/>
      <c r="O424" s="257"/>
      <c r="P424" s="257"/>
      <c r="Q424" s="257"/>
      <c r="R424" s="257"/>
      <c r="S424" s="257"/>
      <c r="T424" s="257"/>
      <c r="U424" s="257"/>
      <c r="V424" s="320"/>
    </row>
    <row r="425" spans="1:22" s="44" customFormat="1" ht="60" customHeight="1">
      <c r="A425" s="801"/>
      <c r="B425" s="516"/>
      <c r="C425" s="800"/>
      <c r="D425" s="1044" t="s">
        <v>1329</v>
      </c>
      <c r="E425" s="1045"/>
      <c r="F425" s="642">
        <f>SUM(F422:F424)</f>
        <v>79714.290000000008</v>
      </c>
      <c r="G425" s="173"/>
      <c r="H425" s="806"/>
      <c r="I425" s="807"/>
      <c r="J425" s="808"/>
      <c r="K425" s="51"/>
      <c r="L425" s="51"/>
      <c r="M425" s="51"/>
      <c r="N425" s="147"/>
      <c r="O425" s="257"/>
      <c r="P425" s="257"/>
      <c r="Q425" s="257"/>
      <c r="R425" s="257"/>
      <c r="S425" s="257"/>
      <c r="T425" s="257"/>
      <c r="U425" s="257"/>
      <c r="V425" s="320"/>
    </row>
    <row r="426" spans="1:22" s="44" customFormat="1" ht="60" customHeight="1">
      <c r="A426" s="1046" t="s">
        <v>1330</v>
      </c>
      <c r="B426" s="516"/>
      <c r="C426" s="803" t="str">
        <f>+'4. Procurement Plan'!I125</f>
        <v>20-1111d(iii)</v>
      </c>
      <c r="D426" s="51" t="s">
        <v>804</v>
      </c>
      <c r="E426" s="802" t="s">
        <v>799</v>
      </c>
      <c r="F426" s="642">
        <v>5091.43</v>
      </c>
      <c r="G426" s="173"/>
      <c r="H426" s="136">
        <v>43831</v>
      </c>
      <c r="I426" s="531">
        <v>43891</v>
      </c>
      <c r="J426" s="804" t="s">
        <v>813</v>
      </c>
      <c r="K426" s="167"/>
      <c r="L426" s="167"/>
      <c r="M426" s="167"/>
      <c r="N426" s="147"/>
      <c r="O426" s="257"/>
      <c r="P426" s="257"/>
      <c r="Q426" s="257"/>
      <c r="R426" s="257"/>
      <c r="S426" s="257"/>
      <c r="T426" s="257"/>
      <c r="U426" s="257"/>
      <c r="V426" s="320"/>
    </row>
    <row r="427" spans="1:22" s="44" customFormat="1" ht="60" customHeight="1">
      <c r="A427" s="1046"/>
      <c r="B427" s="516"/>
      <c r="C427" s="803" t="str">
        <f>+'4. Procurement Plan'!I65</f>
        <v xml:space="preserve">Transition 1 </v>
      </c>
      <c r="D427" s="51" t="s">
        <v>1331</v>
      </c>
      <c r="E427" s="802" t="s">
        <v>800</v>
      </c>
      <c r="F427" s="642">
        <v>30000</v>
      </c>
      <c r="G427" s="173"/>
      <c r="H427" s="531">
        <v>43891</v>
      </c>
      <c r="I427" s="531">
        <v>43891</v>
      </c>
      <c r="J427" s="804" t="s">
        <v>813</v>
      </c>
      <c r="K427" s="51"/>
      <c r="L427" s="51"/>
      <c r="M427" s="167"/>
      <c r="N427" s="147"/>
      <c r="O427" s="257"/>
      <c r="P427" s="257"/>
      <c r="Q427" s="257"/>
      <c r="R427" s="257"/>
      <c r="S427" s="257"/>
      <c r="T427" s="257"/>
      <c r="U427" s="257"/>
      <c r="V427" s="320"/>
    </row>
    <row r="428" spans="1:22" s="44" customFormat="1" ht="60" customHeight="1">
      <c r="A428" s="801"/>
      <c r="B428" s="516"/>
      <c r="C428" s="385" t="str">
        <f>+'4. Procurement Plan'!I100</f>
        <v>Transition 2</v>
      </c>
      <c r="D428" s="1047" t="s">
        <v>805</v>
      </c>
      <c r="E428" s="802" t="s">
        <v>801</v>
      </c>
      <c r="F428" s="642">
        <v>10714.29</v>
      </c>
      <c r="G428" s="173"/>
      <c r="H428" s="136">
        <v>43862</v>
      </c>
      <c r="I428" s="531">
        <v>43891</v>
      </c>
      <c r="J428" s="809" t="s">
        <v>1341</v>
      </c>
      <c r="K428" s="51"/>
      <c r="L428" s="167"/>
      <c r="M428" s="167"/>
      <c r="N428" s="147"/>
      <c r="O428" s="257"/>
      <c r="P428" s="257"/>
      <c r="Q428" s="257"/>
      <c r="R428" s="257"/>
      <c r="S428" s="257"/>
      <c r="T428" s="257"/>
      <c r="U428" s="257"/>
      <c r="V428" s="320"/>
    </row>
    <row r="429" spans="1:22" s="44" customFormat="1" ht="60" customHeight="1">
      <c r="A429" s="801"/>
      <c r="B429" s="516"/>
      <c r="C429" s="385" t="str">
        <f>+'4. Procurement Plan'!I101</f>
        <v>Transition 3</v>
      </c>
      <c r="D429" s="1047"/>
      <c r="E429" s="802" t="s">
        <v>1332</v>
      </c>
      <c r="F429" s="642">
        <v>7142.86</v>
      </c>
      <c r="G429" s="173"/>
      <c r="H429" s="531">
        <v>43891</v>
      </c>
      <c r="I429" s="531">
        <v>43891</v>
      </c>
      <c r="J429" s="809" t="s">
        <v>1341</v>
      </c>
      <c r="K429" s="51"/>
      <c r="L429" s="51"/>
      <c r="M429" s="167"/>
      <c r="N429" s="147"/>
      <c r="O429" s="257"/>
      <c r="P429" s="257"/>
      <c r="Q429" s="257"/>
      <c r="R429" s="257"/>
      <c r="S429" s="257"/>
      <c r="T429" s="257"/>
      <c r="U429" s="257"/>
      <c r="V429" s="320"/>
    </row>
    <row r="430" spans="1:22" s="44" customFormat="1" ht="60" customHeight="1">
      <c r="A430" s="801"/>
      <c r="B430" s="516"/>
      <c r="C430" s="385"/>
      <c r="D430" s="1047"/>
      <c r="E430" s="802" t="s">
        <v>1333</v>
      </c>
      <c r="F430" s="642">
        <v>3571.43</v>
      </c>
      <c r="G430" s="173"/>
      <c r="H430" s="531">
        <v>43891</v>
      </c>
      <c r="I430" s="531">
        <v>43891</v>
      </c>
      <c r="J430" s="809" t="s">
        <v>1341</v>
      </c>
      <c r="K430" s="51"/>
      <c r="L430" s="51"/>
      <c r="M430" s="167"/>
      <c r="N430" s="147"/>
      <c r="O430" s="257"/>
      <c r="P430" s="257"/>
      <c r="Q430" s="257"/>
      <c r="R430" s="257"/>
      <c r="S430" s="257"/>
      <c r="T430" s="257"/>
      <c r="U430" s="257"/>
      <c r="V430" s="320"/>
    </row>
    <row r="431" spans="1:22" s="44" customFormat="1" ht="60" customHeight="1">
      <c r="A431" s="801"/>
      <c r="B431" s="516"/>
      <c r="C431" s="385" t="str">
        <f>+'4. Procurement Plan'!I102</f>
        <v>Transition 4</v>
      </c>
      <c r="D431" s="1047"/>
      <c r="E431" s="802" t="s">
        <v>787</v>
      </c>
      <c r="F431" s="642">
        <v>5714.29</v>
      </c>
      <c r="G431" s="173"/>
      <c r="H431" s="531">
        <v>43891</v>
      </c>
      <c r="I431" s="531">
        <v>43891</v>
      </c>
      <c r="J431" s="809" t="s">
        <v>1341</v>
      </c>
      <c r="K431" s="51"/>
      <c r="L431" s="51"/>
      <c r="M431" s="167"/>
      <c r="N431" s="147"/>
      <c r="O431" s="257"/>
      <c r="P431" s="257"/>
      <c r="Q431" s="257"/>
      <c r="R431" s="257"/>
      <c r="S431" s="257"/>
      <c r="T431" s="257"/>
      <c r="U431" s="257"/>
      <c r="V431" s="320"/>
    </row>
    <row r="432" spans="1:22" s="44" customFormat="1" ht="60" customHeight="1">
      <c r="A432" s="801"/>
      <c r="B432" s="516"/>
      <c r="C432" s="385" t="str">
        <f>+'4. Procurement Plan'!I104</f>
        <v>Transition 5</v>
      </c>
      <c r="D432" s="1047"/>
      <c r="E432" s="802" t="s">
        <v>802</v>
      </c>
      <c r="F432" s="642">
        <v>4285.71</v>
      </c>
      <c r="G432" s="173"/>
      <c r="H432" s="531">
        <v>43891</v>
      </c>
      <c r="I432" s="531">
        <v>43891</v>
      </c>
      <c r="J432" s="809" t="s">
        <v>1341</v>
      </c>
      <c r="K432" s="51"/>
      <c r="L432" s="51"/>
      <c r="M432" s="167"/>
      <c r="N432" s="147"/>
      <c r="O432" s="257"/>
      <c r="P432" s="257"/>
      <c r="Q432" s="257"/>
      <c r="R432" s="257"/>
      <c r="S432" s="257"/>
      <c r="T432" s="257"/>
      <c r="U432" s="257"/>
      <c r="V432" s="320"/>
    </row>
    <row r="433" spans="1:22" s="44" customFormat="1" ht="60" customHeight="1">
      <c r="A433" s="801"/>
      <c r="B433" s="516"/>
      <c r="C433" s="385"/>
      <c r="D433" s="1047"/>
      <c r="E433" s="802" t="s">
        <v>1334</v>
      </c>
      <c r="F433" s="642"/>
      <c r="G433" s="173"/>
      <c r="H433" s="531">
        <v>43891</v>
      </c>
      <c r="I433" s="531">
        <v>43891</v>
      </c>
      <c r="J433" s="809" t="s">
        <v>1341</v>
      </c>
      <c r="K433" s="51"/>
      <c r="L433" s="51"/>
      <c r="M433" s="167"/>
      <c r="N433" s="147"/>
      <c r="O433" s="257"/>
      <c r="P433" s="257"/>
      <c r="Q433" s="257"/>
      <c r="R433" s="257"/>
      <c r="S433" s="257"/>
      <c r="T433" s="257"/>
      <c r="U433" s="257"/>
      <c r="V433" s="320"/>
    </row>
    <row r="434" spans="1:22" s="44" customFormat="1" ht="60" customHeight="1">
      <c r="A434" s="801"/>
      <c r="B434" s="516"/>
      <c r="C434" s="385" t="e">
        <f>+#REF!</f>
        <v>#REF!</v>
      </c>
      <c r="D434" s="1047"/>
      <c r="E434" s="802" t="s">
        <v>803</v>
      </c>
      <c r="F434" s="642">
        <v>21428.57</v>
      </c>
      <c r="G434" s="173"/>
      <c r="H434" s="531">
        <v>43891</v>
      </c>
      <c r="I434" s="531">
        <v>43891</v>
      </c>
      <c r="J434" s="809" t="s">
        <v>1341</v>
      </c>
      <c r="K434" s="51"/>
      <c r="L434" s="51"/>
      <c r="M434" s="167"/>
      <c r="N434" s="147"/>
      <c r="O434" s="257"/>
      <c r="P434" s="257"/>
      <c r="Q434" s="257"/>
      <c r="R434" s="257"/>
      <c r="S434" s="257"/>
      <c r="T434" s="257"/>
      <c r="U434" s="257"/>
      <c r="V434" s="320"/>
    </row>
    <row r="435" spans="1:22" s="44" customFormat="1" ht="60" customHeight="1">
      <c r="A435" s="801"/>
      <c r="B435" s="516"/>
      <c r="C435" s="385"/>
      <c r="D435" s="1048" t="s">
        <v>1335</v>
      </c>
      <c r="E435" s="1049"/>
      <c r="F435" s="642">
        <f>SUM(F426:F434)</f>
        <v>87948.580000000016</v>
      </c>
      <c r="G435" s="173"/>
      <c r="H435" s="531"/>
      <c r="I435" s="531"/>
      <c r="J435" s="809"/>
      <c r="K435" s="51"/>
      <c r="L435" s="51"/>
      <c r="M435" s="51"/>
      <c r="N435" s="147"/>
      <c r="O435" s="257"/>
      <c r="P435" s="257"/>
      <c r="Q435" s="257"/>
      <c r="R435" s="257"/>
      <c r="S435" s="257"/>
      <c r="T435" s="257"/>
      <c r="U435" s="257"/>
      <c r="V435" s="320"/>
    </row>
    <row r="436" spans="1:22" s="44" customFormat="1" ht="60" customHeight="1">
      <c r="A436" s="801"/>
      <c r="B436" s="516"/>
      <c r="C436" s="385" t="e">
        <f>+'4. Procurement Plan'!#REF!</f>
        <v>#REF!</v>
      </c>
      <c r="D436" s="1050" t="s">
        <v>808</v>
      </c>
      <c r="E436" s="530" t="s">
        <v>809</v>
      </c>
      <c r="F436" s="642">
        <v>10714.29</v>
      </c>
      <c r="G436" s="173"/>
      <c r="H436" s="531">
        <v>43891</v>
      </c>
      <c r="I436" s="531">
        <v>43891</v>
      </c>
      <c r="J436" s="809" t="s">
        <v>1341</v>
      </c>
      <c r="K436" s="51"/>
      <c r="L436" s="51"/>
      <c r="M436" s="167"/>
      <c r="N436" s="147"/>
      <c r="O436" s="257"/>
      <c r="P436" s="257"/>
      <c r="Q436" s="257"/>
      <c r="R436" s="257"/>
      <c r="S436" s="257"/>
      <c r="T436" s="257"/>
      <c r="U436" s="257"/>
      <c r="V436" s="320"/>
    </row>
    <row r="437" spans="1:22" s="44" customFormat="1" ht="60" customHeight="1">
      <c r="A437" s="801"/>
      <c r="B437" s="516"/>
      <c r="C437" s="385" t="e">
        <f>+'4. Procurement Plan'!#REF!</f>
        <v>#REF!</v>
      </c>
      <c r="D437" s="1050"/>
      <c r="E437" s="530" t="s">
        <v>1336</v>
      </c>
      <c r="F437" s="642">
        <v>5714.29</v>
      </c>
      <c r="G437" s="173"/>
      <c r="H437" s="531">
        <v>43891</v>
      </c>
      <c r="I437" s="531">
        <v>43891</v>
      </c>
      <c r="J437" s="809" t="s">
        <v>1341</v>
      </c>
      <c r="K437" s="51"/>
      <c r="L437" s="51"/>
      <c r="M437" s="167"/>
      <c r="N437" s="147"/>
      <c r="O437" s="257"/>
      <c r="P437" s="257"/>
      <c r="Q437" s="257"/>
      <c r="R437" s="257"/>
      <c r="S437" s="257"/>
      <c r="T437" s="257"/>
      <c r="U437" s="257"/>
      <c r="V437" s="320"/>
    </row>
    <row r="438" spans="1:22" s="44" customFormat="1" ht="60" customHeight="1">
      <c r="A438" s="801"/>
      <c r="B438" s="516"/>
      <c r="C438" s="385" t="e">
        <f>+'4. Procurement Plan'!#REF!</f>
        <v>#REF!</v>
      </c>
      <c r="D438" s="1050"/>
      <c r="E438" s="530" t="s">
        <v>807</v>
      </c>
      <c r="F438" s="642">
        <v>5714.29</v>
      </c>
      <c r="G438" s="173"/>
      <c r="H438" s="531">
        <v>43891</v>
      </c>
      <c r="I438" s="531">
        <v>43891</v>
      </c>
      <c r="J438" s="809" t="s">
        <v>1341</v>
      </c>
      <c r="K438" s="51"/>
      <c r="L438" s="51"/>
      <c r="M438" s="167"/>
      <c r="N438" s="147"/>
      <c r="O438" s="257"/>
      <c r="P438" s="257"/>
      <c r="Q438" s="257"/>
      <c r="R438" s="257"/>
      <c r="S438" s="257"/>
      <c r="T438" s="257"/>
      <c r="U438" s="257"/>
      <c r="V438" s="320"/>
    </row>
    <row r="439" spans="1:22" s="44" customFormat="1" ht="60" customHeight="1">
      <c r="A439" s="801"/>
      <c r="B439" s="516"/>
      <c r="C439" s="385" t="e">
        <f>+'4. Procurement Plan'!#REF!</f>
        <v>#REF!</v>
      </c>
      <c r="D439" s="1050"/>
      <c r="E439" s="530" t="s">
        <v>810</v>
      </c>
      <c r="F439" s="642">
        <v>5714.29</v>
      </c>
      <c r="G439" s="173"/>
      <c r="H439" s="531">
        <v>43891</v>
      </c>
      <c r="I439" s="531">
        <v>43891</v>
      </c>
      <c r="J439" s="809" t="s">
        <v>1341</v>
      </c>
      <c r="K439" s="51"/>
      <c r="L439" s="51"/>
      <c r="M439" s="167"/>
      <c r="N439" s="147"/>
      <c r="O439" s="257"/>
      <c r="P439" s="257"/>
      <c r="Q439" s="257"/>
      <c r="R439" s="257"/>
      <c r="S439" s="257"/>
      <c r="T439" s="257"/>
      <c r="U439" s="257"/>
      <c r="V439" s="320"/>
    </row>
    <row r="440" spans="1:22" s="44" customFormat="1" ht="60" customHeight="1">
      <c r="A440" s="801"/>
      <c r="B440" s="516"/>
      <c r="C440" s="385" t="e">
        <f>+'4. Procurement Plan'!#REF!</f>
        <v>#REF!</v>
      </c>
      <c r="D440" s="1050"/>
      <c r="E440" s="530" t="s">
        <v>1337</v>
      </c>
      <c r="F440" s="642">
        <v>3571.43</v>
      </c>
      <c r="G440" s="173"/>
      <c r="H440" s="531">
        <v>43891</v>
      </c>
      <c r="I440" s="531">
        <v>43891</v>
      </c>
      <c r="J440" s="809" t="s">
        <v>1341</v>
      </c>
      <c r="K440" s="51"/>
      <c r="L440" s="51"/>
      <c r="M440" s="167"/>
      <c r="N440" s="147"/>
      <c r="O440" s="257"/>
      <c r="P440" s="257"/>
      <c r="Q440" s="257"/>
      <c r="R440" s="257"/>
      <c r="S440" s="257"/>
      <c r="T440" s="257"/>
      <c r="U440" s="257"/>
      <c r="V440" s="320"/>
    </row>
    <row r="441" spans="1:22" s="44" customFormat="1" ht="60" customHeight="1">
      <c r="A441" s="801"/>
      <c r="B441" s="516"/>
      <c r="C441" s="574" t="e">
        <f>+'4. Procurement Plan'!#REF!</f>
        <v>#REF!</v>
      </c>
      <c r="D441" s="1050"/>
      <c r="E441" s="530" t="s">
        <v>811</v>
      </c>
      <c r="F441" s="642">
        <v>6428.57</v>
      </c>
      <c r="G441" s="173"/>
      <c r="H441" s="531">
        <v>43891</v>
      </c>
      <c r="I441" s="531">
        <v>43891</v>
      </c>
      <c r="J441" s="809" t="s">
        <v>1341</v>
      </c>
      <c r="K441" s="51"/>
      <c r="L441" s="51"/>
      <c r="M441" s="167"/>
      <c r="N441" s="147"/>
      <c r="O441" s="257"/>
      <c r="P441" s="257"/>
      <c r="Q441" s="257"/>
      <c r="R441" s="257"/>
      <c r="S441" s="257"/>
      <c r="T441" s="257"/>
      <c r="U441" s="257"/>
      <c r="V441" s="320"/>
    </row>
    <row r="442" spans="1:22" s="44" customFormat="1" ht="60" customHeight="1">
      <c r="A442" s="801"/>
      <c r="B442" s="516"/>
      <c r="C442" s="1035" t="s">
        <v>1338</v>
      </c>
      <c r="D442" s="1036"/>
      <c r="E442" s="1037"/>
      <c r="F442" s="642">
        <f>SUM(F436:F441)</f>
        <v>37857.160000000003</v>
      </c>
      <c r="G442" s="173"/>
      <c r="H442" s="531"/>
      <c r="I442" s="531"/>
      <c r="J442" s="809"/>
      <c r="K442" s="51"/>
      <c r="L442" s="51"/>
      <c r="M442" s="51"/>
      <c r="N442" s="147"/>
      <c r="O442" s="257"/>
      <c r="P442" s="257"/>
      <c r="Q442" s="257"/>
      <c r="R442" s="257"/>
      <c r="S442" s="257"/>
      <c r="T442" s="257"/>
      <c r="U442" s="257"/>
      <c r="V442" s="320"/>
    </row>
    <row r="443" spans="1:22" s="44" customFormat="1" ht="60" customHeight="1">
      <c r="A443" s="801"/>
      <c r="B443" s="339"/>
      <c r="C443" s="385" t="str">
        <f>+'4. Procurement Plan'!I119</f>
        <v>Transition 11</v>
      </c>
      <c r="D443" s="804" t="s">
        <v>734</v>
      </c>
      <c r="E443" s="802" t="s">
        <v>806</v>
      </c>
      <c r="F443" s="642">
        <v>48028.57</v>
      </c>
      <c r="G443" s="173"/>
      <c r="H443" s="136">
        <v>43831</v>
      </c>
      <c r="I443" s="136">
        <v>43891</v>
      </c>
      <c r="J443" s="155" t="s">
        <v>1342</v>
      </c>
      <c r="K443" s="167"/>
      <c r="L443" s="167"/>
      <c r="M443" s="167"/>
      <c r="N443" s="147"/>
      <c r="O443" s="257"/>
      <c r="P443" s="257"/>
      <c r="Q443" s="257"/>
      <c r="R443" s="257"/>
      <c r="S443" s="257"/>
      <c r="T443" s="257"/>
      <c r="U443" s="257"/>
      <c r="V443" s="320"/>
    </row>
    <row r="444" spans="1:22" s="44" customFormat="1" ht="60" customHeight="1">
      <c r="A444" s="805" t="s">
        <v>1339</v>
      </c>
      <c r="B444" s="339"/>
      <c r="C444" s="385" t="str">
        <f>+'4. Procurement Plan'!I27</f>
        <v>19-1115b</v>
      </c>
      <c r="D444" s="804" t="s">
        <v>1340</v>
      </c>
      <c r="E444" s="804" t="s">
        <v>735</v>
      </c>
      <c r="F444" s="642">
        <v>12857.14</v>
      </c>
      <c r="G444" s="173"/>
      <c r="H444" s="136">
        <v>43831</v>
      </c>
      <c r="I444" s="136">
        <v>43831</v>
      </c>
      <c r="J444" s="155" t="s">
        <v>1342</v>
      </c>
      <c r="K444" s="167"/>
      <c r="L444" s="51"/>
      <c r="M444" s="51"/>
      <c r="N444" s="147"/>
      <c r="O444" s="257"/>
      <c r="P444" s="257"/>
      <c r="Q444" s="257"/>
      <c r="R444" s="257"/>
      <c r="S444" s="257"/>
      <c r="T444" s="257"/>
      <c r="U444" s="257"/>
      <c r="V444" s="320"/>
    </row>
    <row r="445" spans="1:22" s="44" customFormat="1" ht="60" customHeight="1">
      <c r="A445" s="798"/>
      <c r="B445" s="359"/>
      <c r="C445" s="1022" t="s">
        <v>736</v>
      </c>
      <c r="D445" s="1023"/>
      <c r="E445" s="1024"/>
      <c r="F445" s="797">
        <f>+F444+F443+F442+F435+F425+F426+F427+F421</f>
        <v>615782.88</v>
      </c>
      <c r="G445" s="282"/>
      <c r="H445" s="360"/>
      <c r="I445" s="360"/>
      <c r="J445" s="361"/>
      <c r="K445" s="51"/>
      <c r="L445" s="51"/>
      <c r="M445" s="51"/>
      <c r="N445" s="147"/>
      <c r="O445" s="257"/>
      <c r="P445" s="257"/>
      <c r="Q445" s="257"/>
      <c r="R445" s="257"/>
      <c r="S445" s="257"/>
      <c r="T445" s="257"/>
      <c r="U445" s="257"/>
      <c r="V445" s="320"/>
    </row>
    <row r="446" spans="1:22" s="44" customFormat="1" ht="60" customHeight="1">
      <c r="A446" s="1038" t="s">
        <v>470</v>
      </c>
      <c r="B446" s="338"/>
      <c r="C446" s="24" t="str">
        <f>+'[1]2. Results Matrix'!A13</f>
        <v>IDB code: 1.2</v>
      </c>
      <c r="D446" s="25"/>
      <c r="E446" s="25"/>
      <c r="F446" s="642"/>
      <c r="G446" s="173"/>
      <c r="H446" s="294"/>
      <c r="I446" s="136"/>
      <c r="J446" s="175"/>
      <c r="K446" s="51"/>
      <c r="L446" s="51"/>
      <c r="M446" s="51"/>
      <c r="N446" s="147"/>
      <c r="O446" s="257"/>
      <c r="P446" s="257"/>
      <c r="Q446" s="257"/>
      <c r="R446" s="257"/>
      <c r="S446" s="257"/>
      <c r="T446" s="257"/>
      <c r="U446" s="257"/>
      <c r="V446" s="320"/>
    </row>
    <row r="447" spans="1:22" s="44" customFormat="1" ht="60" customHeight="1">
      <c r="A447" s="1039"/>
      <c r="B447" s="47"/>
      <c r="C447" s="48"/>
      <c r="D447" s="63" t="s">
        <v>503</v>
      </c>
      <c r="E447" s="59" t="s">
        <v>499</v>
      </c>
      <c r="F447" s="642">
        <v>2318</v>
      </c>
      <c r="G447" s="173"/>
      <c r="H447" s="136">
        <v>43831</v>
      </c>
      <c r="I447" s="136">
        <v>43922</v>
      </c>
      <c r="J447" s="155" t="s">
        <v>1344</v>
      </c>
      <c r="K447" s="167"/>
      <c r="L447" s="167"/>
      <c r="M447" s="167"/>
      <c r="N447" s="167"/>
      <c r="O447" s="257"/>
      <c r="P447" s="257"/>
      <c r="Q447" s="257"/>
      <c r="R447" s="257"/>
      <c r="S447" s="257"/>
      <c r="T447" s="257"/>
      <c r="U447" s="257"/>
      <c r="V447" s="320"/>
    </row>
    <row r="448" spans="1:22" s="44" customFormat="1" ht="60" customHeight="1">
      <c r="A448" s="1039"/>
      <c r="B448" s="47"/>
      <c r="C448" s="48" t="str">
        <f>+'4. Procurement Plan'!I105</f>
        <v xml:space="preserve">20-1511b </v>
      </c>
      <c r="D448" s="59" t="s">
        <v>589</v>
      </c>
      <c r="E448" s="59" t="s">
        <v>500</v>
      </c>
      <c r="F448" s="642">
        <v>2142.86</v>
      </c>
      <c r="G448" s="173"/>
      <c r="H448" s="136">
        <v>43862</v>
      </c>
      <c r="I448" s="136">
        <v>43891</v>
      </c>
      <c r="J448" s="155" t="s">
        <v>1344</v>
      </c>
      <c r="K448" s="51"/>
      <c r="L448" s="167"/>
      <c r="M448" s="167"/>
      <c r="N448" s="147"/>
      <c r="O448" s="257"/>
      <c r="P448" s="257"/>
      <c r="Q448" s="257"/>
      <c r="R448" s="257"/>
      <c r="S448" s="257"/>
      <c r="T448" s="257"/>
      <c r="U448" s="257"/>
      <c r="V448" s="320"/>
    </row>
    <row r="449" spans="1:22" s="44" customFormat="1" ht="60" customHeight="1">
      <c r="A449" s="1039"/>
      <c r="B449" s="47"/>
      <c r="C449" s="48" t="e">
        <f>+'4. Procurement Plan'!#REF!</f>
        <v>#REF!</v>
      </c>
      <c r="D449" s="59" t="s">
        <v>590</v>
      </c>
      <c r="E449" s="59" t="s">
        <v>501</v>
      </c>
      <c r="F449" s="642">
        <v>3214.29</v>
      </c>
      <c r="G449" s="173"/>
      <c r="H449" s="136">
        <v>43891</v>
      </c>
      <c r="I449" s="136">
        <v>43941</v>
      </c>
      <c r="J449" s="155" t="s">
        <v>1344</v>
      </c>
      <c r="K449" s="51"/>
      <c r="L449" s="51"/>
      <c r="M449" s="167"/>
      <c r="N449" s="167"/>
      <c r="O449" s="257"/>
      <c r="P449" s="257"/>
      <c r="Q449" s="257"/>
      <c r="R449" s="257"/>
      <c r="S449" s="257"/>
      <c r="T449" s="257"/>
      <c r="U449" s="257"/>
      <c r="V449" s="320"/>
    </row>
    <row r="450" spans="1:22" s="44" customFormat="1" ht="60" customHeight="1">
      <c r="A450" s="1040"/>
      <c r="B450" s="47"/>
      <c r="C450" s="48" t="str">
        <f>+'4. Procurement Plan'!I66</f>
        <v>20-1511c</v>
      </c>
      <c r="D450" s="182"/>
      <c r="E450" s="59" t="s">
        <v>502</v>
      </c>
      <c r="F450" s="642">
        <v>2142.86</v>
      </c>
      <c r="G450" s="173"/>
      <c r="H450" s="136">
        <v>43862</v>
      </c>
      <c r="I450" s="136">
        <v>43941</v>
      </c>
      <c r="J450" s="155" t="s">
        <v>1344</v>
      </c>
      <c r="K450" s="51"/>
      <c r="L450" s="167"/>
      <c r="M450" s="167"/>
      <c r="N450" s="167"/>
      <c r="O450" s="257"/>
      <c r="P450" s="257"/>
      <c r="Q450" s="257"/>
      <c r="R450" s="257"/>
      <c r="S450" s="257"/>
      <c r="T450" s="257"/>
      <c r="U450" s="257"/>
      <c r="V450" s="320"/>
    </row>
    <row r="451" spans="1:22" s="44" customFormat="1" ht="60" customHeight="1">
      <c r="A451" s="261"/>
      <c r="B451" s="1041" t="s">
        <v>591</v>
      </c>
      <c r="C451" s="1042"/>
      <c r="D451" s="1042"/>
      <c r="E451" s="1043"/>
      <c r="F451" s="410">
        <f>SUM(F447:F450)</f>
        <v>9818.01</v>
      </c>
      <c r="G451" s="258"/>
      <c r="H451" s="272"/>
      <c r="I451" s="249"/>
      <c r="J451" s="274"/>
      <c r="K451" s="51"/>
      <c r="L451" s="51"/>
      <c r="M451" s="51"/>
      <c r="N451" s="147"/>
      <c r="O451" s="257"/>
      <c r="P451" s="257"/>
      <c r="Q451" s="257"/>
      <c r="R451" s="257"/>
      <c r="S451" s="257"/>
      <c r="T451" s="257"/>
      <c r="U451" s="257"/>
      <c r="V451" s="320"/>
    </row>
    <row r="452" spans="1:22" s="44" customFormat="1" ht="60" customHeight="1">
      <c r="A452" s="261"/>
      <c r="B452" s="283"/>
      <c r="C452" s="262"/>
      <c r="D452" s="273" t="s">
        <v>505</v>
      </c>
      <c r="E452" s="273" t="s">
        <v>504</v>
      </c>
      <c r="F452" s="410">
        <v>8110.89</v>
      </c>
      <c r="G452" s="258"/>
      <c r="H452" s="249">
        <v>43831</v>
      </c>
      <c r="I452" s="249">
        <v>43891</v>
      </c>
      <c r="J452" s="273" t="s">
        <v>1344</v>
      </c>
      <c r="K452" s="167"/>
      <c r="L452" s="167"/>
      <c r="M452" s="167"/>
      <c r="N452" s="147"/>
      <c r="O452" s="257"/>
      <c r="P452" s="257"/>
      <c r="Q452" s="257"/>
      <c r="R452" s="257"/>
      <c r="S452" s="257"/>
      <c r="T452" s="257"/>
      <c r="U452" s="257"/>
      <c r="V452" s="320"/>
    </row>
    <row r="453" spans="1:22" s="44" customFormat="1" ht="60" customHeight="1">
      <c r="A453" s="162" t="s">
        <v>506</v>
      </c>
      <c r="B453" s="47"/>
      <c r="C453" s="48"/>
      <c r="D453" s="1025" t="s">
        <v>506</v>
      </c>
      <c r="E453" s="155"/>
      <c r="F453" s="642"/>
      <c r="G453" s="173"/>
      <c r="H453" s="136"/>
      <c r="I453" s="136"/>
      <c r="J453" s="180"/>
      <c r="K453" s="51"/>
      <c r="L453" s="51"/>
      <c r="M453" s="51"/>
      <c r="N453" s="147"/>
      <c r="O453" s="257"/>
      <c r="P453" s="257"/>
      <c r="Q453" s="257"/>
      <c r="R453" s="257"/>
      <c r="S453" s="257"/>
      <c r="T453" s="257"/>
      <c r="U453" s="257"/>
      <c r="V453" s="320"/>
    </row>
    <row r="454" spans="1:22" s="44" customFormat="1" ht="60" customHeight="1">
      <c r="A454" s="46"/>
      <c r="B454" s="47"/>
      <c r="C454" s="48"/>
      <c r="D454" s="1026"/>
      <c r="E454" s="155" t="s">
        <v>507</v>
      </c>
      <c r="F454" s="642">
        <v>21428.57</v>
      </c>
      <c r="G454" s="173"/>
      <c r="H454" s="136">
        <v>43831</v>
      </c>
      <c r="I454" s="136">
        <v>44124</v>
      </c>
      <c r="J454" s="155" t="s">
        <v>729</v>
      </c>
      <c r="K454" s="167"/>
      <c r="L454" s="167"/>
      <c r="M454" s="167"/>
      <c r="N454" s="167"/>
      <c r="O454" s="167"/>
      <c r="P454" s="167"/>
      <c r="Q454" s="167"/>
      <c r="R454" s="167"/>
      <c r="S454" s="167"/>
      <c r="T454" s="167"/>
      <c r="U454" s="257"/>
      <c r="V454" s="320"/>
    </row>
    <row r="455" spans="1:22" s="44" customFormat="1" ht="60" customHeight="1">
      <c r="A455" s="46"/>
      <c r="B455" s="368"/>
      <c r="C455" s="369"/>
      <c r="D455" s="617"/>
      <c r="E455" s="532" t="s">
        <v>814</v>
      </c>
      <c r="F455" s="642">
        <v>4263.75</v>
      </c>
      <c r="G455" s="173"/>
      <c r="H455" s="136">
        <v>43922</v>
      </c>
      <c r="I455" s="136">
        <v>43922</v>
      </c>
      <c r="J455" s="155" t="s">
        <v>729</v>
      </c>
      <c r="K455" s="51"/>
      <c r="L455" s="51"/>
      <c r="M455" s="51"/>
      <c r="N455" s="167"/>
      <c r="O455" s="257"/>
      <c r="P455" s="257"/>
      <c r="Q455" s="257"/>
      <c r="R455" s="257"/>
      <c r="S455" s="257"/>
      <c r="T455" s="257"/>
      <c r="U455" s="257"/>
      <c r="V455" s="320"/>
    </row>
    <row r="456" spans="1:22" s="44" customFormat="1" ht="60" customHeight="1">
      <c r="A456" s="46"/>
      <c r="B456" s="368"/>
      <c r="C456" s="369"/>
      <c r="D456" s="617"/>
      <c r="E456" s="533" t="s">
        <v>815</v>
      </c>
      <c r="F456" s="642">
        <v>76128.86</v>
      </c>
      <c r="G456" s="173"/>
      <c r="H456" s="136">
        <v>43831</v>
      </c>
      <c r="I456" s="136">
        <v>43891</v>
      </c>
      <c r="J456" s="155" t="s">
        <v>729</v>
      </c>
      <c r="K456" s="167"/>
      <c r="L456" s="167"/>
      <c r="M456" s="167"/>
      <c r="N456" s="147"/>
      <c r="O456" s="257"/>
      <c r="P456" s="257"/>
      <c r="Q456" s="257"/>
      <c r="R456" s="257"/>
      <c r="S456" s="257"/>
      <c r="T456" s="257"/>
      <c r="U456" s="257"/>
      <c r="V456" s="320"/>
    </row>
    <row r="457" spans="1:22" s="44" customFormat="1" ht="60" customHeight="1">
      <c r="A457" s="46"/>
      <c r="B457" s="368"/>
      <c r="C457" s="369"/>
      <c r="D457" s="617"/>
      <c r="E457" s="532" t="s">
        <v>816</v>
      </c>
      <c r="F457" s="642">
        <v>10537.07</v>
      </c>
      <c r="G457" s="173"/>
      <c r="H457" s="136">
        <v>43971</v>
      </c>
      <c r="I457" s="136">
        <v>43971</v>
      </c>
      <c r="J457" s="155" t="s">
        <v>729</v>
      </c>
      <c r="K457" s="51"/>
      <c r="L457" s="51"/>
      <c r="M457" s="51"/>
      <c r="N457" s="147"/>
      <c r="O457" s="167"/>
      <c r="P457" s="257"/>
      <c r="Q457" s="257"/>
      <c r="R457" s="257"/>
      <c r="S457" s="257"/>
      <c r="T457" s="257"/>
      <c r="U457" s="257"/>
      <c r="V457" s="320"/>
    </row>
    <row r="458" spans="1:22" s="44" customFormat="1" ht="60" customHeight="1">
      <c r="A458" s="46"/>
      <c r="B458" s="368"/>
      <c r="C458" s="369"/>
      <c r="D458" s="617"/>
      <c r="E458" s="533" t="s">
        <v>817</v>
      </c>
      <c r="F458" s="642">
        <v>2842.5</v>
      </c>
      <c r="G458" s="173"/>
      <c r="H458" s="136">
        <v>44044</v>
      </c>
      <c r="I458" s="136">
        <v>44044</v>
      </c>
      <c r="J458" s="155" t="s">
        <v>729</v>
      </c>
      <c r="K458" s="51"/>
      <c r="L458" s="51"/>
      <c r="M458" s="51"/>
      <c r="N458" s="147"/>
      <c r="O458" s="257"/>
      <c r="P458" s="257"/>
      <c r="Q458" s="257"/>
      <c r="R458" s="167"/>
      <c r="S458" s="257"/>
      <c r="T458" s="257"/>
      <c r="U458" s="257"/>
      <c r="V458" s="320"/>
    </row>
    <row r="459" spans="1:22" s="44" customFormat="1" ht="60" customHeight="1">
      <c r="A459" s="46"/>
      <c r="B459" s="368"/>
      <c r="C459" s="369"/>
      <c r="D459" s="617"/>
      <c r="E459" s="533" t="s">
        <v>818</v>
      </c>
      <c r="F459" s="642">
        <v>7106.25</v>
      </c>
      <c r="G459" s="173"/>
      <c r="H459" s="136">
        <v>44013</v>
      </c>
      <c r="I459" s="136">
        <v>44013</v>
      </c>
      <c r="J459" s="155" t="s">
        <v>729</v>
      </c>
      <c r="K459" s="51"/>
      <c r="L459" s="51"/>
      <c r="M459" s="51"/>
      <c r="N459" s="147"/>
      <c r="O459" s="257"/>
      <c r="P459" s="257"/>
      <c r="Q459" s="167"/>
      <c r="R459" s="257"/>
      <c r="S459" s="257"/>
      <c r="T459" s="257"/>
      <c r="U459" s="257"/>
      <c r="V459" s="320"/>
    </row>
    <row r="460" spans="1:22" s="44" customFormat="1" ht="60" customHeight="1">
      <c r="A460" s="46"/>
      <c r="B460" s="368"/>
      <c r="C460" s="369"/>
      <c r="D460" s="617"/>
      <c r="E460" s="533" t="s">
        <v>819</v>
      </c>
      <c r="F460" s="642">
        <v>18335.21</v>
      </c>
      <c r="G460" s="173"/>
      <c r="H460" s="136">
        <v>44013</v>
      </c>
      <c r="I460" s="136">
        <v>44013</v>
      </c>
      <c r="J460" s="155" t="s">
        <v>729</v>
      </c>
      <c r="K460" s="51"/>
      <c r="L460" s="51"/>
      <c r="M460" s="51"/>
      <c r="N460" s="147"/>
      <c r="O460" s="257"/>
      <c r="P460" s="257"/>
      <c r="Q460" s="167"/>
      <c r="R460" s="257"/>
      <c r="S460" s="257"/>
      <c r="T460" s="257"/>
      <c r="U460" s="257"/>
      <c r="V460" s="320"/>
    </row>
    <row r="461" spans="1:22" s="44" customFormat="1" ht="60" customHeight="1">
      <c r="A461" s="46"/>
      <c r="B461" s="368"/>
      <c r="C461" s="369"/>
      <c r="D461" s="1027" t="s">
        <v>730</v>
      </c>
      <c r="E461" s="155" t="s">
        <v>731</v>
      </c>
      <c r="F461" s="642"/>
      <c r="G461" s="173"/>
      <c r="H461" s="136">
        <v>43831</v>
      </c>
      <c r="I461" s="136">
        <v>43831</v>
      </c>
      <c r="J461" s="155" t="s">
        <v>729</v>
      </c>
      <c r="K461" s="167"/>
      <c r="L461" s="51"/>
      <c r="M461" s="51"/>
      <c r="N461" s="147"/>
      <c r="O461" s="257"/>
      <c r="P461" s="257"/>
      <c r="Q461" s="257"/>
      <c r="R461" s="257"/>
      <c r="S461" s="257"/>
      <c r="T461" s="257"/>
      <c r="U461" s="257"/>
      <c r="V461" s="320"/>
    </row>
    <row r="462" spans="1:22" s="44" customFormat="1" ht="60" customHeight="1">
      <c r="A462" s="46"/>
      <c r="B462" s="368"/>
      <c r="C462" s="369"/>
      <c r="D462" s="1028"/>
      <c r="E462" s="155" t="s">
        <v>1343</v>
      </c>
      <c r="F462" s="642">
        <v>35714.29</v>
      </c>
      <c r="G462" s="173"/>
      <c r="H462" s="136" t="s">
        <v>1074</v>
      </c>
      <c r="I462" s="136" t="s">
        <v>1074</v>
      </c>
      <c r="J462" s="155" t="s">
        <v>729</v>
      </c>
      <c r="K462" s="51"/>
      <c r="L462" s="51"/>
      <c r="M462" s="167"/>
      <c r="N462" s="147"/>
      <c r="O462" s="257"/>
      <c r="P462" s="257"/>
      <c r="Q462" s="257"/>
      <c r="R462" s="257"/>
      <c r="S462" s="257"/>
      <c r="T462" s="257"/>
      <c r="U462" s="257"/>
      <c r="V462" s="320"/>
    </row>
    <row r="463" spans="1:22" s="44" customFormat="1" ht="60" customHeight="1">
      <c r="A463" s="46"/>
      <c r="B463" s="368"/>
      <c r="C463" s="369"/>
      <c r="D463" s="1028"/>
      <c r="E463" s="534" t="s">
        <v>821</v>
      </c>
      <c r="F463" s="642">
        <v>35714.29</v>
      </c>
      <c r="G463" s="173"/>
      <c r="H463" s="136">
        <v>43952</v>
      </c>
      <c r="I463" s="136">
        <v>43952</v>
      </c>
      <c r="J463" s="155" t="s">
        <v>729</v>
      </c>
      <c r="K463" s="51"/>
      <c r="L463" s="51"/>
      <c r="M463" s="51"/>
      <c r="N463" s="147"/>
      <c r="O463" s="167"/>
      <c r="P463" s="257"/>
      <c r="Q463" s="257"/>
      <c r="R463" s="257"/>
      <c r="S463" s="257"/>
      <c r="T463" s="257"/>
      <c r="U463" s="257"/>
      <c r="V463" s="320"/>
    </row>
    <row r="464" spans="1:22" s="44" customFormat="1" ht="60" customHeight="1">
      <c r="A464" s="46"/>
      <c r="B464" s="368"/>
      <c r="C464" s="369"/>
      <c r="D464" s="1028"/>
      <c r="E464" s="534" t="s">
        <v>820</v>
      </c>
      <c r="F464" s="642">
        <v>35714.29</v>
      </c>
      <c r="G464" s="173"/>
      <c r="H464" s="136">
        <v>44044</v>
      </c>
      <c r="I464" s="136">
        <v>44044</v>
      </c>
      <c r="J464" s="155" t="s">
        <v>729</v>
      </c>
      <c r="K464" s="51"/>
      <c r="L464" s="51"/>
      <c r="M464" s="51"/>
      <c r="N464" s="147"/>
      <c r="O464" s="257"/>
      <c r="P464" s="257"/>
      <c r="Q464" s="257"/>
      <c r="R464" s="167"/>
      <c r="S464" s="257"/>
      <c r="T464" s="257"/>
      <c r="U464" s="257"/>
      <c r="V464" s="320"/>
    </row>
    <row r="465" spans="1:22" s="44" customFormat="1" ht="60" customHeight="1">
      <c r="A465" s="46"/>
      <c r="B465" s="368"/>
      <c r="C465" s="369"/>
      <c r="D465" s="1028"/>
      <c r="E465" s="535" t="s">
        <v>732</v>
      </c>
      <c r="F465" s="642">
        <v>53571.43</v>
      </c>
      <c r="G465" s="173"/>
      <c r="H465" s="136">
        <v>44105</v>
      </c>
      <c r="I465" s="136">
        <v>44105</v>
      </c>
      <c r="J465" s="155" t="s">
        <v>729</v>
      </c>
      <c r="K465" s="51"/>
      <c r="L465" s="51"/>
      <c r="M465" s="51"/>
      <c r="N465" s="147"/>
      <c r="O465" s="257"/>
      <c r="P465" s="257"/>
      <c r="Q465" s="257"/>
      <c r="R465" s="257"/>
      <c r="S465" s="257"/>
      <c r="T465" s="167"/>
      <c r="U465" s="257"/>
      <c r="V465" s="320"/>
    </row>
    <row r="466" spans="1:22" s="44" customFormat="1" ht="60" customHeight="1">
      <c r="A466" s="46"/>
      <c r="B466" s="368"/>
      <c r="C466" s="369"/>
      <c r="D466" s="1028"/>
      <c r="E466" s="155" t="s">
        <v>822</v>
      </c>
      <c r="F466" s="642">
        <v>17857.14</v>
      </c>
      <c r="G466" s="173"/>
      <c r="H466" s="136">
        <v>44136</v>
      </c>
      <c r="I466" s="136">
        <v>44136</v>
      </c>
      <c r="J466" s="155" t="s">
        <v>729</v>
      </c>
      <c r="K466" s="51"/>
      <c r="L466" s="51"/>
      <c r="M466" s="51"/>
      <c r="N466" s="147"/>
      <c r="O466" s="257"/>
      <c r="P466" s="257"/>
      <c r="Q466" s="257"/>
      <c r="R466" s="257"/>
      <c r="S466" s="257"/>
      <c r="T466" s="257"/>
      <c r="U466" s="167"/>
      <c r="V466" s="320"/>
    </row>
    <row r="467" spans="1:22" s="44" customFormat="1" ht="60" customHeight="1">
      <c r="A467" s="261"/>
      <c r="B467" s="1029" t="s">
        <v>592</v>
      </c>
      <c r="C467" s="1030"/>
      <c r="D467" s="1030"/>
      <c r="E467" s="1031"/>
      <c r="F467" s="410">
        <f>SUM(F454:F466)</f>
        <v>319213.65000000002</v>
      </c>
      <c r="G467" s="258"/>
      <c r="H467" s="249"/>
      <c r="I467" s="249"/>
      <c r="J467" s="355"/>
      <c r="K467" s="51"/>
      <c r="L467" s="51"/>
      <c r="M467" s="51"/>
      <c r="N467" s="147"/>
      <c r="O467" s="257"/>
      <c r="P467" s="257"/>
      <c r="Q467" s="257"/>
      <c r="R467" s="257"/>
      <c r="S467" s="257"/>
      <c r="T467" s="257"/>
      <c r="U467" s="257"/>
      <c r="V467" s="320"/>
    </row>
    <row r="468" spans="1:22" s="44" customFormat="1" ht="60" customHeight="1">
      <c r="A468" s="366"/>
      <c r="B468" s="368"/>
      <c r="C468" s="369"/>
      <c r="D468" s="155" t="s">
        <v>596</v>
      </c>
      <c r="E468" s="155" t="s">
        <v>595</v>
      </c>
      <c r="F468" s="642">
        <v>62381.120000000003</v>
      </c>
      <c r="G468" s="173"/>
      <c r="H468" s="136">
        <v>43952</v>
      </c>
      <c r="I468" s="143">
        <v>44013</v>
      </c>
      <c r="J468" s="155" t="s">
        <v>823</v>
      </c>
      <c r="K468" s="51"/>
      <c r="L468" s="51"/>
      <c r="M468" s="51"/>
      <c r="N468" s="147"/>
      <c r="O468" s="167"/>
      <c r="P468" s="167"/>
      <c r="Q468" s="167"/>
      <c r="R468" s="257"/>
      <c r="S468" s="257"/>
      <c r="T468" s="257"/>
      <c r="U468" s="257"/>
      <c r="V468" s="320"/>
    </row>
    <row r="469" spans="1:22" s="44" customFormat="1" ht="60" customHeight="1">
      <c r="A469" s="261"/>
      <c r="B469" s="1032" t="s">
        <v>594</v>
      </c>
      <c r="C469" s="1033"/>
      <c r="D469" s="1033"/>
      <c r="E469" s="1034"/>
      <c r="F469" s="410">
        <f>SUM(F468)</f>
        <v>62381.120000000003</v>
      </c>
      <c r="G469" s="258"/>
      <c r="H469" s="276"/>
      <c r="I469" s="276"/>
      <c r="J469" s="355"/>
      <c r="K469" s="51"/>
      <c r="L469" s="51"/>
      <c r="M469" s="51"/>
      <c r="N469" s="147"/>
      <c r="O469" s="257"/>
      <c r="P469" s="257"/>
      <c r="Q469" s="257"/>
      <c r="R469" s="257"/>
      <c r="S469" s="257"/>
      <c r="T469" s="257"/>
      <c r="U469" s="257"/>
      <c r="V469" s="320"/>
    </row>
    <row r="470" spans="1:22" s="44" customFormat="1" ht="60" customHeight="1">
      <c r="A470" s="46"/>
      <c r="B470" s="47"/>
      <c r="C470" s="48"/>
      <c r="D470" s="290" t="s">
        <v>509</v>
      </c>
      <c r="E470" s="182" t="s">
        <v>508</v>
      </c>
      <c r="F470" s="642">
        <v>38937.550000000003</v>
      </c>
      <c r="G470" s="173"/>
      <c r="H470" s="136">
        <v>43831</v>
      </c>
      <c r="I470" s="136">
        <v>44166</v>
      </c>
      <c r="J470" s="155" t="s">
        <v>823</v>
      </c>
      <c r="K470" s="167"/>
      <c r="L470" s="167"/>
      <c r="M470" s="167"/>
      <c r="N470" s="167"/>
      <c r="O470" s="167"/>
      <c r="P470" s="167"/>
      <c r="Q470" s="167"/>
      <c r="R470" s="167"/>
      <c r="S470" s="167"/>
      <c r="T470" s="167"/>
      <c r="U470" s="167"/>
      <c r="V470" s="167"/>
    </row>
    <row r="471" spans="1:22" s="44" customFormat="1" ht="60" customHeight="1">
      <c r="A471" s="1022" t="s">
        <v>593</v>
      </c>
      <c r="B471" s="1023"/>
      <c r="C471" s="1023"/>
      <c r="D471" s="1023"/>
      <c r="E471" s="1024"/>
      <c r="F471" s="797">
        <f>+F470+F469+F467+F452+F451</f>
        <v>438461.22000000009</v>
      </c>
      <c r="G471" s="282"/>
      <c r="H471" s="256"/>
      <c r="I471" s="256"/>
      <c r="J471" s="278"/>
      <c r="K471" s="51"/>
      <c r="L471" s="51"/>
      <c r="M471" s="51"/>
      <c r="N471" s="147"/>
      <c r="O471" s="257"/>
      <c r="P471" s="257"/>
      <c r="Q471" s="257"/>
      <c r="R471" s="257"/>
      <c r="S471" s="257"/>
      <c r="T471" s="257"/>
      <c r="U471" s="257"/>
      <c r="V471" s="320"/>
    </row>
    <row r="472" spans="1:22" s="44" customFormat="1" ht="60" customHeight="1">
      <c r="A472" s="237" t="s">
        <v>267</v>
      </c>
      <c r="B472" s="338"/>
      <c r="C472" s="24"/>
      <c r="D472" s="25"/>
      <c r="E472" s="25"/>
      <c r="F472" s="642"/>
      <c r="G472" s="173"/>
      <c r="H472" s="25"/>
      <c r="I472" s="25"/>
      <c r="J472" s="25"/>
      <c r="K472" s="51"/>
      <c r="L472" s="51"/>
      <c r="M472" s="51"/>
      <c r="N472" s="147"/>
      <c r="O472" s="257"/>
      <c r="P472" s="257"/>
      <c r="Q472" s="257"/>
      <c r="R472" s="257"/>
      <c r="S472" s="257"/>
      <c r="T472" s="257"/>
      <c r="U472" s="257"/>
      <c r="V472" s="320"/>
    </row>
    <row r="473" spans="1:22" s="44" customFormat="1" ht="60" customHeight="1">
      <c r="A473" s="46"/>
      <c r="B473" s="47"/>
      <c r="C473" s="226" t="str">
        <f>+'4. Procurement Plan'!I68</f>
        <v>20-1611a</v>
      </c>
      <c r="D473" s="155" t="s">
        <v>603</v>
      </c>
      <c r="E473" s="183" t="s">
        <v>483</v>
      </c>
      <c r="F473" s="642">
        <v>10239.94</v>
      </c>
      <c r="G473" s="173"/>
      <c r="H473" s="136">
        <v>43831</v>
      </c>
      <c r="I473" s="136">
        <v>44166</v>
      </c>
      <c r="J473" s="156" t="s">
        <v>517</v>
      </c>
      <c r="K473" s="167"/>
      <c r="L473" s="167"/>
      <c r="M473" s="167"/>
      <c r="N473" s="167"/>
      <c r="O473" s="167"/>
      <c r="P473" s="167"/>
      <c r="Q473" s="167"/>
      <c r="R473" s="167"/>
      <c r="S473" s="167"/>
      <c r="T473" s="167"/>
      <c r="U473" s="167"/>
      <c r="V473" s="167"/>
    </row>
    <row r="474" spans="1:22" s="44" customFormat="1" ht="60" customHeight="1">
      <c r="A474" s="46"/>
      <c r="B474" s="47"/>
      <c r="C474" s="48"/>
      <c r="D474" s="184" t="s">
        <v>510</v>
      </c>
      <c r="E474" s="184" t="s">
        <v>511</v>
      </c>
      <c r="F474" s="642">
        <v>139759.26</v>
      </c>
      <c r="G474" s="173"/>
      <c r="H474" s="136">
        <v>43831</v>
      </c>
      <c r="I474" s="136">
        <v>44166</v>
      </c>
      <c r="J474" s="156" t="s">
        <v>517</v>
      </c>
      <c r="K474" s="167"/>
      <c r="L474" s="167"/>
      <c r="M474" s="167"/>
      <c r="N474" s="167"/>
      <c r="O474" s="167"/>
      <c r="P474" s="167"/>
      <c r="Q474" s="167"/>
      <c r="R474" s="167"/>
      <c r="S474" s="167"/>
      <c r="T474" s="167"/>
      <c r="U474" s="167"/>
      <c r="V474" s="167"/>
    </row>
    <row r="475" spans="1:22" s="44" customFormat="1" ht="60" customHeight="1">
      <c r="A475" s="46"/>
      <c r="B475" s="47"/>
      <c r="C475" s="48" t="e">
        <f>+#REF!</f>
        <v>#REF!</v>
      </c>
      <c r="D475" s="156"/>
      <c r="E475" s="155" t="s">
        <v>512</v>
      </c>
      <c r="F475" s="642"/>
      <c r="G475" s="173"/>
      <c r="H475" s="136">
        <v>43831</v>
      </c>
      <c r="I475" s="136">
        <v>43831</v>
      </c>
      <c r="J475" s="156" t="s">
        <v>517</v>
      </c>
      <c r="K475" s="51"/>
      <c r="L475" s="51"/>
      <c r="M475" s="51"/>
      <c r="N475" s="147"/>
      <c r="O475" s="257"/>
      <c r="P475" s="257"/>
      <c r="Q475" s="257"/>
      <c r="R475" s="257"/>
      <c r="S475" s="257"/>
      <c r="T475" s="257"/>
      <c r="U475" s="257"/>
      <c r="V475" s="320"/>
    </row>
    <row r="476" spans="1:22" s="44" customFormat="1" ht="60" customHeight="1">
      <c r="A476" s="46"/>
      <c r="B476" s="47"/>
      <c r="C476" s="48" t="str">
        <f>+'4. Procurement Plan'!I106</f>
        <v>20-1611b</v>
      </c>
      <c r="D476" s="156" t="s">
        <v>513</v>
      </c>
      <c r="E476" s="183" t="s">
        <v>514</v>
      </c>
      <c r="F476" s="642">
        <v>1785.71</v>
      </c>
      <c r="G476" s="173"/>
      <c r="H476" s="136">
        <v>43831</v>
      </c>
      <c r="I476" s="136">
        <v>43922</v>
      </c>
      <c r="J476" s="156" t="s">
        <v>517</v>
      </c>
      <c r="K476" s="167"/>
      <c r="L476" s="167"/>
      <c r="M476" s="167"/>
      <c r="N476" s="167"/>
      <c r="O476" s="257"/>
      <c r="P476" s="257"/>
      <c r="Q476" s="257"/>
      <c r="R476" s="257"/>
      <c r="S476" s="257"/>
      <c r="T476" s="257"/>
      <c r="U476" s="257"/>
      <c r="V476" s="320"/>
    </row>
    <row r="477" spans="1:22" s="44" customFormat="1" ht="60" customHeight="1">
      <c r="A477" s="46"/>
      <c r="B477" s="47"/>
      <c r="C477" s="226" t="str">
        <f>+'4. Procurement Plan'!I108</f>
        <v>20-1611b(ii)</v>
      </c>
      <c r="D477" s="156" t="s">
        <v>515</v>
      </c>
      <c r="E477" s="183" t="s">
        <v>511</v>
      </c>
      <c r="F477" s="642">
        <v>78740.05</v>
      </c>
      <c r="G477" s="173"/>
      <c r="H477" s="136">
        <v>43831</v>
      </c>
      <c r="I477" s="136">
        <v>44166</v>
      </c>
      <c r="J477" s="156" t="s">
        <v>517</v>
      </c>
      <c r="K477" s="167"/>
      <c r="L477" s="167"/>
      <c r="M477" s="167"/>
      <c r="N477" s="167"/>
      <c r="O477" s="167"/>
      <c r="P477" s="167"/>
      <c r="Q477" s="167"/>
      <c r="R477" s="167"/>
      <c r="S477" s="167"/>
      <c r="T477" s="167"/>
      <c r="U477" s="167"/>
      <c r="V477" s="167"/>
    </row>
    <row r="478" spans="1:22" s="44" customFormat="1" ht="60" customHeight="1">
      <c r="A478" s="46"/>
      <c r="B478" s="47"/>
      <c r="C478" s="48"/>
      <c r="D478" s="156" t="s">
        <v>324</v>
      </c>
      <c r="E478" s="184" t="s">
        <v>516</v>
      </c>
      <c r="F478" s="642">
        <v>15985.71</v>
      </c>
      <c r="G478" s="173"/>
      <c r="H478" s="136">
        <v>44013</v>
      </c>
      <c r="I478" s="136">
        <v>44013</v>
      </c>
      <c r="J478" s="156" t="s">
        <v>518</v>
      </c>
      <c r="K478" s="51"/>
      <c r="L478" s="51"/>
      <c r="M478" s="51"/>
      <c r="N478" s="147"/>
      <c r="O478" s="257"/>
      <c r="P478" s="257"/>
      <c r="Q478" s="167"/>
      <c r="R478" s="257"/>
      <c r="S478" s="257"/>
      <c r="T478" s="257"/>
      <c r="U478" s="257"/>
      <c r="V478" s="320"/>
    </row>
    <row r="479" spans="1:22" s="44" customFormat="1" ht="60" customHeight="1">
      <c r="A479" s="46"/>
      <c r="B479" s="47"/>
      <c r="C479" s="48"/>
      <c r="D479" s="184" t="s">
        <v>824</v>
      </c>
      <c r="E479" s="184" t="s">
        <v>824</v>
      </c>
      <c r="F479" s="642">
        <v>441164.96</v>
      </c>
      <c r="G479" s="173"/>
      <c r="H479" s="136">
        <v>43831</v>
      </c>
      <c r="I479" s="136">
        <v>44166</v>
      </c>
      <c r="J479" s="156" t="s">
        <v>518</v>
      </c>
      <c r="K479" s="167"/>
      <c r="L479" s="167"/>
      <c r="M479" s="167"/>
      <c r="N479" s="167"/>
      <c r="O479" s="167"/>
      <c r="P479" s="167"/>
      <c r="Q479" s="167"/>
      <c r="R479" s="167"/>
      <c r="S479" s="167"/>
      <c r="T479" s="167"/>
      <c r="U479" s="167"/>
      <c r="V479" s="167"/>
    </row>
    <row r="480" spans="1:22" s="44" customFormat="1" ht="60" customHeight="1">
      <c r="A480" s="1022" t="s">
        <v>597</v>
      </c>
      <c r="B480" s="1023"/>
      <c r="C480" s="1023"/>
      <c r="D480" s="1023"/>
      <c r="E480" s="1024"/>
      <c r="F480" s="797">
        <f>SUM(F473:F479)</f>
        <v>687675.63</v>
      </c>
      <c r="G480" s="282"/>
      <c r="H480" s="277"/>
      <c r="I480" s="277"/>
      <c r="J480" s="568"/>
      <c r="K480" s="51"/>
      <c r="L480" s="51"/>
      <c r="M480" s="51"/>
      <c r="N480" s="147"/>
      <c r="O480" s="257"/>
      <c r="P480" s="257"/>
      <c r="Q480" s="257"/>
      <c r="R480" s="257"/>
      <c r="S480" s="257"/>
      <c r="T480" s="257"/>
      <c r="U480" s="257"/>
      <c r="V480" s="320"/>
    </row>
    <row r="481" spans="1:22" s="44" customFormat="1" ht="60" customHeight="1">
      <c r="A481" s="612" t="s">
        <v>331</v>
      </c>
      <c r="B481" s="612"/>
      <c r="C481" s="612"/>
      <c r="D481" s="612"/>
      <c r="E481" s="613"/>
      <c r="F481" s="797">
        <v>226273</v>
      </c>
      <c r="G481" s="282"/>
      <c r="H481" s="277"/>
      <c r="I481" s="277"/>
      <c r="J481" s="568"/>
      <c r="K481" s="51"/>
      <c r="L481" s="167"/>
      <c r="M481" s="51"/>
      <c r="N481" s="147"/>
      <c r="O481" s="257"/>
      <c r="P481" s="257"/>
      <c r="Q481" s="257"/>
      <c r="R481" s="257"/>
      <c r="S481" s="257"/>
      <c r="T481" s="257"/>
      <c r="U481" s="257"/>
      <c r="V481" s="320"/>
    </row>
    <row r="482" spans="1:22" s="44" customFormat="1" ht="60" customHeight="1">
      <c r="A482" s="363" t="s">
        <v>598</v>
      </c>
      <c r="B482" s="363"/>
      <c r="C482" s="363"/>
      <c r="D482" s="363"/>
      <c r="E482" s="363"/>
      <c r="F482" s="810">
        <f>+F481+F480+F471+F445+F420+F143+F111</f>
        <v>7393517.9199999999</v>
      </c>
      <c r="G482" s="700"/>
      <c r="H482" s="811"/>
      <c r="I482" s="812"/>
      <c r="J482" s="813"/>
      <c r="K482" s="814"/>
      <c r="L482" s="814"/>
      <c r="M482" s="814"/>
      <c r="N482" s="680"/>
      <c r="O482" s="815"/>
      <c r="P482" s="815"/>
      <c r="Q482" s="815"/>
      <c r="R482" s="815"/>
      <c r="S482" s="815"/>
      <c r="T482" s="815"/>
      <c r="U482" s="815"/>
      <c r="V482" s="816"/>
    </row>
    <row r="483" spans="1:22">
      <c r="A483" s="362"/>
      <c r="B483" s="362"/>
      <c r="C483" s="362"/>
      <c r="D483" s="362"/>
      <c r="E483" s="362"/>
      <c r="F483" s="364"/>
      <c r="G483" s="362"/>
      <c r="H483" s="362"/>
      <c r="I483" s="362"/>
      <c r="J483" s="362"/>
      <c r="K483" s="362"/>
      <c r="L483" s="362"/>
      <c r="M483" s="362"/>
      <c r="N483" s="362"/>
      <c r="O483" s="362"/>
      <c r="P483" s="362"/>
      <c r="Q483" s="362"/>
      <c r="R483" s="362"/>
      <c r="S483" s="362"/>
      <c r="T483" s="362"/>
      <c r="U483" s="362"/>
      <c r="V483" s="362"/>
    </row>
    <row r="484" spans="1:22">
      <c r="A484" s="362"/>
      <c r="B484" s="362"/>
      <c r="C484" s="362"/>
      <c r="D484" s="362"/>
      <c r="E484" s="362"/>
      <c r="F484" s="365"/>
      <c r="G484" s="362"/>
      <c r="H484" s="362"/>
      <c r="I484" s="362"/>
      <c r="J484" s="362"/>
      <c r="K484" s="362"/>
      <c r="L484" s="362"/>
      <c r="M484" s="362"/>
      <c r="N484" s="362"/>
      <c r="O484" s="362"/>
      <c r="P484" s="362"/>
      <c r="Q484" s="362"/>
      <c r="R484" s="362"/>
      <c r="S484" s="362"/>
      <c r="T484" s="362"/>
      <c r="U484" s="362"/>
      <c r="V484" s="362"/>
    </row>
    <row r="485" spans="1:22">
      <c r="F485" s="227"/>
    </row>
    <row r="486" spans="1:22">
      <c r="F486" s="227"/>
    </row>
    <row r="487" spans="1:22">
      <c r="F487" s="227"/>
    </row>
    <row r="488" spans="1:22">
      <c r="F488" s="370"/>
    </row>
    <row r="489" spans="1:22">
      <c r="F489" s="567"/>
    </row>
    <row r="490" spans="1:22">
      <c r="E490" s="382"/>
      <c r="F490" s="384"/>
    </row>
    <row r="491" spans="1:22">
      <c r="E491" s="370"/>
    </row>
    <row r="493" spans="1:22">
      <c r="E493" s="370"/>
    </row>
  </sheetData>
  <mergeCells count="198">
    <mergeCell ref="J105:J110"/>
    <mergeCell ref="A134:A138"/>
    <mergeCell ref="A131:A133"/>
    <mergeCell ref="A122:A125"/>
    <mergeCell ref="B110:E110"/>
    <mergeCell ref="A111:E111"/>
    <mergeCell ref="A29:E29"/>
    <mergeCell ref="A30:A37"/>
    <mergeCell ref="B42:E42"/>
    <mergeCell ref="B126:E126"/>
    <mergeCell ref="A38:E38"/>
    <mergeCell ref="B54:E54"/>
    <mergeCell ref="D40:D41"/>
    <mergeCell ref="D80:D82"/>
    <mergeCell ref="D84:D87"/>
    <mergeCell ref="D94:D96"/>
    <mergeCell ref="A43:A47"/>
    <mergeCell ref="A49:A50"/>
    <mergeCell ref="B48:E48"/>
    <mergeCell ref="A51:A52"/>
    <mergeCell ref="D51:D52"/>
    <mergeCell ref="D49:D50"/>
    <mergeCell ref="D35:D37"/>
    <mergeCell ref="B103:E103"/>
    <mergeCell ref="K5:V5"/>
    <mergeCell ref="A7:V7"/>
    <mergeCell ref="A20:A27"/>
    <mergeCell ref="D32:D34"/>
    <mergeCell ref="G5:I5"/>
    <mergeCell ref="A15:A16"/>
    <mergeCell ref="A14:E14"/>
    <mergeCell ref="D17:E17"/>
    <mergeCell ref="A19:E19"/>
    <mergeCell ref="D22:D23"/>
    <mergeCell ref="D24:D27"/>
    <mergeCell ref="D12:D13"/>
    <mergeCell ref="J24:J25"/>
    <mergeCell ref="A12:A13"/>
    <mergeCell ref="J26:J28"/>
    <mergeCell ref="J22:J23"/>
    <mergeCell ref="A79:A99"/>
    <mergeCell ref="D163:D167"/>
    <mergeCell ref="B141:E141"/>
    <mergeCell ref="D146:D147"/>
    <mergeCell ref="D148:D152"/>
    <mergeCell ref="A149:A152"/>
    <mergeCell ref="D153:E153"/>
    <mergeCell ref="D55:D62"/>
    <mergeCell ref="D63:D67"/>
    <mergeCell ref="D68:D75"/>
    <mergeCell ref="A55:A75"/>
    <mergeCell ref="D97:D100"/>
    <mergeCell ref="A104:A110"/>
    <mergeCell ref="A112:V112"/>
    <mergeCell ref="A78:E78"/>
    <mergeCell ref="A113:A121"/>
    <mergeCell ref="A127:A130"/>
    <mergeCell ref="B125:E125"/>
    <mergeCell ref="B130:E130"/>
    <mergeCell ref="B138:E138"/>
    <mergeCell ref="B121:E121"/>
    <mergeCell ref="B76:E76"/>
    <mergeCell ref="D105:D109"/>
    <mergeCell ref="D114:D120"/>
    <mergeCell ref="B101:E101"/>
    <mergeCell ref="A144:V144"/>
    <mergeCell ref="C199:E199"/>
    <mergeCell ref="A200:A205"/>
    <mergeCell ref="D200:D205"/>
    <mergeCell ref="D206:E206"/>
    <mergeCell ref="A207:A214"/>
    <mergeCell ref="D207:D214"/>
    <mergeCell ref="A188:A195"/>
    <mergeCell ref="D188:D195"/>
    <mergeCell ref="D196:E196"/>
    <mergeCell ref="A197:A198"/>
    <mergeCell ref="D197:D198"/>
    <mergeCell ref="D168:E168"/>
    <mergeCell ref="A169:A173"/>
    <mergeCell ref="D169:D173"/>
    <mergeCell ref="D174:E174"/>
    <mergeCell ref="A180:A187"/>
    <mergeCell ref="D180:D186"/>
    <mergeCell ref="D187:E187"/>
    <mergeCell ref="A154:A155"/>
    <mergeCell ref="D156:E156"/>
    <mergeCell ref="A157:A161"/>
    <mergeCell ref="D162:E162"/>
    <mergeCell ref="A163:A167"/>
    <mergeCell ref="D236:E236"/>
    <mergeCell ref="A237:A244"/>
    <mergeCell ref="D237:D244"/>
    <mergeCell ref="D245:E245"/>
    <mergeCell ref="A246:A251"/>
    <mergeCell ref="D246:D250"/>
    <mergeCell ref="C251:E251"/>
    <mergeCell ref="D215:E215"/>
    <mergeCell ref="A216:A222"/>
    <mergeCell ref="D216:D222"/>
    <mergeCell ref="D223:E223"/>
    <mergeCell ref="A225:E225"/>
    <mergeCell ref="A263:A264"/>
    <mergeCell ref="D263:D264"/>
    <mergeCell ref="D265:E265"/>
    <mergeCell ref="A266:A269"/>
    <mergeCell ref="D266:D268"/>
    <mergeCell ref="A252:C252"/>
    <mergeCell ref="A253:A257"/>
    <mergeCell ref="D253:D256"/>
    <mergeCell ref="B257:E257"/>
    <mergeCell ref="A258:A262"/>
    <mergeCell ref="D258:D261"/>
    <mergeCell ref="C262:E262"/>
    <mergeCell ref="A294:A295"/>
    <mergeCell ref="D294:D295"/>
    <mergeCell ref="A297:A302"/>
    <mergeCell ref="D302:E302"/>
    <mergeCell ref="D296:E296"/>
    <mergeCell ref="A270:A272"/>
    <mergeCell ref="D279:E279"/>
    <mergeCell ref="B281:E281"/>
    <mergeCell ref="C290:E290"/>
    <mergeCell ref="A291:A293"/>
    <mergeCell ref="D291:D292"/>
    <mergeCell ref="D293:E293"/>
    <mergeCell ref="A311:A312"/>
    <mergeCell ref="C313:E313"/>
    <mergeCell ref="A314:A315"/>
    <mergeCell ref="D316:E316"/>
    <mergeCell ref="A317:A320"/>
    <mergeCell ref="D320:E320"/>
    <mergeCell ref="A303:A305"/>
    <mergeCell ref="D303:D305"/>
    <mergeCell ref="D306:E306"/>
    <mergeCell ref="A307:A309"/>
    <mergeCell ref="D310:E310"/>
    <mergeCell ref="A329:A331"/>
    <mergeCell ref="D329:D330"/>
    <mergeCell ref="D331:E331"/>
    <mergeCell ref="A332:A335"/>
    <mergeCell ref="D332:D335"/>
    <mergeCell ref="A321:A324"/>
    <mergeCell ref="D321:D323"/>
    <mergeCell ref="D324:E324"/>
    <mergeCell ref="A325:A328"/>
    <mergeCell ref="D325:D327"/>
    <mergeCell ref="D328:E328"/>
    <mergeCell ref="D351:D353"/>
    <mergeCell ref="D354:E354"/>
    <mergeCell ref="C361:E361"/>
    <mergeCell ref="D362:D364"/>
    <mergeCell ref="D365:E365"/>
    <mergeCell ref="D336:E336"/>
    <mergeCell ref="D344:D345"/>
    <mergeCell ref="D347:E347"/>
    <mergeCell ref="D348:D349"/>
    <mergeCell ref="D350:E350"/>
    <mergeCell ref="D374:E374"/>
    <mergeCell ref="A375:A378"/>
    <mergeCell ref="D379:E379"/>
    <mergeCell ref="A380:A384"/>
    <mergeCell ref="D380:D383"/>
    <mergeCell ref="D384:E384"/>
    <mergeCell ref="A366:A370"/>
    <mergeCell ref="D366:D369"/>
    <mergeCell ref="D370:E370"/>
    <mergeCell ref="A371:A373"/>
    <mergeCell ref="D371:D373"/>
    <mergeCell ref="D400:E400"/>
    <mergeCell ref="D408:E408"/>
    <mergeCell ref="A409:A411"/>
    <mergeCell ref="D409:D411"/>
    <mergeCell ref="D412:E412"/>
    <mergeCell ref="A385:A388"/>
    <mergeCell ref="D385:D388"/>
    <mergeCell ref="D389:E389"/>
    <mergeCell ref="A390:A393"/>
    <mergeCell ref="D394:E394"/>
    <mergeCell ref="D425:E425"/>
    <mergeCell ref="A426:A427"/>
    <mergeCell ref="D428:D434"/>
    <mergeCell ref="D435:E435"/>
    <mergeCell ref="D436:D441"/>
    <mergeCell ref="D413:D415"/>
    <mergeCell ref="D416:E416"/>
    <mergeCell ref="A418:A419"/>
    <mergeCell ref="C420:E420"/>
    <mergeCell ref="D422:D424"/>
    <mergeCell ref="A480:E480"/>
    <mergeCell ref="D453:D454"/>
    <mergeCell ref="D461:D466"/>
    <mergeCell ref="B467:E467"/>
    <mergeCell ref="B469:E469"/>
    <mergeCell ref="A471:E471"/>
    <mergeCell ref="C442:E442"/>
    <mergeCell ref="C445:E445"/>
    <mergeCell ref="A446:A450"/>
    <mergeCell ref="B451:E451"/>
  </mergeCells>
  <printOptions gridLines="1"/>
  <pageMargins left="0.7" right="0.7" top="0.75" bottom="0.75" header="0.3" footer="0.3"/>
  <pageSetup paperSize="5" scale="7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11"/>
  <sheetViews>
    <sheetView tabSelected="1" workbookViewId="0">
      <pane ySplit="7" topLeftCell="A8" activePane="bottomLeft" state="frozen"/>
      <selection pane="bottomLeft" activeCell="T94" sqref="T94"/>
    </sheetView>
  </sheetViews>
  <sheetFormatPr defaultColWidth="5.875" defaultRowHeight="12.75"/>
  <cols>
    <col min="1" max="1" width="7.5" style="52" customWidth="1"/>
    <col min="2" max="2" width="8.5" style="52" hidden="1" customWidth="1"/>
    <col min="3" max="3" width="13" style="52" hidden="1" customWidth="1"/>
    <col min="4" max="4" width="7.375" style="52" hidden="1" customWidth="1"/>
    <col min="5" max="5" width="35.375" style="52" customWidth="1"/>
    <col min="6" max="6" width="12.625" style="52" hidden="1" customWidth="1"/>
    <col min="7" max="7" width="17" style="52" customWidth="1"/>
    <col min="8" max="8" width="7.875" style="52" customWidth="1"/>
    <col min="9" max="9" width="7.625" style="52" customWidth="1"/>
    <col min="10" max="10" width="21.625" style="52" customWidth="1"/>
    <col min="11" max="11" width="11.125" style="52" customWidth="1"/>
    <col min="12" max="12" width="10.875" style="52" customWidth="1"/>
    <col min="13" max="13" width="10.875" style="55" customWidth="1"/>
    <col min="14" max="14" width="11.5" style="52" customWidth="1"/>
    <col min="15" max="15" width="10.5" style="52" customWidth="1"/>
    <col min="16" max="16" width="9.125" style="52" bestFit="1" customWidth="1"/>
    <col min="17" max="17" width="8.625" style="52" bestFit="1" customWidth="1"/>
    <col min="18" max="18" width="12.125" style="52" customWidth="1"/>
    <col min="19" max="19" width="10.375" style="52" customWidth="1"/>
    <col min="20" max="20" width="8.5" style="52" customWidth="1"/>
    <col min="21" max="21" width="10.375" style="52" customWidth="1"/>
    <col min="22" max="22" width="9.125" style="52" customWidth="1"/>
    <col min="23" max="23" width="8.625" style="52" bestFit="1" customWidth="1"/>
    <col min="24" max="24" width="8.625" style="52" customWidth="1"/>
    <col min="25" max="25" width="7.625" style="52" customWidth="1"/>
    <col min="26" max="26" width="14" style="52" customWidth="1"/>
    <col min="27" max="27" width="7.875" style="52" bestFit="1" customWidth="1"/>
    <col min="28" max="28" width="8" style="52" customWidth="1"/>
    <col min="29" max="29" width="7.875" style="52" bestFit="1" customWidth="1"/>
    <col min="30" max="30" width="8.375" style="52" customWidth="1"/>
    <col min="31" max="31" width="8" style="52" bestFit="1" customWidth="1"/>
    <col min="32" max="32" width="10.375" style="52" customWidth="1"/>
    <col min="33" max="33" width="11.625" style="52" bestFit="1" customWidth="1"/>
    <col min="34" max="34" width="10.375" style="52" customWidth="1"/>
    <col min="35" max="35" width="8" style="52" bestFit="1" customWidth="1"/>
    <col min="36" max="36" width="7.875" style="52" bestFit="1" customWidth="1"/>
    <col min="37" max="39" width="8.125" style="52" customWidth="1"/>
    <col min="40" max="40" width="14" style="52" customWidth="1"/>
    <col min="41" max="41" width="8.125" style="52" customWidth="1"/>
    <col min="42" max="42" width="33.625" style="52" hidden="1" customWidth="1"/>
    <col min="43" max="43" width="25.625" style="52" hidden="1" customWidth="1"/>
    <col min="44" max="256" width="5.875" style="52"/>
    <col min="257" max="257" width="13" style="52" bestFit="1" customWidth="1"/>
    <col min="258" max="258" width="14.875" style="52" customWidth="1"/>
    <col min="259" max="259" width="13" style="52" customWidth="1"/>
    <col min="260" max="260" width="11.125" style="52" bestFit="1" customWidth="1"/>
    <col min="261" max="261" width="14.375" style="52" customWidth="1"/>
    <col min="262" max="262" width="12.625" style="52" bestFit="1" customWidth="1"/>
    <col min="263" max="263" width="25.625" style="52" customWidth="1"/>
    <col min="264" max="264" width="11.125" style="52" customWidth="1"/>
    <col min="265" max="265" width="26.375" style="52" customWidth="1"/>
    <col min="266" max="266" width="23.875" style="52" customWidth="1"/>
    <col min="267" max="267" width="11.125" style="52" customWidth="1"/>
    <col min="268" max="269" width="10.875" style="52" customWidth="1"/>
    <col min="270" max="270" width="11.5" style="52" customWidth="1"/>
    <col min="271" max="271" width="10.5" style="52" customWidth="1"/>
    <col min="272" max="272" width="8" style="52" customWidth="1"/>
    <col min="273" max="273" width="7.375" style="52" customWidth="1"/>
    <col min="274" max="274" width="8.125" style="52" customWidth="1"/>
    <col min="275" max="275" width="7.625" style="52" customWidth="1"/>
    <col min="276" max="277" width="8.5" style="52" customWidth="1"/>
    <col min="278" max="278" width="9.125" style="52" customWidth="1"/>
    <col min="279" max="279" width="7.875" style="52" customWidth="1"/>
    <col min="280" max="280" width="8.625" style="52" customWidth="1"/>
    <col min="281" max="281" width="7.625" style="52" customWidth="1"/>
    <col min="282" max="282" width="8" style="52" customWidth="1"/>
    <col min="283" max="283" width="6.375" style="52" customWidth="1"/>
    <col min="284" max="284" width="8" style="52" customWidth="1"/>
    <col min="285" max="285" width="6.375" style="52" customWidth="1"/>
    <col min="286" max="286" width="8.375" style="52" customWidth="1"/>
    <col min="287" max="287" width="6.375" style="52" customWidth="1"/>
    <col min="288" max="288" width="10.375" style="52" customWidth="1"/>
    <col min="289" max="289" width="16.5" style="52" customWidth="1"/>
    <col min="290" max="290" width="10.375" style="52" customWidth="1"/>
    <col min="291" max="291" width="6" style="52" bestFit="1" customWidth="1"/>
    <col min="292" max="292" width="5.875" style="52"/>
    <col min="293" max="297" width="8.125" style="52" customWidth="1"/>
    <col min="298" max="299" width="0" style="52" hidden="1" customWidth="1"/>
    <col min="300" max="512" width="5.875" style="52"/>
    <col min="513" max="513" width="13" style="52" bestFit="1" customWidth="1"/>
    <col min="514" max="514" width="14.875" style="52" customWidth="1"/>
    <col min="515" max="515" width="13" style="52" customWidth="1"/>
    <col min="516" max="516" width="11.125" style="52" bestFit="1" customWidth="1"/>
    <col min="517" max="517" width="14.375" style="52" customWidth="1"/>
    <col min="518" max="518" width="12.625" style="52" bestFit="1" customWidth="1"/>
    <col min="519" max="519" width="25.625" style="52" customWidth="1"/>
    <col min="520" max="520" width="11.125" style="52" customWidth="1"/>
    <col min="521" max="521" width="26.375" style="52" customWidth="1"/>
    <col min="522" max="522" width="23.875" style="52" customWidth="1"/>
    <col min="523" max="523" width="11.125" style="52" customWidth="1"/>
    <col min="524" max="525" width="10.875" style="52" customWidth="1"/>
    <col min="526" max="526" width="11.5" style="52" customWidth="1"/>
    <col min="527" max="527" width="10.5" style="52" customWidth="1"/>
    <col min="528" max="528" width="8" style="52" customWidth="1"/>
    <col min="529" max="529" width="7.375" style="52" customWidth="1"/>
    <col min="530" max="530" width="8.125" style="52" customWidth="1"/>
    <col min="531" max="531" width="7.625" style="52" customWidth="1"/>
    <col min="532" max="533" width="8.5" style="52" customWidth="1"/>
    <col min="534" max="534" width="9.125" style="52" customWidth="1"/>
    <col min="535" max="535" width="7.875" style="52" customWidth="1"/>
    <col min="536" max="536" width="8.625" style="52" customWidth="1"/>
    <col min="537" max="537" width="7.625" style="52" customWidth="1"/>
    <col min="538" max="538" width="8" style="52" customWidth="1"/>
    <col min="539" max="539" width="6.375" style="52" customWidth="1"/>
    <col min="540" max="540" width="8" style="52" customWidth="1"/>
    <col min="541" max="541" width="6.375" style="52" customWidth="1"/>
    <col min="542" max="542" width="8.375" style="52" customWidth="1"/>
    <col min="543" max="543" width="6.375" style="52" customWidth="1"/>
    <col min="544" max="544" width="10.375" style="52" customWidth="1"/>
    <col min="545" max="545" width="16.5" style="52" customWidth="1"/>
    <col min="546" max="546" width="10.375" style="52" customWidth="1"/>
    <col min="547" max="547" width="6" style="52" bestFit="1" customWidth="1"/>
    <col min="548" max="548" width="5.875" style="52"/>
    <col min="549" max="553" width="8.125" style="52" customWidth="1"/>
    <col min="554" max="555" width="0" style="52" hidden="1" customWidth="1"/>
    <col min="556" max="768" width="5.875" style="52"/>
    <col min="769" max="769" width="13" style="52" bestFit="1" customWidth="1"/>
    <col min="770" max="770" width="14.875" style="52" customWidth="1"/>
    <col min="771" max="771" width="13" style="52" customWidth="1"/>
    <col min="772" max="772" width="11.125" style="52" bestFit="1" customWidth="1"/>
    <col min="773" max="773" width="14.375" style="52" customWidth="1"/>
    <col min="774" max="774" width="12.625" style="52" bestFit="1" customWidth="1"/>
    <col min="775" max="775" width="25.625" style="52" customWidth="1"/>
    <col min="776" max="776" width="11.125" style="52" customWidth="1"/>
    <col min="777" max="777" width="26.375" style="52" customWidth="1"/>
    <col min="778" max="778" width="23.875" style="52" customWidth="1"/>
    <col min="779" max="779" width="11.125" style="52" customWidth="1"/>
    <col min="780" max="781" width="10.875" style="52" customWidth="1"/>
    <col min="782" max="782" width="11.5" style="52" customWidth="1"/>
    <col min="783" max="783" width="10.5" style="52" customWidth="1"/>
    <col min="784" max="784" width="8" style="52" customWidth="1"/>
    <col min="785" max="785" width="7.375" style="52" customWidth="1"/>
    <col min="786" max="786" width="8.125" style="52" customWidth="1"/>
    <col min="787" max="787" width="7.625" style="52" customWidth="1"/>
    <col min="788" max="789" width="8.5" style="52" customWidth="1"/>
    <col min="790" max="790" width="9.125" style="52" customWidth="1"/>
    <col min="791" max="791" width="7.875" style="52" customWidth="1"/>
    <col min="792" max="792" width="8.625" style="52" customWidth="1"/>
    <col min="793" max="793" width="7.625" style="52" customWidth="1"/>
    <col min="794" max="794" width="8" style="52" customWidth="1"/>
    <col min="795" max="795" width="6.375" style="52" customWidth="1"/>
    <col min="796" max="796" width="8" style="52" customWidth="1"/>
    <col min="797" max="797" width="6.375" style="52" customWidth="1"/>
    <col min="798" max="798" width="8.375" style="52" customWidth="1"/>
    <col min="799" max="799" width="6.375" style="52" customWidth="1"/>
    <col min="800" max="800" width="10.375" style="52" customWidth="1"/>
    <col min="801" max="801" width="16.5" style="52" customWidth="1"/>
    <col min="802" max="802" width="10.375" style="52" customWidth="1"/>
    <col min="803" max="803" width="6" style="52" bestFit="1" customWidth="1"/>
    <col min="804" max="804" width="5.875" style="52"/>
    <col min="805" max="809" width="8.125" style="52" customWidth="1"/>
    <col min="810" max="811" width="0" style="52" hidden="1" customWidth="1"/>
    <col min="812" max="1024" width="5.875" style="52"/>
    <col min="1025" max="1025" width="13" style="52" bestFit="1" customWidth="1"/>
    <col min="1026" max="1026" width="14.875" style="52" customWidth="1"/>
    <col min="1027" max="1027" width="13" style="52" customWidth="1"/>
    <col min="1028" max="1028" width="11.125" style="52" bestFit="1" customWidth="1"/>
    <col min="1029" max="1029" width="14.375" style="52" customWidth="1"/>
    <col min="1030" max="1030" width="12.625" style="52" bestFit="1" customWidth="1"/>
    <col min="1031" max="1031" width="25.625" style="52" customWidth="1"/>
    <col min="1032" max="1032" width="11.125" style="52" customWidth="1"/>
    <col min="1033" max="1033" width="26.375" style="52" customWidth="1"/>
    <col min="1034" max="1034" width="23.875" style="52" customWidth="1"/>
    <col min="1035" max="1035" width="11.125" style="52" customWidth="1"/>
    <col min="1036" max="1037" width="10.875" style="52" customWidth="1"/>
    <col min="1038" max="1038" width="11.5" style="52" customWidth="1"/>
    <col min="1039" max="1039" width="10.5" style="52" customWidth="1"/>
    <col min="1040" max="1040" width="8" style="52" customWidth="1"/>
    <col min="1041" max="1041" width="7.375" style="52" customWidth="1"/>
    <col min="1042" max="1042" width="8.125" style="52" customWidth="1"/>
    <col min="1043" max="1043" width="7.625" style="52" customWidth="1"/>
    <col min="1044" max="1045" width="8.5" style="52" customWidth="1"/>
    <col min="1046" max="1046" width="9.125" style="52" customWidth="1"/>
    <col min="1047" max="1047" width="7.875" style="52" customWidth="1"/>
    <col min="1048" max="1048" width="8.625" style="52" customWidth="1"/>
    <col min="1049" max="1049" width="7.625" style="52" customWidth="1"/>
    <col min="1050" max="1050" width="8" style="52" customWidth="1"/>
    <col min="1051" max="1051" width="6.375" style="52" customWidth="1"/>
    <col min="1052" max="1052" width="8" style="52" customWidth="1"/>
    <col min="1053" max="1053" width="6.375" style="52" customWidth="1"/>
    <col min="1054" max="1054" width="8.375" style="52" customWidth="1"/>
    <col min="1055" max="1055" width="6.375" style="52" customWidth="1"/>
    <col min="1056" max="1056" width="10.375" style="52" customWidth="1"/>
    <col min="1057" max="1057" width="16.5" style="52" customWidth="1"/>
    <col min="1058" max="1058" width="10.375" style="52" customWidth="1"/>
    <col min="1059" max="1059" width="6" style="52" bestFit="1" customWidth="1"/>
    <col min="1060" max="1060" width="5.875" style="52"/>
    <col min="1061" max="1065" width="8.125" style="52" customWidth="1"/>
    <col min="1066" max="1067" width="0" style="52" hidden="1" customWidth="1"/>
    <col min="1068" max="1280" width="5.875" style="52"/>
    <col min="1281" max="1281" width="13" style="52" bestFit="1" customWidth="1"/>
    <col min="1282" max="1282" width="14.875" style="52" customWidth="1"/>
    <col min="1283" max="1283" width="13" style="52" customWidth="1"/>
    <col min="1284" max="1284" width="11.125" style="52" bestFit="1" customWidth="1"/>
    <col min="1285" max="1285" width="14.375" style="52" customWidth="1"/>
    <col min="1286" max="1286" width="12.625" style="52" bestFit="1" customWidth="1"/>
    <col min="1287" max="1287" width="25.625" style="52" customWidth="1"/>
    <col min="1288" max="1288" width="11.125" style="52" customWidth="1"/>
    <col min="1289" max="1289" width="26.375" style="52" customWidth="1"/>
    <col min="1290" max="1290" width="23.875" style="52" customWidth="1"/>
    <col min="1291" max="1291" width="11.125" style="52" customWidth="1"/>
    <col min="1292" max="1293" width="10.875" style="52" customWidth="1"/>
    <col min="1294" max="1294" width="11.5" style="52" customWidth="1"/>
    <col min="1295" max="1295" width="10.5" style="52" customWidth="1"/>
    <col min="1296" max="1296" width="8" style="52" customWidth="1"/>
    <col min="1297" max="1297" width="7.375" style="52" customWidth="1"/>
    <col min="1298" max="1298" width="8.125" style="52" customWidth="1"/>
    <col min="1299" max="1299" width="7.625" style="52" customWidth="1"/>
    <col min="1300" max="1301" width="8.5" style="52" customWidth="1"/>
    <col min="1302" max="1302" width="9.125" style="52" customWidth="1"/>
    <col min="1303" max="1303" width="7.875" style="52" customWidth="1"/>
    <col min="1304" max="1304" width="8.625" style="52" customWidth="1"/>
    <col min="1305" max="1305" width="7.625" style="52" customWidth="1"/>
    <col min="1306" max="1306" width="8" style="52" customWidth="1"/>
    <col min="1307" max="1307" width="6.375" style="52" customWidth="1"/>
    <col min="1308" max="1308" width="8" style="52" customWidth="1"/>
    <col min="1309" max="1309" width="6.375" style="52" customWidth="1"/>
    <col min="1310" max="1310" width="8.375" style="52" customWidth="1"/>
    <col min="1311" max="1311" width="6.375" style="52" customWidth="1"/>
    <col min="1312" max="1312" width="10.375" style="52" customWidth="1"/>
    <col min="1313" max="1313" width="16.5" style="52" customWidth="1"/>
    <col min="1314" max="1314" width="10.375" style="52" customWidth="1"/>
    <col min="1315" max="1315" width="6" style="52" bestFit="1" customWidth="1"/>
    <col min="1316" max="1316" width="5.875" style="52"/>
    <col min="1317" max="1321" width="8.125" style="52" customWidth="1"/>
    <col min="1322" max="1323" width="0" style="52" hidden="1" customWidth="1"/>
    <col min="1324" max="1536" width="5.875" style="52"/>
    <col min="1537" max="1537" width="13" style="52" bestFit="1" customWidth="1"/>
    <col min="1538" max="1538" width="14.875" style="52" customWidth="1"/>
    <col min="1539" max="1539" width="13" style="52" customWidth="1"/>
    <col min="1540" max="1540" width="11.125" style="52" bestFit="1" customWidth="1"/>
    <col min="1541" max="1541" width="14.375" style="52" customWidth="1"/>
    <col min="1542" max="1542" width="12.625" style="52" bestFit="1" customWidth="1"/>
    <col min="1543" max="1543" width="25.625" style="52" customWidth="1"/>
    <col min="1544" max="1544" width="11.125" style="52" customWidth="1"/>
    <col min="1545" max="1545" width="26.375" style="52" customWidth="1"/>
    <col min="1546" max="1546" width="23.875" style="52" customWidth="1"/>
    <col min="1547" max="1547" width="11.125" style="52" customWidth="1"/>
    <col min="1548" max="1549" width="10.875" style="52" customWidth="1"/>
    <col min="1550" max="1550" width="11.5" style="52" customWidth="1"/>
    <col min="1551" max="1551" width="10.5" style="52" customWidth="1"/>
    <col min="1552" max="1552" width="8" style="52" customWidth="1"/>
    <col min="1553" max="1553" width="7.375" style="52" customWidth="1"/>
    <col min="1554" max="1554" width="8.125" style="52" customWidth="1"/>
    <col min="1555" max="1555" width="7.625" style="52" customWidth="1"/>
    <col min="1556" max="1557" width="8.5" style="52" customWidth="1"/>
    <col min="1558" max="1558" width="9.125" style="52" customWidth="1"/>
    <col min="1559" max="1559" width="7.875" style="52" customWidth="1"/>
    <col min="1560" max="1560" width="8.625" style="52" customWidth="1"/>
    <col min="1561" max="1561" width="7.625" style="52" customWidth="1"/>
    <col min="1562" max="1562" width="8" style="52" customWidth="1"/>
    <col min="1563" max="1563" width="6.375" style="52" customWidth="1"/>
    <col min="1564" max="1564" width="8" style="52" customWidth="1"/>
    <col min="1565" max="1565" width="6.375" style="52" customWidth="1"/>
    <col min="1566" max="1566" width="8.375" style="52" customWidth="1"/>
    <col min="1567" max="1567" width="6.375" style="52" customWidth="1"/>
    <col min="1568" max="1568" width="10.375" style="52" customWidth="1"/>
    <col min="1569" max="1569" width="16.5" style="52" customWidth="1"/>
    <col min="1570" max="1570" width="10.375" style="52" customWidth="1"/>
    <col min="1571" max="1571" width="6" style="52" bestFit="1" customWidth="1"/>
    <col min="1572" max="1572" width="5.875" style="52"/>
    <col min="1573" max="1577" width="8.125" style="52" customWidth="1"/>
    <col min="1578" max="1579" width="0" style="52" hidden="1" customWidth="1"/>
    <col min="1580" max="1792" width="5.875" style="52"/>
    <col min="1793" max="1793" width="13" style="52" bestFit="1" customWidth="1"/>
    <col min="1794" max="1794" width="14.875" style="52" customWidth="1"/>
    <col min="1795" max="1795" width="13" style="52" customWidth="1"/>
    <col min="1796" max="1796" width="11.125" style="52" bestFit="1" customWidth="1"/>
    <col min="1797" max="1797" width="14.375" style="52" customWidth="1"/>
    <col min="1798" max="1798" width="12.625" style="52" bestFit="1" customWidth="1"/>
    <col min="1799" max="1799" width="25.625" style="52" customWidth="1"/>
    <col min="1800" max="1800" width="11.125" style="52" customWidth="1"/>
    <col min="1801" max="1801" width="26.375" style="52" customWidth="1"/>
    <col min="1802" max="1802" width="23.875" style="52" customWidth="1"/>
    <col min="1803" max="1803" width="11.125" style="52" customWidth="1"/>
    <col min="1804" max="1805" width="10.875" style="52" customWidth="1"/>
    <col min="1806" max="1806" width="11.5" style="52" customWidth="1"/>
    <col min="1807" max="1807" width="10.5" style="52" customWidth="1"/>
    <col min="1808" max="1808" width="8" style="52" customWidth="1"/>
    <col min="1809" max="1809" width="7.375" style="52" customWidth="1"/>
    <col min="1810" max="1810" width="8.125" style="52" customWidth="1"/>
    <col min="1811" max="1811" width="7.625" style="52" customWidth="1"/>
    <col min="1812" max="1813" width="8.5" style="52" customWidth="1"/>
    <col min="1814" max="1814" width="9.125" style="52" customWidth="1"/>
    <col min="1815" max="1815" width="7.875" style="52" customWidth="1"/>
    <col min="1816" max="1816" width="8.625" style="52" customWidth="1"/>
    <col min="1817" max="1817" width="7.625" style="52" customWidth="1"/>
    <col min="1818" max="1818" width="8" style="52" customWidth="1"/>
    <col min="1819" max="1819" width="6.375" style="52" customWidth="1"/>
    <col min="1820" max="1820" width="8" style="52" customWidth="1"/>
    <col min="1821" max="1821" width="6.375" style="52" customWidth="1"/>
    <col min="1822" max="1822" width="8.375" style="52" customWidth="1"/>
    <col min="1823" max="1823" width="6.375" style="52" customWidth="1"/>
    <col min="1824" max="1824" width="10.375" style="52" customWidth="1"/>
    <col min="1825" max="1825" width="16.5" style="52" customWidth="1"/>
    <col min="1826" max="1826" width="10.375" style="52" customWidth="1"/>
    <col min="1827" max="1827" width="6" style="52" bestFit="1" customWidth="1"/>
    <col min="1828" max="1828" width="5.875" style="52"/>
    <col min="1829" max="1833" width="8.125" style="52" customWidth="1"/>
    <col min="1834" max="1835" width="0" style="52" hidden="1" customWidth="1"/>
    <col min="1836" max="2048" width="5.875" style="52"/>
    <col min="2049" max="2049" width="13" style="52" bestFit="1" customWidth="1"/>
    <col min="2050" max="2050" width="14.875" style="52" customWidth="1"/>
    <col min="2051" max="2051" width="13" style="52" customWidth="1"/>
    <col min="2052" max="2052" width="11.125" style="52" bestFit="1" customWidth="1"/>
    <col min="2053" max="2053" width="14.375" style="52" customWidth="1"/>
    <col min="2054" max="2054" width="12.625" style="52" bestFit="1" customWidth="1"/>
    <col min="2055" max="2055" width="25.625" style="52" customWidth="1"/>
    <col min="2056" max="2056" width="11.125" style="52" customWidth="1"/>
    <col min="2057" max="2057" width="26.375" style="52" customWidth="1"/>
    <col min="2058" max="2058" width="23.875" style="52" customWidth="1"/>
    <col min="2059" max="2059" width="11.125" style="52" customWidth="1"/>
    <col min="2060" max="2061" width="10.875" style="52" customWidth="1"/>
    <col min="2062" max="2062" width="11.5" style="52" customWidth="1"/>
    <col min="2063" max="2063" width="10.5" style="52" customWidth="1"/>
    <col min="2064" max="2064" width="8" style="52" customWidth="1"/>
    <col min="2065" max="2065" width="7.375" style="52" customWidth="1"/>
    <col min="2066" max="2066" width="8.125" style="52" customWidth="1"/>
    <col min="2067" max="2067" width="7.625" style="52" customWidth="1"/>
    <col min="2068" max="2069" width="8.5" style="52" customWidth="1"/>
    <col min="2070" max="2070" width="9.125" style="52" customWidth="1"/>
    <col min="2071" max="2071" width="7.875" style="52" customWidth="1"/>
    <col min="2072" max="2072" width="8.625" style="52" customWidth="1"/>
    <col min="2073" max="2073" width="7.625" style="52" customWidth="1"/>
    <col min="2074" max="2074" width="8" style="52" customWidth="1"/>
    <col min="2075" max="2075" width="6.375" style="52" customWidth="1"/>
    <col min="2076" max="2076" width="8" style="52" customWidth="1"/>
    <col min="2077" max="2077" width="6.375" style="52" customWidth="1"/>
    <col min="2078" max="2078" width="8.375" style="52" customWidth="1"/>
    <col min="2079" max="2079" width="6.375" style="52" customWidth="1"/>
    <col min="2080" max="2080" width="10.375" style="52" customWidth="1"/>
    <col min="2081" max="2081" width="16.5" style="52" customWidth="1"/>
    <col min="2082" max="2082" width="10.375" style="52" customWidth="1"/>
    <col min="2083" max="2083" width="6" style="52" bestFit="1" customWidth="1"/>
    <col min="2084" max="2084" width="5.875" style="52"/>
    <col min="2085" max="2089" width="8.125" style="52" customWidth="1"/>
    <col min="2090" max="2091" width="0" style="52" hidden="1" customWidth="1"/>
    <col min="2092" max="2304" width="5.875" style="52"/>
    <col min="2305" max="2305" width="13" style="52" bestFit="1" customWidth="1"/>
    <col min="2306" max="2306" width="14.875" style="52" customWidth="1"/>
    <col min="2307" max="2307" width="13" style="52" customWidth="1"/>
    <col min="2308" max="2308" width="11.125" style="52" bestFit="1" customWidth="1"/>
    <col min="2309" max="2309" width="14.375" style="52" customWidth="1"/>
    <col min="2310" max="2310" width="12.625" style="52" bestFit="1" customWidth="1"/>
    <col min="2311" max="2311" width="25.625" style="52" customWidth="1"/>
    <col min="2312" max="2312" width="11.125" style="52" customWidth="1"/>
    <col min="2313" max="2313" width="26.375" style="52" customWidth="1"/>
    <col min="2314" max="2314" width="23.875" style="52" customWidth="1"/>
    <col min="2315" max="2315" width="11.125" style="52" customWidth="1"/>
    <col min="2316" max="2317" width="10.875" style="52" customWidth="1"/>
    <col min="2318" max="2318" width="11.5" style="52" customWidth="1"/>
    <col min="2319" max="2319" width="10.5" style="52" customWidth="1"/>
    <col min="2320" max="2320" width="8" style="52" customWidth="1"/>
    <col min="2321" max="2321" width="7.375" style="52" customWidth="1"/>
    <col min="2322" max="2322" width="8.125" style="52" customWidth="1"/>
    <col min="2323" max="2323" width="7.625" style="52" customWidth="1"/>
    <col min="2324" max="2325" width="8.5" style="52" customWidth="1"/>
    <col min="2326" max="2326" width="9.125" style="52" customWidth="1"/>
    <col min="2327" max="2327" width="7.875" style="52" customWidth="1"/>
    <col min="2328" max="2328" width="8.625" style="52" customWidth="1"/>
    <col min="2329" max="2329" width="7.625" style="52" customWidth="1"/>
    <col min="2330" max="2330" width="8" style="52" customWidth="1"/>
    <col min="2331" max="2331" width="6.375" style="52" customWidth="1"/>
    <col min="2332" max="2332" width="8" style="52" customWidth="1"/>
    <col min="2333" max="2333" width="6.375" style="52" customWidth="1"/>
    <col min="2334" max="2334" width="8.375" style="52" customWidth="1"/>
    <col min="2335" max="2335" width="6.375" style="52" customWidth="1"/>
    <col min="2336" max="2336" width="10.375" style="52" customWidth="1"/>
    <col min="2337" max="2337" width="16.5" style="52" customWidth="1"/>
    <col min="2338" max="2338" width="10.375" style="52" customWidth="1"/>
    <col min="2339" max="2339" width="6" style="52" bestFit="1" customWidth="1"/>
    <col min="2340" max="2340" width="5.875" style="52"/>
    <col min="2341" max="2345" width="8.125" style="52" customWidth="1"/>
    <col min="2346" max="2347" width="0" style="52" hidden="1" customWidth="1"/>
    <col min="2348" max="2560" width="5.875" style="52"/>
    <col min="2561" max="2561" width="13" style="52" bestFit="1" customWidth="1"/>
    <col min="2562" max="2562" width="14.875" style="52" customWidth="1"/>
    <col min="2563" max="2563" width="13" style="52" customWidth="1"/>
    <col min="2564" max="2564" width="11.125" style="52" bestFit="1" customWidth="1"/>
    <col min="2565" max="2565" width="14.375" style="52" customWidth="1"/>
    <col min="2566" max="2566" width="12.625" style="52" bestFit="1" customWidth="1"/>
    <col min="2567" max="2567" width="25.625" style="52" customWidth="1"/>
    <col min="2568" max="2568" width="11.125" style="52" customWidth="1"/>
    <col min="2569" max="2569" width="26.375" style="52" customWidth="1"/>
    <col min="2570" max="2570" width="23.875" style="52" customWidth="1"/>
    <col min="2571" max="2571" width="11.125" style="52" customWidth="1"/>
    <col min="2572" max="2573" width="10.875" style="52" customWidth="1"/>
    <col min="2574" max="2574" width="11.5" style="52" customWidth="1"/>
    <col min="2575" max="2575" width="10.5" style="52" customWidth="1"/>
    <col min="2576" max="2576" width="8" style="52" customWidth="1"/>
    <col min="2577" max="2577" width="7.375" style="52" customWidth="1"/>
    <col min="2578" max="2578" width="8.125" style="52" customWidth="1"/>
    <col min="2579" max="2579" width="7.625" style="52" customWidth="1"/>
    <col min="2580" max="2581" width="8.5" style="52" customWidth="1"/>
    <col min="2582" max="2582" width="9.125" style="52" customWidth="1"/>
    <col min="2583" max="2583" width="7.875" style="52" customWidth="1"/>
    <col min="2584" max="2584" width="8.625" style="52" customWidth="1"/>
    <col min="2585" max="2585" width="7.625" style="52" customWidth="1"/>
    <col min="2586" max="2586" width="8" style="52" customWidth="1"/>
    <col min="2587" max="2587" width="6.375" style="52" customWidth="1"/>
    <col min="2588" max="2588" width="8" style="52" customWidth="1"/>
    <col min="2589" max="2589" width="6.375" style="52" customWidth="1"/>
    <col min="2590" max="2590" width="8.375" style="52" customWidth="1"/>
    <col min="2591" max="2591" width="6.375" style="52" customWidth="1"/>
    <col min="2592" max="2592" width="10.375" style="52" customWidth="1"/>
    <col min="2593" max="2593" width="16.5" style="52" customWidth="1"/>
    <col min="2594" max="2594" width="10.375" style="52" customWidth="1"/>
    <col min="2595" max="2595" width="6" style="52" bestFit="1" customWidth="1"/>
    <col min="2596" max="2596" width="5.875" style="52"/>
    <col min="2597" max="2601" width="8.125" style="52" customWidth="1"/>
    <col min="2602" max="2603" width="0" style="52" hidden="1" customWidth="1"/>
    <col min="2604" max="2816" width="5.875" style="52"/>
    <col min="2817" max="2817" width="13" style="52" bestFit="1" customWidth="1"/>
    <col min="2818" max="2818" width="14.875" style="52" customWidth="1"/>
    <col min="2819" max="2819" width="13" style="52" customWidth="1"/>
    <col min="2820" max="2820" width="11.125" style="52" bestFit="1" customWidth="1"/>
    <col min="2821" max="2821" width="14.375" style="52" customWidth="1"/>
    <col min="2822" max="2822" width="12.625" style="52" bestFit="1" customWidth="1"/>
    <col min="2823" max="2823" width="25.625" style="52" customWidth="1"/>
    <col min="2824" max="2824" width="11.125" style="52" customWidth="1"/>
    <col min="2825" max="2825" width="26.375" style="52" customWidth="1"/>
    <col min="2826" max="2826" width="23.875" style="52" customWidth="1"/>
    <col min="2827" max="2827" width="11.125" style="52" customWidth="1"/>
    <col min="2828" max="2829" width="10.875" style="52" customWidth="1"/>
    <col min="2830" max="2830" width="11.5" style="52" customWidth="1"/>
    <col min="2831" max="2831" width="10.5" style="52" customWidth="1"/>
    <col min="2832" max="2832" width="8" style="52" customWidth="1"/>
    <col min="2833" max="2833" width="7.375" style="52" customWidth="1"/>
    <col min="2834" max="2834" width="8.125" style="52" customWidth="1"/>
    <col min="2835" max="2835" width="7.625" style="52" customWidth="1"/>
    <col min="2836" max="2837" width="8.5" style="52" customWidth="1"/>
    <col min="2838" max="2838" width="9.125" style="52" customWidth="1"/>
    <col min="2839" max="2839" width="7.875" style="52" customWidth="1"/>
    <col min="2840" max="2840" width="8.625" style="52" customWidth="1"/>
    <col min="2841" max="2841" width="7.625" style="52" customWidth="1"/>
    <col min="2842" max="2842" width="8" style="52" customWidth="1"/>
    <col min="2843" max="2843" width="6.375" style="52" customWidth="1"/>
    <col min="2844" max="2844" width="8" style="52" customWidth="1"/>
    <col min="2845" max="2845" width="6.375" style="52" customWidth="1"/>
    <col min="2846" max="2846" width="8.375" style="52" customWidth="1"/>
    <col min="2847" max="2847" width="6.375" style="52" customWidth="1"/>
    <col min="2848" max="2848" width="10.375" style="52" customWidth="1"/>
    <col min="2849" max="2849" width="16.5" style="52" customWidth="1"/>
    <col min="2850" max="2850" width="10.375" style="52" customWidth="1"/>
    <col min="2851" max="2851" width="6" style="52" bestFit="1" customWidth="1"/>
    <col min="2852" max="2852" width="5.875" style="52"/>
    <col min="2853" max="2857" width="8.125" style="52" customWidth="1"/>
    <col min="2858" max="2859" width="0" style="52" hidden="1" customWidth="1"/>
    <col min="2860" max="3072" width="5.875" style="52"/>
    <col min="3073" max="3073" width="13" style="52" bestFit="1" customWidth="1"/>
    <col min="3074" max="3074" width="14.875" style="52" customWidth="1"/>
    <col min="3075" max="3075" width="13" style="52" customWidth="1"/>
    <col min="3076" max="3076" width="11.125" style="52" bestFit="1" customWidth="1"/>
    <col min="3077" max="3077" width="14.375" style="52" customWidth="1"/>
    <col min="3078" max="3078" width="12.625" style="52" bestFit="1" customWidth="1"/>
    <col min="3079" max="3079" width="25.625" style="52" customWidth="1"/>
    <col min="3080" max="3080" width="11.125" style="52" customWidth="1"/>
    <col min="3081" max="3081" width="26.375" style="52" customWidth="1"/>
    <col min="3082" max="3082" width="23.875" style="52" customWidth="1"/>
    <col min="3083" max="3083" width="11.125" style="52" customWidth="1"/>
    <col min="3084" max="3085" width="10.875" style="52" customWidth="1"/>
    <col min="3086" max="3086" width="11.5" style="52" customWidth="1"/>
    <col min="3087" max="3087" width="10.5" style="52" customWidth="1"/>
    <col min="3088" max="3088" width="8" style="52" customWidth="1"/>
    <col min="3089" max="3089" width="7.375" style="52" customWidth="1"/>
    <col min="3090" max="3090" width="8.125" style="52" customWidth="1"/>
    <col min="3091" max="3091" width="7.625" style="52" customWidth="1"/>
    <col min="3092" max="3093" width="8.5" style="52" customWidth="1"/>
    <col min="3094" max="3094" width="9.125" style="52" customWidth="1"/>
    <col min="3095" max="3095" width="7.875" style="52" customWidth="1"/>
    <col min="3096" max="3096" width="8.625" style="52" customWidth="1"/>
    <col min="3097" max="3097" width="7.625" style="52" customWidth="1"/>
    <col min="3098" max="3098" width="8" style="52" customWidth="1"/>
    <col min="3099" max="3099" width="6.375" style="52" customWidth="1"/>
    <col min="3100" max="3100" width="8" style="52" customWidth="1"/>
    <col min="3101" max="3101" width="6.375" style="52" customWidth="1"/>
    <col min="3102" max="3102" width="8.375" style="52" customWidth="1"/>
    <col min="3103" max="3103" width="6.375" style="52" customWidth="1"/>
    <col min="3104" max="3104" width="10.375" style="52" customWidth="1"/>
    <col min="3105" max="3105" width="16.5" style="52" customWidth="1"/>
    <col min="3106" max="3106" width="10.375" style="52" customWidth="1"/>
    <col min="3107" max="3107" width="6" style="52" bestFit="1" customWidth="1"/>
    <col min="3108" max="3108" width="5.875" style="52"/>
    <col min="3109" max="3113" width="8.125" style="52" customWidth="1"/>
    <col min="3114" max="3115" width="0" style="52" hidden="1" customWidth="1"/>
    <col min="3116" max="3328" width="5.875" style="52"/>
    <col min="3329" max="3329" width="13" style="52" bestFit="1" customWidth="1"/>
    <col min="3330" max="3330" width="14.875" style="52" customWidth="1"/>
    <col min="3331" max="3331" width="13" style="52" customWidth="1"/>
    <col min="3332" max="3332" width="11.125" style="52" bestFit="1" customWidth="1"/>
    <col min="3333" max="3333" width="14.375" style="52" customWidth="1"/>
    <col min="3334" max="3334" width="12.625" style="52" bestFit="1" customWidth="1"/>
    <col min="3335" max="3335" width="25.625" style="52" customWidth="1"/>
    <col min="3336" max="3336" width="11.125" style="52" customWidth="1"/>
    <col min="3337" max="3337" width="26.375" style="52" customWidth="1"/>
    <col min="3338" max="3338" width="23.875" style="52" customWidth="1"/>
    <col min="3339" max="3339" width="11.125" style="52" customWidth="1"/>
    <col min="3340" max="3341" width="10.875" style="52" customWidth="1"/>
    <col min="3342" max="3342" width="11.5" style="52" customWidth="1"/>
    <col min="3343" max="3343" width="10.5" style="52" customWidth="1"/>
    <col min="3344" max="3344" width="8" style="52" customWidth="1"/>
    <col min="3345" max="3345" width="7.375" style="52" customWidth="1"/>
    <col min="3346" max="3346" width="8.125" style="52" customWidth="1"/>
    <col min="3347" max="3347" width="7.625" style="52" customWidth="1"/>
    <col min="3348" max="3349" width="8.5" style="52" customWidth="1"/>
    <col min="3350" max="3350" width="9.125" style="52" customWidth="1"/>
    <col min="3351" max="3351" width="7.875" style="52" customWidth="1"/>
    <col min="3352" max="3352" width="8.625" style="52" customWidth="1"/>
    <col min="3353" max="3353" width="7.625" style="52" customWidth="1"/>
    <col min="3354" max="3354" width="8" style="52" customWidth="1"/>
    <col min="3355" max="3355" width="6.375" style="52" customWidth="1"/>
    <col min="3356" max="3356" width="8" style="52" customWidth="1"/>
    <col min="3357" max="3357" width="6.375" style="52" customWidth="1"/>
    <col min="3358" max="3358" width="8.375" style="52" customWidth="1"/>
    <col min="3359" max="3359" width="6.375" style="52" customWidth="1"/>
    <col min="3360" max="3360" width="10.375" style="52" customWidth="1"/>
    <col min="3361" max="3361" width="16.5" style="52" customWidth="1"/>
    <col min="3362" max="3362" width="10.375" style="52" customWidth="1"/>
    <col min="3363" max="3363" width="6" style="52" bestFit="1" customWidth="1"/>
    <col min="3364" max="3364" width="5.875" style="52"/>
    <col min="3365" max="3369" width="8.125" style="52" customWidth="1"/>
    <col min="3370" max="3371" width="0" style="52" hidden="1" customWidth="1"/>
    <col min="3372" max="3584" width="5.875" style="52"/>
    <col min="3585" max="3585" width="13" style="52" bestFit="1" customWidth="1"/>
    <col min="3586" max="3586" width="14.875" style="52" customWidth="1"/>
    <col min="3587" max="3587" width="13" style="52" customWidth="1"/>
    <col min="3588" max="3588" width="11.125" style="52" bestFit="1" customWidth="1"/>
    <col min="3589" max="3589" width="14.375" style="52" customWidth="1"/>
    <col min="3590" max="3590" width="12.625" style="52" bestFit="1" customWidth="1"/>
    <col min="3591" max="3591" width="25.625" style="52" customWidth="1"/>
    <col min="3592" max="3592" width="11.125" style="52" customWidth="1"/>
    <col min="3593" max="3593" width="26.375" style="52" customWidth="1"/>
    <col min="3594" max="3594" width="23.875" style="52" customWidth="1"/>
    <col min="3595" max="3595" width="11.125" style="52" customWidth="1"/>
    <col min="3596" max="3597" width="10.875" style="52" customWidth="1"/>
    <col min="3598" max="3598" width="11.5" style="52" customWidth="1"/>
    <col min="3599" max="3599" width="10.5" style="52" customWidth="1"/>
    <col min="3600" max="3600" width="8" style="52" customWidth="1"/>
    <col min="3601" max="3601" width="7.375" style="52" customWidth="1"/>
    <col min="3602" max="3602" width="8.125" style="52" customWidth="1"/>
    <col min="3603" max="3603" width="7.625" style="52" customWidth="1"/>
    <col min="3604" max="3605" width="8.5" style="52" customWidth="1"/>
    <col min="3606" max="3606" width="9.125" style="52" customWidth="1"/>
    <col min="3607" max="3607" width="7.875" style="52" customWidth="1"/>
    <col min="3608" max="3608" width="8.625" style="52" customWidth="1"/>
    <col min="3609" max="3609" width="7.625" style="52" customWidth="1"/>
    <col min="3610" max="3610" width="8" style="52" customWidth="1"/>
    <col min="3611" max="3611" width="6.375" style="52" customWidth="1"/>
    <col min="3612" max="3612" width="8" style="52" customWidth="1"/>
    <col min="3613" max="3613" width="6.375" style="52" customWidth="1"/>
    <col min="3614" max="3614" width="8.375" style="52" customWidth="1"/>
    <col min="3615" max="3615" width="6.375" style="52" customWidth="1"/>
    <col min="3616" max="3616" width="10.375" style="52" customWidth="1"/>
    <col min="3617" max="3617" width="16.5" style="52" customWidth="1"/>
    <col min="3618" max="3618" width="10.375" style="52" customWidth="1"/>
    <col min="3619" max="3619" width="6" style="52" bestFit="1" customWidth="1"/>
    <col min="3620" max="3620" width="5.875" style="52"/>
    <col min="3621" max="3625" width="8.125" style="52" customWidth="1"/>
    <col min="3626" max="3627" width="0" style="52" hidden="1" customWidth="1"/>
    <col min="3628" max="3840" width="5.875" style="52"/>
    <col min="3841" max="3841" width="13" style="52" bestFit="1" customWidth="1"/>
    <col min="3842" max="3842" width="14.875" style="52" customWidth="1"/>
    <col min="3843" max="3843" width="13" style="52" customWidth="1"/>
    <col min="3844" max="3844" width="11.125" style="52" bestFit="1" customWidth="1"/>
    <col min="3845" max="3845" width="14.375" style="52" customWidth="1"/>
    <col min="3846" max="3846" width="12.625" style="52" bestFit="1" customWidth="1"/>
    <col min="3847" max="3847" width="25.625" style="52" customWidth="1"/>
    <col min="3848" max="3848" width="11.125" style="52" customWidth="1"/>
    <col min="3849" max="3849" width="26.375" style="52" customWidth="1"/>
    <col min="3850" max="3850" width="23.875" style="52" customWidth="1"/>
    <col min="3851" max="3851" width="11.125" style="52" customWidth="1"/>
    <col min="3852" max="3853" width="10.875" style="52" customWidth="1"/>
    <col min="3854" max="3854" width="11.5" style="52" customWidth="1"/>
    <col min="3855" max="3855" width="10.5" style="52" customWidth="1"/>
    <col min="3856" max="3856" width="8" style="52" customWidth="1"/>
    <col min="3857" max="3857" width="7.375" style="52" customWidth="1"/>
    <col min="3858" max="3858" width="8.125" style="52" customWidth="1"/>
    <col min="3859" max="3859" width="7.625" style="52" customWidth="1"/>
    <col min="3860" max="3861" width="8.5" style="52" customWidth="1"/>
    <col min="3862" max="3862" width="9.125" style="52" customWidth="1"/>
    <col min="3863" max="3863" width="7.875" style="52" customWidth="1"/>
    <col min="3864" max="3864" width="8.625" style="52" customWidth="1"/>
    <col min="3865" max="3865" width="7.625" style="52" customWidth="1"/>
    <col min="3866" max="3866" width="8" style="52" customWidth="1"/>
    <col min="3867" max="3867" width="6.375" style="52" customWidth="1"/>
    <col min="3868" max="3868" width="8" style="52" customWidth="1"/>
    <col min="3869" max="3869" width="6.375" style="52" customWidth="1"/>
    <col min="3870" max="3870" width="8.375" style="52" customWidth="1"/>
    <col min="3871" max="3871" width="6.375" style="52" customWidth="1"/>
    <col min="3872" max="3872" width="10.375" style="52" customWidth="1"/>
    <col min="3873" max="3873" width="16.5" style="52" customWidth="1"/>
    <col min="3874" max="3874" width="10.375" style="52" customWidth="1"/>
    <col min="3875" max="3875" width="6" style="52" bestFit="1" customWidth="1"/>
    <col min="3876" max="3876" width="5.875" style="52"/>
    <col min="3877" max="3881" width="8.125" style="52" customWidth="1"/>
    <col min="3882" max="3883" width="0" style="52" hidden="1" customWidth="1"/>
    <col min="3884" max="4096" width="5.875" style="52"/>
    <col min="4097" max="4097" width="13" style="52" bestFit="1" customWidth="1"/>
    <col min="4098" max="4098" width="14.875" style="52" customWidth="1"/>
    <col min="4099" max="4099" width="13" style="52" customWidth="1"/>
    <col min="4100" max="4100" width="11.125" style="52" bestFit="1" customWidth="1"/>
    <col min="4101" max="4101" width="14.375" style="52" customWidth="1"/>
    <col min="4102" max="4102" width="12.625" style="52" bestFit="1" customWidth="1"/>
    <col min="4103" max="4103" width="25.625" style="52" customWidth="1"/>
    <col min="4104" max="4104" width="11.125" style="52" customWidth="1"/>
    <col min="4105" max="4105" width="26.375" style="52" customWidth="1"/>
    <col min="4106" max="4106" width="23.875" style="52" customWidth="1"/>
    <col min="4107" max="4107" width="11.125" style="52" customWidth="1"/>
    <col min="4108" max="4109" width="10.875" style="52" customWidth="1"/>
    <col min="4110" max="4110" width="11.5" style="52" customWidth="1"/>
    <col min="4111" max="4111" width="10.5" style="52" customWidth="1"/>
    <col min="4112" max="4112" width="8" style="52" customWidth="1"/>
    <col min="4113" max="4113" width="7.375" style="52" customWidth="1"/>
    <col min="4114" max="4114" width="8.125" style="52" customWidth="1"/>
    <col min="4115" max="4115" width="7.625" style="52" customWidth="1"/>
    <col min="4116" max="4117" width="8.5" style="52" customWidth="1"/>
    <col min="4118" max="4118" width="9.125" style="52" customWidth="1"/>
    <col min="4119" max="4119" width="7.875" style="52" customWidth="1"/>
    <col min="4120" max="4120" width="8.625" style="52" customWidth="1"/>
    <col min="4121" max="4121" width="7.625" style="52" customWidth="1"/>
    <col min="4122" max="4122" width="8" style="52" customWidth="1"/>
    <col min="4123" max="4123" width="6.375" style="52" customWidth="1"/>
    <col min="4124" max="4124" width="8" style="52" customWidth="1"/>
    <col min="4125" max="4125" width="6.375" style="52" customWidth="1"/>
    <col min="4126" max="4126" width="8.375" style="52" customWidth="1"/>
    <col min="4127" max="4127" width="6.375" style="52" customWidth="1"/>
    <col min="4128" max="4128" width="10.375" style="52" customWidth="1"/>
    <col min="4129" max="4129" width="16.5" style="52" customWidth="1"/>
    <col min="4130" max="4130" width="10.375" style="52" customWidth="1"/>
    <col min="4131" max="4131" width="6" style="52" bestFit="1" customWidth="1"/>
    <col min="4132" max="4132" width="5.875" style="52"/>
    <col min="4133" max="4137" width="8.125" style="52" customWidth="1"/>
    <col min="4138" max="4139" width="0" style="52" hidden="1" customWidth="1"/>
    <col min="4140" max="4352" width="5.875" style="52"/>
    <col min="4353" max="4353" width="13" style="52" bestFit="1" customWidth="1"/>
    <col min="4354" max="4354" width="14.875" style="52" customWidth="1"/>
    <col min="4355" max="4355" width="13" style="52" customWidth="1"/>
    <col min="4356" max="4356" width="11.125" style="52" bestFit="1" customWidth="1"/>
    <col min="4357" max="4357" width="14.375" style="52" customWidth="1"/>
    <col min="4358" max="4358" width="12.625" style="52" bestFit="1" customWidth="1"/>
    <col min="4359" max="4359" width="25.625" style="52" customWidth="1"/>
    <col min="4360" max="4360" width="11.125" style="52" customWidth="1"/>
    <col min="4361" max="4361" width="26.375" style="52" customWidth="1"/>
    <col min="4362" max="4362" width="23.875" style="52" customWidth="1"/>
    <col min="4363" max="4363" width="11.125" style="52" customWidth="1"/>
    <col min="4364" max="4365" width="10.875" style="52" customWidth="1"/>
    <col min="4366" max="4366" width="11.5" style="52" customWidth="1"/>
    <col min="4367" max="4367" width="10.5" style="52" customWidth="1"/>
    <col min="4368" max="4368" width="8" style="52" customWidth="1"/>
    <col min="4369" max="4369" width="7.375" style="52" customWidth="1"/>
    <col min="4370" max="4370" width="8.125" style="52" customWidth="1"/>
    <col min="4371" max="4371" width="7.625" style="52" customWidth="1"/>
    <col min="4372" max="4373" width="8.5" style="52" customWidth="1"/>
    <col min="4374" max="4374" width="9.125" style="52" customWidth="1"/>
    <col min="4375" max="4375" width="7.875" style="52" customWidth="1"/>
    <col min="4376" max="4376" width="8.625" style="52" customWidth="1"/>
    <col min="4377" max="4377" width="7.625" style="52" customWidth="1"/>
    <col min="4378" max="4378" width="8" style="52" customWidth="1"/>
    <col min="4379" max="4379" width="6.375" style="52" customWidth="1"/>
    <col min="4380" max="4380" width="8" style="52" customWidth="1"/>
    <col min="4381" max="4381" width="6.375" style="52" customWidth="1"/>
    <col min="4382" max="4382" width="8.375" style="52" customWidth="1"/>
    <col min="4383" max="4383" width="6.375" style="52" customWidth="1"/>
    <col min="4384" max="4384" width="10.375" style="52" customWidth="1"/>
    <col min="4385" max="4385" width="16.5" style="52" customWidth="1"/>
    <col min="4386" max="4386" width="10.375" style="52" customWidth="1"/>
    <col min="4387" max="4387" width="6" style="52" bestFit="1" customWidth="1"/>
    <col min="4388" max="4388" width="5.875" style="52"/>
    <col min="4389" max="4393" width="8.125" style="52" customWidth="1"/>
    <col min="4394" max="4395" width="0" style="52" hidden="1" customWidth="1"/>
    <col min="4396" max="4608" width="5.875" style="52"/>
    <col min="4609" max="4609" width="13" style="52" bestFit="1" customWidth="1"/>
    <col min="4610" max="4610" width="14.875" style="52" customWidth="1"/>
    <col min="4611" max="4611" width="13" style="52" customWidth="1"/>
    <col min="4612" max="4612" width="11.125" style="52" bestFit="1" customWidth="1"/>
    <col min="4613" max="4613" width="14.375" style="52" customWidth="1"/>
    <col min="4614" max="4614" width="12.625" style="52" bestFit="1" customWidth="1"/>
    <col min="4615" max="4615" width="25.625" style="52" customWidth="1"/>
    <col min="4616" max="4616" width="11.125" style="52" customWidth="1"/>
    <col min="4617" max="4617" width="26.375" style="52" customWidth="1"/>
    <col min="4618" max="4618" width="23.875" style="52" customWidth="1"/>
    <col min="4619" max="4619" width="11.125" style="52" customWidth="1"/>
    <col min="4620" max="4621" width="10.875" style="52" customWidth="1"/>
    <col min="4622" max="4622" width="11.5" style="52" customWidth="1"/>
    <col min="4623" max="4623" width="10.5" style="52" customWidth="1"/>
    <col min="4624" max="4624" width="8" style="52" customWidth="1"/>
    <col min="4625" max="4625" width="7.375" style="52" customWidth="1"/>
    <col min="4626" max="4626" width="8.125" style="52" customWidth="1"/>
    <col min="4627" max="4627" width="7.625" style="52" customWidth="1"/>
    <col min="4628" max="4629" width="8.5" style="52" customWidth="1"/>
    <col min="4630" max="4630" width="9.125" style="52" customWidth="1"/>
    <col min="4631" max="4631" width="7.875" style="52" customWidth="1"/>
    <col min="4632" max="4632" width="8.625" style="52" customWidth="1"/>
    <col min="4633" max="4633" width="7.625" style="52" customWidth="1"/>
    <col min="4634" max="4634" width="8" style="52" customWidth="1"/>
    <col min="4635" max="4635" width="6.375" style="52" customWidth="1"/>
    <col min="4636" max="4636" width="8" style="52" customWidth="1"/>
    <col min="4637" max="4637" width="6.375" style="52" customWidth="1"/>
    <col min="4638" max="4638" width="8.375" style="52" customWidth="1"/>
    <col min="4639" max="4639" width="6.375" style="52" customWidth="1"/>
    <col min="4640" max="4640" width="10.375" style="52" customWidth="1"/>
    <col min="4641" max="4641" width="16.5" style="52" customWidth="1"/>
    <col min="4642" max="4642" width="10.375" style="52" customWidth="1"/>
    <col min="4643" max="4643" width="6" style="52" bestFit="1" customWidth="1"/>
    <col min="4644" max="4644" width="5.875" style="52"/>
    <col min="4645" max="4649" width="8.125" style="52" customWidth="1"/>
    <col min="4650" max="4651" width="0" style="52" hidden="1" customWidth="1"/>
    <col min="4652" max="4864" width="5.875" style="52"/>
    <col min="4865" max="4865" width="13" style="52" bestFit="1" customWidth="1"/>
    <col min="4866" max="4866" width="14.875" style="52" customWidth="1"/>
    <col min="4867" max="4867" width="13" style="52" customWidth="1"/>
    <col min="4868" max="4868" width="11.125" style="52" bestFit="1" customWidth="1"/>
    <col min="4869" max="4869" width="14.375" style="52" customWidth="1"/>
    <col min="4870" max="4870" width="12.625" style="52" bestFit="1" customWidth="1"/>
    <col min="4871" max="4871" width="25.625" style="52" customWidth="1"/>
    <col min="4872" max="4872" width="11.125" style="52" customWidth="1"/>
    <col min="4873" max="4873" width="26.375" style="52" customWidth="1"/>
    <col min="4874" max="4874" width="23.875" style="52" customWidth="1"/>
    <col min="4875" max="4875" width="11.125" style="52" customWidth="1"/>
    <col min="4876" max="4877" width="10.875" style="52" customWidth="1"/>
    <col min="4878" max="4878" width="11.5" style="52" customWidth="1"/>
    <col min="4879" max="4879" width="10.5" style="52" customWidth="1"/>
    <col min="4880" max="4880" width="8" style="52" customWidth="1"/>
    <col min="4881" max="4881" width="7.375" style="52" customWidth="1"/>
    <col min="4882" max="4882" width="8.125" style="52" customWidth="1"/>
    <col min="4883" max="4883" width="7.625" style="52" customWidth="1"/>
    <col min="4884" max="4885" width="8.5" style="52" customWidth="1"/>
    <col min="4886" max="4886" width="9.125" style="52" customWidth="1"/>
    <col min="4887" max="4887" width="7.875" style="52" customWidth="1"/>
    <col min="4888" max="4888" width="8.625" style="52" customWidth="1"/>
    <col min="4889" max="4889" width="7.625" style="52" customWidth="1"/>
    <col min="4890" max="4890" width="8" style="52" customWidth="1"/>
    <col min="4891" max="4891" width="6.375" style="52" customWidth="1"/>
    <col min="4892" max="4892" width="8" style="52" customWidth="1"/>
    <col min="4893" max="4893" width="6.375" style="52" customWidth="1"/>
    <col min="4894" max="4894" width="8.375" style="52" customWidth="1"/>
    <col min="4895" max="4895" width="6.375" style="52" customWidth="1"/>
    <col min="4896" max="4896" width="10.375" style="52" customWidth="1"/>
    <col min="4897" max="4897" width="16.5" style="52" customWidth="1"/>
    <col min="4898" max="4898" width="10.375" style="52" customWidth="1"/>
    <col min="4899" max="4899" width="6" style="52" bestFit="1" customWidth="1"/>
    <col min="4900" max="4900" width="5.875" style="52"/>
    <col min="4901" max="4905" width="8.125" style="52" customWidth="1"/>
    <col min="4906" max="4907" width="0" style="52" hidden="1" customWidth="1"/>
    <col min="4908" max="5120" width="5.875" style="52"/>
    <col min="5121" max="5121" width="13" style="52" bestFit="1" customWidth="1"/>
    <col min="5122" max="5122" width="14.875" style="52" customWidth="1"/>
    <col min="5123" max="5123" width="13" style="52" customWidth="1"/>
    <col min="5124" max="5124" width="11.125" style="52" bestFit="1" customWidth="1"/>
    <col min="5125" max="5125" width="14.375" style="52" customWidth="1"/>
    <col min="5126" max="5126" width="12.625" style="52" bestFit="1" customWidth="1"/>
    <col min="5127" max="5127" width="25.625" style="52" customWidth="1"/>
    <col min="5128" max="5128" width="11.125" style="52" customWidth="1"/>
    <col min="5129" max="5129" width="26.375" style="52" customWidth="1"/>
    <col min="5130" max="5130" width="23.875" style="52" customWidth="1"/>
    <col min="5131" max="5131" width="11.125" style="52" customWidth="1"/>
    <col min="5132" max="5133" width="10.875" style="52" customWidth="1"/>
    <col min="5134" max="5134" width="11.5" style="52" customWidth="1"/>
    <col min="5135" max="5135" width="10.5" style="52" customWidth="1"/>
    <col min="5136" max="5136" width="8" style="52" customWidth="1"/>
    <col min="5137" max="5137" width="7.375" style="52" customWidth="1"/>
    <col min="5138" max="5138" width="8.125" style="52" customWidth="1"/>
    <col min="5139" max="5139" width="7.625" style="52" customWidth="1"/>
    <col min="5140" max="5141" width="8.5" style="52" customWidth="1"/>
    <col min="5142" max="5142" width="9.125" style="52" customWidth="1"/>
    <col min="5143" max="5143" width="7.875" style="52" customWidth="1"/>
    <col min="5144" max="5144" width="8.625" style="52" customWidth="1"/>
    <col min="5145" max="5145" width="7.625" style="52" customWidth="1"/>
    <col min="5146" max="5146" width="8" style="52" customWidth="1"/>
    <col min="5147" max="5147" width="6.375" style="52" customWidth="1"/>
    <col min="5148" max="5148" width="8" style="52" customWidth="1"/>
    <col min="5149" max="5149" width="6.375" style="52" customWidth="1"/>
    <col min="5150" max="5150" width="8.375" style="52" customWidth="1"/>
    <col min="5151" max="5151" width="6.375" style="52" customWidth="1"/>
    <col min="5152" max="5152" width="10.375" style="52" customWidth="1"/>
    <col min="5153" max="5153" width="16.5" style="52" customWidth="1"/>
    <col min="5154" max="5154" width="10.375" style="52" customWidth="1"/>
    <col min="5155" max="5155" width="6" style="52" bestFit="1" customWidth="1"/>
    <col min="5156" max="5156" width="5.875" style="52"/>
    <col min="5157" max="5161" width="8.125" style="52" customWidth="1"/>
    <col min="5162" max="5163" width="0" style="52" hidden="1" customWidth="1"/>
    <col min="5164" max="5376" width="5.875" style="52"/>
    <col min="5377" max="5377" width="13" style="52" bestFit="1" customWidth="1"/>
    <col min="5378" max="5378" width="14.875" style="52" customWidth="1"/>
    <col min="5379" max="5379" width="13" style="52" customWidth="1"/>
    <col min="5380" max="5380" width="11.125" style="52" bestFit="1" customWidth="1"/>
    <col min="5381" max="5381" width="14.375" style="52" customWidth="1"/>
    <col min="5382" max="5382" width="12.625" style="52" bestFit="1" customWidth="1"/>
    <col min="5383" max="5383" width="25.625" style="52" customWidth="1"/>
    <col min="5384" max="5384" width="11.125" style="52" customWidth="1"/>
    <col min="5385" max="5385" width="26.375" style="52" customWidth="1"/>
    <col min="5386" max="5386" width="23.875" style="52" customWidth="1"/>
    <col min="5387" max="5387" width="11.125" style="52" customWidth="1"/>
    <col min="5388" max="5389" width="10.875" style="52" customWidth="1"/>
    <col min="5390" max="5390" width="11.5" style="52" customWidth="1"/>
    <col min="5391" max="5391" width="10.5" style="52" customWidth="1"/>
    <col min="5392" max="5392" width="8" style="52" customWidth="1"/>
    <col min="5393" max="5393" width="7.375" style="52" customWidth="1"/>
    <col min="5394" max="5394" width="8.125" style="52" customWidth="1"/>
    <col min="5395" max="5395" width="7.625" style="52" customWidth="1"/>
    <col min="5396" max="5397" width="8.5" style="52" customWidth="1"/>
    <col min="5398" max="5398" width="9.125" style="52" customWidth="1"/>
    <col min="5399" max="5399" width="7.875" style="52" customWidth="1"/>
    <col min="5400" max="5400" width="8.625" style="52" customWidth="1"/>
    <col min="5401" max="5401" width="7.625" style="52" customWidth="1"/>
    <col min="5402" max="5402" width="8" style="52" customWidth="1"/>
    <col min="5403" max="5403" width="6.375" style="52" customWidth="1"/>
    <col min="5404" max="5404" width="8" style="52" customWidth="1"/>
    <col min="5405" max="5405" width="6.375" style="52" customWidth="1"/>
    <col min="5406" max="5406" width="8.375" style="52" customWidth="1"/>
    <col min="5407" max="5407" width="6.375" style="52" customWidth="1"/>
    <col min="5408" max="5408" width="10.375" style="52" customWidth="1"/>
    <col min="5409" max="5409" width="16.5" style="52" customWidth="1"/>
    <col min="5410" max="5410" width="10.375" style="52" customWidth="1"/>
    <col min="5411" max="5411" width="6" style="52" bestFit="1" customWidth="1"/>
    <col min="5412" max="5412" width="5.875" style="52"/>
    <col min="5413" max="5417" width="8.125" style="52" customWidth="1"/>
    <col min="5418" max="5419" width="0" style="52" hidden="1" customWidth="1"/>
    <col min="5420" max="5632" width="5.875" style="52"/>
    <col min="5633" max="5633" width="13" style="52" bestFit="1" customWidth="1"/>
    <col min="5634" max="5634" width="14.875" style="52" customWidth="1"/>
    <col min="5635" max="5635" width="13" style="52" customWidth="1"/>
    <col min="5636" max="5636" width="11.125" style="52" bestFit="1" customWidth="1"/>
    <col min="5637" max="5637" width="14.375" style="52" customWidth="1"/>
    <col min="5638" max="5638" width="12.625" style="52" bestFit="1" customWidth="1"/>
    <col min="5639" max="5639" width="25.625" style="52" customWidth="1"/>
    <col min="5640" max="5640" width="11.125" style="52" customWidth="1"/>
    <col min="5641" max="5641" width="26.375" style="52" customWidth="1"/>
    <col min="5642" max="5642" width="23.875" style="52" customWidth="1"/>
    <col min="5643" max="5643" width="11.125" style="52" customWidth="1"/>
    <col min="5644" max="5645" width="10.875" style="52" customWidth="1"/>
    <col min="5646" max="5646" width="11.5" style="52" customWidth="1"/>
    <col min="5647" max="5647" width="10.5" style="52" customWidth="1"/>
    <col min="5648" max="5648" width="8" style="52" customWidth="1"/>
    <col min="5649" max="5649" width="7.375" style="52" customWidth="1"/>
    <col min="5650" max="5650" width="8.125" style="52" customWidth="1"/>
    <col min="5651" max="5651" width="7.625" style="52" customWidth="1"/>
    <col min="5652" max="5653" width="8.5" style="52" customWidth="1"/>
    <col min="5654" max="5654" width="9.125" style="52" customWidth="1"/>
    <col min="5655" max="5655" width="7.875" style="52" customWidth="1"/>
    <col min="5656" max="5656" width="8.625" style="52" customWidth="1"/>
    <col min="5657" max="5657" width="7.625" style="52" customWidth="1"/>
    <col min="5658" max="5658" width="8" style="52" customWidth="1"/>
    <col min="5659" max="5659" width="6.375" style="52" customWidth="1"/>
    <col min="5660" max="5660" width="8" style="52" customWidth="1"/>
    <col min="5661" max="5661" width="6.375" style="52" customWidth="1"/>
    <col min="5662" max="5662" width="8.375" style="52" customWidth="1"/>
    <col min="5663" max="5663" width="6.375" style="52" customWidth="1"/>
    <col min="5664" max="5664" width="10.375" style="52" customWidth="1"/>
    <col min="5665" max="5665" width="16.5" style="52" customWidth="1"/>
    <col min="5666" max="5666" width="10.375" style="52" customWidth="1"/>
    <col min="5667" max="5667" width="6" style="52" bestFit="1" customWidth="1"/>
    <col min="5668" max="5668" width="5.875" style="52"/>
    <col min="5669" max="5673" width="8.125" style="52" customWidth="1"/>
    <col min="5674" max="5675" width="0" style="52" hidden="1" customWidth="1"/>
    <col min="5676" max="5888" width="5.875" style="52"/>
    <col min="5889" max="5889" width="13" style="52" bestFit="1" customWidth="1"/>
    <col min="5890" max="5890" width="14.875" style="52" customWidth="1"/>
    <col min="5891" max="5891" width="13" style="52" customWidth="1"/>
    <col min="5892" max="5892" width="11.125" style="52" bestFit="1" customWidth="1"/>
    <col min="5893" max="5893" width="14.375" style="52" customWidth="1"/>
    <col min="5894" max="5894" width="12.625" style="52" bestFit="1" customWidth="1"/>
    <col min="5895" max="5895" width="25.625" style="52" customWidth="1"/>
    <col min="5896" max="5896" width="11.125" style="52" customWidth="1"/>
    <col min="5897" max="5897" width="26.375" style="52" customWidth="1"/>
    <col min="5898" max="5898" width="23.875" style="52" customWidth="1"/>
    <col min="5899" max="5899" width="11.125" style="52" customWidth="1"/>
    <col min="5900" max="5901" width="10.875" style="52" customWidth="1"/>
    <col min="5902" max="5902" width="11.5" style="52" customWidth="1"/>
    <col min="5903" max="5903" width="10.5" style="52" customWidth="1"/>
    <col min="5904" max="5904" width="8" style="52" customWidth="1"/>
    <col min="5905" max="5905" width="7.375" style="52" customWidth="1"/>
    <col min="5906" max="5906" width="8.125" style="52" customWidth="1"/>
    <col min="5907" max="5907" width="7.625" style="52" customWidth="1"/>
    <col min="5908" max="5909" width="8.5" style="52" customWidth="1"/>
    <col min="5910" max="5910" width="9.125" style="52" customWidth="1"/>
    <col min="5911" max="5911" width="7.875" style="52" customWidth="1"/>
    <col min="5912" max="5912" width="8.625" style="52" customWidth="1"/>
    <col min="5913" max="5913" width="7.625" style="52" customWidth="1"/>
    <col min="5914" max="5914" width="8" style="52" customWidth="1"/>
    <col min="5915" max="5915" width="6.375" style="52" customWidth="1"/>
    <col min="5916" max="5916" width="8" style="52" customWidth="1"/>
    <col min="5917" max="5917" width="6.375" style="52" customWidth="1"/>
    <col min="5918" max="5918" width="8.375" style="52" customWidth="1"/>
    <col min="5919" max="5919" width="6.375" style="52" customWidth="1"/>
    <col min="5920" max="5920" width="10.375" style="52" customWidth="1"/>
    <col min="5921" max="5921" width="16.5" style="52" customWidth="1"/>
    <col min="5922" max="5922" width="10.375" style="52" customWidth="1"/>
    <col min="5923" max="5923" width="6" style="52" bestFit="1" customWidth="1"/>
    <col min="5924" max="5924" width="5.875" style="52"/>
    <col min="5925" max="5929" width="8.125" style="52" customWidth="1"/>
    <col min="5930" max="5931" width="0" style="52" hidden="1" customWidth="1"/>
    <col min="5932" max="6144" width="5.875" style="52"/>
    <col min="6145" max="6145" width="13" style="52" bestFit="1" customWidth="1"/>
    <col min="6146" max="6146" width="14.875" style="52" customWidth="1"/>
    <col min="6147" max="6147" width="13" style="52" customWidth="1"/>
    <col min="6148" max="6148" width="11.125" style="52" bestFit="1" customWidth="1"/>
    <col min="6149" max="6149" width="14.375" style="52" customWidth="1"/>
    <col min="6150" max="6150" width="12.625" style="52" bestFit="1" customWidth="1"/>
    <col min="6151" max="6151" width="25.625" style="52" customWidth="1"/>
    <col min="6152" max="6152" width="11.125" style="52" customWidth="1"/>
    <col min="6153" max="6153" width="26.375" style="52" customWidth="1"/>
    <col min="6154" max="6154" width="23.875" style="52" customWidth="1"/>
    <col min="6155" max="6155" width="11.125" style="52" customWidth="1"/>
    <col min="6156" max="6157" width="10.875" style="52" customWidth="1"/>
    <col min="6158" max="6158" width="11.5" style="52" customWidth="1"/>
    <col min="6159" max="6159" width="10.5" style="52" customWidth="1"/>
    <col min="6160" max="6160" width="8" style="52" customWidth="1"/>
    <col min="6161" max="6161" width="7.375" style="52" customWidth="1"/>
    <col min="6162" max="6162" width="8.125" style="52" customWidth="1"/>
    <col min="6163" max="6163" width="7.625" style="52" customWidth="1"/>
    <col min="6164" max="6165" width="8.5" style="52" customWidth="1"/>
    <col min="6166" max="6166" width="9.125" style="52" customWidth="1"/>
    <col min="6167" max="6167" width="7.875" style="52" customWidth="1"/>
    <col min="6168" max="6168" width="8.625" style="52" customWidth="1"/>
    <col min="6169" max="6169" width="7.625" style="52" customWidth="1"/>
    <col min="6170" max="6170" width="8" style="52" customWidth="1"/>
    <col min="6171" max="6171" width="6.375" style="52" customWidth="1"/>
    <col min="6172" max="6172" width="8" style="52" customWidth="1"/>
    <col min="6173" max="6173" width="6.375" style="52" customWidth="1"/>
    <col min="6174" max="6174" width="8.375" style="52" customWidth="1"/>
    <col min="6175" max="6175" width="6.375" style="52" customWidth="1"/>
    <col min="6176" max="6176" width="10.375" style="52" customWidth="1"/>
    <col min="6177" max="6177" width="16.5" style="52" customWidth="1"/>
    <col min="6178" max="6178" width="10.375" style="52" customWidth="1"/>
    <col min="6179" max="6179" width="6" style="52" bestFit="1" customWidth="1"/>
    <col min="6180" max="6180" width="5.875" style="52"/>
    <col min="6181" max="6185" width="8.125" style="52" customWidth="1"/>
    <col min="6186" max="6187" width="0" style="52" hidden="1" customWidth="1"/>
    <col min="6188" max="6400" width="5.875" style="52"/>
    <col min="6401" max="6401" width="13" style="52" bestFit="1" customWidth="1"/>
    <col min="6402" max="6402" width="14.875" style="52" customWidth="1"/>
    <col min="6403" max="6403" width="13" style="52" customWidth="1"/>
    <col min="6404" max="6404" width="11.125" style="52" bestFit="1" customWidth="1"/>
    <col min="6405" max="6405" width="14.375" style="52" customWidth="1"/>
    <col min="6406" max="6406" width="12.625" style="52" bestFit="1" customWidth="1"/>
    <col min="6407" max="6407" width="25.625" style="52" customWidth="1"/>
    <col min="6408" max="6408" width="11.125" style="52" customWidth="1"/>
    <col min="6409" max="6409" width="26.375" style="52" customWidth="1"/>
    <col min="6410" max="6410" width="23.875" style="52" customWidth="1"/>
    <col min="6411" max="6411" width="11.125" style="52" customWidth="1"/>
    <col min="6412" max="6413" width="10.875" style="52" customWidth="1"/>
    <col min="6414" max="6414" width="11.5" style="52" customWidth="1"/>
    <col min="6415" max="6415" width="10.5" style="52" customWidth="1"/>
    <col min="6416" max="6416" width="8" style="52" customWidth="1"/>
    <col min="6417" max="6417" width="7.375" style="52" customWidth="1"/>
    <col min="6418" max="6418" width="8.125" style="52" customWidth="1"/>
    <col min="6419" max="6419" width="7.625" style="52" customWidth="1"/>
    <col min="6420" max="6421" width="8.5" style="52" customWidth="1"/>
    <col min="6422" max="6422" width="9.125" style="52" customWidth="1"/>
    <col min="6423" max="6423" width="7.875" style="52" customWidth="1"/>
    <col min="6424" max="6424" width="8.625" style="52" customWidth="1"/>
    <col min="6425" max="6425" width="7.625" style="52" customWidth="1"/>
    <col min="6426" max="6426" width="8" style="52" customWidth="1"/>
    <col min="6427" max="6427" width="6.375" style="52" customWidth="1"/>
    <col min="6428" max="6428" width="8" style="52" customWidth="1"/>
    <col min="6429" max="6429" width="6.375" style="52" customWidth="1"/>
    <col min="6430" max="6430" width="8.375" style="52" customWidth="1"/>
    <col min="6431" max="6431" width="6.375" style="52" customWidth="1"/>
    <col min="6432" max="6432" width="10.375" style="52" customWidth="1"/>
    <col min="6433" max="6433" width="16.5" style="52" customWidth="1"/>
    <col min="6434" max="6434" width="10.375" style="52" customWidth="1"/>
    <col min="6435" max="6435" width="6" style="52" bestFit="1" customWidth="1"/>
    <col min="6436" max="6436" width="5.875" style="52"/>
    <col min="6437" max="6441" width="8.125" style="52" customWidth="1"/>
    <col min="6442" max="6443" width="0" style="52" hidden="1" customWidth="1"/>
    <col min="6444" max="6656" width="5.875" style="52"/>
    <col min="6657" max="6657" width="13" style="52" bestFit="1" customWidth="1"/>
    <col min="6658" max="6658" width="14.875" style="52" customWidth="1"/>
    <col min="6659" max="6659" width="13" style="52" customWidth="1"/>
    <col min="6660" max="6660" width="11.125" style="52" bestFit="1" customWidth="1"/>
    <col min="6661" max="6661" width="14.375" style="52" customWidth="1"/>
    <col min="6662" max="6662" width="12.625" style="52" bestFit="1" customWidth="1"/>
    <col min="6663" max="6663" width="25.625" style="52" customWidth="1"/>
    <col min="6664" max="6664" width="11.125" style="52" customWidth="1"/>
    <col min="6665" max="6665" width="26.375" style="52" customWidth="1"/>
    <col min="6666" max="6666" width="23.875" style="52" customWidth="1"/>
    <col min="6667" max="6667" width="11.125" style="52" customWidth="1"/>
    <col min="6668" max="6669" width="10.875" style="52" customWidth="1"/>
    <col min="6670" max="6670" width="11.5" style="52" customWidth="1"/>
    <col min="6671" max="6671" width="10.5" style="52" customWidth="1"/>
    <col min="6672" max="6672" width="8" style="52" customWidth="1"/>
    <col min="6673" max="6673" width="7.375" style="52" customWidth="1"/>
    <col min="6674" max="6674" width="8.125" style="52" customWidth="1"/>
    <col min="6675" max="6675" width="7.625" style="52" customWidth="1"/>
    <col min="6676" max="6677" width="8.5" style="52" customWidth="1"/>
    <col min="6678" max="6678" width="9.125" style="52" customWidth="1"/>
    <col min="6679" max="6679" width="7.875" style="52" customWidth="1"/>
    <col min="6680" max="6680" width="8.625" style="52" customWidth="1"/>
    <col min="6681" max="6681" width="7.625" style="52" customWidth="1"/>
    <col min="6682" max="6682" width="8" style="52" customWidth="1"/>
    <col min="6683" max="6683" width="6.375" style="52" customWidth="1"/>
    <col min="6684" max="6684" width="8" style="52" customWidth="1"/>
    <col min="6685" max="6685" width="6.375" style="52" customWidth="1"/>
    <col min="6686" max="6686" width="8.375" style="52" customWidth="1"/>
    <col min="6687" max="6687" width="6.375" style="52" customWidth="1"/>
    <col min="6688" max="6688" width="10.375" style="52" customWidth="1"/>
    <col min="6689" max="6689" width="16.5" style="52" customWidth="1"/>
    <col min="6690" max="6690" width="10.375" style="52" customWidth="1"/>
    <col min="6691" max="6691" width="6" style="52" bestFit="1" customWidth="1"/>
    <col min="6692" max="6692" width="5.875" style="52"/>
    <col min="6693" max="6697" width="8.125" style="52" customWidth="1"/>
    <col min="6698" max="6699" width="0" style="52" hidden="1" customWidth="1"/>
    <col min="6700" max="6912" width="5.875" style="52"/>
    <col min="6913" max="6913" width="13" style="52" bestFit="1" customWidth="1"/>
    <col min="6914" max="6914" width="14.875" style="52" customWidth="1"/>
    <col min="6915" max="6915" width="13" style="52" customWidth="1"/>
    <col min="6916" max="6916" width="11.125" style="52" bestFit="1" customWidth="1"/>
    <col min="6917" max="6917" width="14.375" style="52" customWidth="1"/>
    <col min="6918" max="6918" width="12.625" style="52" bestFit="1" customWidth="1"/>
    <col min="6919" max="6919" width="25.625" style="52" customWidth="1"/>
    <col min="6920" max="6920" width="11.125" style="52" customWidth="1"/>
    <col min="6921" max="6921" width="26.375" style="52" customWidth="1"/>
    <col min="6922" max="6922" width="23.875" style="52" customWidth="1"/>
    <col min="6923" max="6923" width="11.125" style="52" customWidth="1"/>
    <col min="6924" max="6925" width="10.875" style="52" customWidth="1"/>
    <col min="6926" max="6926" width="11.5" style="52" customWidth="1"/>
    <col min="6927" max="6927" width="10.5" style="52" customWidth="1"/>
    <col min="6928" max="6928" width="8" style="52" customWidth="1"/>
    <col min="6929" max="6929" width="7.375" style="52" customWidth="1"/>
    <col min="6930" max="6930" width="8.125" style="52" customWidth="1"/>
    <col min="6931" max="6931" width="7.625" style="52" customWidth="1"/>
    <col min="6932" max="6933" width="8.5" style="52" customWidth="1"/>
    <col min="6934" max="6934" width="9.125" style="52" customWidth="1"/>
    <col min="6935" max="6935" width="7.875" style="52" customWidth="1"/>
    <col min="6936" max="6936" width="8.625" style="52" customWidth="1"/>
    <col min="6937" max="6937" width="7.625" style="52" customWidth="1"/>
    <col min="6938" max="6938" width="8" style="52" customWidth="1"/>
    <col min="6939" max="6939" width="6.375" style="52" customWidth="1"/>
    <col min="6940" max="6940" width="8" style="52" customWidth="1"/>
    <col min="6941" max="6941" width="6.375" style="52" customWidth="1"/>
    <col min="6942" max="6942" width="8.375" style="52" customWidth="1"/>
    <col min="6943" max="6943" width="6.375" style="52" customWidth="1"/>
    <col min="6944" max="6944" width="10.375" style="52" customWidth="1"/>
    <col min="6945" max="6945" width="16.5" style="52" customWidth="1"/>
    <col min="6946" max="6946" width="10.375" style="52" customWidth="1"/>
    <col min="6947" max="6947" width="6" style="52" bestFit="1" customWidth="1"/>
    <col min="6948" max="6948" width="5.875" style="52"/>
    <col min="6949" max="6953" width="8.125" style="52" customWidth="1"/>
    <col min="6954" max="6955" width="0" style="52" hidden="1" customWidth="1"/>
    <col min="6956" max="7168" width="5.875" style="52"/>
    <col min="7169" max="7169" width="13" style="52" bestFit="1" customWidth="1"/>
    <col min="7170" max="7170" width="14.875" style="52" customWidth="1"/>
    <col min="7171" max="7171" width="13" style="52" customWidth="1"/>
    <col min="7172" max="7172" width="11.125" style="52" bestFit="1" customWidth="1"/>
    <col min="7173" max="7173" width="14.375" style="52" customWidth="1"/>
    <col min="7174" max="7174" width="12.625" style="52" bestFit="1" customWidth="1"/>
    <col min="7175" max="7175" width="25.625" style="52" customWidth="1"/>
    <col min="7176" max="7176" width="11.125" style="52" customWidth="1"/>
    <col min="7177" max="7177" width="26.375" style="52" customWidth="1"/>
    <col min="7178" max="7178" width="23.875" style="52" customWidth="1"/>
    <col min="7179" max="7179" width="11.125" style="52" customWidth="1"/>
    <col min="7180" max="7181" width="10.875" style="52" customWidth="1"/>
    <col min="7182" max="7182" width="11.5" style="52" customWidth="1"/>
    <col min="7183" max="7183" width="10.5" style="52" customWidth="1"/>
    <col min="7184" max="7184" width="8" style="52" customWidth="1"/>
    <col min="7185" max="7185" width="7.375" style="52" customWidth="1"/>
    <col min="7186" max="7186" width="8.125" style="52" customWidth="1"/>
    <col min="7187" max="7187" width="7.625" style="52" customWidth="1"/>
    <col min="7188" max="7189" width="8.5" style="52" customWidth="1"/>
    <col min="7190" max="7190" width="9.125" style="52" customWidth="1"/>
    <col min="7191" max="7191" width="7.875" style="52" customWidth="1"/>
    <col min="7192" max="7192" width="8.625" style="52" customWidth="1"/>
    <col min="7193" max="7193" width="7.625" style="52" customWidth="1"/>
    <col min="7194" max="7194" width="8" style="52" customWidth="1"/>
    <col min="7195" max="7195" width="6.375" style="52" customWidth="1"/>
    <col min="7196" max="7196" width="8" style="52" customWidth="1"/>
    <col min="7197" max="7197" width="6.375" style="52" customWidth="1"/>
    <col min="7198" max="7198" width="8.375" style="52" customWidth="1"/>
    <col min="7199" max="7199" width="6.375" style="52" customWidth="1"/>
    <col min="7200" max="7200" width="10.375" style="52" customWidth="1"/>
    <col min="7201" max="7201" width="16.5" style="52" customWidth="1"/>
    <col min="7202" max="7202" width="10.375" style="52" customWidth="1"/>
    <col min="7203" max="7203" width="6" style="52" bestFit="1" customWidth="1"/>
    <col min="7204" max="7204" width="5.875" style="52"/>
    <col min="7205" max="7209" width="8.125" style="52" customWidth="1"/>
    <col min="7210" max="7211" width="0" style="52" hidden="1" customWidth="1"/>
    <col min="7212" max="7424" width="5.875" style="52"/>
    <col min="7425" max="7425" width="13" style="52" bestFit="1" customWidth="1"/>
    <col min="7426" max="7426" width="14.875" style="52" customWidth="1"/>
    <col min="7427" max="7427" width="13" style="52" customWidth="1"/>
    <col min="7428" max="7428" width="11.125" style="52" bestFit="1" customWidth="1"/>
    <col min="7429" max="7429" width="14.375" style="52" customWidth="1"/>
    <col min="7430" max="7430" width="12.625" style="52" bestFit="1" customWidth="1"/>
    <col min="7431" max="7431" width="25.625" style="52" customWidth="1"/>
    <col min="7432" max="7432" width="11.125" style="52" customWidth="1"/>
    <col min="7433" max="7433" width="26.375" style="52" customWidth="1"/>
    <col min="7434" max="7434" width="23.875" style="52" customWidth="1"/>
    <col min="7435" max="7435" width="11.125" style="52" customWidth="1"/>
    <col min="7436" max="7437" width="10.875" style="52" customWidth="1"/>
    <col min="7438" max="7438" width="11.5" style="52" customWidth="1"/>
    <col min="7439" max="7439" width="10.5" style="52" customWidth="1"/>
    <col min="7440" max="7440" width="8" style="52" customWidth="1"/>
    <col min="7441" max="7441" width="7.375" style="52" customWidth="1"/>
    <col min="7442" max="7442" width="8.125" style="52" customWidth="1"/>
    <col min="7443" max="7443" width="7.625" style="52" customWidth="1"/>
    <col min="7444" max="7445" width="8.5" style="52" customWidth="1"/>
    <col min="7446" max="7446" width="9.125" style="52" customWidth="1"/>
    <col min="7447" max="7447" width="7.875" style="52" customWidth="1"/>
    <col min="7448" max="7448" width="8.625" style="52" customWidth="1"/>
    <col min="7449" max="7449" width="7.625" style="52" customWidth="1"/>
    <col min="7450" max="7450" width="8" style="52" customWidth="1"/>
    <col min="7451" max="7451" width="6.375" style="52" customWidth="1"/>
    <col min="7452" max="7452" width="8" style="52" customWidth="1"/>
    <col min="7453" max="7453" width="6.375" style="52" customWidth="1"/>
    <col min="7454" max="7454" width="8.375" style="52" customWidth="1"/>
    <col min="7455" max="7455" width="6.375" style="52" customWidth="1"/>
    <col min="7456" max="7456" width="10.375" style="52" customWidth="1"/>
    <col min="7457" max="7457" width="16.5" style="52" customWidth="1"/>
    <col min="7458" max="7458" width="10.375" style="52" customWidth="1"/>
    <col min="7459" max="7459" width="6" style="52" bestFit="1" customWidth="1"/>
    <col min="7460" max="7460" width="5.875" style="52"/>
    <col min="7461" max="7465" width="8.125" style="52" customWidth="1"/>
    <col min="7466" max="7467" width="0" style="52" hidden="1" customWidth="1"/>
    <col min="7468" max="7680" width="5.875" style="52"/>
    <col min="7681" max="7681" width="13" style="52" bestFit="1" customWidth="1"/>
    <col min="7682" max="7682" width="14.875" style="52" customWidth="1"/>
    <col min="7683" max="7683" width="13" style="52" customWidth="1"/>
    <col min="7684" max="7684" width="11.125" style="52" bestFit="1" customWidth="1"/>
    <col min="7685" max="7685" width="14.375" style="52" customWidth="1"/>
    <col min="7686" max="7686" width="12.625" style="52" bestFit="1" customWidth="1"/>
    <col min="7687" max="7687" width="25.625" style="52" customWidth="1"/>
    <col min="7688" max="7688" width="11.125" style="52" customWidth="1"/>
    <col min="7689" max="7689" width="26.375" style="52" customWidth="1"/>
    <col min="7690" max="7690" width="23.875" style="52" customWidth="1"/>
    <col min="7691" max="7691" width="11.125" style="52" customWidth="1"/>
    <col min="7692" max="7693" width="10.875" style="52" customWidth="1"/>
    <col min="7694" max="7694" width="11.5" style="52" customWidth="1"/>
    <col min="7695" max="7695" width="10.5" style="52" customWidth="1"/>
    <col min="7696" max="7696" width="8" style="52" customWidth="1"/>
    <col min="7697" max="7697" width="7.375" style="52" customWidth="1"/>
    <col min="7698" max="7698" width="8.125" style="52" customWidth="1"/>
    <col min="7699" max="7699" width="7.625" style="52" customWidth="1"/>
    <col min="7700" max="7701" width="8.5" style="52" customWidth="1"/>
    <col min="7702" max="7702" width="9.125" style="52" customWidth="1"/>
    <col min="7703" max="7703" width="7.875" style="52" customWidth="1"/>
    <col min="7704" max="7704" width="8.625" style="52" customWidth="1"/>
    <col min="7705" max="7705" width="7.625" style="52" customWidth="1"/>
    <col min="7706" max="7706" width="8" style="52" customWidth="1"/>
    <col min="7707" max="7707" width="6.375" style="52" customWidth="1"/>
    <col min="7708" max="7708" width="8" style="52" customWidth="1"/>
    <col min="7709" max="7709" width="6.375" style="52" customWidth="1"/>
    <col min="7710" max="7710" width="8.375" style="52" customWidth="1"/>
    <col min="7711" max="7711" width="6.375" style="52" customWidth="1"/>
    <col min="7712" max="7712" width="10.375" style="52" customWidth="1"/>
    <col min="7713" max="7713" width="16.5" style="52" customWidth="1"/>
    <col min="7714" max="7714" width="10.375" style="52" customWidth="1"/>
    <col min="7715" max="7715" width="6" style="52" bestFit="1" customWidth="1"/>
    <col min="7716" max="7716" width="5.875" style="52"/>
    <col min="7717" max="7721" width="8.125" style="52" customWidth="1"/>
    <col min="7722" max="7723" width="0" style="52" hidden="1" customWidth="1"/>
    <col min="7724" max="7936" width="5.875" style="52"/>
    <col min="7937" max="7937" width="13" style="52" bestFit="1" customWidth="1"/>
    <col min="7938" max="7938" width="14.875" style="52" customWidth="1"/>
    <col min="7939" max="7939" width="13" style="52" customWidth="1"/>
    <col min="7940" max="7940" width="11.125" style="52" bestFit="1" customWidth="1"/>
    <col min="7941" max="7941" width="14.375" style="52" customWidth="1"/>
    <col min="7942" max="7942" width="12.625" style="52" bestFit="1" customWidth="1"/>
    <col min="7943" max="7943" width="25.625" style="52" customWidth="1"/>
    <col min="7944" max="7944" width="11.125" style="52" customWidth="1"/>
    <col min="7945" max="7945" width="26.375" style="52" customWidth="1"/>
    <col min="7946" max="7946" width="23.875" style="52" customWidth="1"/>
    <col min="7947" max="7947" width="11.125" style="52" customWidth="1"/>
    <col min="7948" max="7949" width="10.875" style="52" customWidth="1"/>
    <col min="7950" max="7950" width="11.5" style="52" customWidth="1"/>
    <col min="7951" max="7951" width="10.5" style="52" customWidth="1"/>
    <col min="7952" max="7952" width="8" style="52" customWidth="1"/>
    <col min="7953" max="7953" width="7.375" style="52" customWidth="1"/>
    <col min="7954" max="7954" width="8.125" style="52" customWidth="1"/>
    <col min="7955" max="7955" width="7.625" style="52" customWidth="1"/>
    <col min="7956" max="7957" width="8.5" style="52" customWidth="1"/>
    <col min="7958" max="7958" width="9.125" style="52" customWidth="1"/>
    <col min="7959" max="7959" width="7.875" style="52" customWidth="1"/>
    <col min="7960" max="7960" width="8.625" style="52" customWidth="1"/>
    <col min="7961" max="7961" width="7.625" style="52" customWidth="1"/>
    <col min="7962" max="7962" width="8" style="52" customWidth="1"/>
    <col min="7963" max="7963" width="6.375" style="52" customWidth="1"/>
    <col min="7964" max="7964" width="8" style="52" customWidth="1"/>
    <col min="7965" max="7965" width="6.375" style="52" customWidth="1"/>
    <col min="7966" max="7966" width="8.375" style="52" customWidth="1"/>
    <col min="7967" max="7967" width="6.375" style="52" customWidth="1"/>
    <col min="7968" max="7968" width="10.375" style="52" customWidth="1"/>
    <col min="7969" max="7969" width="16.5" style="52" customWidth="1"/>
    <col min="7970" max="7970" width="10.375" style="52" customWidth="1"/>
    <col min="7971" max="7971" width="6" style="52" bestFit="1" customWidth="1"/>
    <col min="7972" max="7972" width="5.875" style="52"/>
    <col min="7973" max="7977" width="8.125" style="52" customWidth="1"/>
    <col min="7978" max="7979" width="0" style="52" hidden="1" customWidth="1"/>
    <col min="7980" max="8192" width="5.875" style="52"/>
    <col min="8193" max="8193" width="13" style="52" bestFit="1" customWidth="1"/>
    <col min="8194" max="8194" width="14.875" style="52" customWidth="1"/>
    <col min="8195" max="8195" width="13" style="52" customWidth="1"/>
    <col min="8196" max="8196" width="11.125" style="52" bestFit="1" customWidth="1"/>
    <col min="8197" max="8197" width="14.375" style="52" customWidth="1"/>
    <col min="8198" max="8198" width="12.625" style="52" bestFit="1" customWidth="1"/>
    <col min="8199" max="8199" width="25.625" style="52" customWidth="1"/>
    <col min="8200" max="8200" width="11.125" style="52" customWidth="1"/>
    <col min="8201" max="8201" width="26.375" style="52" customWidth="1"/>
    <col min="8202" max="8202" width="23.875" style="52" customWidth="1"/>
    <col min="8203" max="8203" width="11.125" style="52" customWidth="1"/>
    <col min="8204" max="8205" width="10.875" style="52" customWidth="1"/>
    <col min="8206" max="8206" width="11.5" style="52" customWidth="1"/>
    <col min="8207" max="8207" width="10.5" style="52" customWidth="1"/>
    <col min="8208" max="8208" width="8" style="52" customWidth="1"/>
    <col min="8209" max="8209" width="7.375" style="52" customWidth="1"/>
    <col min="8210" max="8210" width="8.125" style="52" customWidth="1"/>
    <col min="8211" max="8211" width="7.625" style="52" customWidth="1"/>
    <col min="8212" max="8213" width="8.5" style="52" customWidth="1"/>
    <col min="8214" max="8214" width="9.125" style="52" customWidth="1"/>
    <col min="8215" max="8215" width="7.875" style="52" customWidth="1"/>
    <col min="8216" max="8216" width="8.625" style="52" customWidth="1"/>
    <col min="8217" max="8217" width="7.625" style="52" customWidth="1"/>
    <col min="8218" max="8218" width="8" style="52" customWidth="1"/>
    <col min="8219" max="8219" width="6.375" style="52" customWidth="1"/>
    <col min="8220" max="8220" width="8" style="52" customWidth="1"/>
    <col min="8221" max="8221" width="6.375" style="52" customWidth="1"/>
    <col min="8222" max="8222" width="8.375" style="52" customWidth="1"/>
    <col min="8223" max="8223" width="6.375" style="52" customWidth="1"/>
    <col min="8224" max="8224" width="10.375" style="52" customWidth="1"/>
    <col min="8225" max="8225" width="16.5" style="52" customWidth="1"/>
    <col min="8226" max="8226" width="10.375" style="52" customWidth="1"/>
    <col min="8227" max="8227" width="6" style="52" bestFit="1" customWidth="1"/>
    <col min="8228" max="8228" width="5.875" style="52"/>
    <col min="8229" max="8233" width="8.125" style="52" customWidth="1"/>
    <col min="8234" max="8235" width="0" style="52" hidden="1" customWidth="1"/>
    <col min="8236" max="8448" width="5.875" style="52"/>
    <col min="8449" max="8449" width="13" style="52" bestFit="1" customWidth="1"/>
    <col min="8450" max="8450" width="14.875" style="52" customWidth="1"/>
    <col min="8451" max="8451" width="13" style="52" customWidth="1"/>
    <col min="8452" max="8452" width="11.125" style="52" bestFit="1" customWidth="1"/>
    <col min="8453" max="8453" width="14.375" style="52" customWidth="1"/>
    <col min="8454" max="8454" width="12.625" style="52" bestFit="1" customWidth="1"/>
    <col min="8455" max="8455" width="25.625" style="52" customWidth="1"/>
    <col min="8456" max="8456" width="11.125" style="52" customWidth="1"/>
    <col min="8457" max="8457" width="26.375" style="52" customWidth="1"/>
    <col min="8458" max="8458" width="23.875" style="52" customWidth="1"/>
    <col min="8459" max="8459" width="11.125" style="52" customWidth="1"/>
    <col min="8460" max="8461" width="10.875" style="52" customWidth="1"/>
    <col min="8462" max="8462" width="11.5" style="52" customWidth="1"/>
    <col min="8463" max="8463" width="10.5" style="52" customWidth="1"/>
    <col min="8464" max="8464" width="8" style="52" customWidth="1"/>
    <col min="8465" max="8465" width="7.375" style="52" customWidth="1"/>
    <col min="8466" max="8466" width="8.125" style="52" customWidth="1"/>
    <col min="8467" max="8467" width="7.625" style="52" customWidth="1"/>
    <col min="8468" max="8469" width="8.5" style="52" customWidth="1"/>
    <col min="8470" max="8470" width="9.125" style="52" customWidth="1"/>
    <col min="8471" max="8471" width="7.875" style="52" customWidth="1"/>
    <col min="8472" max="8472" width="8.625" style="52" customWidth="1"/>
    <col min="8473" max="8473" width="7.625" style="52" customWidth="1"/>
    <col min="8474" max="8474" width="8" style="52" customWidth="1"/>
    <col min="8475" max="8475" width="6.375" style="52" customWidth="1"/>
    <col min="8476" max="8476" width="8" style="52" customWidth="1"/>
    <col min="8477" max="8477" width="6.375" style="52" customWidth="1"/>
    <col min="8478" max="8478" width="8.375" style="52" customWidth="1"/>
    <col min="8479" max="8479" width="6.375" style="52" customWidth="1"/>
    <col min="8480" max="8480" width="10.375" style="52" customWidth="1"/>
    <col min="8481" max="8481" width="16.5" style="52" customWidth="1"/>
    <col min="8482" max="8482" width="10.375" style="52" customWidth="1"/>
    <col min="8483" max="8483" width="6" style="52" bestFit="1" customWidth="1"/>
    <col min="8484" max="8484" width="5.875" style="52"/>
    <col min="8485" max="8489" width="8.125" style="52" customWidth="1"/>
    <col min="8490" max="8491" width="0" style="52" hidden="1" customWidth="1"/>
    <col min="8492" max="8704" width="5.875" style="52"/>
    <col min="8705" max="8705" width="13" style="52" bestFit="1" customWidth="1"/>
    <col min="8706" max="8706" width="14.875" style="52" customWidth="1"/>
    <col min="8707" max="8707" width="13" style="52" customWidth="1"/>
    <col min="8708" max="8708" width="11.125" style="52" bestFit="1" customWidth="1"/>
    <col min="8709" max="8709" width="14.375" style="52" customWidth="1"/>
    <col min="8710" max="8710" width="12.625" style="52" bestFit="1" customWidth="1"/>
    <col min="8711" max="8711" width="25.625" style="52" customWidth="1"/>
    <col min="8712" max="8712" width="11.125" style="52" customWidth="1"/>
    <col min="8713" max="8713" width="26.375" style="52" customWidth="1"/>
    <col min="8714" max="8714" width="23.875" style="52" customWidth="1"/>
    <col min="8715" max="8715" width="11.125" style="52" customWidth="1"/>
    <col min="8716" max="8717" width="10.875" style="52" customWidth="1"/>
    <col min="8718" max="8718" width="11.5" style="52" customWidth="1"/>
    <col min="8719" max="8719" width="10.5" style="52" customWidth="1"/>
    <col min="8720" max="8720" width="8" style="52" customWidth="1"/>
    <col min="8721" max="8721" width="7.375" style="52" customWidth="1"/>
    <col min="8722" max="8722" width="8.125" style="52" customWidth="1"/>
    <col min="8723" max="8723" width="7.625" style="52" customWidth="1"/>
    <col min="8724" max="8725" width="8.5" style="52" customWidth="1"/>
    <col min="8726" max="8726" width="9.125" style="52" customWidth="1"/>
    <col min="8727" max="8727" width="7.875" style="52" customWidth="1"/>
    <col min="8728" max="8728" width="8.625" style="52" customWidth="1"/>
    <col min="8729" max="8729" width="7.625" style="52" customWidth="1"/>
    <col min="8730" max="8730" width="8" style="52" customWidth="1"/>
    <col min="8731" max="8731" width="6.375" style="52" customWidth="1"/>
    <col min="8732" max="8732" width="8" style="52" customWidth="1"/>
    <col min="8733" max="8733" width="6.375" style="52" customWidth="1"/>
    <col min="8734" max="8734" width="8.375" style="52" customWidth="1"/>
    <col min="8735" max="8735" width="6.375" style="52" customWidth="1"/>
    <col min="8736" max="8736" width="10.375" style="52" customWidth="1"/>
    <col min="8737" max="8737" width="16.5" style="52" customWidth="1"/>
    <col min="8738" max="8738" width="10.375" style="52" customWidth="1"/>
    <col min="8739" max="8739" width="6" style="52" bestFit="1" customWidth="1"/>
    <col min="8740" max="8740" width="5.875" style="52"/>
    <col min="8741" max="8745" width="8.125" style="52" customWidth="1"/>
    <col min="8746" max="8747" width="0" style="52" hidden="1" customWidth="1"/>
    <col min="8748" max="8960" width="5.875" style="52"/>
    <col min="8961" max="8961" width="13" style="52" bestFit="1" customWidth="1"/>
    <col min="8962" max="8962" width="14.875" style="52" customWidth="1"/>
    <col min="8963" max="8963" width="13" style="52" customWidth="1"/>
    <col min="8964" max="8964" width="11.125" style="52" bestFit="1" customWidth="1"/>
    <col min="8965" max="8965" width="14.375" style="52" customWidth="1"/>
    <col min="8966" max="8966" width="12.625" style="52" bestFit="1" customWidth="1"/>
    <col min="8967" max="8967" width="25.625" style="52" customWidth="1"/>
    <col min="8968" max="8968" width="11.125" style="52" customWidth="1"/>
    <col min="8969" max="8969" width="26.375" style="52" customWidth="1"/>
    <col min="8970" max="8970" width="23.875" style="52" customWidth="1"/>
    <col min="8971" max="8971" width="11.125" style="52" customWidth="1"/>
    <col min="8972" max="8973" width="10.875" style="52" customWidth="1"/>
    <col min="8974" max="8974" width="11.5" style="52" customWidth="1"/>
    <col min="8975" max="8975" width="10.5" style="52" customWidth="1"/>
    <col min="8976" max="8976" width="8" style="52" customWidth="1"/>
    <col min="8977" max="8977" width="7.375" style="52" customWidth="1"/>
    <col min="8978" max="8978" width="8.125" style="52" customWidth="1"/>
    <col min="8979" max="8979" width="7.625" style="52" customWidth="1"/>
    <col min="8980" max="8981" width="8.5" style="52" customWidth="1"/>
    <col min="8982" max="8982" width="9.125" style="52" customWidth="1"/>
    <col min="8983" max="8983" width="7.875" style="52" customWidth="1"/>
    <col min="8984" max="8984" width="8.625" style="52" customWidth="1"/>
    <col min="8985" max="8985" width="7.625" style="52" customWidth="1"/>
    <col min="8986" max="8986" width="8" style="52" customWidth="1"/>
    <col min="8987" max="8987" width="6.375" style="52" customWidth="1"/>
    <col min="8988" max="8988" width="8" style="52" customWidth="1"/>
    <col min="8989" max="8989" width="6.375" style="52" customWidth="1"/>
    <col min="8990" max="8990" width="8.375" style="52" customWidth="1"/>
    <col min="8991" max="8991" width="6.375" style="52" customWidth="1"/>
    <col min="8992" max="8992" width="10.375" style="52" customWidth="1"/>
    <col min="8993" max="8993" width="16.5" style="52" customWidth="1"/>
    <col min="8994" max="8994" width="10.375" style="52" customWidth="1"/>
    <col min="8995" max="8995" width="6" style="52" bestFit="1" customWidth="1"/>
    <col min="8996" max="8996" width="5.875" style="52"/>
    <col min="8997" max="9001" width="8.125" style="52" customWidth="1"/>
    <col min="9002" max="9003" width="0" style="52" hidden="1" customWidth="1"/>
    <col min="9004" max="9216" width="5.875" style="52"/>
    <col min="9217" max="9217" width="13" style="52" bestFit="1" customWidth="1"/>
    <col min="9218" max="9218" width="14.875" style="52" customWidth="1"/>
    <col min="9219" max="9219" width="13" style="52" customWidth="1"/>
    <col min="9220" max="9220" width="11.125" style="52" bestFit="1" customWidth="1"/>
    <col min="9221" max="9221" width="14.375" style="52" customWidth="1"/>
    <col min="9222" max="9222" width="12.625" style="52" bestFit="1" customWidth="1"/>
    <col min="9223" max="9223" width="25.625" style="52" customWidth="1"/>
    <col min="9224" max="9224" width="11.125" style="52" customWidth="1"/>
    <col min="9225" max="9225" width="26.375" style="52" customWidth="1"/>
    <col min="9226" max="9226" width="23.875" style="52" customWidth="1"/>
    <col min="9227" max="9227" width="11.125" style="52" customWidth="1"/>
    <col min="9228" max="9229" width="10.875" style="52" customWidth="1"/>
    <col min="9230" max="9230" width="11.5" style="52" customWidth="1"/>
    <col min="9231" max="9231" width="10.5" style="52" customWidth="1"/>
    <col min="9232" max="9232" width="8" style="52" customWidth="1"/>
    <col min="9233" max="9233" width="7.375" style="52" customWidth="1"/>
    <col min="9234" max="9234" width="8.125" style="52" customWidth="1"/>
    <col min="9235" max="9235" width="7.625" style="52" customWidth="1"/>
    <col min="9236" max="9237" width="8.5" style="52" customWidth="1"/>
    <col min="9238" max="9238" width="9.125" style="52" customWidth="1"/>
    <col min="9239" max="9239" width="7.875" style="52" customWidth="1"/>
    <col min="9240" max="9240" width="8.625" style="52" customWidth="1"/>
    <col min="9241" max="9241" width="7.625" style="52" customWidth="1"/>
    <col min="9242" max="9242" width="8" style="52" customWidth="1"/>
    <col min="9243" max="9243" width="6.375" style="52" customWidth="1"/>
    <col min="9244" max="9244" width="8" style="52" customWidth="1"/>
    <col min="9245" max="9245" width="6.375" style="52" customWidth="1"/>
    <col min="9246" max="9246" width="8.375" style="52" customWidth="1"/>
    <col min="9247" max="9247" width="6.375" style="52" customWidth="1"/>
    <col min="9248" max="9248" width="10.375" style="52" customWidth="1"/>
    <col min="9249" max="9249" width="16.5" style="52" customWidth="1"/>
    <col min="9250" max="9250" width="10.375" style="52" customWidth="1"/>
    <col min="9251" max="9251" width="6" style="52" bestFit="1" customWidth="1"/>
    <col min="9252" max="9252" width="5.875" style="52"/>
    <col min="9253" max="9257" width="8.125" style="52" customWidth="1"/>
    <col min="9258" max="9259" width="0" style="52" hidden="1" customWidth="1"/>
    <col min="9260" max="9472" width="5.875" style="52"/>
    <col min="9473" max="9473" width="13" style="52" bestFit="1" customWidth="1"/>
    <col min="9474" max="9474" width="14.875" style="52" customWidth="1"/>
    <col min="9475" max="9475" width="13" style="52" customWidth="1"/>
    <col min="9476" max="9476" width="11.125" style="52" bestFit="1" customWidth="1"/>
    <col min="9477" max="9477" width="14.375" style="52" customWidth="1"/>
    <col min="9478" max="9478" width="12.625" style="52" bestFit="1" customWidth="1"/>
    <col min="9479" max="9479" width="25.625" style="52" customWidth="1"/>
    <col min="9480" max="9480" width="11.125" style="52" customWidth="1"/>
    <col min="9481" max="9481" width="26.375" style="52" customWidth="1"/>
    <col min="9482" max="9482" width="23.875" style="52" customWidth="1"/>
    <col min="9483" max="9483" width="11.125" style="52" customWidth="1"/>
    <col min="9484" max="9485" width="10.875" style="52" customWidth="1"/>
    <col min="9486" max="9486" width="11.5" style="52" customWidth="1"/>
    <col min="9487" max="9487" width="10.5" style="52" customWidth="1"/>
    <col min="9488" max="9488" width="8" style="52" customWidth="1"/>
    <col min="9489" max="9489" width="7.375" style="52" customWidth="1"/>
    <col min="9490" max="9490" width="8.125" style="52" customWidth="1"/>
    <col min="9491" max="9491" width="7.625" style="52" customWidth="1"/>
    <col min="9492" max="9493" width="8.5" style="52" customWidth="1"/>
    <col min="9494" max="9494" width="9.125" style="52" customWidth="1"/>
    <col min="9495" max="9495" width="7.875" style="52" customWidth="1"/>
    <col min="9496" max="9496" width="8.625" style="52" customWidth="1"/>
    <col min="9497" max="9497" width="7.625" style="52" customWidth="1"/>
    <col min="9498" max="9498" width="8" style="52" customWidth="1"/>
    <col min="9499" max="9499" width="6.375" style="52" customWidth="1"/>
    <col min="9500" max="9500" width="8" style="52" customWidth="1"/>
    <col min="9501" max="9501" width="6.375" style="52" customWidth="1"/>
    <col min="9502" max="9502" width="8.375" style="52" customWidth="1"/>
    <col min="9503" max="9503" width="6.375" style="52" customWidth="1"/>
    <col min="9504" max="9504" width="10.375" style="52" customWidth="1"/>
    <col min="9505" max="9505" width="16.5" style="52" customWidth="1"/>
    <col min="9506" max="9506" width="10.375" style="52" customWidth="1"/>
    <col min="9507" max="9507" width="6" style="52" bestFit="1" customWidth="1"/>
    <col min="9508" max="9508" width="5.875" style="52"/>
    <col min="9509" max="9513" width="8.125" style="52" customWidth="1"/>
    <col min="9514" max="9515" width="0" style="52" hidden="1" customWidth="1"/>
    <col min="9516" max="9728" width="5.875" style="52"/>
    <col min="9729" max="9729" width="13" style="52" bestFit="1" customWidth="1"/>
    <col min="9730" max="9730" width="14.875" style="52" customWidth="1"/>
    <col min="9731" max="9731" width="13" style="52" customWidth="1"/>
    <col min="9732" max="9732" width="11.125" style="52" bestFit="1" customWidth="1"/>
    <col min="9733" max="9733" width="14.375" style="52" customWidth="1"/>
    <col min="9734" max="9734" width="12.625" style="52" bestFit="1" customWidth="1"/>
    <col min="9735" max="9735" width="25.625" style="52" customWidth="1"/>
    <col min="9736" max="9736" width="11.125" style="52" customWidth="1"/>
    <col min="9737" max="9737" width="26.375" style="52" customWidth="1"/>
    <col min="9738" max="9738" width="23.875" style="52" customWidth="1"/>
    <col min="9739" max="9739" width="11.125" style="52" customWidth="1"/>
    <col min="9740" max="9741" width="10.875" style="52" customWidth="1"/>
    <col min="9742" max="9742" width="11.5" style="52" customWidth="1"/>
    <col min="9743" max="9743" width="10.5" style="52" customWidth="1"/>
    <col min="9744" max="9744" width="8" style="52" customWidth="1"/>
    <col min="9745" max="9745" width="7.375" style="52" customWidth="1"/>
    <col min="9746" max="9746" width="8.125" style="52" customWidth="1"/>
    <col min="9747" max="9747" width="7.625" style="52" customWidth="1"/>
    <col min="9748" max="9749" width="8.5" style="52" customWidth="1"/>
    <col min="9750" max="9750" width="9.125" style="52" customWidth="1"/>
    <col min="9751" max="9751" width="7.875" style="52" customWidth="1"/>
    <col min="9752" max="9752" width="8.625" style="52" customWidth="1"/>
    <col min="9753" max="9753" width="7.625" style="52" customWidth="1"/>
    <col min="9754" max="9754" width="8" style="52" customWidth="1"/>
    <col min="9755" max="9755" width="6.375" style="52" customWidth="1"/>
    <col min="9756" max="9756" width="8" style="52" customWidth="1"/>
    <col min="9757" max="9757" width="6.375" style="52" customWidth="1"/>
    <col min="9758" max="9758" width="8.375" style="52" customWidth="1"/>
    <col min="9759" max="9759" width="6.375" style="52" customWidth="1"/>
    <col min="9760" max="9760" width="10.375" style="52" customWidth="1"/>
    <col min="9761" max="9761" width="16.5" style="52" customWidth="1"/>
    <col min="9762" max="9762" width="10.375" style="52" customWidth="1"/>
    <col min="9763" max="9763" width="6" style="52" bestFit="1" customWidth="1"/>
    <col min="9764" max="9764" width="5.875" style="52"/>
    <col min="9765" max="9769" width="8.125" style="52" customWidth="1"/>
    <col min="9770" max="9771" width="0" style="52" hidden="1" customWidth="1"/>
    <col min="9772" max="9984" width="5.875" style="52"/>
    <col min="9985" max="9985" width="13" style="52" bestFit="1" customWidth="1"/>
    <col min="9986" max="9986" width="14.875" style="52" customWidth="1"/>
    <col min="9987" max="9987" width="13" style="52" customWidth="1"/>
    <col min="9988" max="9988" width="11.125" style="52" bestFit="1" customWidth="1"/>
    <col min="9989" max="9989" width="14.375" style="52" customWidth="1"/>
    <col min="9990" max="9990" width="12.625" style="52" bestFit="1" customWidth="1"/>
    <col min="9991" max="9991" width="25.625" style="52" customWidth="1"/>
    <col min="9992" max="9992" width="11.125" style="52" customWidth="1"/>
    <col min="9993" max="9993" width="26.375" style="52" customWidth="1"/>
    <col min="9994" max="9994" width="23.875" style="52" customWidth="1"/>
    <col min="9995" max="9995" width="11.125" style="52" customWidth="1"/>
    <col min="9996" max="9997" width="10.875" style="52" customWidth="1"/>
    <col min="9998" max="9998" width="11.5" style="52" customWidth="1"/>
    <col min="9999" max="9999" width="10.5" style="52" customWidth="1"/>
    <col min="10000" max="10000" width="8" style="52" customWidth="1"/>
    <col min="10001" max="10001" width="7.375" style="52" customWidth="1"/>
    <col min="10002" max="10002" width="8.125" style="52" customWidth="1"/>
    <col min="10003" max="10003" width="7.625" style="52" customWidth="1"/>
    <col min="10004" max="10005" width="8.5" style="52" customWidth="1"/>
    <col min="10006" max="10006" width="9.125" style="52" customWidth="1"/>
    <col min="10007" max="10007" width="7.875" style="52" customWidth="1"/>
    <col min="10008" max="10008" width="8.625" style="52" customWidth="1"/>
    <col min="10009" max="10009" width="7.625" style="52" customWidth="1"/>
    <col min="10010" max="10010" width="8" style="52" customWidth="1"/>
    <col min="10011" max="10011" width="6.375" style="52" customWidth="1"/>
    <col min="10012" max="10012" width="8" style="52" customWidth="1"/>
    <col min="10013" max="10013" width="6.375" style="52" customWidth="1"/>
    <col min="10014" max="10014" width="8.375" style="52" customWidth="1"/>
    <col min="10015" max="10015" width="6.375" style="52" customWidth="1"/>
    <col min="10016" max="10016" width="10.375" style="52" customWidth="1"/>
    <col min="10017" max="10017" width="16.5" style="52" customWidth="1"/>
    <col min="10018" max="10018" width="10.375" style="52" customWidth="1"/>
    <col min="10019" max="10019" width="6" style="52" bestFit="1" customWidth="1"/>
    <col min="10020" max="10020" width="5.875" style="52"/>
    <col min="10021" max="10025" width="8.125" style="52" customWidth="1"/>
    <col min="10026" max="10027" width="0" style="52" hidden="1" customWidth="1"/>
    <col min="10028" max="10240" width="5.875" style="52"/>
    <col min="10241" max="10241" width="13" style="52" bestFit="1" customWidth="1"/>
    <col min="10242" max="10242" width="14.875" style="52" customWidth="1"/>
    <col min="10243" max="10243" width="13" style="52" customWidth="1"/>
    <col min="10244" max="10244" width="11.125" style="52" bestFit="1" customWidth="1"/>
    <col min="10245" max="10245" width="14.375" style="52" customWidth="1"/>
    <col min="10246" max="10246" width="12.625" style="52" bestFit="1" customWidth="1"/>
    <col min="10247" max="10247" width="25.625" style="52" customWidth="1"/>
    <col min="10248" max="10248" width="11.125" style="52" customWidth="1"/>
    <col min="10249" max="10249" width="26.375" style="52" customWidth="1"/>
    <col min="10250" max="10250" width="23.875" style="52" customWidth="1"/>
    <col min="10251" max="10251" width="11.125" style="52" customWidth="1"/>
    <col min="10252" max="10253" width="10.875" style="52" customWidth="1"/>
    <col min="10254" max="10254" width="11.5" style="52" customWidth="1"/>
    <col min="10255" max="10255" width="10.5" style="52" customWidth="1"/>
    <col min="10256" max="10256" width="8" style="52" customWidth="1"/>
    <col min="10257" max="10257" width="7.375" style="52" customWidth="1"/>
    <col min="10258" max="10258" width="8.125" style="52" customWidth="1"/>
    <col min="10259" max="10259" width="7.625" style="52" customWidth="1"/>
    <col min="10260" max="10261" width="8.5" style="52" customWidth="1"/>
    <col min="10262" max="10262" width="9.125" style="52" customWidth="1"/>
    <col min="10263" max="10263" width="7.875" style="52" customWidth="1"/>
    <col min="10264" max="10264" width="8.625" style="52" customWidth="1"/>
    <col min="10265" max="10265" width="7.625" style="52" customWidth="1"/>
    <col min="10266" max="10266" width="8" style="52" customWidth="1"/>
    <col min="10267" max="10267" width="6.375" style="52" customWidth="1"/>
    <col min="10268" max="10268" width="8" style="52" customWidth="1"/>
    <col min="10269" max="10269" width="6.375" style="52" customWidth="1"/>
    <col min="10270" max="10270" width="8.375" style="52" customWidth="1"/>
    <col min="10271" max="10271" width="6.375" style="52" customWidth="1"/>
    <col min="10272" max="10272" width="10.375" style="52" customWidth="1"/>
    <col min="10273" max="10273" width="16.5" style="52" customWidth="1"/>
    <col min="10274" max="10274" width="10.375" style="52" customWidth="1"/>
    <col min="10275" max="10275" width="6" style="52" bestFit="1" customWidth="1"/>
    <col min="10276" max="10276" width="5.875" style="52"/>
    <col min="10277" max="10281" width="8.125" style="52" customWidth="1"/>
    <col min="10282" max="10283" width="0" style="52" hidden="1" customWidth="1"/>
    <col min="10284" max="10496" width="5.875" style="52"/>
    <col min="10497" max="10497" width="13" style="52" bestFit="1" customWidth="1"/>
    <col min="10498" max="10498" width="14.875" style="52" customWidth="1"/>
    <col min="10499" max="10499" width="13" style="52" customWidth="1"/>
    <col min="10500" max="10500" width="11.125" style="52" bestFit="1" customWidth="1"/>
    <col min="10501" max="10501" width="14.375" style="52" customWidth="1"/>
    <col min="10502" max="10502" width="12.625" style="52" bestFit="1" customWidth="1"/>
    <col min="10503" max="10503" width="25.625" style="52" customWidth="1"/>
    <col min="10504" max="10504" width="11.125" style="52" customWidth="1"/>
    <col min="10505" max="10505" width="26.375" style="52" customWidth="1"/>
    <col min="10506" max="10506" width="23.875" style="52" customWidth="1"/>
    <col min="10507" max="10507" width="11.125" style="52" customWidth="1"/>
    <col min="10508" max="10509" width="10.875" style="52" customWidth="1"/>
    <col min="10510" max="10510" width="11.5" style="52" customWidth="1"/>
    <col min="10511" max="10511" width="10.5" style="52" customWidth="1"/>
    <col min="10512" max="10512" width="8" style="52" customWidth="1"/>
    <col min="10513" max="10513" width="7.375" style="52" customWidth="1"/>
    <col min="10514" max="10514" width="8.125" style="52" customWidth="1"/>
    <col min="10515" max="10515" width="7.625" style="52" customWidth="1"/>
    <col min="10516" max="10517" width="8.5" style="52" customWidth="1"/>
    <col min="10518" max="10518" width="9.125" style="52" customWidth="1"/>
    <col min="10519" max="10519" width="7.875" style="52" customWidth="1"/>
    <col min="10520" max="10520" width="8.625" style="52" customWidth="1"/>
    <col min="10521" max="10521" width="7.625" style="52" customWidth="1"/>
    <col min="10522" max="10522" width="8" style="52" customWidth="1"/>
    <col min="10523" max="10523" width="6.375" style="52" customWidth="1"/>
    <col min="10524" max="10524" width="8" style="52" customWidth="1"/>
    <col min="10525" max="10525" width="6.375" style="52" customWidth="1"/>
    <col min="10526" max="10526" width="8.375" style="52" customWidth="1"/>
    <col min="10527" max="10527" width="6.375" style="52" customWidth="1"/>
    <col min="10528" max="10528" width="10.375" style="52" customWidth="1"/>
    <col min="10529" max="10529" width="16.5" style="52" customWidth="1"/>
    <col min="10530" max="10530" width="10.375" style="52" customWidth="1"/>
    <col min="10531" max="10531" width="6" style="52" bestFit="1" customWidth="1"/>
    <col min="10532" max="10532" width="5.875" style="52"/>
    <col min="10533" max="10537" width="8.125" style="52" customWidth="1"/>
    <col min="10538" max="10539" width="0" style="52" hidden="1" customWidth="1"/>
    <col min="10540" max="10752" width="5.875" style="52"/>
    <col min="10753" max="10753" width="13" style="52" bestFit="1" customWidth="1"/>
    <col min="10754" max="10754" width="14.875" style="52" customWidth="1"/>
    <col min="10755" max="10755" width="13" style="52" customWidth="1"/>
    <col min="10756" max="10756" width="11.125" style="52" bestFit="1" customWidth="1"/>
    <col min="10757" max="10757" width="14.375" style="52" customWidth="1"/>
    <col min="10758" max="10758" width="12.625" style="52" bestFit="1" customWidth="1"/>
    <col min="10759" max="10759" width="25.625" style="52" customWidth="1"/>
    <col min="10760" max="10760" width="11.125" style="52" customWidth="1"/>
    <col min="10761" max="10761" width="26.375" style="52" customWidth="1"/>
    <col min="10762" max="10762" width="23.875" style="52" customWidth="1"/>
    <col min="10763" max="10763" width="11.125" style="52" customWidth="1"/>
    <col min="10764" max="10765" width="10.875" style="52" customWidth="1"/>
    <col min="10766" max="10766" width="11.5" style="52" customWidth="1"/>
    <col min="10767" max="10767" width="10.5" style="52" customWidth="1"/>
    <col min="10768" max="10768" width="8" style="52" customWidth="1"/>
    <col min="10769" max="10769" width="7.375" style="52" customWidth="1"/>
    <col min="10770" max="10770" width="8.125" style="52" customWidth="1"/>
    <col min="10771" max="10771" width="7.625" style="52" customWidth="1"/>
    <col min="10772" max="10773" width="8.5" style="52" customWidth="1"/>
    <col min="10774" max="10774" width="9.125" style="52" customWidth="1"/>
    <col min="10775" max="10775" width="7.875" style="52" customWidth="1"/>
    <col min="10776" max="10776" width="8.625" style="52" customWidth="1"/>
    <col min="10777" max="10777" width="7.625" style="52" customWidth="1"/>
    <col min="10778" max="10778" width="8" style="52" customWidth="1"/>
    <col min="10779" max="10779" width="6.375" style="52" customWidth="1"/>
    <col min="10780" max="10780" width="8" style="52" customWidth="1"/>
    <col min="10781" max="10781" width="6.375" style="52" customWidth="1"/>
    <col min="10782" max="10782" width="8.375" style="52" customWidth="1"/>
    <col min="10783" max="10783" width="6.375" style="52" customWidth="1"/>
    <col min="10784" max="10784" width="10.375" style="52" customWidth="1"/>
    <col min="10785" max="10785" width="16.5" style="52" customWidth="1"/>
    <col min="10786" max="10786" width="10.375" style="52" customWidth="1"/>
    <col min="10787" max="10787" width="6" style="52" bestFit="1" customWidth="1"/>
    <col min="10788" max="10788" width="5.875" style="52"/>
    <col min="10789" max="10793" width="8.125" style="52" customWidth="1"/>
    <col min="10794" max="10795" width="0" style="52" hidden="1" customWidth="1"/>
    <col min="10796" max="11008" width="5.875" style="52"/>
    <col min="11009" max="11009" width="13" style="52" bestFit="1" customWidth="1"/>
    <col min="11010" max="11010" width="14.875" style="52" customWidth="1"/>
    <col min="11011" max="11011" width="13" style="52" customWidth="1"/>
    <col min="11012" max="11012" width="11.125" style="52" bestFit="1" customWidth="1"/>
    <col min="11013" max="11013" width="14.375" style="52" customWidth="1"/>
    <col min="11014" max="11014" width="12.625" style="52" bestFit="1" customWidth="1"/>
    <col min="11015" max="11015" width="25.625" style="52" customWidth="1"/>
    <col min="11016" max="11016" width="11.125" style="52" customWidth="1"/>
    <col min="11017" max="11017" width="26.375" style="52" customWidth="1"/>
    <col min="11018" max="11018" width="23.875" style="52" customWidth="1"/>
    <col min="11019" max="11019" width="11.125" style="52" customWidth="1"/>
    <col min="11020" max="11021" width="10.875" style="52" customWidth="1"/>
    <col min="11022" max="11022" width="11.5" style="52" customWidth="1"/>
    <col min="11023" max="11023" width="10.5" style="52" customWidth="1"/>
    <col min="11024" max="11024" width="8" style="52" customWidth="1"/>
    <col min="11025" max="11025" width="7.375" style="52" customWidth="1"/>
    <col min="11026" max="11026" width="8.125" style="52" customWidth="1"/>
    <col min="11027" max="11027" width="7.625" style="52" customWidth="1"/>
    <col min="11028" max="11029" width="8.5" style="52" customWidth="1"/>
    <col min="11030" max="11030" width="9.125" style="52" customWidth="1"/>
    <col min="11031" max="11031" width="7.875" style="52" customWidth="1"/>
    <col min="11032" max="11032" width="8.625" style="52" customWidth="1"/>
    <col min="11033" max="11033" width="7.625" style="52" customWidth="1"/>
    <col min="11034" max="11034" width="8" style="52" customWidth="1"/>
    <col min="11035" max="11035" width="6.375" style="52" customWidth="1"/>
    <col min="11036" max="11036" width="8" style="52" customWidth="1"/>
    <col min="11037" max="11037" width="6.375" style="52" customWidth="1"/>
    <col min="11038" max="11038" width="8.375" style="52" customWidth="1"/>
    <col min="11039" max="11039" width="6.375" style="52" customWidth="1"/>
    <col min="11040" max="11040" width="10.375" style="52" customWidth="1"/>
    <col min="11041" max="11041" width="16.5" style="52" customWidth="1"/>
    <col min="11042" max="11042" width="10.375" style="52" customWidth="1"/>
    <col min="11043" max="11043" width="6" style="52" bestFit="1" customWidth="1"/>
    <col min="11044" max="11044" width="5.875" style="52"/>
    <col min="11045" max="11049" width="8.125" style="52" customWidth="1"/>
    <col min="11050" max="11051" width="0" style="52" hidden="1" customWidth="1"/>
    <col min="11052" max="11264" width="5.875" style="52"/>
    <col min="11265" max="11265" width="13" style="52" bestFit="1" customWidth="1"/>
    <col min="11266" max="11266" width="14.875" style="52" customWidth="1"/>
    <col min="11267" max="11267" width="13" style="52" customWidth="1"/>
    <col min="11268" max="11268" width="11.125" style="52" bestFit="1" customWidth="1"/>
    <col min="11269" max="11269" width="14.375" style="52" customWidth="1"/>
    <col min="11270" max="11270" width="12.625" style="52" bestFit="1" customWidth="1"/>
    <col min="11271" max="11271" width="25.625" style="52" customWidth="1"/>
    <col min="11272" max="11272" width="11.125" style="52" customWidth="1"/>
    <col min="11273" max="11273" width="26.375" style="52" customWidth="1"/>
    <col min="11274" max="11274" width="23.875" style="52" customWidth="1"/>
    <col min="11275" max="11275" width="11.125" style="52" customWidth="1"/>
    <col min="11276" max="11277" width="10.875" style="52" customWidth="1"/>
    <col min="11278" max="11278" width="11.5" style="52" customWidth="1"/>
    <col min="11279" max="11279" width="10.5" style="52" customWidth="1"/>
    <col min="11280" max="11280" width="8" style="52" customWidth="1"/>
    <col min="11281" max="11281" width="7.375" style="52" customWidth="1"/>
    <col min="11282" max="11282" width="8.125" style="52" customWidth="1"/>
    <col min="11283" max="11283" width="7.625" style="52" customWidth="1"/>
    <col min="11284" max="11285" width="8.5" style="52" customWidth="1"/>
    <col min="11286" max="11286" width="9.125" style="52" customWidth="1"/>
    <col min="11287" max="11287" width="7.875" style="52" customWidth="1"/>
    <col min="11288" max="11288" width="8.625" style="52" customWidth="1"/>
    <col min="11289" max="11289" width="7.625" style="52" customWidth="1"/>
    <col min="11290" max="11290" width="8" style="52" customWidth="1"/>
    <col min="11291" max="11291" width="6.375" style="52" customWidth="1"/>
    <col min="11292" max="11292" width="8" style="52" customWidth="1"/>
    <col min="11293" max="11293" width="6.375" style="52" customWidth="1"/>
    <col min="11294" max="11294" width="8.375" style="52" customWidth="1"/>
    <col min="11295" max="11295" width="6.375" style="52" customWidth="1"/>
    <col min="11296" max="11296" width="10.375" style="52" customWidth="1"/>
    <col min="11297" max="11297" width="16.5" style="52" customWidth="1"/>
    <col min="11298" max="11298" width="10.375" style="52" customWidth="1"/>
    <col min="11299" max="11299" width="6" style="52" bestFit="1" customWidth="1"/>
    <col min="11300" max="11300" width="5.875" style="52"/>
    <col min="11301" max="11305" width="8.125" style="52" customWidth="1"/>
    <col min="11306" max="11307" width="0" style="52" hidden="1" customWidth="1"/>
    <col min="11308" max="11520" width="5.875" style="52"/>
    <col min="11521" max="11521" width="13" style="52" bestFit="1" customWidth="1"/>
    <col min="11522" max="11522" width="14.875" style="52" customWidth="1"/>
    <col min="11523" max="11523" width="13" style="52" customWidth="1"/>
    <col min="11524" max="11524" width="11.125" style="52" bestFit="1" customWidth="1"/>
    <col min="11525" max="11525" width="14.375" style="52" customWidth="1"/>
    <col min="11526" max="11526" width="12.625" style="52" bestFit="1" customWidth="1"/>
    <col min="11527" max="11527" width="25.625" style="52" customWidth="1"/>
    <col min="11528" max="11528" width="11.125" style="52" customWidth="1"/>
    <col min="11529" max="11529" width="26.375" style="52" customWidth="1"/>
    <col min="11530" max="11530" width="23.875" style="52" customWidth="1"/>
    <col min="11531" max="11531" width="11.125" style="52" customWidth="1"/>
    <col min="11532" max="11533" width="10.875" style="52" customWidth="1"/>
    <col min="11534" max="11534" width="11.5" style="52" customWidth="1"/>
    <col min="11535" max="11535" width="10.5" style="52" customWidth="1"/>
    <col min="11536" max="11536" width="8" style="52" customWidth="1"/>
    <col min="11537" max="11537" width="7.375" style="52" customWidth="1"/>
    <col min="11538" max="11538" width="8.125" style="52" customWidth="1"/>
    <col min="11539" max="11539" width="7.625" style="52" customWidth="1"/>
    <col min="11540" max="11541" width="8.5" style="52" customWidth="1"/>
    <col min="11542" max="11542" width="9.125" style="52" customWidth="1"/>
    <col min="11543" max="11543" width="7.875" style="52" customWidth="1"/>
    <col min="11544" max="11544" width="8.625" style="52" customWidth="1"/>
    <col min="11545" max="11545" width="7.625" style="52" customWidth="1"/>
    <col min="11546" max="11546" width="8" style="52" customWidth="1"/>
    <col min="11547" max="11547" width="6.375" style="52" customWidth="1"/>
    <col min="11548" max="11548" width="8" style="52" customWidth="1"/>
    <col min="11549" max="11549" width="6.375" style="52" customWidth="1"/>
    <col min="11550" max="11550" width="8.375" style="52" customWidth="1"/>
    <col min="11551" max="11551" width="6.375" style="52" customWidth="1"/>
    <col min="11552" max="11552" width="10.375" style="52" customWidth="1"/>
    <col min="11553" max="11553" width="16.5" style="52" customWidth="1"/>
    <col min="11554" max="11554" width="10.375" style="52" customWidth="1"/>
    <col min="11555" max="11555" width="6" style="52" bestFit="1" customWidth="1"/>
    <col min="11556" max="11556" width="5.875" style="52"/>
    <col min="11557" max="11561" width="8.125" style="52" customWidth="1"/>
    <col min="11562" max="11563" width="0" style="52" hidden="1" customWidth="1"/>
    <col min="11564" max="11776" width="5.875" style="52"/>
    <col min="11777" max="11777" width="13" style="52" bestFit="1" customWidth="1"/>
    <col min="11778" max="11778" width="14.875" style="52" customWidth="1"/>
    <col min="11779" max="11779" width="13" style="52" customWidth="1"/>
    <col min="11780" max="11780" width="11.125" style="52" bestFit="1" customWidth="1"/>
    <col min="11781" max="11781" width="14.375" style="52" customWidth="1"/>
    <col min="11782" max="11782" width="12.625" style="52" bestFit="1" customWidth="1"/>
    <col min="11783" max="11783" width="25.625" style="52" customWidth="1"/>
    <col min="11784" max="11784" width="11.125" style="52" customWidth="1"/>
    <col min="11785" max="11785" width="26.375" style="52" customWidth="1"/>
    <col min="11786" max="11786" width="23.875" style="52" customWidth="1"/>
    <col min="11787" max="11787" width="11.125" style="52" customWidth="1"/>
    <col min="11788" max="11789" width="10.875" style="52" customWidth="1"/>
    <col min="11790" max="11790" width="11.5" style="52" customWidth="1"/>
    <col min="11791" max="11791" width="10.5" style="52" customWidth="1"/>
    <col min="11792" max="11792" width="8" style="52" customWidth="1"/>
    <col min="11793" max="11793" width="7.375" style="52" customWidth="1"/>
    <col min="11794" max="11794" width="8.125" style="52" customWidth="1"/>
    <col min="11795" max="11795" width="7.625" style="52" customWidth="1"/>
    <col min="11796" max="11797" width="8.5" style="52" customWidth="1"/>
    <col min="11798" max="11798" width="9.125" style="52" customWidth="1"/>
    <col min="11799" max="11799" width="7.875" style="52" customWidth="1"/>
    <col min="11800" max="11800" width="8.625" style="52" customWidth="1"/>
    <col min="11801" max="11801" width="7.625" style="52" customWidth="1"/>
    <col min="11802" max="11802" width="8" style="52" customWidth="1"/>
    <col min="11803" max="11803" width="6.375" style="52" customWidth="1"/>
    <col min="11804" max="11804" width="8" style="52" customWidth="1"/>
    <col min="11805" max="11805" width="6.375" style="52" customWidth="1"/>
    <col min="11806" max="11806" width="8.375" style="52" customWidth="1"/>
    <col min="11807" max="11807" width="6.375" style="52" customWidth="1"/>
    <col min="11808" max="11808" width="10.375" style="52" customWidth="1"/>
    <col min="11809" max="11809" width="16.5" style="52" customWidth="1"/>
    <col min="11810" max="11810" width="10.375" style="52" customWidth="1"/>
    <col min="11811" max="11811" width="6" style="52" bestFit="1" customWidth="1"/>
    <col min="11812" max="11812" width="5.875" style="52"/>
    <col min="11813" max="11817" width="8.125" style="52" customWidth="1"/>
    <col min="11818" max="11819" width="0" style="52" hidden="1" customWidth="1"/>
    <col min="11820" max="12032" width="5.875" style="52"/>
    <col min="12033" max="12033" width="13" style="52" bestFit="1" customWidth="1"/>
    <col min="12034" max="12034" width="14.875" style="52" customWidth="1"/>
    <col min="12035" max="12035" width="13" style="52" customWidth="1"/>
    <col min="12036" max="12036" width="11.125" style="52" bestFit="1" customWidth="1"/>
    <col min="12037" max="12037" width="14.375" style="52" customWidth="1"/>
    <col min="12038" max="12038" width="12.625" style="52" bestFit="1" customWidth="1"/>
    <col min="12039" max="12039" width="25.625" style="52" customWidth="1"/>
    <col min="12040" max="12040" width="11.125" style="52" customWidth="1"/>
    <col min="12041" max="12041" width="26.375" style="52" customWidth="1"/>
    <col min="12042" max="12042" width="23.875" style="52" customWidth="1"/>
    <col min="12043" max="12043" width="11.125" style="52" customWidth="1"/>
    <col min="12044" max="12045" width="10.875" style="52" customWidth="1"/>
    <col min="12046" max="12046" width="11.5" style="52" customWidth="1"/>
    <col min="12047" max="12047" width="10.5" style="52" customWidth="1"/>
    <col min="12048" max="12048" width="8" style="52" customWidth="1"/>
    <col min="12049" max="12049" width="7.375" style="52" customWidth="1"/>
    <col min="12050" max="12050" width="8.125" style="52" customWidth="1"/>
    <col min="12051" max="12051" width="7.625" style="52" customWidth="1"/>
    <col min="12052" max="12053" width="8.5" style="52" customWidth="1"/>
    <col min="12054" max="12054" width="9.125" style="52" customWidth="1"/>
    <col min="12055" max="12055" width="7.875" style="52" customWidth="1"/>
    <col min="12056" max="12056" width="8.625" style="52" customWidth="1"/>
    <col min="12057" max="12057" width="7.625" style="52" customWidth="1"/>
    <col min="12058" max="12058" width="8" style="52" customWidth="1"/>
    <col min="12059" max="12059" width="6.375" style="52" customWidth="1"/>
    <col min="12060" max="12060" width="8" style="52" customWidth="1"/>
    <col min="12061" max="12061" width="6.375" style="52" customWidth="1"/>
    <col min="12062" max="12062" width="8.375" style="52" customWidth="1"/>
    <col min="12063" max="12063" width="6.375" style="52" customWidth="1"/>
    <col min="12064" max="12064" width="10.375" style="52" customWidth="1"/>
    <col min="12065" max="12065" width="16.5" style="52" customWidth="1"/>
    <col min="12066" max="12066" width="10.375" style="52" customWidth="1"/>
    <col min="12067" max="12067" width="6" style="52" bestFit="1" customWidth="1"/>
    <col min="12068" max="12068" width="5.875" style="52"/>
    <col min="12069" max="12073" width="8.125" style="52" customWidth="1"/>
    <col min="12074" max="12075" width="0" style="52" hidden="1" customWidth="1"/>
    <col min="12076" max="12288" width="5.875" style="52"/>
    <col min="12289" max="12289" width="13" style="52" bestFit="1" customWidth="1"/>
    <col min="12290" max="12290" width="14.875" style="52" customWidth="1"/>
    <col min="12291" max="12291" width="13" style="52" customWidth="1"/>
    <col min="12292" max="12292" width="11.125" style="52" bestFit="1" customWidth="1"/>
    <col min="12293" max="12293" width="14.375" style="52" customWidth="1"/>
    <col min="12294" max="12294" width="12.625" style="52" bestFit="1" customWidth="1"/>
    <col min="12295" max="12295" width="25.625" style="52" customWidth="1"/>
    <col min="12296" max="12296" width="11.125" style="52" customWidth="1"/>
    <col min="12297" max="12297" width="26.375" style="52" customWidth="1"/>
    <col min="12298" max="12298" width="23.875" style="52" customWidth="1"/>
    <col min="12299" max="12299" width="11.125" style="52" customWidth="1"/>
    <col min="12300" max="12301" width="10.875" style="52" customWidth="1"/>
    <col min="12302" max="12302" width="11.5" style="52" customWidth="1"/>
    <col min="12303" max="12303" width="10.5" style="52" customWidth="1"/>
    <col min="12304" max="12304" width="8" style="52" customWidth="1"/>
    <col min="12305" max="12305" width="7.375" style="52" customWidth="1"/>
    <col min="12306" max="12306" width="8.125" style="52" customWidth="1"/>
    <col min="12307" max="12307" width="7.625" style="52" customWidth="1"/>
    <col min="12308" max="12309" width="8.5" style="52" customWidth="1"/>
    <col min="12310" max="12310" width="9.125" style="52" customWidth="1"/>
    <col min="12311" max="12311" width="7.875" style="52" customWidth="1"/>
    <col min="12312" max="12312" width="8.625" style="52" customWidth="1"/>
    <col min="12313" max="12313" width="7.625" style="52" customWidth="1"/>
    <col min="12314" max="12314" width="8" style="52" customWidth="1"/>
    <col min="12315" max="12315" width="6.375" style="52" customWidth="1"/>
    <col min="12316" max="12316" width="8" style="52" customWidth="1"/>
    <col min="12317" max="12317" width="6.375" style="52" customWidth="1"/>
    <col min="12318" max="12318" width="8.375" style="52" customWidth="1"/>
    <col min="12319" max="12319" width="6.375" style="52" customWidth="1"/>
    <col min="12320" max="12320" width="10.375" style="52" customWidth="1"/>
    <col min="12321" max="12321" width="16.5" style="52" customWidth="1"/>
    <col min="12322" max="12322" width="10.375" style="52" customWidth="1"/>
    <col min="12323" max="12323" width="6" style="52" bestFit="1" customWidth="1"/>
    <col min="12324" max="12324" width="5.875" style="52"/>
    <col min="12325" max="12329" width="8.125" style="52" customWidth="1"/>
    <col min="12330" max="12331" width="0" style="52" hidden="1" customWidth="1"/>
    <col min="12332" max="12544" width="5.875" style="52"/>
    <col min="12545" max="12545" width="13" style="52" bestFit="1" customWidth="1"/>
    <col min="12546" max="12546" width="14.875" style="52" customWidth="1"/>
    <col min="12547" max="12547" width="13" style="52" customWidth="1"/>
    <col min="12548" max="12548" width="11.125" style="52" bestFit="1" customWidth="1"/>
    <col min="12549" max="12549" width="14.375" style="52" customWidth="1"/>
    <col min="12550" max="12550" width="12.625" style="52" bestFit="1" customWidth="1"/>
    <col min="12551" max="12551" width="25.625" style="52" customWidth="1"/>
    <col min="12552" max="12552" width="11.125" style="52" customWidth="1"/>
    <col min="12553" max="12553" width="26.375" style="52" customWidth="1"/>
    <col min="12554" max="12554" width="23.875" style="52" customWidth="1"/>
    <col min="12555" max="12555" width="11.125" style="52" customWidth="1"/>
    <col min="12556" max="12557" width="10.875" style="52" customWidth="1"/>
    <col min="12558" max="12558" width="11.5" style="52" customWidth="1"/>
    <col min="12559" max="12559" width="10.5" style="52" customWidth="1"/>
    <col min="12560" max="12560" width="8" style="52" customWidth="1"/>
    <col min="12561" max="12561" width="7.375" style="52" customWidth="1"/>
    <col min="12562" max="12562" width="8.125" style="52" customWidth="1"/>
    <col min="12563" max="12563" width="7.625" style="52" customWidth="1"/>
    <col min="12564" max="12565" width="8.5" style="52" customWidth="1"/>
    <col min="12566" max="12566" width="9.125" style="52" customWidth="1"/>
    <col min="12567" max="12567" width="7.875" style="52" customWidth="1"/>
    <col min="12568" max="12568" width="8.625" style="52" customWidth="1"/>
    <col min="12569" max="12569" width="7.625" style="52" customWidth="1"/>
    <col min="12570" max="12570" width="8" style="52" customWidth="1"/>
    <col min="12571" max="12571" width="6.375" style="52" customWidth="1"/>
    <col min="12572" max="12572" width="8" style="52" customWidth="1"/>
    <col min="12573" max="12573" width="6.375" style="52" customWidth="1"/>
    <col min="12574" max="12574" width="8.375" style="52" customWidth="1"/>
    <col min="12575" max="12575" width="6.375" style="52" customWidth="1"/>
    <col min="12576" max="12576" width="10.375" style="52" customWidth="1"/>
    <col min="12577" max="12577" width="16.5" style="52" customWidth="1"/>
    <col min="12578" max="12578" width="10.375" style="52" customWidth="1"/>
    <col min="12579" max="12579" width="6" style="52" bestFit="1" customWidth="1"/>
    <col min="12580" max="12580" width="5.875" style="52"/>
    <col min="12581" max="12585" width="8.125" style="52" customWidth="1"/>
    <col min="12586" max="12587" width="0" style="52" hidden="1" customWidth="1"/>
    <col min="12588" max="12800" width="5.875" style="52"/>
    <col min="12801" max="12801" width="13" style="52" bestFit="1" customWidth="1"/>
    <col min="12802" max="12802" width="14.875" style="52" customWidth="1"/>
    <col min="12803" max="12803" width="13" style="52" customWidth="1"/>
    <col min="12804" max="12804" width="11.125" style="52" bestFit="1" customWidth="1"/>
    <col min="12805" max="12805" width="14.375" style="52" customWidth="1"/>
    <col min="12806" max="12806" width="12.625" style="52" bestFit="1" customWidth="1"/>
    <col min="12807" max="12807" width="25.625" style="52" customWidth="1"/>
    <col min="12808" max="12808" width="11.125" style="52" customWidth="1"/>
    <col min="12809" max="12809" width="26.375" style="52" customWidth="1"/>
    <col min="12810" max="12810" width="23.875" style="52" customWidth="1"/>
    <col min="12811" max="12811" width="11.125" style="52" customWidth="1"/>
    <col min="12812" max="12813" width="10.875" style="52" customWidth="1"/>
    <col min="12814" max="12814" width="11.5" style="52" customWidth="1"/>
    <col min="12815" max="12815" width="10.5" style="52" customWidth="1"/>
    <col min="12816" max="12816" width="8" style="52" customWidth="1"/>
    <col min="12817" max="12817" width="7.375" style="52" customWidth="1"/>
    <col min="12818" max="12818" width="8.125" style="52" customWidth="1"/>
    <col min="12819" max="12819" width="7.625" style="52" customWidth="1"/>
    <col min="12820" max="12821" width="8.5" style="52" customWidth="1"/>
    <col min="12822" max="12822" width="9.125" style="52" customWidth="1"/>
    <col min="12823" max="12823" width="7.875" style="52" customWidth="1"/>
    <col min="12824" max="12824" width="8.625" style="52" customWidth="1"/>
    <col min="12825" max="12825" width="7.625" style="52" customWidth="1"/>
    <col min="12826" max="12826" width="8" style="52" customWidth="1"/>
    <col min="12827" max="12827" width="6.375" style="52" customWidth="1"/>
    <col min="12828" max="12828" width="8" style="52" customWidth="1"/>
    <col min="12829" max="12829" width="6.375" style="52" customWidth="1"/>
    <col min="12830" max="12830" width="8.375" style="52" customWidth="1"/>
    <col min="12831" max="12831" width="6.375" style="52" customWidth="1"/>
    <col min="12832" max="12832" width="10.375" style="52" customWidth="1"/>
    <col min="12833" max="12833" width="16.5" style="52" customWidth="1"/>
    <col min="12834" max="12834" width="10.375" style="52" customWidth="1"/>
    <col min="12835" max="12835" width="6" style="52" bestFit="1" customWidth="1"/>
    <col min="12836" max="12836" width="5.875" style="52"/>
    <col min="12837" max="12841" width="8.125" style="52" customWidth="1"/>
    <col min="12842" max="12843" width="0" style="52" hidden="1" customWidth="1"/>
    <col min="12844" max="13056" width="5.875" style="52"/>
    <col min="13057" max="13057" width="13" style="52" bestFit="1" customWidth="1"/>
    <col min="13058" max="13058" width="14.875" style="52" customWidth="1"/>
    <col min="13059" max="13059" width="13" style="52" customWidth="1"/>
    <col min="13060" max="13060" width="11.125" style="52" bestFit="1" customWidth="1"/>
    <col min="13061" max="13061" width="14.375" style="52" customWidth="1"/>
    <col min="13062" max="13062" width="12.625" style="52" bestFit="1" customWidth="1"/>
    <col min="13063" max="13063" width="25.625" style="52" customWidth="1"/>
    <col min="13064" max="13064" width="11.125" style="52" customWidth="1"/>
    <col min="13065" max="13065" width="26.375" style="52" customWidth="1"/>
    <col min="13066" max="13066" width="23.875" style="52" customWidth="1"/>
    <col min="13067" max="13067" width="11.125" style="52" customWidth="1"/>
    <col min="13068" max="13069" width="10.875" style="52" customWidth="1"/>
    <col min="13070" max="13070" width="11.5" style="52" customWidth="1"/>
    <col min="13071" max="13071" width="10.5" style="52" customWidth="1"/>
    <col min="13072" max="13072" width="8" style="52" customWidth="1"/>
    <col min="13073" max="13073" width="7.375" style="52" customWidth="1"/>
    <col min="13074" max="13074" width="8.125" style="52" customWidth="1"/>
    <col min="13075" max="13075" width="7.625" style="52" customWidth="1"/>
    <col min="13076" max="13077" width="8.5" style="52" customWidth="1"/>
    <col min="13078" max="13078" width="9.125" style="52" customWidth="1"/>
    <col min="13079" max="13079" width="7.875" style="52" customWidth="1"/>
    <col min="13080" max="13080" width="8.625" style="52" customWidth="1"/>
    <col min="13081" max="13081" width="7.625" style="52" customWidth="1"/>
    <col min="13082" max="13082" width="8" style="52" customWidth="1"/>
    <col min="13083" max="13083" width="6.375" style="52" customWidth="1"/>
    <col min="13084" max="13084" width="8" style="52" customWidth="1"/>
    <col min="13085" max="13085" width="6.375" style="52" customWidth="1"/>
    <col min="13086" max="13086" width="8.375" style="52" customWidth="1"/>
    <col min="13087" max="13087" width="6.375" style="52" customWidth="1"/>
    <col min="13088" max="13088" width="10.375" style="52" customWidth="1"/>
    <col min="13089" max="13089" width="16.5" style="52" customWidth="1"/>
    <col min="13090" max="13090" width="10.375" style="52" customWidth="1"/>
    <col min="13091" max="13091" width="6" style="52" bestFit="1" customWidth="1"/>
    <col min="13092" max="13092" width="5.875" style="52"/>
    <col min="13093" max="13097" width="8.125" style="52" customWidth="1"/>
    <col min="13098" max="13099" width="0" style="52" hidden="1" customWidth="1"/>
    <col min="13100" max="13312" width="5.875" style="52"/>
    <col min="13313" max="13313" width="13" style="52" bestFit="1" customWidth="1"/>
    <col min="13314" max="13314" width="14.875" style="52" customWidth="1"/>
    <col min="13315" max="13315" width="13" style="52" customWidth="1"/>
    <col min="13316" max="13316" width="11.125" style="52" bestFit="1" customWidth="1"/>
    <col min="13317" max="13317" width="14.375" style="52" customWidth="1"/>
    <col min="13318" max="13318" width="12.625" style="52" bestFit="1" customWidth="1"/>
    <col min="13319" max="13319" width="25.625" style="52" customWidth="1"/>
    <col min="13320" max="13320" width="11.125" style="52" customWidth="1"/>
    <col min="13321" max="13321" width="26.375" style="52" customWidth="1"/>
    <col min="13322" max="13322" width="23.875" style="52" customWidth="1"/>
    <col min="13323" max="13323" width="11.125" style="52" customWidth="1"/>
    <col min="13324" max="13325" width="10.875" style="52" customWidth="1"/>
    <col min="13326" max="13326" width="11.5" style="52" customWidth="1"/>
    <col min="13327" max="13327" width="10.5" style="52" customWidth="1"/>
    <col min="13328" max="13328" width="8" style="52" customWidth="1"/>
    <col min="13329" max="13329" width="7.375" style="52" customWidth="1"/>
    <col min="13330" max="13330" width="8.125" style="52" customWidth="1"/>
    <col min="13331" max="13331" width="7.625" style="52" customWidth="1"/>
    <col min="13332" max="13333" width="8.5" style="52" customWidth="1"/>
    <col min="13334" max="13334" width="9.125" style="52" customWidth="1"/>
    <col min="13335" max="13335" width="7.875" style="52" customWidth="1"/>
    <col min="13336" max="13336" width="8.625" style="52" customWidth="1"/>
    <col min="13337" max="13337" width="7.625" style="52" customWidth="1"/>
    <col min="13338" max="13338" width="8" style="52" customWidth="1"/>
    <col min="13339" max="13339" width="6.375" style="52" customWidth="1"/>
    <col min="13340" max="13340" width="8" style="52" customWidth="1"/>
    <col min="13341" max="13341" width="6.375" style="52" customWidth="1"/>
    <col min="13342" max="13342" width="8.375" style="52" customWidth="1"/>
    <col min="13343" max="13343" width="6.375" style="52" customWidth="1"/>
    <col min="13344" max="13344" width="10.375" style="52" customWidth="1"/>
    <col min="13345" max="13345" width="16.5" style="52" customWidth="1"/>
    <col min="13346" max="13346" width="10.375" style="52" customWidth="1"/>
    <col min="13347" max="13347" width="6" style="52" bestFit="1" customWidth="1"/>
    <col min="13348" max="13348" width="5.875" style="52"/>
    <col min="13349" max="13353" width="8.125" style="52" customWidth="1"/>
    <col min="13354" max="13355" width="0" style="52" hidden="1" customWidth="1"/>
    <col min="13356" max="13568" width="5.875" style="52"/>
    <col min="13569" max="13569" width="13" style="52" bestFit="1" customWidth="1"/>
    <col min="13570" max="13570" width="14.875" style="52" customWidth="1"/>
    <col min="13571" max="13571" width="13" style="52" customWidth="1"/>
    <col min="13572" max="13572" width="11.125" style="52" bestFit="1" customWidth="1"/>
    <col min="13573" max="13573" width="14.375" style="52" customWidth="1"/>
    <col min="13574" max="13574" width="12.625" style="52" bestFit="1" customWidth="1"/>
    <col min="13575" max="13575" width="25.625" style="52" customWidth="1"/>
    <col min="13576" max="13576" width="11.125" style="52" customWidth="1"/>
    <col min="13577" max="13577" width="26.375" style="52" customWidth="1"/>
    <col min="13578" max="13578" width="23.875" style="52" customWidth="1"/>
    <col min="13579" max="13579" width="11.125" style="52" customWidth="1"/>
    <col min="13580" max="13581" width="10.875" style="52" customWidth="1"/>
    <col min="13582" max="13582" width="11.5" style="52" customWidth="1"/>
    <col min="13583" max="13583" width="10.5" style="52" customWidth="1"/>
    <col min="13584" max="13584" width="8" style="52" customWidth="1"/>
    <col min="13585" max="13585" width="7.375" style="52" customWidth="1"/>
    <col min="13586" max="13586" width="8.125" style="52" customWidth="1"/>
    <col min="13587" max="13587" width="7.625" style="52" customWidth="1"/>
    <col min="13588" max="13589" width="8.5" style="52" customWidth="1"/>
    <col min="13590" max="13590" width="9.125" style="52" customWidth="1"/>
    <col min="13591" max="13591" width="7.875" style="52" customWidth="1"/>
    <col min="13592" max="13592" width="8.625" style="52" customWidth="1"/>
    <col min="13593" max="13593" width="7.625" style="52" customWidth="1"/>
    <col min="13594" max="13594" width="8" style="52" customWidth="1"/>
    <col min="13595" max="13595" width="6.375" style="52" customWidth="1"/>
    <col min="13596" max="13596" width="8" style="52" customWidth="1"/>
    <col min="13597" max="13597" width="6.375" style="52" customWidth="1"/>
    <col min="13598" max="13598" width="8.375" style="52" customWidth="1"/>
    <col min="13599" max="13599" width="6.375" style="52" customWidth="1"/>
    <col min="13600" max="13600" width="10.375" style="52" customWidth="1"/>
    <col min="13601" max="13601" width="16.5" style="52" customWidth="1"/>
    <col min="13602" max="13602" width="10.375" style="52" customWidth="1"/>
    <col min="13603" max="13603" width="6" style="52" bestFit="1" customWidth="1"/>
    <col min="13604" max="13604" width="5.875" style="52"/>
    <col min="13605" max="13609" width="8.125" style="52" customWidth="1"/>
    <col min="13610" max="13611" width="0" style="52" hidden="1" customWidth="1"/>
    <col min="13612" max="13824" width="5.875" style="52"/>
    <col min="13825" max="13825" width="13" style="52" bestFit="1" customWidth="1"/>
    <col min="13826" max="13826" width="14.875" style="52" customWidth="1"/>
    <col min="13827" max="13827" width="13" style="52" customWidth="1"/>
    <col min="13828" max="13828" width="11.125" style="52" bestFit="1" customWidth="1"/>
    <col min="13829" max="13829" width="14.375" style="52" customWidth="1"/>
    <col min="13830" max="13830" width="12.625" style="52" bestFit="1" customWidth="1"/>
    <col min="13831" max="13831" width="25.625" style="52" customWidth="1"/>
    <col min="13832" max="13832" width="11.125" style="52" customWidth="1"/>
    <col min="13833" max="13833" width="26.375" style="52" customWidth="1"/>
    <col min="13834" max="13834" width="23.875" style="52" customWidth="1"/>
    <col min="13835" max="13835" width="11.125" style="52" customWidth="1"/>
    <col min="13836" max="13837" width="10.875" style="52" customWidth="1"/>
    <col min="13838" max="13838" width="11.5" style="52" customWidth="1"/>
    <col min="13839" max="13839" width="10.5" style="52" customWidth="1"/>
    <col min="13840" max="13840" width="8" style="52" customWidth="1"/>
    <col min="13841" max="13841" width="7.375" style="52" customWidth="1"/>
    <col min="13842" max="13842" width="8.125" style="52" customWidth="1"/>
    <col min="13843" max="13843" width="7.625" style="52" customWidth="1"/>
    <col min="13844" max="13845" width="8.5" style="52" customWidth="1"/>
    <col min="13846" max="13846" width="9.125" style="52" customWidth="1"/>
    <col min="13847" max="13847" width="7.875" style="52" customWidth="1"/>
    <col min="13848" max="13848" width="8.625" style="52" customWidth="1"/>
    <col min="13849" max="13849" width="7.625" style="52" customWidth="1"/>
    <col min="13850" max="13850" width="8" style="52" customWidth="1"/>
    <col min="13851" max="13851" width="6.375" style="52" customWidth="1"/>
    <col min="13852" max="13852" width="8" style="52" customWidth="1"/>
    <col min="13853" max="13853" width="6.375" style="52" customWidth="1"/>
    <col min="13854" max="13854" width="8.375" style="52" customWidth="1"/>
    <col min="13855" max="13855" width="6.375" style="52" customWidth="1"/>
    <col min="13856" max="13856" width="10.375" style="52" customWidth="1"/>
    <col min="13857" max="13857" width="16.5" style="52" customWidth="1"/>
    <col min="13858" max="13858" width="10.375" style="52" customWidth="1"/>
    <col min="13859" max="13859" width="6" style="52" bestFit="1" customWidth="1"/>
    <col min="13860" max="13860" width="5.875" style="52"/>
    <col min="13861" max="13865" width="8.125" style="52" customWidth="1"/>
    <col min="13866" max="13867" width="0" style="52" hidden="1" customWidth="1"/>
    <col min="13868" max="14080" width="5.875" style="52"/>
    <col min="14081" max="14081" width="13" style="52" bestFit="1" customWidth="1"/>
    <col min="14082" max="14082" width="14.875" style="52" customWidth="1"/>
    <col min="14083" max="14083" width="13" style="52" customWidth="1"/>
    <col min="14084" max="14084" width="11.125" style="52" bestFit="1" customWidth="1"/>
    <col min="14085" max="14085" width="14.375" style="52" customWidth="1"/>
    <col min="14086" max="14086" width="12.625" style="52" bestFit="1" customWidth="1"/>
    <col min="14087" max="14087" width="25.625" style="52" customWidth="1"/>
    <col min="14088" max="14088" width="11.125" style="52" customWidth="1"/>
    <col min="14089" max="14089" width="26.375" style="52" customWidth="1"/>
    <col min="14090" max="14090" width="23.875" style="52" customWidth="1"/>
    <col min="14091" max="14091" width="11.125" style="52" customWidth="1"/>
    <col min="14092" max="14093" width="10.875" style="52" customWidth="1"/>
    <col min="14094" max="14094" width="11.5" style="52" customWidth="1"/>
    <col min="14095" max="14095" width="10.5" style="52" customWidth="1"/>
    <col min="14096" max="14096" width="8" style="52" customWidth="1"/>
    <col min="14097" max="14097" width="7.375" style="52" customWidth="1"/>
    <col min="14098" max="14098" width="8.125" style="52" customWidth="1"/>
    <col min="14099" max="14099" width="7.625" style="52" customWidth="1"/>
    <col min="14100" max="14101" width="8.5" style="52" customWidth="1"/>
    <col min="14102" max="14102" width="9.125" style="52" customWidth="1"/>
    <col min="14103" max="14103" width="7.875" style="52" customWidth="1"/>
    <col min="14104" max="14104" width="8.625" style="52" customWidth="1"/>
    <col min="14105" max="14105" width="7.625" style="52" customWidth="1"/>
    <col min="14106" max="14106" width="8" style="52" customWidth="1"/>
    <col min="14107" max="14107" width="6.375" style="52" customWidth="1"/>
    <col min="14108" max="14108" width="8" style="52" customWidth="1"/>
    <col min="14109" max="14109" width="6.375" style="52" customWidth="1"/>
    <col min="14110" max="14110" width="8.375" style="52" customWidth="1"/>
    <col min="14111" max="14111" width="6.375" style="52" customWidth="1"/>
    <col min="14112" max="14112" width="10.375" style="52" customWidth="1"/>
    <col min="14113" max="14113" width="16.5" style="52" customWidth="1"/>
    <col min="14114" max="14114" width="10.375" style="52" customWidth="1"/>
    <col min="14115" max="14115" width="6" style="52" bestFit="1" customWidth="1"/>
    <col min="14116" max="14116" width="5.875" style="52"/>
    <col min="14117" max="14121" width="8.125" style="52" customWidth="1"/>
    <col min="14122" max="14123" width="0" style="52" hidden="1" customWidth="1"/>
    <col min="14124" max="14336" width="5.875" style="52"/>
    <col min="14337" max="14337" width="13" style="52" bestFit="1" customWidth="1"/>
    <col min="14338" max="14338" width="14.875" style="52" customWidth="1"/>
    <col min="14339" max="14339" width="13" style="52" customWidth="1"/>
    <col min="14340" max="14340" width="11.125" style="52" bestFit="1" customWidth="1"/>
    <col min="14341" max="14341" width="14.375" style="52" customWidth="1"/>
    <col min="14342" max="14342" width="12.625" style="52" bestFit="1" customWidth="1"/>
    <col min="14343" max="14343" width="25.625" style="52" customWidth="1"/>
    <col min="14344" max="14344" width="11.125" style="52" customWidth="1"/>
    <col min="14345" max="14345" width="26.375" style="52" customWidth="1"/>
    <col min="14346" max="14346" width="23.875" style="52" customWidth="1"/>
    <col min="14347" max="14347" width="11.125" style="52" customWidth="1"/>
    <col min="14348" max="14349" width="10.875" style="52" customWidth="1"/>
    <col min="14350" max="14350" width="11.5" style="52" customWidth="1"/>
    <col min="14351" max="14351" width="10.5" style="52" customWidth="1"/>
    <col min="14352" max="14352" width="8" style="52" customWidth="1"/>
    <col min="14353" max="14353" width="7.375" style="52" customWidth="1"/>
    <col min="14354" max="14354" width="8.125" style="52" customWidth="1"/>
    <col min="14355" max="14355" width="7.625" style="52" customWidth="1"/>
    <col min="14356" max="14357" width="8.5" style="52" customWidth="1"/>
    <col min="14358" max="14358" width="9.125" style="52" customWidth="1"/>
    <col min="14359" max="14359" width="7.875" style="52" customWidth="1"/>
    <col min="14360" max="14360" width="8.625" style="52" customWidth="1"/>
    <col min="14361" max="14361" width="7.625" style="52" customWidth="1"/>
    <col min="14362" max="14362" width="8" style="52" customWidth="1"/>
    <col min="14363" max="14363" width="6.375" style="52" customWidth="1"/>
    <col min="14364" max="14364" width="8" style="52" customWidth="1"/>
    <col min="14365" max="14365" width="6.375" style="52" customWidth="1"/>
    <col min="14366" max="14366" width="8.375" style="52" customWidth="1"/>
    <col min="14367" max="14367" width="6.375" style="52" customWidth="1"/>
    <col min="14368" max="14368" width="10.375" style="52" customWidth="1"/>
    <col min="14369" max="14369" width="16.5" style="52" customWidth="1"/>
    <col min="14370" max="14370" width="10.375" style="52" customWidth="1"/>
    <col min="14371" max="14371" width="6" style="52" bestFit="1" customWidth="1"/>
    <col min="14372" max="14372" width="5.875" style="52"/>
    <col min="14373" max="14377" width="8.125" style="52" customWidth="1"/>
    <col min="14378" max="14379" width="0" style="52" hidden="1" customWidth="1"/>
    <col min="14380" max="14592" width="5.875" style="52"/>
    <col min="14593" max="14593" width="13" style="52" bestFit="1" customWidth="1"/>
    <col min="14594" max="14594" width="14.875" style="52" customWidth="1"/>
    <col min="14595" max="14595" width="13" style="52" customWidth="1"/>
    <col min="14596" max="14596" width="11.125" style="52" bestFit="1" customWidth="1"/>
    <col min="14597" max="14597" width="14.375" style="52" customWidth="1"/>
    <col min="14598" max="14598" width="12.625" style="52" bestFit="1" customWidth="1"/>
    <col min="14599" max="14599" width="25.625" style="52" customWidth="1"/>
    <col min="14600" max="14600" width="11.125" style="52" customWidth="1"/>
    <col min="14601" max="14601" width="26.375" style="52" customWidth="1"/>
    <col min="14602" max="14602" width="23.875" style="52" customWidth="1"/>
    <col min="14603" max="14603" width="11.125" style="52" customWidth="1"/>
    <col min="14604" max="14605" width="10.875" style="52" customWidth="1"/>
    <col min="14606" max="14606" width="11.5" style="52" customWidth="1"/>
    <col min="14607" max="14607" width="10.5" style="52" customWidth="1"/>
    <col min="14608" max="14608" width="8" style="52" customWidth="1"/>
    <col min="14609" max="14609" width="7.375" style="52" customWidth="1"/>
    <col min="14610" max="14610" width="8.125" style="52" customWidth="1"/>
    <col min="14611" max="14611" width="7.625" style="52" customWidth="1"/>
    <col min="14612" max="14613" width="8.5" style="52" customWidth="1"/>
    <col min="14614" max="14614" width="9.125" style="52" customWidth="1"/>
    <col min="14615" max="14615" width="7.875" style="52" customWidth="1"/>
    <col min="14616" max="14616" width="8.625" style="52" customWidth="1"/>
    <col min="14617" max="14617" width="7.625" style="52" customWidth="1"/>
    <col min="14618" max="14618" width="8" style="52" customWidth="1"/>
    <col min="14619" max="14619" width="6.375" style="52" customWidth="1"/>
    <col min="14620" max="14620" width="8" style="52" customWidth="1"/>
    <col min="14621" max="14621" width="6.375" style="52" customWidth="1"/>
    <col min="14622" max="14622" width="8.375" style="52" customWidth="1"/>
    <col min="14623" max="14623" width="6.375" style="52" customWidth="1"/>
    <col min="14624" max="14624" width="10.375" style="52" customWidth="1"/>
    <col min="14625" max="14625" width="16.5" style="52" customWidth="1"/>
    <col min="14626" max="14626" width="10.375" style="52" customWidth="1"/>
    <col min="14627" max="14627" width="6" style="52" bestFit="1" customWidth="1"/>
    <col min="14628" max="14628" width="5.875" style="52"/>
    <col min="14629" max="14633" width="8.125" style="52" customWidth="1"/>
    <col min="14634" max="14635" width="0" style="52" hidden="1" customWidth="1"/>
    <col min="14636" max="14848" width="5.875" style="52"/>
    <col min="14849" max="14849" width="13" style="52" bestFit="1" customWidth="1"/>
    <col min="14850" max="14850" width="14.875" style="52" customWidth="1"/>
    <col min="14851" max="14851" width="13" style="52" customWidth="1"/>
    <col min="14852" max="14852" width="11.125" style="52" bestFit="1" customWidth="1"/>
    <col min="14853" max="14853" width="14.375" style="52" customWidth="1"/>
    <col min="14854" max="14854" width="12.625" style="52" bestFit="1" customWidth="1"/>
    <col min="14855" max="14855" width="25.625" style="52" customWidth="1"/>
    <col min="14856" max="14856" width="11.125" style="52" customWidth="1"/>
    <col min="14857" max="14857" width="26.375" style="52" customWidth="1"/>
    <col min="14858" max="14858" width="23.875" style="52" customWidth="1"/>
    <col min="14859" max="14859" width="11.125" style="52" customWidth="1"/>
    <col min="14860" max="14861" width="10.875" style="52" customWidth="1"/>
    <col min="14862" max="14862" width="11.5" style="52" customWidth="1"/>
    <col min="14863" max="14863" width="10.5" style="52" customWidth="1"/>
    <col min="14864" max="14864" width="8" style="52" customWidth="1"/>
    <col min="14865" max="14865" width="7.375" style="52" customWidth="1"/>
    <col min="14866" max="14866" width="8.125" style="52" customWidth="1"/>
    <col min="14867" max="14867" width="7.625" style="52" customWidth="1"/>
    <col min="14868" max="14869" width="8.5" style="52" customWidth="1"/>
    <col min="14870" max="14870" width="9.125" style="52" customWidth="1"/>
    <col min="14871" max="14871" width="7.875" style="52" customWidth="1"/>
    <col min="14872" max="14872" width="8.625" style="52" customWidth="1"/>
    <col min="14873" max="14873" width="7.625" style="52" customWidth="1"/>
    <col min="14874" max="14874" width="8" style="52" customWidth="1"/>
    <col min="14875" max="14875" width="6.375" style="52" customWidth="1"/>
    <col min="14876" max="14876" width="8" style="52" customWidth="1"/>
    <col min="14877" max="14877" width="6.375" style="52" customWidth="1"/>
    <col min="14878" max="14878" width="8.375" style="52" customWidth="1"/>
    <col min="14879" max="14879" width="6.375" style="52" customWidth="1"/>
    <col min="14880" max="14880" width="10.375" style="52" customWidth="1"/>
    <col min="14881" max="14881" width="16.5" style="52" customWidth="1"/>
    <col min="14882" max="14882" width="10.375" style="52" customWidth="1"/>
    <col min="14883" max="14883" width="6" style="52" bestFit="1" customWidth="1"/>
    <col min="14884" max="14884" width="5.875" style="52"/>
    <col min="14885" max="14889" width="8.125" style="52" customWidth="1"/>
    <col min="14890" max="14891" width="0" style="52" hidden="1" customWidth="1"/>
    <col min="14892" max="15104" width="5.875" style="52"/>
    <col min="15105" max="15105" width="13" style="52" bestFit="1" customWidth="1"/>
    <col min="15106" max="15106" width="14.875" style="52" customWidth="1"/>
    <col min="15107" max="15107" width="13" style="52" customWidth="1"/>
    <col min="15108" max="15108" width="11.125" style="52" bestFit="1" customWidth="1"/>
    <col min="15109" max="15109" width="14.375" style="52" customWidth="1"/>
    <col min="15110" max="15110" width="12.625" style="52" bestFit="1" customWidth="1"/>
    <col min="15111" max="15111" width="25.625" style="52" customWidth="1"/>
    <col min="15112" max="15112" width="11.125" style="52" customWidth="1"/>
    <col min="15113" max="15113" width="26.375" style="52" customWidth="1"/>
    <col min="15114" max="15114" width="23.875" style="52" customWidth="1"/>
    <col min="15115" max="15115" width="11.125" style="52" customWidth="1"/>
    <col min="15116" max="15117" width="10.875" style="52" customWidth="1"/>
    <col min="15118" max="15118" width="11.5" style="52" customWidth="1"/>
    <col min="15119" max="15119" width="10.5" style="52" customWidth="1"/>
    <col min="15120" max="15120" width="8" style="52" customWidth="1"/>
    <col min="15121" max="15121" width="7.375" style="52" customWidth="1"/>
    <col min="15122" max="15122" width="8.125" style="52" customWidth="1"/>
    <col min="15123" max="15123" width="7.625" style="52" customWidth="1"/>
    <col min="15124" max="15125" width="8.5" style="52" customWidth="1"/>
    <col min="15126" max="15126" width="9.125" style="52" customWidth="1"/>
    <col min="15127" max="15127" width="7.875" style="52" customWidth="1"/>
    <col min="15128" max="15128" width="8.625" style="52" customWidth="1"/>
    <col min="15129" max="15129" width="7.625" style="52" customWidth="1"/>
    <col min="15130" max="15130" width="8" style="52" customWidth="1"/>
    <col min="15131" max="15131" width="6.375" style="52" customWidth="1"/>
    <col min="15132" max="15132" width="8" style="52" customWidth="1"/>
    <col min="15133" max="15133" width="6.375" style="52" customWidth="1"/>
    <col min="15134" max="15134" width="8.375" style="52" customWidth="1"/>
    <col min="15135" max="15135" width="6.375" style="52" customWidth="1"/>
    <col min="15136" max="15136" width="10.375" style="52" customWidth="1"/>
    <col min="15137" max="15137" width="16.5" style="52" customWidth="1"/>
    <col min="15138" max="15138" width="10.375" style="52" customWidth="1"/>
    <col min="15139" max="15139" width="6" style="52" bestFit="1" customWidth="1"/>
    <col min="15140" max="15140" width="5.875" style="52"/>
    <col min="15141" max="15145" width="8.125" style="52" customWidth="1"/>
    <col min="15146" max="15147" width="0" style="52" hidden="1" customWidth="1"/>
    <col min="15148" max="15360" width="5.875" style="52"/>
    <col min="15361" max="15361" width="13" style="52" bestFit="1" customWidth="1"/>
    <col min="15362" max="15362" width="14.875" style="52" customWidth="1"/>
    <col min="15363" max="15363" width="13" style="52" customWidth="1"/>
    <col min="15364" max="15364" width="11.125" style="52" bestFit="1" customWidth="1"/>
    <col min="15365" max="15365" width="14.375" style="52" customWidth="1"/>
    <col min="15366" max="15366" width="12.625" style="52" bestFit="1" customWidth="1"/>
    <col min="15367" max="15367" width="25.625" style="52" customWidth="1"/>
    <col min="15368" max="15368" width="11.125" style="52" customWidth="1"/>
    <col min="15369" max="15369" width="26.375" style="52" customWidth="1"/>
    <col min="15370" max="15370" width="23.875" style="52" customWidth="1"/>
    <col min="15371" max="15371" width="11.125" style="52" customWidth="1"/>
    <col min="15372" max="15373" width="10.875" style="52" customWidth="1"/>
    <col min="15374" max="15374" width="11.5" style="52" customWidth="1"/>
    <col min="15375" max="15375" width="10.5" style="52" customWidth="1"/>
    <col min="15376" max="15376" width="8" style="52" customWidth="1"/>
    <col min="15377" max="15377" width="7.375" style="52" customWidth="1"/>
    <col min="15378" max="15378" width="8.125" style="52" customWidth="1"/>
    <col min="15379" max="15379" width="7.625" style="52" customWidth="1"/>
    <col min="15380" max="15381" width="8.5" style="52" customWidth="1"/>
    <col min="15382" max="15382" width="9.125" style="52" customWidth="1"/>
    <col min="15383" max="15383" width="7.875" style="52" customWidth="1"/>
    <col min="15384" max="15384" width="8.625" style="52" customWidth="1"/>
    <col min="15385" max="15385" width="7.625" style="52" customWidth="1"/>
    <col min="15386" max="15386" width="8" style="52" customWidth="1"/>
    <col min="15387" max="15387" width="6.375" style="52" customWidth="1"/>
    <col min="15388" max="15388" width="8" style="52" customWidth="1"/>
    <col min="15389" max="15389" width="6.375" style="52" customWidth="1"/>
    <col min="15390" max="15390" width="8.375" style="52" customWidth="1"/>
    <col min="15391" max="15391" width="6.375" style="52" customWidth="1"/>
    <col min="15392" max="15392" width="10.375" style="52" customWidth="1"/>
    <col min="15393" max="15393" width="16.5" style="52" customWidth="1"/>
    <col min="15394" max="15394" width="10.375" style="52" customWidth="1"/>
    <col min="15395" max="15395" width="6" style="52" bestFit="1" customWidth="1"/>
    <col min="15396" max="15396" width="5.875" style="52"/>
    <col min="15397" max="15401" width="8.125" style="52" customWidth="1"/>
    <col min="15402" max="15403" width="0" style="52" hidden="1" customWidth="1"/>
    <col min="15404" max="15616" width="5.875" style="52"/>
    <col min="15617" max="15617" width="13" style="52" bestFit="1" customWidth="1"/>
    <col min="15618" max="15618" width="14.875" style="52" customWidth="1"/>
    <col min="15619" max="15619" width="13" style="52" customWidth="1"/>
    <col min="15620" max="15620" width="11.125" style="52" bestFit="1" customWidth="1"/>
    <col min="15621" max="15621" width="14.375" style="52" customWidth="1"/>
    <col min="15622" max="15622" width="12.625" style="52" bestFit="1" customWidth="1"/>
    <col min="15623" max="15623" width="25.625" style="52" customWidth="1"/>
    <col min="15624" max="15624" width="11.125" style="52" customWidth="1"/>
    <col min="15625" max="15625" width="26.375" style="52" customWidth="1"/>
    <col min="15626" max="15626" width="23.875" style="52" customWidth="1"/>
    <col min="15627" max="15627" width="11.125" style="52" customWidth="1"/>
    <col min="15628" max="15629" width="10.875" style="52" customWidth="1"/>
    <col min="15630" max="15630" width="11.5" style="52" customWidth="1"/>
    <col min="15631" max="15631" width="10.5" style="52" customWidth="1"/>
    <col min="15632" max="15632" width="8" style="52" customWidth="1"/>
    <col min="15633" max="15633" width="7.375" style="52" customWidth="1"/>
    <col min="15634" max="15634" width="8.125" style="52" customWidth="1"/>
    <col min="15635" max="15635" width="7.625" style="52" customWidth="1"/>
    <col min="15636" max="15637" width="8.5" style="52" customWidth="1"/>
    <col min="15638" max="15638" width="9.125" style="52" customWidth="1"/>
    <col min="15639" max="15639" width="7.875" style="52" customWidth="1"/>
    <col min="15640" max="15640" width="8.625" style="52" customWidth="1"/>
    <col min="15641" max="15641" width="7.625" style="52" customWidth="1"/>
    <col min="15642" max="15642" width="8" style="52" customWidth="1"/>
    <col min="15643" max="15643" width="6.375" style="52" customWidth="1"/>
    <col min="15644" max="15644" width="8" style="52" customWidth="1"/>
    <col min="15645" max="15645" width="6.375" style="52" customWidth="1"/>
    <col min="15646" max="15646" width="8.375" style="52" customWidth="1"/>
    <col min="15647" max="15647" width="6.375" style="52" customWidth="1"/>
    <col min="15648" max="15648" width="10.375" style="52" customWidth="1"/>
    <col min="15649" max="15649" width="16.5" style="52" customWidth="1"/>
    <col min="15650" max="15650" width="10.375" style="52" customWidth="1"/>
    <col min="15651" max="15651" width="6" style="52" bestFit="1" customWidth="1"/>
    <col min="15652" max="15652" width="5.875" style="52"/>
    <col min="15653" max="15657" width="8.125" style="52" customWidth="1"/>
    <col min="15658" max="15659" width="0" style="52" hidden="1" customWidth="1"/>
    <col min="15660" max="15872" width="5.875" style="52"/>
    <col min="15873" max="15873" width="13" style="52" bestFit="1" customWidth="1"/>
    <col min="15874" max="15874" width="14.875" style="52" customWidth="1"/>
    <col min="15875" max="15875" width="13" style="52" customWidth="1"/>
    <col min="15876" max="15876" width="11.125" style="52" bestFit="1" customWidth="1"/>
    <col min="15877" max="15877" width="14.375" style="52" customWidth="1"/>
    <col min="15878" max="15878" width="12.625" style="52" bestFit="1" customWidth="1"/>
    <col min="15879" max="15879" width="25.625" style="52" customWidth="1"/>
    <col min="15880" max="15880" width="11.125" style="52" customWidth="1"/>
    <col min="15881" max="15881" width="26.375" style="52" customWidth="1"/>
    <col min="15882" max="15882" width="23.875" style="52" customWidth="1"/>
    <col min="15883" max="15883" width="11.125" style="52" customWidth="1"/>
    <col min="15884" max="15885" width="10.875" style="52" customWidth="1"/>
    <col min="15886" max="15886" width="11.5" style="52" customWidth="1"/>
    <col min="15887" max="15887" width="10.5" style="52" customWidth="1"/>
    <col min="15888" max="15888" width="8" style="52" customWidth="1"/>
    <col min="15889" max="15889" width="7.375" style="52" customWidth="1"/>
    <col min="15890" max="15890" width="8.125" style="52" customWidth="1"/>
    <col min="15891" max="15891" width="7.625" style="52" customWidth="1"/>
    <col min="15892" max="15893" width="8.5" style="52" customWidth="1"/>
    <col min="15894" max="15894" width="9.125" style="52" customWidth="1"/>
    <col min="15895" max="15895" width="7.875" style="52" customWidth="1"/>
    <col min="15896" max="15896" width="8.625" style="52" customWidth="1"/>
    <col min="15897" max="15897" width="7.625" style="52" customWidth="1"/>
    <col min="15898" max="15898" width="8" style="52" customWidth="1"/>
    <col min="15899" max="15899" width="6.375" style="52" customWidth="1"/>
    <col min="15900" max="15900" width="8" style="52" customWidth="1"/>
    <col min="15901" max="15901" width="6.375" style="52" customWidth="1"/>
    <col min="15902" max="15902" width="8.375" style="52" customWidth="1"/>
    <col min="15903" max="15903" width="6.375" style="52" customWidth="1"/>
    <col min="15904" max="15904" width="10.375" style="52" customWidth="1"/>
    <col min="15905" max="15905" width="16.5" style="52" customWidth="1"/>
    <col min="15906" max="15906" width="10.375" style="52" customWidth="1"/>
    <col min="15907" max="15907" width="6" style="52" bestFit="1" customWidth="1"/>
    <col min="15908" max="15908" width="5.875" style="52"/>
    <col min="15909" max="15913" width="8.125" style="52" customWidth="1"/>
    <col min="15914" max="15915" width="0" style="52" hidden="1" customWidth="1"/>
    <col min="15916" max="16128" width="5.875" style="52"/>
    <col min="16129" max="16129" width="13" style="52" bestFit="1" customWidth="1"/>
    <col min="16130" max="16130" width="14.875" style="52" customWidth="1"/>
    <col min="16131" max="16131" width="13" style="52" customWidth="1"/>
    <col min="16132" max="16132" width="11.125" style="52" bestFit="1" customWidth="1"/>
    <col min="16133" max="16133" width="14.375" style="52" customWidth="1"/>
    <col min="16134" max="16134" width="12.625" style="52" bestFit="1" customWidth="1"/>
    <col min="16135" max="16135" width="25.625" style="52" customWidth="1"/>
    <col min="16136" max="16136" width="11.125" style="52" customWidth="1"/>
    <col min="16137" max="16137" width="26.375" style="52" customWidth="1"/>
    <col min="16138" max="16138" width="23.875" style="52" customWidth="1"/>
    <col min="16139" max="16139" width="11.125" style="52" customWidth="1"/>
    <col min="16140" max="16141" width="10.875" style="52" customWidth="1"/>
    <col min="16142" max="16142" width="11.5" style="52" customWidth="1"/>
    <col min="16143" max="16143" width="10.5" style="52" customWidth="1"/>
    <col min="16144" max="16144" width="8" style="52" customWidth="1"/>
    <col min="16145" max="16145" width="7.375" style="52" customWidth="1"/>
    <col min="16146" max="16146" width="8.125" style="52" customWidth="1"/>
    <col min="16147" max="16147" width="7.625" style="52" customWidth="1"/>
    <col min="16148" max="16149" width="8.5" style="52" customWidth="1"/>
    <col min="16150" max="16150" width="9.125" style="52" customWidth="1"/>
    <col min="16151" max="16151" width="7.875" style="52" customWidth="1"/>
    <col min="16152" max="16152" width="8.625" style="52" customWidth="1"/>
    <col min="16153" max="16153" width="7.625" style="52" customWidth="1"/>
    <col min="16154" max="16154" width="8" style="52" customWidth="1"/>
    <col min="16155" max="16155" width="6.375" style="52" customWidth="1"/>
    <col min="16156" max="16156" width="8" style="52" customWidth="1"/>
    <col min="16157" max="16157" width="6.375" style="52" customWidth="1"/>
    <col min="16158" max="16158" width="8.375" style="52" customWidth="1"/>
    <col min="16159" max="16159" width="6.375" style="52" customWidth="1"/>
    <col min="16160" max="16160" width="10.375" style="52" customWidth="1"/>
    <col min="16161" max="16161" width="16.5" style="52" customWidth="1"/>
    <col min="16162" max="16162" width="10.375" style="52" customWidth="1"/>
    <col min="16163" max="16163" width="6" style="52" bestFit="1" customWidth="1"/>
    <col min="16164" max="16164" width="5.875" style="52"/>
    <col min="16165" max="16169" width="8.125" style="52" customWidth="1"/>
    <col min="16170" max="16171" width="0" style="52" hidden="1" customWidth="1"/>
    <col min="16172" max="16384" width="5.875" style="52"/>
  </cols>
  <sheetData>
    <row r="1" spans="1:34" ht="20.25">
      <c r="A1" s="838" t="e">
        <f>#REF!</f>
        <v>#REF!</v>
      </c>
    </row>
    <row r="2" spans="1:34" ht="21">
      <c r="A2" s="837" t="s">
        <v>554</v>
      </c>
    </row>
    <row r="3" spans="1:34" ht="21.75" thickBot="1">
      <c r="A3" s="836" t="s">
        <v>552</v>
      </c>
      <c r="B3" s="230"/>
      <c r="C3" s="230"/>
      <c r="D3" s="230"/>
      <c r="E3" s="230"/>
      <c r="F3" s="230"/>
      <c r="G3" s="230"/>
      <c r="H3" s="230"/>
      <c r="I3" s="230"/>
      <c r="J3" s="230"/>
      <c r="K3" s="230"/>
      <c r="L3" s="230"/>
      <c r="M3" s="230"/>
      <c r="N3" s="230"/>
      <c r="O3" s="230"/>
      <c r="P3" s="230"/>
      <c r="Q3" s="230"/>
      <c r="R3" s="230"/>
      <c r="S3" s="230"/>
      <c r="T3" s="230"/>
      <c r="U3" s="230"/>
      <c r="V3" s="230"/>
      <c r="W3" s="230"/>
      <c r="X3" s="230"/>
      <c r="Y3" s="230"/>
      <c r="Z3" s="230"/>
      <c r="AA3" s="230"/>
      <c r="AB3" s="230"/>
      <c r="AC3" s="230"/>
      <c r="AD3" s="230"/>
      <c r="AE3" s="230"/>
      <c r="AF3" s="230"/>
      <c r="AG3" s="230"/>
      <c r="AH3" s="231"/>
    </row>
    <row r="4" spans="1:34" ht="15.75">
      <c r="A4" s="1270" t="s">
        <v>84</v>
      </c>
      <c r="B4" s="1271"/>
      <c r="C4" s="1271"/>
      <c r="D4" s="1271"/>
      <c r="E4" s="1271"/>
      <c r="F4" s="1271"/>
      <c r="G4" s="1271"/>
      <c r="H4" s="1271"/>
      <c r="I4" s="1271"/>
      <c r="J4" s="1271"/>
      <c r="K4" s="1271"/>
      <c r="L4" s="1271"/>
      <c r="M4" s="1271"/>
      <c r="N4" s="1271"/>
      <c r="O4" s="1271"/>
      <c r="P4" s="1271"/>
      <c r="Q4" s="1271"/>
      <c r="R4" s="1271"/>
      <c r="S4" s="1271"/>
      <c r="T4" s="1271"/>
      <c r="U4" s="1271"/>
      <c r="V4" s="1271"/>
      <c r="W4" s="1271"/>
      <c r="X4" s="1271"/>
      <c r="Y4" s="1271"/>
      <c r="Z4" s="1271"/>
      <c r="AA4" s="1271"/>
      <c r="AB4" s="1271"/>
      <c r="AC4" s="1271"/>
      <c r="AD4" s="1271"/>
      <c r="AE4" s="1271"/>
      <c r="AF4" s="1271"/>
      <c r="AG4" s="1271"/>
      <c r="AH4" s="1274"/>
    </row>
    <row r="5" spans="1:34">
      <c r="A5" s="1278" t="s">
        <v>85</v>
      </c>
      <c r="B5" s="1260" t="s">
        <v>86</v>
      </c>
      <c r="C5" s="1275" t="s">
        <v>87</v>
      </c>
      <c r="D5" s="1260" t="s">
        <v>88</v>
      </c>
      <c r="E5" s="1260" t="s">
        <v>89</v>
      </c>
      <c r="F5" s="1260" t="s">
        <v>90</v>
      </c>
      <c r="G5" s="1260" t="s">
        <v>1365</v>
      </c>
      <c r="H5" s="1260" t="s">
        <v>91</v>
      </c>
      <c r="I5" s="1260" t="s">
        <v>92</v>
      </c>
      <c r="J5" s="1260" t="s">
        <v>1376</v>
      </c>
      <c r="K5" s="1260" t="s">
        <v>1364</v>
      </c>
      <c r="L5" s="1260" t="s">
        <v>93</v>
      </c>
      <c r="M5" s="1260" t="s">
        <v>94</v>
      </c>
      <c r="N5" s="1260" t="s">
        <v>1363</v>
      </c>
      <c r="O5" s="1260" t="s">
        <v>1362</v>
      </c>
      <c r="P5" s="1263" t="s">
        <v>95</v>
      </c>
      <c r="Q5" s="1269"/>
      <c r="R5" s="1269"/>
      <c r="S5" s="1269"/>
      <c r="T5" s="1269"/>
      <c r="U5" s="1269"/>
      <c r="V5" s="1269"/>
      <c r="W5" s="1269"/>
      <c r="X5" s="1269"/>
      <c r="Y5" s="1269"/>
      <c r="Z5" s="1269"/>
      <c r="AA5" s="1269"/>
      <c r="AB5" s="1269"/>
      <c r="AC5" s="1269"/>
      <c r="AD5" s="1269"/>
      <c r="AE5" s="1264"/>
      <c r="AF5" s="1260" t="s">
        <v>96</v>
      </c>
      <c r="AG5" s="1260" t="s">
        <v>97</v>
      </c>
      <c r="AH5" s="1266" t="s">
        <v>98</v>
      </c>
    </row>
    <row r="6" spans="1:34">
      <c r="A6" s="1279"/>
      <c r="B6" s="1262"/>
      <c r="C6" s="1276"/>
      <c r="D6" s="1262"/>
      <c r="E6" s="1262"/>
      <c r="F6" s="1262"/>
      <c r="G6" s="1262"/>
      <c r="H6" s="1262"/>
      <c r="I6" s="1262"/>
      <c r="J6" s="1262"/>
      <c r="K6" s="1262"/>
      <c r="L6" s="1262"/>
      <c r="M6" s="1262"/>
      <c r="N6" s="1262"/>
      <c r="O6" s="1262"/>
      <c r="P6" s="1263" t="s">
        <v>100</v>
      </c>
      <c r="Q6" s="1264"/>
      <c r="R6" s="1263" t="s">
        <v>101</v>
      </c>
      <c r="S6" s="1264"/>
      <c r="T6" s="1263" t="s">
        <v>102</v>
      </c>
      <c r="U6" s="1264"/>
      <c r="V6" s="1263" t="s">
        <v>103</v>
      </c>
      <c r="W6" s="1264"/>
      <c r="X6" s="1263" t="s">
        <v>104</v>
      </c>
      <c r="Y6" s="1264"/>
      <c r="Z6" s="1263" t="s">
        <v>105</v>
      </c>
      <c r="AA6" s="1264"/>
      <c r="AB6" s="1263" t="s">
        <v>106</v>
      </c>
      <c r="AC6" s="1264"/>
      <c r="AD6" s="1263" t="s">
        <v>107</v>
      </c>
      <c r="AE6" s="1264"/>
      <c r="AF6" s="1262"/>
      <c r="AG6" s="1262"/>
      <c r="AH6" s="1267"/>
    </row>
    <row r="7" spans="1:34">
      <c r="A7" s="1280"/>
      <c r="B7" s="1261"/>
      <c r="C7" s="1277"/>
      <c r="D7" s="1261"/>
      <c r="E7" s="1261"/>
      <c r="F7" s="1261"/>
      <c r="G7" s="1261"/>
      <c r="H7" s="1261"/>
      <c r="I7" s="1261"/>
      <c r="J7" s="1261"/>
      <c r="K7" s="1261"/>
      <c r="L7" s="1261"/>
      <c r="M7" s="1261"/>
      <c r="N7" s="1261"/>
      <c r="O7" s="1261"/>
      <c r="P7" s="827" t="s">
        <v>109</v>
      </c>
      <c r="Q7" s="827" t="s">
        <v>110</v>
      </c>
      <c r="R7" s="827" t="s">
        <v>109</v>
      </c>
      <c r="S7" s="827" t="s">
        <v>110</v>
      </c>
      <c r="T7" s="827" t="s">
        <v>109</v>
      </c>
      <c r="U7" s="827" t="s">
        <v>110</v>
      </c>
      <c r="V7" s="827" t="s">
        <v>109</v>
      </c>
      <c r="W7" s="827" t="s">
        <v>110</v>
      </c>
      <c r="X7" s="827" t="s">
        <v>109</v>
      </c>
      <c r="Y7" s="827" t="s">
        <v>110</v>
      </c>
      <c r="Z7" s="827" t="s">
        <v>109</v>
      </c>
      <c r="AA7" s="827" t="s">
        <v>110</v>
      </c>
      <c r="AB7" s="827" t="s">
        <v>109</v>
      </c>
      <c r="AC7" s="827" t="s">
        <v>110</v>
      </c>
      <c r="AD7" s="827" t="s">
        <v>109</v>
      </c>
      <c r="AE7" s="827" t="s">
        <v>110</v>
      </c>
      <c r="AF7" s="1261"/>
      <c r="AG7" s="1261"/>
      <c r="AH7" s="1268"/>
    </row>
    <row r="8" spans="1:34">
      <c r="A8" s="917"/>
      <c r="B8" s="901"/>
      <c r="C8" s="903"/>
      <c r="D8" s="901"/>
      <c r="E8" s="901"/>
      <c r="F8" s="901"/>
      <c r="G8" s="902"/>
      <c r="H8" s="901"/>
      <c r="I8" s="901"/>
      <c r="J8" s="902"/>
      <c r="K8" s="901"/>
      <c r="L8" s="901"/>
      <c r="M8" s="902"/>
      <c r="N8" s="902"/>
      <c r="O8" s="902"/>
      <c r="P8" s="900"/>
      <c r="Q8" s="900"/>
      <c r="R8" s="900"/>
      <c r="S8" s="827"/>
      <c r="T8" s="900"/>
      <c r="U8" s="827"/>
      <c r="V8" s="827"/>
      <c r="W8" s="827"/>
      <c r="X8" s="827"/>
      <c r="Y8" s="827"/>
      <c r="Z8" s="827"/>
      <c r="AA8" s="827"/>
      <c r="AB8" s="827"/>
      <c r="AC8" s="827"/>
      <c r="AD8" s="827"/>
      <c r="AE8" s="902"/>
      <c r="AF8" s="902"/>
      <c r="AG8" s="902"/>
      <c r="AH8" s="904"/>
    </row>
    <row r="9" spans="1:34">
      <c r="A9" s="917"/>
      <c r="B9" s="901"/>
      <c r="C9" s="903"/>
      <c r="D9" s="901"/>
      <c r="E9" s="901"/>
      <c r="F9" s="901"/>
      <c r="G9" s="902"/>
      <c r="H9" s="901"/>
      <c r="I9" s="901"/>
      <c r="J9" s="902"/>
      <c r="K9" s="901"/>
      <c r="L9" s="901"/>
      <c r="M9" s="902"/>
      <c r="N9" s="902"/>
      <c r="O9" s="902"/>
      <c r="P9" s="900"/>
      <c r="Q9" s="900"/>
      <c r="R9" s="900"/>
      <c r="S9" s="827"/>
      <c r="T9" s="900"/>
      <c r="U9" s="827"/>
      <c r="V9" s="827"/>
      <c r="W9" s="827"/>
      <c r="X9" s="827"/>
      <c r="Y9" s="827"/>
      <c r="Z9" s="827"/>
      <c r="AA9" s="827"/>
      <c r="AB9" s="827"/>
      <c r="AC9" s="827"/>
      <c r="AD9" s="827"/>
      <c r="AE9" s="902"/>
      <c r="AF9" s="902"/>
      <c r="AG9" s="902"/>
      <c r="AH9" s="904"/>
    </row>
    <row r="10" spans="1:34" ht="63.75">
      <c r="A10" s="918" t="s">
        <v>521</v>
      </c>
      <c r="B10" s="918">
        <v>3</v>
      </c>
      <c r="C10" s="918"/>
      <c r="D10" s="918"/>
      <c r="E10" s="918" t="s">
        <v>1424</v>
      </c>
      <c r="F10" s="155"/>
      <c r="G10" s="335" t="s">
        <v>113</v>
      </c>
      <c r="H10" s="155"/>
      <c r="I10" s="155" t="s">
        <v>1412</v>
      </c>
      <c r="J10" s="335" t="s">
        <v>143</v>
      </c>
      <c r="K10" s="155"/>
      <c r="L10" s="214">
        <v>27142.86</v>
      </c>
      <c r="M10" s="335" t="s">
        <v>526</v>
      </c>
      <c r="N10" s="63" t="s">
        <v>99</v>
      </c>
      <c r="O10" s="335" t="s">
        <v>111</v>
      </c>
      <c r="P10" s="217">
        <v>43952</v>
      </c>
      <c r="Q10" s="63"/>
      <c r="R10" s="217">
        <v>43983</v>
      </c>
      <c r="S10" s="155"/>
      <c r="T10" s="217">
        <v>43983</v>
      </c>
      <c r="U10" s="155"/>
      <c r="V10" s="215">
        <v>44013</v>
      </c>
      <c r="W10" s="155"/>
      <c r="X10" s="215">
        <v>44013</v>
      </c>
      <c r="Y10" s="155"/>
      <c r="Z10" s="155" t="s">
        <v>523</v>
      </c>
      <c r="AA10" s="155"/>
      <c r="AB10" s="215">
        <v>44013</v>
      </c>
      <c r="AC10" s="155"/>
      <c r="AD10" s="215">
        <v>44075</v>
      </c>
      <c r="AE10" s="335"/>
      <c r="AF10" s="335"/>
      <c r="AG10" s="335"/>
      <c r="AH10" s="887" t="s">
        <v>895</v>
      </c>
    </row>
    <row r="11" spans="1:34" ht="63.75">
      <c r="A11" s="918" t="s">
        <v>521</v>
      </c>
      <c r="B11" s="918">
        <v>3</v>
      </c>
      <c r="C11" s="918"/>
      <c r="D11" s="918"/>
      <c r="E11" s="918" t="s">
        <v>1409</v>
      </c>
      <c r="F11" s="155"/>
      <c r="G11" s="335" t="s">
        <v>113</v>
      </c>
      <c r="H11" s="155"/>
      <c r="I11" s="155" t="s">
        <v>1411</v>
      </c>
      <c r="J11" s="335" t="s">
        <v>143</v>
      </c>
      <c r="K11" s="155"/>
      <c r="L11" s="214">
        <v>32142.86</v>
      </c>
      <c r="M11" s="335" t="s">
        <v>526</v>
      </c>
      <c r="N11" s="63" t="s">
        <v>99</v>
      </c>
      <c r="O11" s="335" t="s">
        <v>111</v>
      </c>
      <c r="P11" s="217">
        <v>43831</v>
      </c>
      <c r="Q11" s="63"/>
      <c r="R11" s="155" t="s">
        <v>523</v>
      </c>
      <c r="S11" s="155"/>
      <c r="T11" s="215">
        <v>43831</v>
      </c>
      <c r="U11" s="155"/>
      <c r="V11" s="215">
        <v>43831</v>
      </c>
      <c r="W11" s="155"/>
      <c r="X11" s="215">
        <v>43831</v>
      </c>
      <c r="Y11" s="155"/>
      <c r="Z11" s="155" t="s">
        <v>523</v>
      </c>
      <c r="AA11" s="155"/>
      <c r="AB11" s="215">
        <v>43831</v>
      </c>
      <c r="AC11" s="155"/>
      <c r="AD11" s="215">
        <v>43862</v>
      </c>
      <c r="AE11" s="335"/>
      <c r="AF11" s="335"/>
      <c r="AG11" s="335"/>
      <c r="AH11" s="887" t="s">
        <v>895</v>
      </c>
    </row>
    <row r="12" spans="1:34" ht="63.75">
      <c r="A12" s="918" t="s">
        <v>521</v>
      </c>
      <c r="B12" s="918">
        <v>2</v>
      </c>
      <c r="C12" s="918"/>
      <c r="D12" s="918"/>
      <c r="E12" s="918" t="s">
        <v>896</v>
      </c>
      <c r="F12" s="155"/>
      <c r="G12" s="155" t="s">
        <v>113</v>
      </c>
      <c r="H12" s="155"/>
      <c r="I12" s="155" t="s">
        <v>897</v>
      </c>
      <c r="J12" s="155" t="s">
        <v>143</v>
      </c>
      <c r="K12" s="155"/>
      <c r="L12" s="214">
        <v>205774</v>
      </c>
      <c r="M12" s="155" t="s">
        <v>522</v>
      </c>
      <c r="N12" s="918" t="s">
        <v>108</v>
      </c>
      <c r="O12" s="155" t="s">
        <v>111</v>
      </c>
      <c r="P12" s="215">
        <v>43862</v>
      </c>
      <c r="Q12" s="155"/>
      <c r="R12" s="155" t="s">
        <v>523</v>
      </c>
      <c r="S12" s="155"/>
      <c r="T12" s="215">
        <v>43831</v>
      </c>
      <c r="U12" s="155"/>
      <c r="V12" s="215">
        <v>43831</v>
      </c>
      <c r="W12" s="155"/>
      <c r="X12" s="215">
        <v>43831</v>
      </c>
      <c r="Y12" s="155"/>
      <c r="Z12" s="155" t="s">
        <v>523</v>
      </c>
      <c r="AA12" s="155"/>
      <c r="AB12" s="215">
        <v>43831</v>
      </c>
      <c r="AC12" s="155"/>
      <c r="AD12" s="215">
        <v>44044</v>
      </c>
      <c r="AH12" s="887" t="s">
        <v>895</v>
      </c>
    </row>
    <row r="13" spans="1:34" ht="25.5">
      <c r="A13" s="918" t="s">
        <v>521</v>
      </c>
      <c r="B13" s="918"/>
      <c r="C13" s="918"/>
      <c r="D13" s="918"/>
      <c r="E13" s="918" t="s">
        <v>1464</v>
      </c>
      <c r="F13" s="155"/>
      <c r="G13" s="155" t="s">
        <v>113</v>
      </c>
      <c r="H13" s="918"/>
      <c r="I13" s="918" t="s">
        <v>1474</v>
      </c>
      <c r="J13" s="155" t="s">
        <v>143</v>
      </c>
      <c r="K13" s="155"/>
      <c r="L13" s="214">
        <v>27702</v>
      </c>
      <c r="M13" s="155" t="s">
        <v>522</v>
      </c>
      <c r="N13" s="918" t="s">
        <v>108</v>
      </c>
      <c r="O13" s="155" t="s">
        <v>111</v>
      </c>
      <c r="P13" s="215">
        <v>43678</v>
      </c>
      <c r="Q13" s="215">
        <v>43739</v>
      </c>
      <c r="R13" s="215">
        <v>43647</v>
      </c>
      <c r="S13" s="215">
        <v>43739</v>
      </c>
      <c r="T13" s="215">
        <v>43678</v>
      </c>
      <c r="U13" s="215">
        <v>44105</v>
      </c>
      <c r="V13" s="215">
        <v>43770</v>
      </c>
      <c r="W13" s="215">
        <v>43770</v>
      </c>
      <c r="X13" s="215"/>
      <c r="Y13" s="155"/>
      <c r="Z13" s="155"/>
      <c r="AA13" s="155"/>
      <c r="AB13" s="215"/>
      <c r="AC13" s="155"/>
      <c r="AD13" s="215"/>
      <c r="AH13" s="893"/>
    </row>
    <row r="14" spans="1:34" ht="25.5">
      <c r="A14" s="918" t="s">
        <v>521</v>
      </c>
      <c r="B14" s="918"/>
      <c r="C14" s="918"/>
      <c r="D14" s="918"/>
      <c r="E14" s="918" t="s">
        <v>1465</v>
      </c>
      <c r="F14" s="155"/>
      <c r="G14" s="155" t="s">
        <v>113</v>
      </c>
      <c r="H14" s="918"/>
      <c r="I14" s="918" t="s">
        <v>1474</v>
      </c>
      <c r="J14" s="155" t="s">
        <v>143</v>
      </c>
      <c r="K14" s="155"/>
      <c r="L14" s="214">
        <v>123704</v>
      </c>
      <c r="M14" s="155" t="s">
        <v>522</v>
      </c>
      <c r="N14" s="918" t="s">
        <v>108</v>
      </c>
      <c r="O14" s="155" t="s">
        <v>111</v>
      </c>
      <c r="P14" s="215">
        <v>43740</v>
      </c>
      <c r="Q14" s="215">
        <v>43740</v>
      </c>
      <c r="R14" s="215">
        <v>43617</v>
      </c>
      <c r="S14" s="215">
        <v>43739</v>
      </c>
      <c r="T14" s="215">
        <v>43739</v>
      </c>
      <c r="U14" s="215">
        <v>43770</v>
      </c>
      <c r="V14" s="215">
        <v>43770</v>
      </c>
      <c r="W14" s="215">
        <v>43770</v>
      </c>
      <c r="X14" s="215"/>
      <c r="Y14" s="155"/>
      <c r="Z14" s="155"/>
      <c r="AA14" s="155"/>
      <c r="AB14" s="215"/>
      <c r="AC14" s="155"/>
      <c r="AD14" s="215"/>
      <c r="AH14" s="893"/>
    </row>
    <row r="15" spans="1:34" ht="24.75" customHeight="1">
      <c r="A15" s="918" t="s">
        <v>521</v>
      </c>
      <c r="B15" s="918"/>
      <c r="C15" s="918"/>
      <c r="D15" s="918"/>
      <c r="E15" s="918" t="s">
        <v>1442</v>
      </c>
      <c r="F15" s="155"/>
      <c r="G15" s="155" t="s">
        <v>113</v>
      </c>
      <c r="H15" s="155"/>
      <c r="I15" s="155" t="s">
        <v>861</v>
      </c>
      <c r="J15" s="155" t="s">
        <v>143</v>
      </c>
      <c r="K15" s="155"/>
      <c r="L15" s="214">
        <v>3571.43</v>
      </c>
      <c r="M15" s="155" t="s">
        <v>526</v>
      </c>
      <c r="N15" s="918" t="s">
        <v>108</v>
      </c>
      <c r="O15" s="155" t="s">
        <v>111</v>
      </c>
      <c r="P15" s="215">
        <v>43983</v>
      </c>
      <c r="Q15" s="155"/>
      <c r="R15" s="155"/>
      <c r="S15" s="155"/>
      <c r="T15" s="215"/>
      <c r="U15" s="155"/>
      <c r="V15" s="215"/>
      <c r="W15" s="155"/>
      <c r="X15" s="215"/>
      <c r="Y15" s="155"/>
      <c r="Z15" s="155"/>
      <c r="AA15" s="155"/>
      <c r="AB15" s="215"/>
      <c r="AC15" s="155"/>
      <c r="AD15" s="215"/>
      <c r="AH15" s="893"/>
    </row>
    <row r="16" spans="1:34" ht="33.75" customHeight="1">
      <c r="A16" s="918" t="s">
        <v>521</v>
      </c>
      <c r="B16" s="918"/>
      <c r="C16" s="918"/>
      <c r="D16" s="918"/>
      <c r="E16" s="918" t="s">
        <v>1443</v>
      </c>
      <c r="F16" s="155"/>
      <c r="G16" s="155" t="s">
        <v>113</v>
      </c>
      <c r="H16" s="155"/>
      <c r="I16" s="155" t="s">
        <v>861</v>
      </c>
      <c r="J16" s="155" t="s">
        <v>143</v>
      </c>
      <c r="K16" s="155"/>
      <c r="L16" s="214">
        <v>3571.43</v>
      </c>
      <c r="M16" s="155" t="s">
        <v>526</v>
      </c>
      <c r="N16" s="918" t="s">
        <v>108</v>
      </c>
      <c r="O16" s="155" t="s">
        <v>111</v>
      </c>
      <c r="P16" s="215">
        <v>43983</v>
      </c>
      <c r="Q16" s="155"/>
      <c r="R16" s="155"/>
      <c r="S16" s="155"/>
      <c r="T16" s="215"/>
      <c r="U16" s="155"/>
      <c r="V16" s="215"/>
      <c r="W16" s="155"/>
      <c r="X16" s="215"/>
      <c r="Y16" s="155"/>
      <c r="Z16" s="155"/>
      <c r="AA16" s="155"/>
      <c r="AB16" s="215"/>
      <c r="AC16" s="155"/>
      <c r="AD16" s="215"/>
      <c r="AH16" s="893"/>
    </row>
    <row r="17" spans="1:41" ht="31.5" customHeight="1">
      <c r="A17" s="918" t="s">
        <v>521</v>
      </c>
      <c r="B17" s="918"/>
      <c r="C17" s="918"/>
      <c r="D17" s="918"/>
      <c r="E17" s="918" t="s">
        <v>1444</v>
      </c>
      <c r="F17" s="155"/>
      <c r="G17" s="155" t="s">
        <v>113</v>
      </c>
      <c r="H17" s="155"/>
      <c r="I17" s="155" t="s">
        <v>1445</v>
      </c>
      <c r="J17" s="155" t="s">
        <v>143</v>
      </c>
      <c r="K17" s="155"/>
      <c r="L17" s="214">
        <v>3571.43</v>
      </c>
      <c r="M17" s="155" t="s">
        <v>526</v>
      </c>
      <c r="N17" s="918" t="s">
        <v>108</v>
      </c>
      <c r="O17" s="155" t="s">
        <v>111</v>
      </c>
      <c r="P17" s="215">
        <v>43983</v>
      </c>
      <c r="Q17" s="155"/>
      <c r="R17" s="155"/>
      <c r="S17" s="155"/>
      <c r="T17" s="215"/>
      <c r="U17" s="155"/>
      <c r="V17" s="215"/>
      <c r="W17" s="155"/>
      <c r="X17" s="215"/>
      <c r="Y17" s="155"/>
      <c r="Z17" s="155"/>
      <c r="AA17" s="155"/>
      <c r="AB17" s="215"/>
      <c r="AC17" s="155"/>
      <c r="AD17" s="215"/>
      <c r="AH17" s="893"/>
    </row>
    <row r="18" spans="1:41" ht="63.75">
      <c r="A18" s="918" t="s">
        <v>521</v>
      </c>
      <c r="B18" s="918">
        <v>3</v>
      </c>
      <c r="C18" s="918"/>
      <c r="D18" s="918"/>
      <c r="E18" s="946" t="s">
        <v>1408</v>
      </c>
      <c r="F18" s="155"/>
      <c r="G18" s="155" t="s">
        <v>113</v>
      </c>
      <c r="H18" s="155"/>
      <c r="I18" s="155" t="s">
        <v>861</v>
      </c>
      <c r="J18" s="155" t="s">
        <v>143</v>
      </c>
      <c r="K18" s="155"/>
      <c r="L18" s="214">
        <v>25000</v>
      </c>
      <c r="M18" s="155" t="s">
        <v>526</v>
      </c>
      <c r="N18" s="918" t="s">
        <v>108</v>
      </c>
      <c r="O18" s="155" t="s">
        <v>111</v>
      </c>
      <c r="P18" s="215">
        <v>43952</v>
      </c>
      <c r="Q18" s="155"/>
      <c r="R18" s="143">
        <v>43952</v>
      </c>
      <c r="S18" s="155"/>
      <c r="T18" s="143">
        <v>43952</v>
      </c>
      <c r="U18" s="155"/>
      <c r="V18" s="215">
        <v>43952</v>
      </c>
      <c r="W18" s="155"/>
      <c r="X18" s="215">
        <v>43952</v>
      </c>
      <c r="Y18" s="155"/>
      <c r="Z18" s="155" t="s">
        <v>523</v>
      </c>
      <c r="AA18" s="155"/>
      <c r="AB18" s="215">
        <v>43983</v>
      </c>
      <c r="AC18" s="155"/>
      <c r="AD18" s="215">
        <v>44136</v>
      </c>
      <c r="AE18" s="155"/>
      <c r="AF18" s="155"/>
      <c r="AG18" s="155"/>
      <c r="AH18" s="155" t="s">
        <v>895</v>
      </c>
      <c r="AI18" s="155"/>
      <c r="AJ18" s="155"/>
      <c r="AK18" s="155"/>
      <c r="AL18" s="155"/>
      <c r="AM18" s="155"/>
      <c r="AN18" s="155"/>
      <c r="AO18" s="155"/>
    </row>
    <row r="19" spans="1:41" ht="13.5" thickBot="1"/>
    <row r="20" spans="1:41" ht="15.75">
      <c r="A20" s="1270" t="s">
        <v>112</v>
      </c>
      <c r="B20" s="1271"/>
      <c r="C20" s="1271"/>
      <c r="D20" s="1271"/>
      <c r="E20" s="1271"/>
      <c r="F20" s="1271"/>
      <c r="G20" s="1271"/>
      <c r="H20" s="1271"/>
      <c r="I20" s="1271"/>
      <c r="J20" s="1271"/>
      <c r="K20" s="1271"/>
      <c r="L20" s="1271"/>
      <c r="M20" s="1271"/>
      <c r="N20" s="1271"/>
      <c r="O20" s="1271"/>
      <c r="P20" s="1271"/>
      <c r="Q20" s="1271"/>
      <c r="R20" s="1271"/>
      <c r="S20" s="1271"/>
      <c r="T20" s="1271"/>
      <c r="U20" s="1271"/>
      <c r="V20" s="1271"/>
      <c r="W20" s="1271"/>
      <c r="X20" s="1271"/>
      <c r="Y20" s="1271"/>
      <c r="Z20" s="1271"/>
      <c r="AA20" s="1271"/>
      <c r="AB20" s="1271"/>
      <c r="AC20" s="1271"/>
      <c r="AD20" s="1271"/>
      <c r="AE20" s="1271"/>
      <c r="AF20" s="1271"/>
      <c r="AG20" s="1271"/>
      <c r="AH20" s="1274"/>
    </row>
    <row r="21" spans="1:41">
      <c r="A21" s="1260" t="s">
        <v>85</v>
      </c>
      <c r="B21" s="1260" t="s">
        <v>86</v>
      </c>
      <c r="C21" s="1275" t="s">
        <v>87</v>
      </c>
      <c r="D21" s="1260" t="s">
        <v>88</v>
      </c>
      <c r="E21" s="1260" t="s">
        <v>89</v>
      </c>
      <c r="F21" s="1260" t="s">
        <v>90</v>
      </c>
      <c r="G21" s="1260" t="s">
        <v>1365</v>
      </c>
      <c r="H21" s="1260" t="s">
        <v>91</v>
      </c>
      <c r="I21" s="1260" t="s">
        <v>92</v>
      </c>
      <c r="J21" s="1260" t="s">
        <v>1376</v>
      </c>
      <c r="K21" s="1260" t="s">
        <v>1364</v>
      </c>
      <c r="L21" s="1260" t="s">
        <v>93</v>
      </c>
      <c r="M21" s="1260" t="s">
        <v>94</v>
      </c>
      <c r="N21" s="1260" t="s">
        <v>1363</v>
      </c>
      <c r="O21" s="1260" t="s">
        <v>1362</v>
      </c>
      <c r="P21" s="1263" t="s">
        <v>95</v>
      </c>
      <c r="Q21" s="1269"/>
      <c r="R21" s="1269"/>
      <c r="S21" s="1269"/>
      <c r="T21" s="1269"/>
      <c r="U21" s="1269"/>
      <c r="V21" s="1269"/>
      <c r="W21" s="1269"/>
      <c r="X21" s="1269"/>
      <c r="Y21" s="1269"/>
      <c r="Z21" s="1269"/>
      <c r="AA21" s="1269"/>
      <c r="AB21" s="1269"/>
      <c r="AC21" s="1269"/>
      <c r="AD21" s="1269"/>
      <c r="AE21" s="1264"/>
      <c r="AF21" s="1260" t="s">
        <v>96</v>
      </c>
      <c r="AG21" s="1260" t="s">
        <v>97</v>
      </c>
      <c r="AH21" s="1260" t="s">
        <v>98</v>
      </c>
    </row>
    <row r="22" spans="1:41">
      <c r="A22" s="1262"/>
      <c r="B22" s="1262"/>
      <c r="C22" s="1276"/>
      <c r="D22" s="1262"/>
      <c r="E22" s="1262"/>
      <c r="F22" s="1262"/>
      <c r="G22" s="1262"/>
      <c r="H22" s="1262"/>
      <c r="I22" s="1262"/>
      <c r="J22" s="1262"/>
      <c r="K22" s="1262"/>
      <c r="L22" s="1262"/>
      <c r="M22" s="1262"/>
      <c r="N22" s="1262"/>
      <c r="O22" s="1262"/>
      <c r="P22" s="1263" t="s">
        <v>100</v>
      </c>
      <c r="Q22" s="1264"/>
      <c r="R22" s="1263" t="s">
        <v>101</v>
      </c>
      <c r="S22" s="1264"/>
      <c r="T22" s="1263" t="s">
        <v>102</v>
      </c>
      <c r="U22" s="1264"/>
      <c r="V22" s="1263" t="s">
        <v>103</v>
      </c>
      <c r="W22" s="1264"/>
      <c r="X22" s="1263" t="s">
        <v>104</v>
      </c>
      <c r="Y22" s="1264"/>
      <c r="Z22" s="1263" t="s">
        <v>105</v>
      </c>
      <c r="AA22" s="1264"/>
      <c r="AB22" s="1263" t="s">
        <v>106</v>
      </c>
      <c r="AC22" s="1264"/>
      <c r="AD22" s="1263" t="s">
        <v>107</v>
      </c>
      <c r="AE22" s="1264"/>
      <c r="AF22" s="1262"/>
      <c r="AG22" s="1262"/>
      <c r="AH22" s="1262"/>
    </row>
    <row r="23" spans="1:41">
      <c r="A23" s="1261"/>
      <c r="B23" s="1261"/>
      <c r="C23" s="1277"/>
      <c r="D23" s="1261"/>
      <c r="E23" s="1261"/>
      <c r="F23" s="1261"/>
      <c r="G23" s="1261"/>
      <c r="H23" s="1261"/>
      <c r="I23" s="1261"/>
      <c r="J23" s="1261"/>
      <c r="K23" s="1261"/>
      <c r="L23" s="1261"/>
      <c r="M23" s="1261"/>
      <c r="N23" s="1261"/>
      <c r="O23" s="1261"/>
      <c r="P23" s="827" t="s">
        <v>109</v>
      </c>
      <c r="Q23" s="827" t="s">
        <v>110</v>
      </c>
      <c r="R23" s="827" t="s">
        <v>109</v>
      </c>
      <c r="S23" s="827" t="s">
        <v>110</v>
      </c>
      <c r="T23" s="827" t="s">
        <v>109</v>
      </c>
      <c r="U23" s="827" t="s">
        <v>110</v>
      </c>
      <c r="V23" s="827" t="s">
        <v>109</v>
      </c>
      <c r="W23" s="827" t="s">
        <v>110</v>
      </c>
      <c r="X23" s="827" t="s">
        <v>109</v>
      </c>
      <c r="Y23" s="827" t="s">
        <v>110</v>
      </c>
      <c r="Z23" s="827" t="s">
        <v>109</v>
      </c>
      <c r="AA23" s="827" t="s">
        <v>110</v>
      </c>
      <c r="AB23" s="827" t="s">
        <v>109</v>
      </c>
      <c r="AC23" s="827" t="s">
        <v>110</v>
      </c>
      <c r="AD23" s="827" t="s">
        <v>109</v>
      </c>
      <c r="AE23" s="827" t="s">
        <v>110</v>
      </c>
      <c r="AF23" s="1261"/>
      <c r="AG23" s="1261"/>
      <c r="AH23" s="1261"/>
    </row>
    <row r="24" spans="1:41" ht="24.75" customHeight="1">
      <c r="A24" s="913" t="s">
        <v>521</v>
      </c>
      <c r="B24" s="936"/>
      <c r="C24" s="936"/>
      <c r="D24" s="918"/>
      <c r="E24" s="918" t="s">
        <v>894</v>
      </c>
      <c r="F24" s="155"/>
      <c r="G24" s="155" t="s">
        <v>113</v>
      </c>
      <c r="H24" s="155"/>
      <c r="I24" s="155" t="s">
        <v>893</v>
      </c>
      <c r="J24" s="155" t="s">
        <v>142</v>
      </c>
      <c r="K24" s="63"/>
      <c r="L24" s="214">
        <f>+'[3]3. Implementation Plan'!$F$11</f>
        <v>18571</v>
      </c>
      <c r="M24" s="155" t="s">
        <v>522</v>
      </c>
      <c r="N24" s="155" t="s">
        <v>99</v>
      </c>
      <c r="O24" s="155" t="s">
        <v>111</v>
      </c>
      <c r="P24" s="215">
        <v>43831</v>
      </c>
      <c r="Q24" s="155"/>
      <c r="R24" s="155" t="s">
        <v>523</v>
      </c>
      <c r="S24" s="155"/>
      <c r="T24" s="831" t="s">
        <v>525</v>
      </c>
      <c r="U24" s="155"/>
      <c r="V24" s="215">
        <v>43831</v>
      </c>
      <c r="W24" s="155"/>
      <c r="X24" s="215">
        <v>43831</v>
      </c>
      <c r="Y24" s="155"/>
      <c r="Z24" s="155" t="s">
        <v>525</v>
      </c>
      <c r="AA24" s="155"/>
      <c r="AB24" s="57">
        <v>43831</v>
      </c>
      <c r="AC24" s="155"/>
      <c r="AD24" s="57">
        <v>43862</v>
      </c>
      <c r="AE24" s="155"/>
      <c r="AF24" s="155"/>
      <c r="AG24" s="155"/>
      <c r="AH24" s="830"/>
    </row>
    <row r="25" spans="1:41" ht="26.25" customHeight="1">
      <c r="A25" s="913" t="s">
        <v>521</v>
      </c>
      <c r="B25" s="920"/>
      <c r="C25" s="920"/>
      <c r="D25" s="921"/>
      <c r="E25" s="918" t="s">
        <v>1407</v>
      </c>
      <c r="F25" s="63"/>
      <c r="G25" s="155" t="s">
        <v>113</v>
      </c>
      <c r="H25" s="63"/>
      <c r="I25" s="155" t="s">
        <v>893</v>
      </c>
      <c r="J25" s="155" t="s">
        <v>142</v>
      </c>
      <c r="K25" s="63"/>
      <c r="L25" s="216">
        <f>+'[3]3. Implementation Plan'!$F$12</f>
        <v>18754</v>
      </c>
      <c r="M25" s="155" t="s">
        <v>522</v>
      </c>
      <c r="N25" s="155" t="s">
        <v>99</v>
      </c>
      <c r="O25" s="155" t="s">
        <v>111</v>
      </c>
      <c r="P25" s="215">
        <v>43862</v>
      </c>
      <c r="Q25" s="63"/>
      <c r="R25" s="155" t="s">
        <v>523</v>
      </c>
      <c r="S25" s="155"/>
      <c r="T25" s="831" t="s">
        <v>525</v>
      </c>
      <c r="U25" s="63"/>
      <c r="V25" s="215">
        <v>43862</v>
      </c>
      <c r="W25" s="63"/>
      <c r="X25" s="215">
        <v>43862</v>
      </c>
      <c r="Y25" s="63"/>
      <c r="Z25" s="155" t="s">
        <v>525</v>
      </c>
      <c r="AA25" s="63"/>
      <c r="AB25" s="215">
        <v>43862</v>
      </c>
      <c r="AC25" s="63"/>
      <c r="AD25" s="215">
        <v>43862</v>
      </c>
      <c r="AE25" s="63"/>
      <c r="AF25" s="63"/>
      <c r="AG25" s="63"/>
      <c r="AH25" s="830"/>
    </row>
    <row r="26" spans="1:41" ht="49.5" customHeight="1">
      <c r="A26" s="943" t="s">
        <v>521</v>
      </c>
      <c r="B26" s="944"/>
      <c r="C26" s="944"/>
      <c r="D26" s="945"/>
      <c r="E26" s="945" t="s">
        <v>1420</v>
      </c>
      <c r="F26" s="335"/>
      <c r="G26" s="63" t="s">
        <v>113</v>
      </c>
      <c r="H26" s="335"/>
      <c r="I26" s="335" t="s">
        <v>1419</v>
      </c>
      <c r="J26" s="155" t="s">
        <v>144</v>
      </c>
      <c r="K26" s="155" t="s">
        <v>130</v>
      </c>
      <c r="L26" s="571">
        <f>+'[3]3. Implementation Plan'!$F$24</f>
        <v>41889</v>
      </c>
      <c r="M26" s="335" t="s">
        <v>522</v>
      </c>
      <c r="N26" s="335"/>
      <c r="O26" s="335" t="s">
        <v>111</v>
      </c>
      <c r="P26" s="832">
        <v>43881</v>
      </c>
      <c r="Q26" s="335"/>
      <c r="R26" s="335" t="s">
        <v>523</v>
      </c>
      <c r="S26" s="335"/>
      <c r="T26" s="832">
        <v>43881</v>
      </c>
      <c r="U26" s="335"/>
      <c r="V26" s="832">
        <v>43881</v>
      </c>
      <c r="W26" s="335"/>
      <c r="X26" s="832">
        <v>43881</v>
      </c>
      <c r="Y26" s="335"/>
      <c r="Z26" s="335" t="s">
        <v>523</v>
      </c>
      <c r="AA26" s="335"/>
      <c r="AB26" s="832">
        <v>43881</v>
      </c>
      <c r="AC26" s="335"/>
      <c r="AD26" s="832">
        <v>43881</v>
      </c>
      <c r="AE26" s="335"/>
      <c r="AF26" s="335"/>
      <c r="AG26" s="335"/>
      <c r="AH26" s="830" t="s">
        <v>1382</v>
      </c>
    </row>
    <row r="27" spans="1:41" ht="76.5">
      <c r="A27" s="919" t="s">
        <v>521</v>
      </c>
      <c r="B27" s="920"/>
      <c r="C27" s="920"/>
      <c r="D27" s="921"/>
      <c r="E27" s="921" t="s">
        <v>1406</v>
      </c>
      <c r="F27" s="63"/>
      <c r="G27" s="63" t="s">
        <v>113</v>
      </c>
      <c r="H27" s="63"/>
      <c r="I27" s="63" t="s">
        <v>1405</v>
      </c>
      <c r="J27" s="63" t="s">
        <v>142</v>
      </c>
      <c r="K27" s="63"/>
      <c r="L27" s="216">
        <f>+'[3]3. Implementation Plan'!$F$296</f>
        <v>4571</v>
      </c>
      <c r="M27" s="63" t="s">
        <v>1389</v>
      </c>
      <c r="N27" s="63" t="s">
        <v>99</v>
      </c>
      <c r="O27" s="63" t="s">
        <v>111</v>
      </c>
      <c r="P27" s="215">
        <v>43862</v>
      </c>
      <c r="Q27" s="155"/>
      <c r="R27" s="155" t="s">
        <v>523</v>
      </c>
      <c r="S27" s="155"/>
      <c r="T27" s="215">
        <v>43862</v>
      </c>
      <c r="U27" s="155"/>
      <c r="V27" s="215">
        <v>43862</v>
      </c>
      <c r="W27" s="155"/>
      <c r="X27" s="215">
        <v>43862</v>
      </c>
      <c r="Y27" s="155"/>
      <c r="Z27" s="63" t="s">
        <v>523</v>
      </c>
      <c r="AA27" s="63"/>
      <c r="AB27" s="215">
        <v>43862</v>
      </c>
      <c r="AC27" s="63"/>
      <c r="AD27" s="832">
        <v>43891</v>
      </c>
      <c r="AE27" s="63"/>
      <c r="AF27" s="63"/>
      <c r="AG27" s="63"/>
      <c r="AH27" s="830" t="s">
        <v>1382</v>
      </c>
    </row>
    <row r="28" spans="1:41" ht="25.5">
      <c r="A28" s="919" t="s">
        <v>521</v>
      </c>
      <c r="B28" s="920"/>
      <c r="C28" s="920"/>
      <c r="D28" s="921"/>
      <c r="E28" s="921" t="s">
        <v>529</v>
      </c>
      <c r="F28" s="63"/>
      <c r="G28" s="63" t="s">
        <v>113</v>
      </c>
      <c r="H28" s="63"/>
      <c r="I28" s="63" t="s">
        <v>891</v>
      </c>
      <c r="J28" s="63" t="s">
        <v>142</v>
      </c>
      <c r="K28" s="63"/>
      <c r="L28" s="216">
        <f>+'[3]3. Implementation Plan'!$F$45</f>
        <v>8589</v>
      </c>
      <c r="M28" s="63" t="s">
        <v>524</v>
      </c>
      <c r="N28" s="63" t="s">
        <v>99</v>
      </c>
      <c r="O28" s="63" t="s">
        <v>111</v>
      </c>
      <c r="P28" s="217">
        <v>43831</v>
      </c>
      <c r="Q28" s="63"/>
      <c r="R28" s="155" t="s">
        <v>523</v>
      </c>
      <c r="S28" s="155"/>
      <c r="T28" s="831" t="s">
        <v>525</v>
      </c>
      <c r="U28" s="63"/>
      <c r="V28" s="217">
        <v>43831</v>
      </c>
      <c r="W28" s="63"/>
      <c r="X28" s="217">
        <v>43831</v>
      </c>
      <c r="Y28" s="63"/>
      <c r="Z28" s="63" t="s">
        <v>525</v>
      </c>
      <c r="AA28" s="63"/>
      <c r="AB28" s="217">
        <v>43831</v>
      </c>
      <c r="AC28" s="63"/>
      <c r="AD28" s="217">
        <v>43831</v>
      </c>
      <c r="AE28" s="63"/>
      <c r="AF28" s="63"/>
      <c r="AG28" s="63"/>
      <c r="AH28" s="830"/>
    </row>
    <row r="29" spans="1:41" ht="25.5">
      <c r="A29" s="919" t="s">
        <v>528</v>
      </c>
      <c r="B29" s="920"/>
      <c r="C29" s="920"/>
      <c r="D29" s="921"/>
      <c r="E29" s="921" t="s">
        <v>738</v>
      </c>
      <c r="F29" s="63"/>
      <c r="G29" s="63" t="s">
        <v>113</v>
      </c>
      <c r="H29" s="63"/>
      <c r="I29" s="63" t="s">
        <v>890</v>
      </c>
      <c r="J29" s="63" t="s">
        <v>142</v>
      </c>
      <c r="K29" s="63"/>
      <c r="L29" s="216">
        <f>+'[3]3. Implementation Plan'!$F$42</f>
        <v>2220</v>
      </c>
      <c r="M29" s="63" t="s">
        <v>524</v>
      </c>
      <c r="N29" s="63" t="s">
        <v>99</v>
      </c>
      <c r="O29" s="63" t="s">
        <v>111</v>
      </c>
      <c r="P29" s="832">
        <v>43891</v>
      </c>
      <c r="Q29" s="335"/>
      <c r="R29" s="335" t="s">
        <v>523</v>
      </c>
      <c r="S29" s="335"/>
      <c r="T29" s="217" t="s">
        <v>523</v>
      </c>
      <c r="U29" s="335"/>
      <c r="V29" s="217">
        <v>43891</v>
      </c>
      <c r="W29" s="335"/>
      <c r="X29" s="217">
        <v>43891</v>
      </c>
      <c r="Y29" s="335"/>
      <c r="Z29" s="335"/>
      <c r="AA29" s="335"/>
      <c r="AB29" s="832">
        <v>43891</v>
      </c>
      <c r="AC29" s="335"/>
      <c r="AD29" s="832">
        <v>43891</v>
      </c>
      <c r="AE29" s="63"/>
      <c r="AF29" s="63"/>
      <c r="AG29" s="63"/>
      <c r="AH29" s="830"/>
    </row>
    <row r="30" spans="1:41" ht="25.5">
      <c r="A30" s="919" t="s">
        <v>521</v>
      </c>
      <c r="B30" s="920"/>
      <c r="C30" s="920"/>
      <c r="D30" s="921"/>
      <c r="E30" s="921" t="s">
        <v>530</v>
      </c>
      <c r="F30" s="63"/>
      <c r="G30" s="63" t="s">
        <v>113</v>
      </c>
      <c r="H30" s="63"/>
      <c r="I30" s="63" t="s">
        <v>889</v>
      </c>
      <c r="J30" s="63" t="s">
        <v>142</v>
      </c>
      <c r="K30" s="63"/>
      <c r="L30" s="216">
        <f>+'[3]3. Implementation Plan'!$F$47</f>
        <v>37686</v>
      </c>
      <c r="M30" s="63" t="s">
        <v>524</v>
      </c>
      <c r="N30" s="63" t="s">
        <v>99</v>
      </c>
      <c r="O30" s="63" t="s">
        <v>111</v>
      </c>
      <c r="P30" s="215">
        <v>43831</v>
      </c>
      <c r="Q30" s="155"/>
      <c r="R30" s="155" t="s">
        <v>523</v>
      </c>
      <c r="S30" s="155"/>
      <c r="T30" s="831" t="s">
        <v>525</v>
      </c>
      <c r="U30" s="155"/>
      <c r="V30" s="215">
        <v>43831</v>
      </c>
      <c r="W30" s="155"/>
      <c r="X30" s="215">
        <v>43831</v>
      </c>
      <c r="Y30" s="155"/>
      <c r="Z30" s="155" t="s">
        <v>525</v>
      </c>
      <c r="AA30" s="155"/>
      <c r="AB30" s="57">
        <v>43831</v>
      </c>
      <c r="AC30" s="155"/>
      <c r="AD30" s="57">
        <v>43862</v>
      </c>
      <c r="AE30" s="63"/>
      <c r="AF30" s="63"/>
      <c r="AG30" s="63"/>
      <c r="AH30" s="830"/>
    </row>
    <row r="31" spans="1:41" ht="25.5">
      <c r="A31" s="919" t="s">
        <v>528</v>
      </c>
      <c r="B31" s="920"/>
      <c r="C31" s="920"/>
      <c r="D31" s="921"/>
      <c r="E31" s="921" t="s">
        <v>531</v>
      </c>
      <c r="F31" s="63"/>
      <c r="G31" s="63" t="s">
        <v>113</v>
      </c>
      <c r="H31" s="63"/>
      <c r="I31" s="63" t="s">
        <v>888</v>
      </c>
      <c r="J31" s="63" t="s">
        <v>142</v>
      </c>
      <c r="K31" s="63"/>
      <c r="L31" s="216">
        <f>+'[3]3. Implementation Plan'!$F$48</f>
        <v>665</v>
      </c>
      <c r="M31" s="63" t="s">
        <v>522</v>
      </c>
      <c r="N31" s="63" t="s">
        <v>99</v>
      </c>
      <c r="O31" s="63" t="s">
        <v>111</v>
      </c>
      <c r="P31" s="215">
        <v>43831</v>
      </c>
      <c r="Q31" s="155"/>
      <c r="R31" s="155" t="s">
        <v>523</v>
      </c>
      <c r="S31" s="155"/>
      <c r="T31" s="831" t="s">
        <v>525</v>
      </c>
      <c r="U31" s="155"/>
      <c r="V31" s="215">
        <v>43831</v>
      </c>
      <c r="W31" s="155"/>
      <c r="X31" s="215">
        <v>43831</v>
      </c>
      <c r="Y31" s="155"/>
      <c r="Z31" s="155" t="s">
        <v>525</v>
      </c>
      <c r="AA31" s="155"/>
      <c r="AB31" s="57">
        <v>43831</v>
      </c>
      <c r="AC31" s="155"/>
      <c r="AD31" s="57">
        <v>43862</v>
      </c>
      <c r="AE31" s="63"/>
      <c r="AF31" s="63"/>
      <c r="AG31" s="63"/>
      <c r="AH31" s="830"/>
    </row>
    <row r="32" spans="1:41" ht="25.5">
      <c r="A32" s="919" t="s">
        <v>521</v>
      </c>
      <c r="B32" s="920"/>
      <c r="C32" s="920"/>
      <c r="D32" s="921"/>
      <c r="E32" s="921" t="s">
        <v>1404</v>
      </c>
      <c r="F32" s="63"/>
      <c r="G32" s="63" t="s">
        <v>113</v>
      </c>
      <c r="H32" s="63"/>
      <c r="I32" s="63" t="s">
        <v>892</v>
      </c>
      <c r="J32" s="63" t="s">
        <v>142</v>
      </c>
      <c r="K32" s="63"/>
      <c r="L32" s="216">
        <f>+'[3]3. Implementation Plan'!$F$40</f>
        <v>39959</v>
      </c>
      <c r="M32" s="63" t="s">
        <v>524</v>
      </c>
      <c r="N32" s="63" t="s">
        <v>99</v>
      </c>
      <c r="O32" s="63" t="s">
        <v>111</v>
      </c>
      <c r="P32" s="215">
        <v>43831</v>
      </c>
      <c r="Q32" s="155"/>
      <c r="R32" s="155" t="s">
        <v>523</v>
      </c>
      <c r="S32" s="155"/>
      <c r="T32" s="831" t="s">
        <v>525</v>
      </c>
      <c r="U32" s="155"/>
      <c r="V32" s="215">
        <v>43831</v>
      </c>
      <c r="W32" s="155"/>
      <c r="X32" s="215">
        <v>43831</v>
      </c>
      <c r="Y32" s="155"/>
      <c r="Z32" s="155" t="s">
        <v>525</v>
      </c>
      <c r="AA32" s="155"/>
      <c r="AB32" s="57">
        <v>43831</v>
      </c>
      <c r="AC32" s="155"/>
      <c r="AD32" s="57">
        <v>43862</v>
      </c>
      <c r="AE32" s="63"/>
      <c r="AF32" s="63"/>
      <c r="AG32" s="63"/>
      <c r="AH32" s="830"/>
    </row>
    <row r="33" spans="1:34" ht="33.75" customHeight="1">
      <c r="A33" s="919" t="s">
        <v>521</v>
      </c>
      <c r="B33" s="920"/>
      <c r="C33" s="920"/>
      <c r="D33" s="921"/>
      <c r="E33" s="921" t="s">
        <v>1459</v>
      </c>
      <c r="F33" s="63"/>
      <c r="G33" s="63" t="s">
        <v>113</v>
      </c>
      <c r="H33" s="63"/>
      <c r="I33" s="63" t="s">
        <v>898</v>
      </c>
      <c r="J33" s="63" t="s">
        <v>142</v>
      </c>
      <c r="K33" s="63"/>
      <c r="L33" s="216">
        <f>36913+36429</f>
        <v>73342</v>
      </c>
      <c r="M33" s="63" t="s">
        <v>524</v>
      </c>
      <c r="N33" s="63" t="s">
        <v>99</v>
      </c>
      <c r="O33" s="63" t="s">
        <v>111</v>
      </c>
      <c r="P33" s="215">
        <v>43862</v>
      </c>
      <c r="Q33" s="155"/>
      <c r="R33" s="155" t="s">
        <v>523</v>
      </c>
      <c r="S33" s="155"/>
      <c r="T33" s="831" t="s">
        <v>525</v>
      </c>
      <c r="U33" s="155"/>
      <c r="V33" s="215">
        <v>43831</v>
      </c>
      <c r="W33" s="155"/>
      <c r="X33" s="215">
        <v>43831</v>
      </c>
      <c r="Y33" s="155"/>
      <c r="Z33" s="155" t="s">
        <v>525</v>
      </c>
      <c r="AA33" s="155"/>
      <c r="AB33" s="57">
        <v>43831</v>
      </c>
      <c r="AC33" s="155"/>
      <c r="AD33" s="57">
        <v>43862</v>
      </c>
      <c r="AE33" s="63"/>
      <c r="AF33" s="63"/>
      <c r="AG33" s="63"/>
      <c r="AH33" s="830"/>
    </row>
    <row r="34" spans="1:34" ht="19.5" customHeight="1">
      <c r="A34" s="919" t="s">
        <v>521</v>
      </c>
      <c r="B34" s="920"/>
      <c r="C34" s="920"/>
      <c r="D34" s="921"/>
      <c r="E34" s="921" t="s">
        <v>1403</v>
      </c>
      <c r="F34" s="63"/>
      <c r="G34" s="63" t="s">
        <v>113</v>
      </c>
      <c r="H34" s="63"/>
      <c r="I34" s="63" t="s">
        <v>898</v>
      </c>
      <c r="J34" s="63" t="s">
        <v>142</v>
      </c>
      <c r="K34" s="63"/>
      <c r="L34" s="216">
        <v>5714</v>
      </c>
      <c r="M34" s="63" t="s">
        <v>524</v>
      </c>
      <c r="N34" s="63" t="s">
        <v>99</v>
      </c>
      <c r="O34" s="63" t="s">
        <v>111</v>
      </c>
      <c r="P34" s="215">
        <v>43862</v>
      </c>
      <c r="Q34" s="155"/>
      <c r="R34" s="155" t="s">
        <v>523</v>
      </c>
      <c r="S34" s="155"/>
      <c r="T34" s="831" t="s">
        <v>525</v>
      </c>
      <c r="U34" s="155"/>
      <c r="V34" s="215">
        <v>43831</v>
      </c>
      <c r="W34" s="155"/>
      <c r="X34" s="215">
        <v>43831</v>
      </c>
      <c r="Y34" s="155"/>
      <c r="Z34" s="155" t="s">
        <v>525</v>
      </c>
      <c r="AA34" s="155"/>
      <c r="AB34" s="57">
        <v>43831</v>
      </c>
      <c r="AC34" s="155"/>
      <c r="AD34" s="57">
        <v>43862</v>
      </c>
      <c r="AE34" s="63"/>
      <c r="AF34" s="63"/>
      <c r="AG34" s="63"/>
      <c r="AH34" s="830"/>
    </row>
    <row r="35" spans="1:34" ht="22.5" customHeight="1">
      <c r="A35" s="919" t="s">
        <v>521</v>
      </c>
      <c r="B35" s="920"/>
      <c r="C35" s="920"/>
      <c r="D35" s="921"/>
      <c r="E35" s="921" t="s">
        <v>887</v>
      </c>
      <c r="F35" s="63"/>
      <c r="G35" s="63" t="s">
        <v>113</v>
      </c>
      <c r="H35" s="63"/>
      <c r="I35" s="63" t="s">
        <v>886</v>
      </c>
      <c r="J35" s="63" t="s">
        <v>142</v>
      </c>
      <c r="K35" s="63"/>
      <c r="L35" s="216">
        <f>+'[3]3. Implementation Plan'!$F$106</f>
        <v>452</v>
      </c>
      <c r="M35" s="63" t="s">
        <v>522</v>
      </c>
      <c r="N35" s="63" t="s">
        <v>99</v>
      </c>
      <c r="O35" s="63" t="s">
        <v>111</v>
      </c>
      <c r="P35" s="215">
        <v>43831</v>
      </c>
      <c r="Q35" s="155"/>
      <c r="R35" s="155" t="s">
        <v>523</v>
      </c>
      <c r="S35" s="155"/>
      <c r="T35" s="831" t="s">
        <v>525</v>
      </c>
      <c r="U35" s="155"/>
      <c r="V35" s="215">
        <v>43831</v>
      </c>
      <c r="W35" s="155"/>
      <c r="X35" s="215">
        <v>43831</v>
      </c>
      <c r="Y35" s="155"/>
      <c r="Z35" s="155" t="s">
        <v>525</v>
      </c>
      <c r="AA35" s="155"/>
      <c r="AB35" s="57">
        <v>43831</v>
      </c>
      <c r="AC35" s="155"/>
      <c r="AD35" s="57">
        <v>43862</v>
      </c>
      <c r="AE35" s="63"/>
      <c r="AF35" s="63"/>
      <c r="AG35" s="63"/>
      <c r="AH35" s="830"/>
    </row>
    <row r="36" spans="1:34" ht="25.5">
      <c r="A36" s="919" t="s">
        <v>528</v>
      </c>
      <c r="B36" s="920"/>
      <c r="C36" s="920"/>
      <c r="D36" s="921"/>
      <c r="E36" s="921" t="s">
        <v>1402</v>
      </c>
      <c r="F36" s="63"/>
      <c r="G36" s="63" t="s">
        <v>113</v>
      </c>
      <c r="H36" s="63"/>
      <c r="I36" s="63" t="s">
        <v>885</v>
      </c>
      <c r="J36" s="63" t="s">
        <v>142</v>
      </c>
      <c r="K36" s="63"/>
      <c r="L36" s="216">
        <f>+'[3]3. Implementation Plan'!$F$107</f>
        <v>179</v>
      </c>
      <c r="M36" s="63" t="s">
        <v>543</v>
      </c>
      <c r="N36" s="63" t="s">
        <v>99</v>
      </c>
      <c r="O36" s="63" t="s">
        <v>111</v>
      </c>
      <c r="P36" s="215">
        <v>43831</v>
      </c>
      <c r="Q36" s="155"/>
      <c r="R36" s="155" t="s">
        <v>523</v>
      </c>
      <c r="S36" s="155"/>
      <c r="T36" s="831" t="s">
        <v>525</v>
      </c>
      <c r="U36" s="155"/>
      <c r="V36" s="215">
        <v>43831</v>
      </c>
      <c r="W36" s="155"/>
      <c r="X36" s="215">
        <v>43831</v>
      </c>
      <c r="Y36" s="155"/>
      <c r="Z36" s="155" t="s">
        <v>525</v>
      </c>
      <c r="AA36" s="155"/>
      <c r="AB36" s="57">
        <v>43831</v>
      </c>
      <c r="AC36" s="155"/>
      <c r="AD36" s="57">
        <v>43862</v>
      </c>
      <c r="AE36" s="63"/>
      <c r="AF36" s="63"/>
      <c r="AG36" s="63"/>
      <c r="AH36" s="830"/>
    </row>
    <row r="37" spans="1:34">
      <c r="A37" s="919" t="s">
        <v>521</v>
      </c>
      <c r="B37" s="920"/>
      <c r="C37" s="920"/>
      <c r="D37" s="921"/>
      <c r="E37" s="921" t="s">
        <v>1466</v>
      </c>
      <c r="F37" s="63"/>
      <c r="G37" s="63" t="s">
        <v>113</v>
      </c>
      <c r="H37" s="63"/>
      <c r="I37" s="63" t="s">
        <v>1467</v>
      </c>
      <c r="J37" s="63" t="s">
        <v>142</v>
      </c>
      <c r="K37" s="63"/>
      <c r="L37" s="216">
        <v>17481</v>
      </c>
      <c r="M37" s="63" t="s">
        <v>1468</v>
      </c>
      <c r="N37" s="63" t="s">
        <v>99</v>
      </c>
      <c r="O37" s="63" t="s">
        <v>111</v>
      </c>
      <c r="P37" s="217">
        <v>43586</v>
      </c>
      <c r="Q37" s="63"/>
      <c r="R37" s="63" t="s">
        <v>523</v>
      </c>
      <c r="S37" s="63"/>
      <c r="T37" s="217">
        <v>43586</v>
      </c>
      <c r="U37" s="63"/>
      <c r="V37" s="217">
        <v>43586</v>
      </c>
      <c r="W37" s="63"/>
      <c r="X37" s="217">
        <v>43586</v>
      </c>
      <c r="Y37" s="63"/>
      <c r="Z37" s="63" t="s">
        <v>523</v>
      </c>
      <c r="AA37" s="63"/>
      <c r="AB37" s="217">
        <v>43586</v>
      </c>
      <c r="AC37" s="63"/>
      <c r="AD37" s="217">
        <v>43617</v>
      </c>
      <c r="AE37" s="63"/>
      <c r="AF37" s="63"/>
      <c r="AG37" s="63"/>
      <c r="AH37" s="830"/>
    </row>
    <row r="38" spans="1:34" ht="76.5">
      <c r="A38" s="919" t="s">
        <v>521</v>
      </c>
      <c r="B38" s="920"/>
      <c r="C38" s="920"/>
      <c r="D38" s="921"/>
      <c r="E38" s="921" t="s">
        <v>532</v>
      </c>
      <c r="F38" s="63"/>
      <c r="G38" s="63" t="s">
        <v>113</v>
      </c>
      <c r="H38" s="63"/>
      <c r="I38" s="63" t="s">
        <v>884</v>
      </c>
      <c r="J38" s="63" t="s">
        <v>142</v>
      </c>
      <c r="K38" s="63"/>
      <c r="L38" s="216">
        <v>17142.86</v>
      </c>
      <c r="M38" s="63" t="s">
        <v>526</v>
      </c>
      <c r="N38" s="63" t="s">
        <v>99</v>
      </c>
      <c r="O38" s="63" t="s">
        <v>111</v>
      </c>
      <c r="P38" s="215">
        <v>43922</v>
      </c>
      <c r="Q38" s="155"/>
      <c r="R38" s="155" t="s">
        <v>523</v>
      </c>
      <c r="S38" s="155"/>
      <c r="T38" s="831" t="s">
        <v>525</v>
      </c>
      <c r="U38" s="155"/>
      <c r="V38" s="215">
        <v>43922</v>
      </c>
      <c r="W38" s="155"/>
      <c r="X38" s="215">
        <v>43922</v>
      </c>
      <c r="Y38" s="155"/>
      <c r="Z38" s="155" t="s">
        <v>525</v>
      </c>
      <c r="AA38" s="155"/>
      <c r="AB38" s="215">
        <v>43922</v>
      </c>
      <c r="AC38" s="155"/>
      <c r="AD38" s="215">
        <v>43922</v>
      </c>
      <c r="AE38" s="63"/>
      <c r="AF38" s="63"/>
      <c r="AG38" s="63"/>
      <c r="AH38" s="830" t="s">
        <v>604</v>
      </c>
    </row>
    <row r="39" spans="1:34" ht="45.75" customHeight="1">
      <c r="A39" s="919"/>
      <c r="B39" s="920"/>
      <c r="C39" s="920"/>
      <c r="D39" s="921"/>
      <c r="E39" s="921" t="s">
        <v>1434</v>
      </c>
      <c r="F39" s="63"/>
      <c r="G39" s="63"/>
      <c r="H39" s="63"/>
      <c r="I39" s="63" t="s">
        <v>1428</v>
      </c>
      <c r="J39" s="63" t="s">
        <v>142</v>
      </c>
      <c r="K39" s="63"/>
      <c r="L39" s="216">
        <v>26928.7</v>
      </c>
      <c r="M39" s="63" t="s">
        <v>526</v>
      </c>
      <c r="N39" s="63"/>
      <c r="O39" s="63"/>
      <c r="P39" s="217"/>
      <c r="Q39" s="63"/>
      <c r="R39" s="63"/>
      <c r="S39" s="63"/>
      <c r="T39" s="894"/>
      <c r="U39" s="63"/>
      <c r="V39" s="217"/>
      <c r="W39" s="63"/>
      <c r="X39" s="217"/>
      <c r="Y39" s="63"/>
      <c r="Z39" s="63"/>
      <c r="AA39" s="63"/>
      <c r="AB39" s="217"/>
      <c r="AC39" s="63"/>
      <c r="AD39" s="217"/>
      <c r="AE39" s="63"/>
      <c r="AF39" s="63"/>
      <c r="AG39" s="63"/>
      <c r="AH39" s="830"/>
    </row>
    <row r="40" spans="1:34" ht="33.75" customHeight="1">
      <c r="A40" s="919"/>
      <c r="B40" s="920"/>
      <c r="C40" s="920"/>
      <c r="D40" s="921"/>
      <c r="E40" s="921" t="s">
        <v>1425</v>
      </c>
      <c r="F40" s="63"/>
      <c r="G40" s="63" t="s">
        <v>113</v>
      </c>
      <c r="H40" s="63"/>
      <c r="I40" s="63" t="s">
        <v>1426</v>
      </c>
      <c r="J40" s="63" t="s">
        <v>142</v>
      </c>
      <c r="K40" s="63"/>
      <c r="L40" s="216">
        <v>5878.36</v>
      </c>
      <c r="M40" s="63" t="s">
        <v>1369</v>
      </c>
      <c r="N40" s="63" t="s">
        <v>99</v>
      </c>
      <c r="O40" s="63"/>
      <c r="P40" s="217"/>
      <c r="Q40" s="63"/>
      <c r="R40" s="63"/>
      <c r="S40" s="63"/>
      <c r="T40" s="894"/>
      <c r="U40" s="63"/>
      <c r="V40" s="217"/>
      <c r="W40" s="63"/>
      <c r="X40" s="217"/>
      <c r="Y40" s="63"/>
      <c r="Z40" s="63"/>
      <c r="AA40" s="63"/>
      <c r="AB40" s="217"/>
      <c r="AC40" s="63"/>
      <c r="AD40" s="217"/>
      <c r="AE40" s="63"/>
      <c r="AF40" s="63"/>
      <c r="AG40" s="63"/>
      <c r="AH40" s="830"/>
    </row>
    <row r="41" spans="1:34" ht="76.5">
      <c r="A41" s="919" t="s">
        <v>521</v>
      </c>
      <c r="B41" s="920"/>
      <c r="C41" s="920"/>
      <c r="D41" s="921"/>
      <c r="E41" s="921" t="s">
        <v>1427</v>
      </c>
      <c r="F41" s="63"/>
      <c r="G41" s="63" t="s">
        <v>113</v>
      </c>
      <c r="H41" s="63"/>
      <c r="I41" s="63" t="s">
        <v>1428</v>
      </c>
      <c r="J41" s="63" t="s">
        <v>142</v>
      </c>
      <c r="K41" s="63"/>
      <c r="L41" s="216">
        <v>1887.14</v>
      </c>
      <c r="M41" s="63" t="s">
        <v>526</v>
      </c>
      <c r="N41" s="63" t="s">
        <v>99</v>
      </c>
      <c r="O41" s="63" t="s">
        <v>111</v>
      </c>
      <c r="P41" s="217">
        <v>44013</v>
      </c>
      <c r="Q41" s="63"/>
      <c r="R41" s="63" t="s">
        <v>523</v>
      </c>
      <c r="S41" s="63"/>
      <c r="T41" s="217">
        <v>44013</v>
      </c>
      <c r="U41" s="63"/>
      <c r="V41" s="217">
        <v>44013</v>
      </c>
      <c r="W41" s="63"/>
      <c r="X41" s="217">
        <v>44013</v>
      </c>
      <c r="Y41" s="63"/>
      <c r="Z41" s="63" t="s">
        <v>523</v>
      </c>
      <c r="AA41" s="63"/>
      <c r="AB41" s="217">
        <v>44013</v>
      </c>
      <c r="AC41" s="63"/>
      <c r="AD41" s="217">
        <v>44013</v>
      </c>
      <c r="AE41" s="63"/>
      <c r="AF41" s="63"/>
      <c r="AG41" s="63"/>
      <c r="AH41" s="830" t="s">
        <v>604</v>
      </c>
    </row>
    <row r="42" spans="1:34" ht="76.5">
      <c r="A42" s="919" t="s">
        <v>521</v>
      </c>
      <c r="B42" s="920"/>
      <c r="C42" s="920"/>
      <c r="D42" s="921"/>
      <c r="E42" s="921" t="s">
        <v>1401</v>
      </c>
      <c r="F42" s="63"/>
      <c r="G42" s="63" t="s">
        <v>113</v>
      </c>
      <c r="H42" s="63"/>
      <c r="I42" s="63" t="s">
        <v>1429</v>
      </c>
      <c r="J42" s="63" t="s">
        <v>142</v>
      </c>
      <c r="K42" s="63"/>
      <c r="L42" s="216">
        <v>3576</v>
      </c>
      <c r="M42" s="63" t="s">
        <v>526</v>
      </c>
      <c r="N42" s="63" t="s">
        <v>99</v>
      </c>
      <c r="O42" s="63" t="s">
        <v>111</v>
      </c>
      <c r="P42" s="217">
        <v>44013</v>
      </c>
      <c r="Q42" s="63"/>
      <c r="R42" s="63" t="s">
        <v>523</v>
      </c>
      <c r="S42" s="63"/>
      <c r="T42" s="217">
        <v>44013</v>
      </c>
      <c r="U42" s="63"/>
      <c r="V42" s="217">
        <v>44013</v>
      </c>
      <c r="W42" s="63"/>
      <c r="X42" s="217">
        <v>44013</v>
      </c>
      <c r="Y42" s="63"/>
      <c r="Z42" s="63" t="s">
        <v>523</v>
      </c>
      <c r="AA42" s="63"/>
      <c r="AB42" s="217">
        <v>44013</v>
      </c>
      <c r="AC42" s="63"/>
      <c r="AD42" s="217">
        <v>44013</v>
      </c>
      <c r="AE42" s="63"/>
      <c r="AF42" s="63"/>
      <c r="AG42" s="63"/>
      <c r="AH42" s="830" t="s">
        <v>604</v>
      </c>
    </row>
    <row r="43" spans="1:34" ht="34.5" customHeight="1">
      <c r="A43" s="919"/>
      <c r="B43" s="920"/>
      <c r="C43" s="920"/>
      <c r="D43" s="921"/>
      <c r="E43" s="921" t="s">
        <v>1431</v>
      </c>
      <c r="F43" s="63"/>
      <c r="G43" s="63" t="s">
        <v>113</v>
      </c>
      <c r="H43" s="63"/>
      <c r="I43" s="63" t="s">
        <v>1432</v>
      </c>
      <c r="J43" s="63" t="s">
        <v>142</v>
      </c>
      <c r="K43" s="63"/>
      <c r="L43" s="216">
        <v>4140.0200000000004</v>
      </c>
      <c r="M43" s="63" t="s">
        <v>526</v>
      </c>
      <c r="N43" s="63" t="s">
        <v>99</v>
      </c>
      <c r="O43" s="63" t="s">
        <v>111</v>
      </c>
      <c r="P43" s="217">
        <v>43983</v>
      </c>
      <c r="Q43" s="63"/>
      <c r="R43" s="63" t="s">
        <v>523</v>
      </c>
      <c r="S43" s="63"/>
      <c r="T43" s="217">
        <v>43983</v>
      </c>
      <c r="U43" s="63"/>
      <c r="V43" s="217">
        <v>43983</v>
      </c>
      <c r="W43" s="63"/>
      <c r="X43" s="217">
        <v>43983</v>
      </c>
      <c r="Y43" s="63"/>
      <c r="Z43" s="63" t="s">
        <v>523</v>
      </c>
      <c r="AA43" s="63"/>
      <c r="AB43" s="217">
        <v>43983</v>
      </c>
      <c r="AC43" s="63"/>
      <c r="AD43" s="217">
        <v>43983</v>
      </c>
      <c r="AE43" s="63"/>
      <c r="AF43" s="63"/>
      <c r="AG43" s="63"/>
      <c r="AH43" s="830" t="s">
        <v>604</v>
      </c>
    </row>
    <row r="44" spans="1:34" ht="76.5">
      <c r="A44" s="919" t="s">
        <v>521</v>
      </c>
      <c r="B44" s="920"/>
      <c r="C44" s="920"/>
      <c r="D44" s="921"/>
      <c r="E44" s="921" t="s">
        <v>1400</v>
      </c>
      <c r="F44" s="63"/>
      <c r="G44" s="63" t="s">
        <v>113</v>
      </c>
      <c r="H44" s="63"/>
      <c r="I44" s="63" t="s">
        <v>1430</v>
      </c>
      <c r="J44" s="63" t="s">
        <v>142</v>
      </c>
      <c r="K44" s="63"/>
      <c r="L44" s="216">
        <v>868.79</v>
      </c>
      <c r="M44" s="63" t="s">
        <v>526</v>
      </c>
      <c r="N44" s="63" t="s">
        <v>99</v>
      </c>
      <c r="O44" s="63" t="s">
        <v>111</v>
      </c>
      <c r="P44" s="217">
        <v>43952</v>
      </c>
      <c r="Q44" s="63"/>
      <c r="R44" s="63" t="s">
        <v>523</v>
      </c>
      <c r="S44" s="63"/>
      <c r="T44" s="217">
        <v>43952</v>
      </c>
      <c r="U44" s="63"/>
      <c r="V44" s="217">
        <v>43952</v>
      </c>
      <c r="W44" s="63"/>
      <c r="X44" s="217">
        <v>43952</v>
      </c>
      <c r="Y44" s="63"/>
      <c r="Z44" s="63" t="s">
        <v>523</v>
      </c>
      <c r="AA44" s="63"/>
      <c r="AB44" s="217">
        <v>43952</v>
      </c>
      <c r="AC44" s="63"/>
      <c r="AD44" s="217">
        <v>43952</v>
      </c>
      <c r="AE44" s="63"/>
      <c r="AF44" s="63"/>
      <c r="AG44" s="63"/>
      <c r="AH44" s="830" t="s">
        <v>604</v>
      </c>
    </row>
    <row r="45" spans="1:34" ht="41.25" customHeight="1">
      <c r="A45" s="919"/>
      <c r="B45" s="920"/>
      <c r="C45" s="920"/>
      <c r="D45" s="921"/>
      <c r="E45" s="921" t="s">
        <v>1433</v>
      </c>
      <c r="F45" s="63"/>
      <c r="G45" s="63" t="s">
        <v>113</v>
      </c>
      <c r="H45" s="63"/>
      <c r="I45" s="63" t="s">
        <v>1410</v>
      </c>
      <c r="J45" s="63" t="s">
        <v>142</v>
      </c>
      <c r="K45" s="63"/>
      <c r="L45" s="216">
        <v>845</v>
      </c>
      <c r="M45" s="63"/>
      <c r="N45" s="63"/>
      <c r="O45" s="63"/>
      <c r="P45" s="217"/>
      <c r="Q45" s="63"/>
      <c r="R45" s="63"/>
      <c r="S45" s="63"/>
      <c r="T45" s="217"/>
      <c r="U45" s="63"/>
      <c r="V45" s="217"/>
      <c r="W45" s="63"/>
      <c r="X45" s="217"/>
      <c r="Y45" s="63"/>
      <c r="Z45" s="63"/>
      <c r="AA45" s="63"/>
      <c r="AB45" s="217"/>
      <c r="AC45" s="63"/>
      <c r="AD45" s="217"/>
      <c r="AE45" s="63"/>
      <c r="AF45" s="63"/>
      <c r="AG45" s="63"/>
      <c r="AH45" s="830"/>
    </row>
    <row r="46" spans="1:34" ht="39" customHeight="1">
      <c r="A46" s="919" t="s">
        <v>521</v>
      </c>
      <c r="B46" s="920"/>
      <c r="C46" s="920"/>
      <c r="D46" s="921"/>
      <c r="E46" s="921" t="s">
        <v>1437</v>
      </c>
      <c r="F46" s="63"/>
      <c r="G46" s="63" t="s">
        <v>113</v>
      </c>
      <c r="H46" s="63"/>
      <c r="I46" s="63" t="s">
        <v>1438</v>
      </c>
      <c r="J46" s="63" t="s">
        <v>142</v>
      </c>
      <c r="K46" s="63" t="s">
        <v>130</v>
      </c>
      <c r="L46" s="216">
        <v>678</v>
      </c>
      <c r="M46" s="63" t="s">
        <v>1369</v>
      </c>
      <c r="N46" s="63" t="s">
        <v>99</v>
      </c>
      <c r="O46" s="63" t="s">
        <v>111</v>
      </c>
      <c r="P46" s="64">
        <v>43831</v>
      </c>
      <c r="Q46" s="63"/>
      <c r="R46" s="63" t="s">
        <v>523</v>
      </c>
      <c r="S46" s="63"/>
      <c r="T46" s="64">
        <v>43831</v>
      </c>
      <c r="U46" s="63"/>
      <c r="V46" s="64">
        <v>43831</v>
      </c>
      <c r="W46" s="63"/>
      <c r="X46" s="64"/>
      <c r="Y46" s="63"/>
      <c r="Z46" s="63"/>
      <c r="AA46" s="63"/>
      <c r="AB46" s="64"/>
      <c r="AC46" s="63"/>
      <c r="AD46" s="64"/>
      <c r="AE46" s="63"/>
      <c r="AF46" s="63"/>
      <c r="AG46" s="63"/>
      <c r="AH46" s="833"/>
    </row>
    <row r="47" spans="1:34" ht="35.25" customHeight="1">
      <c r="A47" s="919" t="s">
        <v>521</v>
      </c>
      <c r="B47" s="920"/>
      <c r="C47" s="920"/>
      <c r="D47" s="921"/>
      <c r="E47" s="921" t="s">
        <v>1439</v>
      </c>
      <c r="F47" s="63"/>
      <c r="G47" s="63" t="s">
        <v>113</v>
      </c>
      <c r="H47" s="63"/>
      <c r="I47" s="63" t="s">
        <v>1440</v>
      </c>
      <c r="J47" s="63" t="s">
        <v>142</v>
      </c>
      <c r="K47" s="63" t="s">
        <v>130</v>
      </c>
      <c r="L47" s="216">
        <v>13814.29</v>
      </c>
      <c r="M47" s="63" t="s">
        <v>1369</v>
      </c>
      <c r="N47" s="63" t="s">
        <v>99</v>
      </c>
      <c r="O47" s="63" t="s">
        <v>111</v>
      </c>
      <c r="P47" s="64">
        <v>43983</v>
      </c>
      <c r="Q47" s="63"/>
      <c r="R47" s="64">
        <v>43983</v>
      </c>
      <c r="S47" s="921"/>
      <c r="T47" s="64">
        <v>43983</v>
      </c>
      <c r="U47" s="63"/>
      <c r="V47" s="64">
        <v>43983</v>
      </c>
      <c r="W47" s="63"/>
      <c r="X47" s="64"/>
      <c r="Y47" s="63"/>
      <c r="Z47" s="63" t="s">
        <v>525</v>
      </c>
      <c r="AA47" s="63"/>
      <c r="AB47" s="64"/>
      <c r="AC47" s="63"/>
      <c r="AD47" s="64"/>
      <c r="AE47" s="63"/>
      <c r="AF47" s="63"/>
      <c r="AG47" s="63"/>
      <c r="AH47" s="833"/>
    </row>
    <row r="48" spans="1:34" ht="25.5">
      <c r="A48" s="919" t="s">
        <v>521</v>
      </c>
      <c r="B48" s="920"/>
      <c r="C48" s="920"/>
      <c r="D48" s="921"/>
      <c r="E48" s="921" t="s">
        <v>1399</v>
      </c>
      <c r="F48" s="63"/>
      <c r="G48" s="63" t="s">
        <v>113</v>
      </c>
      <c r="H48" s="63"/>
      <c r="I48" s="63" t="s">
        <v>1398</v>
      </c>
      <c r="J48" s="63" t="s">
        <v>144</v>
      </c>
      <c r="K48" s="63" t="s">
        <v>130</v>
      </c>
      <c r="L48" s="216">
        <v>2585</v>
      </c>
      <c r="M48" s="63" t="s">
        <v>526</v>
      </c>
      <c r="N48" s="63" t="s">
        <v>99</v>
      </c>
      <c r="O48" s="63" t="s">
        <v>111</v>
      </c>
      <c r="P48" s="217">
        <v>43922</v>
      </c>
      <c r="Q48" s="63"/>
      <c r="R48" s="63" t="s">
        <v>523</v>
      </c>
      <c r="S48" s="63"/>
      <c r="T48" s="217">
        <v>43922</v>
      </c>
      <c r="U48" s="63"/>
      <c r="V48" s="217">
        <v>43922</v>
      </c>
      <c r="W48" s="63"/>
      <c r="X48" s="217">
        <v>43922</v>
      </c>
      <c r="Y48" s="63"/>
      <c r="Z48" s="63" t="s">
        <v>523</v>
      </c>
      <c r="AA48" s="63"/>
      <c r="AB48" s="217">
        <v>43922</v>
      </c>
      <c r="AC48" s="217"/>
      <c r="AD48" s="217">
        <v>43983</v>
      </c>
      <c r="AE48" s="63"/>
      <c r="AF48" s="63"/>
      <c r="AG48" s="63"/>
      <c r="AH48" s="833"/>
    </row>
    <row r="49" spans="1:34" ht="76.5">
      <c r="A49" s="919" t="s">
        <v>521</v>
      </c>
      <c r="B49" s="920"/>
      <c r="C49" s="920"/>
      <c r="D49" s="921"/>
      <c r="E49" s="921" t="s">
        <v>1385</v>
      </c>
      <c r="F49" s="63"/>
      <c r="G49" s="63" t="s">
        <v>113</v>
      </c>
      <c r="H49" s="63"/>
      <c r="I49" s="63" t="s">
        <v>1381</v>
      </c>
      <c r="J49" s="63" t="s">
        <v>142</v>
      </c>
      <c r="K49" s="63" t="s">
        <v>130</v>
      </c>
      <c r="L49" s="216">
        <v>726</v>
      </c>
      <c r="M49" s="63" t="s">
        <v>526</v>
      </c>
      <c r="N49" s="63" t="s">
        <v>99</v>
      </c>
      <c r="O49" s="63" t="s">
        <v>111</v>
      </c>
      <c r="P49" s="57">
        <v>43862</v>
      </c>
      <c r="Q49" s="155"/>
      <c r="R49" s="155" t="s">
        <v>523</v>
      </c>
      <c r="S49" s="155"/>
      <c r="T49" s="831" t="s">
        <v>525</v>
      </c>
      <c r="U49" s="155"/>
      <c r="V49" s="57">
        <v>43862</v>
      </c>
      <c r="W49" s="155"/>
      <c r="X49" s="57">
        <v>44013</v>
      </c>
      <c r="Y49" s="155"/>
      <c r="Z49" s="155" t="s">
        <v>525</v>
      </c>
      <c r="AA49" s="155"/>
      <c r="AB49" s="57">
        <v>43862</v>
      </c>
      <c r="AC49" s="63"/>
      <c r="AD49" s="57">
        <v>43862</v>
      </c>
      <c r="AE49" s="63"/>
      <c r="AF49" s="63"/>
      <c r="AG49" s="63"/>
      <c r="AH49" s="830" t="s">
        <v>604</v>
      </c>
    </row>
    <row r="50" spans="1:34" ht="25.5">
      <c r="A50" s="919" t="s">
        <v>528</v>
      </c>
      <c r="B50" s="920"/>
      <c r="C50" s="920"/>
      <c r="D50" s="921"/>
      <c r="E50" s="921" t="s">
        <v>1397</v>
      </c>
      <c r="F50" s="63"/>
      <c r="G50" s="63" t="s">
        <v>113</v>
      </c>
      <c r="H50" s="63"/>
      <c r="I50" s="63" t="s">
        <v>1396</v>
      </c>
      <c r="J50" s="63" t="s">
        <v>144</v>
      </c>
      <c r="K50" s="63" t="s">
        <v>130</v>
      </c>
      <c r="L50" s="216">
        <v>1600</v>
      </c>
      <c r="M50" s="63" t="s">
        <v>526</v>
      </c>
      <c r="N50" s="63" t="s">
        <v>99</v>
      </c>
      <c r="O50" s="63" t="s">
        <v>111</v>
      </c>
      <c r="P50" s="217">
        <v>43922</v>
      </c>
      <c r="Q50" s="63"/>
      <c r="R50" s="63" t="s">
        <v>523</v>
      </c>
      <c r="S50" s="63"/>
      <c r="T50" s="217">
        <v>43922</v>
      </c>
      <c r="U50" s="63"/>
      <c r="V50" s="217">
        <v>43922</v>
      </c>
      <c r="W50" s="63"/>
      <c r="X50" s="217">
        <v>43922</v>
      </c>
      <c r="Y50" s="63"/>
      <c r="Z50" s="63" t="s">
        <v>523</v>
      </c>
      <c r="AA50" s="63"/>
      <c r="AB50" s="217">
        <v>43922</v>
      </c>
      <c r="AC50" s="217"/>
      <c r="AD50" s="217">
        <v>43983</v>
      </c>
      <c r="AE50" s="63"/>
      <c r="AF50" s="63"/>
      <c r="AG50" s="63"/>
      <c r="AH50" s="833"/>
    </row>
    <row r="51" spans="1:34" ht="51">
      <c r="A51" s="919" t="s">
        <v>521</v>
      </c>
      <c r="B51" s="920"/>
      <c r="C51" s="920"/>
      <c r="D51" s="921"/>
      <c r="E51" s="921" t="s">
        <v>1395</v>
      </c>
      <c r="F51" s="63"/>
      <c r="G51" s="63" t="s">
        <v>113</v>
      </c>
      <c r="H51" s="63"/>
      <c r="I51" s="63" t="s">
        <v>862</v>
      </c>
      <c r="J51" s="63" t="s">
        <v>144</v>
      </c>
      <c r="K51" s="63" t="s">
        <v>130</v>
      </c>
      <c r="L51" s="216">
        <v>4000</v>
      </c>
      <c r="M51" s="63" t="s">
        <v>526</v>
      </c>
      <c r="N51" s="63" t="s">
        <v>537</v>
      </c>
      <c r="O51" s="63" t="s">
        <v>111</v>
      </c>
      <c r="P51" s="57">
        <v>43862</v>
      </c>
      <c r="Q51" s="155"/>
      <c r="R51" s="155" t="s">
        <v>523</v>
      </c>
      <c r="S51" s="155"/>
      <c r="T51" s="831" t="s">
        <v>525</v>
      </c>
      <c r="U51" s="155"/>
      <c r="V51" s="57">
        <v>43862</v>
      </c>
      <c r="W51" s="155"/>
      <c r="X51" s="57">
        <v>44013</v>
      </c>
      <c r="Y51" s="155"/>
      <c r="Z51" s="155" t="s">
        <v>525</v>
      </c>
      <c r="AA51" s="155"/>
      <c r="AB51" s="57">
        <v>43862</v>
      </c>
      <c r="AC51" s="155"/>
      <c r="AD51" s="57">
        <v>44032</v>
      </c>
      <c r="AE51" s="63"/>
      <c r="AF51" s="63"/>
      <c r="AG51" s="63"/>
      <c r="AH51" s="830" t="s">
        <v>527</v>
      </c>
    </row>
    <row r="52" spans="1:34" ht="51">
      <c r="A52" s="919" t="s">
        <v>521</v>
      </c>
      <c r="B52" s="920"/>
      <c r="C52" s="920"/>
      <c r="D52" s="921"/>
      <c r="E52" s="921" t="s">
        <v>1394</v>
      </c>
      <c r="F52" s="63"/>
      <c r="G52" s="63" t="s">
        <v>113</v>
      </c>
      <c r="H52" s="63"/>
      <c r="I52" s="63" t="s">
        <v>862</v>
      </c>
      <c r="J52" s="63" t="s">
        <v>144</v>
      </c>
      <c r="K52" s="63" t="s">
        <v>130</v>
      </c>
      <c r="L52" s="216">
        <v>115</v>
      </c>
      <c r="M52" s="63" t="s">
        <v>526</v>
      </c>
      <c r="N52" s="63" t="s">
        <v>537</v>
      </c>
      <c r="O52" s="63" t="s">
        <v>111</v>
      </c>
      <c r="P52" s="57">
        <v>43862</v>
      </c>
      <c r="Q52" s="155"/>
      <c r="R52" s="155" t="s">
        <v>523</v>
      </c>
      <c r="S52" s="155"/>
      <c r="T52" s="831" t="s">
        <v>525</v>
      </c>
      <c r="U52" s="155"/>
      <c r="V52" s="57">
        <v>43862</v>
      </c>
      <c r="W52" s="155"/>
      <c r="X52" s="57">
        <v>44013</v>
      </c>
      <c r="Y52" s="155"/>
      <c r="Z52" s="155" t="s">
        <v>525</v>
      </c>
      <c r="AA52" s="155"/>
      <c r="AB52" s="57">
        <v>43862</v>
      </c>
      <c r="AC52" s="155"/>
      <c r="AD52" s="57">
        <v>44032</v>
      </c>
      <c r="AE52" s="63"/>
      <c r="AF52" s="63"/>
      <c r="AG52" s="63"/>
      <c r="AH52" s="830" t="s">
        <v>527</v>
      </c>
    </row>
    <row r="53" spans="1:34" ht="44.25" customHeight="1">
      <c r="A53" s="919"/>
      <c r="B53" s="920"/>
      <c r="C53" s="920"/>
      <c r="D53" s="921"/>
      <c r="E53" s="921" t="s">
        <v>1441</v>
      </c>
      <c r="F53" s="63"/>
      <c r="G53" s="63" t="s">
        <v>113</v>
      </c>
      <c r="H53" s="63"/>
      <c r="I53" s="63" t="s">
        <v>862</v>
      </c>
      <c r="J53" s="63" t="s">
        <v>144</v>
      </c>
      <c r="K53" s="63" t="s">
        <v>130</v>
      </c>
      <c r="L53" s="216">
        <v>16857.14</v>
      </c>
      <c r="M53" s="63" t="s">
        <v>526</v>
      </c>
      <c r="N53" s="63" t="s">
        <v>537</v>
      </c>
      <c r="O53" s="63" t="s">
        <v>111</v>
      </c>
      <c r="P53" s="57">
        <v>43984</v>
      </c>
      <c r="Q53" s="155"/>
      <c r="R53" s="155"/>
      <c r="S53" s="155"/>
      <c r="T53" s="831"/>
      <c r="U53" s="155"/>
      <c r="V53" s="57"/>
      <c r="W53" s="155"/>
      <c r="X53" s="57"/>
      <c r="Y53" s="155"/>
      <c r="Z53" s="155"/>
      <c r="AA53" s="155"/>
      <c r="AB53" s="57"/>
      <c r="AC53" s="155"/>
      <c r="AD53" s="57"/>
      <c r="AE53" s="63"/>
      <c r="AF53" s="63"/>
      <c r="AG53" s="63"/>
      <c r="AH53" s="830"/>
    </row>
    <row r="54" spans="1:34" ht="76.5">
      <c r="A54" s="919" t="s">
        <v>528</v>
      </c>
      <c r="B54" s="920"/>
      <c r="C54" s="920"/>
      <c r="D54" s="921"/>
      <c r="E54" s="921" t="s">
        <v>883</v>
      </c>
      <c r="F54" s="63"/>
      <c r="G54" s="63" t="s">
        <v>113</v>
      </c>
      <c r="H54" s="63"/>
      <c r="I54" s="63" t="s">
        <v>882</v>
      </c>
      <c r="J54" s="63" t="s">
        <v>142</v>
      </c>
      <c r="K54" s="63" t="s">
        <v>130</v>
      </c>
      <c r="L54" s="216">
        <v>32561</v>
      </c>
      <c r="M54" s="63" t="s">
        <v>526</v>
      </c>
      <c r="N54" s="63" t="s">
        <v>99</v>
      </c>
      <c r="O54" s="63" t="s">
        <v>111</v>
      </c>
      <c r="P54" s="215">
        <v>43891</v>
      </c>
      <c r="Q54" s="155"/>
      <c r="R54" s="155" t="s">
        <v>523</v>
      </c>
      <c r="S54" s="155"/>
      <c r="T54" s="831" t="s">
        <v>525</v>
      </c>
      <c r="U54" s="155"/>
      <c r="V54" s="215">
        <v>43891</v>
      </c>
      <c r="W54" s="155"/>
      <c r="X54" s="215">
        <v>43891</v>
      </c>
      <c r="Y54" s="155"/>
      <c r="Z54" s="155" t="s">
        <v>525</v>
      </c>
      <c r="AA54" s="155"/>
      <c r="AB54" s="215">
        <v>43891</v>
      </c>
      <c r="AC54" s="155"/>
      <c r="AD54" s="57">
        <v>43891</v>
      </c>
      <c r="AE54" s="63"/>
      <c r="AF54" s="63"/>
      <c r="AG54" s="63"/>
      <c r="AH54" s="830" t="s">
        <v>604</v>
      </c>
    </row>
    <row r="55" spans="1:34" ht="76.5">
      <c r="A55" s="919" t="s">
        <v>528</v>
      </c>
      <c r="B55" s="920"/>
      <c r="C55" s="920"/>
      <c r="D55" s="921"/>
      <c r="E55" s="921" t="s">
        <v>1393</v>
      </c>
      <c r="F55" s="63"/>
      <c r="G55" s="63" t="s">
        <v>113</v>
      </c>
      <c r="H55" s="63"/>
      <c r="I55" s="63" t="s">
        <v>882</v>
      </c>
      <c r="J55" s="63" t="s">
        <v>142</v>
      </c>
      <c r="K55" s="63" t="s">
        <v>130</v>
      </c>
      <c r="L55" s="216">
        <v>856</v>
      </c>
      <c r="M55" s="63" t="s">
        <v>526</v>
      </c>
      <c r="N55" s="63" t="s">
        <v>99</v>
      </c>
      <c r="O55" s="63" t="s">
        <v>111</v>
      </c>
      <c r="P55" s="215">
        <v>44002</v>
      </c>
      <c r="Q55" s="155"/>
      <c r="R55" s="155" t="s">
        <v>523</v>
      </c>
      <c r="S55" s="155"/>
      <c r="T55" s="831" t="s">
        <v>525</v>
      </c>
      <c r="U55" s="155"/>
      <c r="V55" s="215">
        <v>44002</v>
      </c>
      <c r="W55" s="155"/>
      <c r="X55" s="215">
        <v>44002</v>
      </c>
      <c r="Y55" s="155"/>
      <c r="Z55" s="155" t="s">
        <v>525</v>
      </c>
      <c r="AA55" s="155"/>
      <c r="AB55" s="215">
        <v>44002</v>
      </c>
      <c r="AC55" s="155"/>
      <c r="AD55" s="215">
        <v>44002</v>
      </c>
      <c r="AE55" s="63"/>
      <c r="AF55" s="63"/>
      <c r="AG55" s="63"/>
      <c r="AH55" s="830" t="s">
        <v>604</v>
      </c>
    </row>
    <row r="56" spans="1:34" ht="54.75" customHeight="1">
      <c r="A56" s="919" t="s">
        <v>528</v>
      </c>
      <c r="B56" s="920"/>
      <c r="C56" s="920"/>
      <c r="D56" s="921"/>
      <c r="E56" s="921" t="s">
        <v>1452</v>
      </c>
      <c r="F56" s="63"/>
      <c r="G56" s="63" t="s">
        <v>113</v>
      </c>
      <c r="H56" s="63"/>
      <c r="I56" s="63" t="s">
        <v>882</v>
      </c>
      <c r="J56" s="63" t="s">
        <v>142</v>
      </c>
      <c r="K56" s="63" t="s">
        <v>130</v>
      </c>
      <c r="L56" s="216">
        <v>429</v>
      </c>
      <c r="M56" s="63" t="s">
        <v>526</v>
      </c>
      <c r="N56" s="63" t="s">
        <v>99</v>
      </c>
      <c r="O56" s="63" t="s">
        <v>111</v>
      </c>
      <c r="P56" s="215">
        <v>44094</v>
      </c>
      <c r="Q56" s="155"/>
      <c r="R56" s="155"/>
      <c r="S56" s="155"/>
      <c r="T56" s="831"/>
      <c r="U56" s="155"/>
      <c r="V56" s="215">
        <v>44094</v>
      </c>
      <c r="W56" s="155"/>
      <c r="X56" s="215">
        <v>44094</v>
      </c>
      <c r="Y56" s="155"/>
      <c r="Z56" s="155" t="s">
        <v>525</v>
      </c>
      <c r="AA56" s="155"/>
      <c r="AB56" s="215"/>
      <c r="AC56" s="155"/>
      <c r="AD56" s="215"/>
      <c r="AE56" s="63"/>
      <c r="AF56" s="63"/>
      <c r="AG56" s="63"/>
      <c r="AH56" s="830"/>
    </row>
    <row r="57" spans="1:34" ht="76.5">
      <c r="A57" s="919" t="s">
        <v>528</v>
      </c>
      <c r="B57" s="920"/>
      <c r="C57" s="920"/>
      <c r="D57" s="921"/>
      <c r="E57" s="921" t="s">
        <v>1392</v>
      </c>
      <c r="F57" s="63"/>
      <c r="G57" s="63" t="s">
        <v>113</v>
      </c>
      <c r="H57" s="63"/>
      <c r="I57" s="63" t="s">
        <v>882</v>
      </c>
      <c r="J57" s="63" t="s">
        <v>142</v>
      </c>
      <c r="K57" s="63" t="s">
        <v>130</v>
      </c>
      <c r="L57" s="216">
        <v>10415</v>
      </c>
      <c r="M57" s="63" t="s">
        <v>526</v>
      </c>
      <c r="N57" s="63" t="s">
        <v>99</v>
      </c>
      <c r="O57" s="63" t="s">
        <v>111</v>
      </c>
      <c r="P57" s="215">
        <v>43850</v>
      </c>
      <c r="Q57" s="155"/>
      <c r="R57" s="155" t="s">
        <v>523</v>
      </c>
      <c r="S57" s="155"/>
      <c r="T57" s="831" t="s">
        <v>525</v>
      </c>
      <c r="U57" s="155"/>
      <c r="V57" s="215">
        <v>43850</v>
      </c>
      <c r="W57" s="155"/>
      <c r="X57" s="215">
        <v>43850</v>
      </c>
      <c r="Y57" s="155"/>
      <c r="Z57" s="155" t="s">
        <v>525</v>
      </c>
      <c r="AA57" s="155"/>
      <c r="AB57" s="215">
        <v>43850</v>
      </c>
      <c r="AC57" s="155"/>
      <c r="AD57" s="57">
        <v>43862</v>
      </c>
      <c r="AE57" s="63"/>
      <c r="AF57" s="63"/>
      <c r="AG57" s="63"/>
      <c r="AH57" s="830" t="s">
        <v>604</v>
      </c>
    </row>
    <row r="58" spans="1:34" ht="76.5">
      <c r="A58" s="919" t="s">
        <v>528</v>
      </c>
      <c r="B58" s="920"/>
      <c r="C58" s="920"/>
      <c r="D58" s="921"/>
      <c r="E58" s="921" t="s">
        <v>1391</v>
      </c>
      <c r="F58" s="63"/>
      <c r="G58" s="63" t="s">
        <v>113</v>
      </c>
      <c r="H58" s="63"/>
      <c r="I58" s="63" t="s">
        <v>882</v>
      </c>
      <c r="J58" s="63" t="s">
        <v>142</v>
      </c>
      <c r="K58" s="63" t="s">
        <v>130</v>
      </c>
      <c r="L58" s="216">
        <v>18046.36</v>
      </c>
      <c r="M58" s="63" t="s">
        <v>526</v>
      </c>
      <c r="N58" s="63" t="s">
        <v>99</v>
      </c>
      <c r="O58" s="63" t="s">
        <v>111</v>
      </c>
      <c r="P58" s="215">
        <v>43971</v>
      </c>
      <c r="Q58" s="155"/>
      <c r="R58" s="155" t="s">
        <v>523</v>
      </c>
      <c r="S58" s="155"/>
      <c r="T58" s="831" t="s">
        <v>525</v>
      </c>
      <c r="U58" s="155"/>
      <c r="V58" s="215">
        <v>43971</v>
      </c>
      <c r="W58" s="155"/>
      <c r="X58" s="215">
        <v>43971</v>
      </c>
      <c r="Y58" s="155"/>
      <c r="Z58" s="155" t="s">
        <v>525</v>
      </c>
      <c r="AA58" s="155"/>
      <c r="AB58" s="215">
        <v>43971</v>
      </c>
      <c r="AC58" s="155"/>
      <c r="AD58" s="57">
        <v>43971</v>
      </c>
      <c r="AE58" s="63"/>
      <c r="AF58" s="63"/>
      <c r="AG58" s="63"/>
      <c r="AH58" s="830" t="s">
        <v>604</v>
      </c>
    </row>
    <row r="59" spans="1:34" ht="43.5" customHeight="1">
      <c r="A59" s="919" t="s">
        <v>528</v>
      </c>
      <c r="B59" s="920"/>
      <c r="C59" s="920"/>
      <c r="D59" s="921"/>
      <c r="E59" s="921" t="s">
        <v>1448</v>
      </c>
      <c r="F59" s="63"/>
      <c r="G59" s="63" t="s">
        <v>113</v>
      </c>
      <c r="H59" s="63"/>
      <c r="I59" s="63" t="s">
        <v>882</v>
      </c>
      <c r="J59" s="63" t="s">
        <v>142</v>
      </c>
      <c r="K59" s="63" t="s">
        <v>130</v>
      </c>
      <c r="L59" s="216">
        <v>23021.43</v>
      </c>
      <c r="M59" s="63" t="s">
        <v>526</v>
      </c>
      <c r="N59" s="63" t="s">
        <v>99</v>
      </c>
      <c r="O59" s="63" t="s">
        <v>111</v>
      </c>
      <c r="P59" s="215">
        <v>44002</v>
      </c>
      <c r="Q59" s="918"/>
      <c r="R59" s="155" t="s">
        <v>523</v>
      </c>
      <c r="S59" s="918"/>
      <c r="T59" s="831" t="s">
        <v>525</v>
      </c>
      <c r="U59" s="155"/>
      <c r="V59" s="215">
        <v>44002</v>
      </c>
      <c r="W59" s="155"/>
      <c r="X59" s="215"/>
      <c r="Y59" s="155"/>
      <c r="Z59" s="155"/>
      <c r="AA59" s="155"/>
      <c r="AB59" s="215"/>
      <c r="AC59" s="155"/>
      <c r="AD59" s="57"/>
      <c r="AE59" s="63"/>
      <c r="AF59" s="63"/>
      <c r="AG59" s="63"/>
      <c r="AH59" s="830"/>
    </row>
    <row r="60" spans="1:34" ht="42" customHeight="1">
      <c r="A60" s="919" t="s">
        <v>528</v>
      </c>
      <c r="B60" s="920"/>
      <c r="C60" s="920"/>
      <c r="D60" s="921"/>
      <c r="E60" s="921" t="s">
        <v>1446</v>
      </c>
      <c r="F60" s="63"/>
      <c r="G60" s="63" t="s">
        <v>113</v>
      </c>
      <c r="H60" s="63"/>
      <c r="I60" s="63" t="s">
        <v>1447</v>
      </c>
      <c r="J60" s="63" t="s">
        <v>142</v>
      </c>
      <c r="K60" s="63" t="s">
        <v>130</v>
      </c>
      <c r="L60" s="216">
        <v>4082.6</v>
      </c>
      <c r="M60" s="63" t="s">
        <v>526</v>
      </c>
      <c r="N60" s="63" t="s">
        <v>99</v>
      </c>
      <c r="O60" s="63" t="s">
        <v>111</v>
      </c>
      <c r="P60" s="215">
        <v>44002</v>
      </c>
      <c r="Q60" s="918"/>
      <c r="R60" s="155" t="s">
        <v>523</v>
      </c>
      <c r="S60" s="918"/>
      <c r="T60" s="831" t="s">
        <v>525</v>
      </c>
      <c r="U60" s="155"/>
      <c r="V60" s="215">
        <v>44002</v>
      </c>
      <c r="W60" s="155"/>
      <c r="X60" s="215"/>
      <c r="Y60" s="155"/>
      <c r="Z60" s="155"/>
      <c r="AA60" s="155"/>
      <c r="AB60" s="215"/>
      <c r="AC60" s="155"/>
      <c r="AD60" s="57"/>
      <c r="AE60" s="63"/>
      <c r="AF60" s="63"/>
      <c r="AG60" s="63"/>
      <c r="AH60" s="830"/>
    </row>
    <row r="61" spans="1:34" ht="76.5">
      <c r="A61" s="919" t="s">
        <v>521</v>
      </c>
      <c r="B61" s="920"/>
      <c r="C61" s="920"/>
      <c r="D61" s="921"/>
      <c r="E61" s="921" t="s">
        <v>1390</v>
      </c>
      <c r="F61" s="63"/>
      <c r="G61" s="63" t="s">
        <v>113</v>
      </c>
      <c r="H61" s="63"/>
      <c r="I61" s="63" t="s">
        <v>881</v>
      </c>
      <c r="J61" s="63" t="s">
        <v>142</v>
      </c>
      <c r="K61" s="63" t="s">
        <v>130</v>
      </c>
      <c r="L61" s="835">
        <v>5917.86</v>
      </c>
      <c r="M61" s="63" t="s">
        <v>526</v>
      </c>
      <c r="N61" s="63" t="s">
        <v>99</v>
      </c>
      <c r="O61" s="63" t="s">
        <v>111</v>
      </c>
      <c r="P61" s="215">
        <v>43862</v>
      </c>
      <c r="Q61" s="155"/>
      <c r="R61" s="155" t="s">
        <v>523</v>
      </c>
      <c r="S61" s="155"/>
      <c r="T61" s="831" t="s">
        <v>525</v>
      </c>
      <c r="U61" s="155"/>
      <c r="V61" s="215">
        <v>43862</v>
      </c>
      <c r="W61" s="155"/>
      <c r="X61" s="215">
        <v>43862</v>
      </c>
      <c r="Y61" s="155"/>
      <c r="Z61" s="155" t="s">
        <v>525</v>
      </c>
      <c r="AA61" s="155"/>
      <c r="AB61" s="215">
        <v>43862</v>
      </c>
      <c r="AC61" s="155"/>
      <c r="AD61" s="215">
        <v>43862</v>
      </c>
      <c r="AE61" s="63"/>
      <c r="AF61" s="63"/>
      <c r="AG61" s="63"/>
      <c r="AH61" s="830" t="s">
        <v>605</v>
      </c>
    </row>
    <row r="62" spans="1:34" ht="76.5">
      <c r="A62" s="919" t="s">
        <v>521</v>
      </c>
      <c r="B62" s="920"/>
      <c r="C62" s="920"/>
      <c r="D62" s="921"/>
      <c r="E62" s="921" t="s">
        <v>1456</v>
      </c>
      <c r="F62" s="63"/>
      <c r="G62" s="63" t="s">
        <v>113</v>
      </c>
      <c r="H62" s="63"/>
      <c r="I62" s="63" t="s">
        <v>881</v>
      </c>
      <c r="J62" s="63" t="s">
        <v>142</v>
      </c>
      <c r="K62" s="63" t="s">
        <v>130</v>
      </c>
      <c r="L62" s="835">
        <v>937.21</v>
      </c>
      <c r="M62" s="63" t="s">
        <v>526</v>
      </c>
      <c r="N62" s="63" t="s">
        <v>99</v>
      </c>
      <c r="O62" s="63" t="s">
        <v>111</v>
      </c>
      <c r="P62" s="215">
        <v>43952</v>
      </c>
      <c r="Q62" s="155"/>
      <c r="R62" s="155" t="s">
        <v>523</v>
      </c>
      <c r="S62" s="155"/>
      <c r="T62" s="831" t="s">
        <v>525</v>
      </c>
      <c r="U62" s="155"/>
      <c r="V62" s="215">
        <v>43952</v>
      </c>
      <c r="W62" s="155"/>
      <c r="X62" s="215">
        <v>43952</v>
      </c>
      <c r="Y62" s="155"/>
      <c r="Z62" s="155" t="s">
        <v>525</v>
      </c>
      <c r="AA62" s="155"/>
      <c r="AB62" s="215">
        <v>43862</v>
      </c>
      <c r="AC62" s="155"/>
      <c r="AD62" s="215">
        <v>43862</v>
      </c>
      <c r="AE62" s="63"/>
      <c r="AF62" s="63"/>
      <c r="AG62" s="63"/>
      <c r="AH62" s="830" t="s">
        <v>605</v>
      </c>
    </row>
    <row r="63" spans="1:34" ht="76.5">
      <c r="A63" s="919" t="s">
        <v>521</v>
      </c>
      <c r="B63" s="920"/>
      <c r="C63" s="920"/>
      <c r="D63" s="921"/>
      <c r="E63" s="921" t="s">
        <v>737</v>
      </c>
      <c r="F63" s="63"/>
      <c r="G63" s="63" t="s">
        <v>113</v>
      </c>
      <c r="H63" s="63"/>
      <c r="I63" s="63" t="s">
        <v>881</v>
      </c>
      <c r="J63" s="63" t="s">
        <v>142</v>
      </c>
      <c r="K63" s="63" t="s">
        <v>130</v>
      </c>
      <c r="L63" s="835">
        <v>39067</v>
      </c>
      <c r="M63" s="63" t="s">
        <v>526</v>
      </c>
      <c r="N63" s="63" t="s">
        <v>99</v>
      </c>
      <c r="O63" s="63" t="s">
        <v>111</v>
      </c>
      <c r="P63" s="215">
        <v>43862</v>
      </c>
      <c r="Q63" s="155"/>
      <c r="R63" s="155" t="s">
        <v>523</v>
      </c>
      <c r="S63" s="155"/>
      <c r="T63" s="831" t="s">
        <v>525</v>
      </c>
      <c r="U63" s="155"/>
      <c r="V63" s="215">
        <v>43862</v>
      </c>
      <c r="W63" s="155"/>
      <c r="X63" s="215">
        <v>43862</v>
      </c>
      <c r="Y63" s="155"/>
      <c r="Z63" s="155" t="s">
        <v>525</v>
      </c>
      <c r="AA63" s="155"/>
      <c r="AB63" s="215">
        <v>43862</v>
      </c>
      <c r="AC63" s="155"/>
      <c r="AD63" s="57">
        <v>43891</v>
      </c>
      <c r="AE63" s="63"/>
      <c r="AF63" s="63"/>
      <c r="AG63" s="63"/>
      <c r="AH63" s="830" t="s">
        <v>605</v>
      </c>
    </row>
    <row r="64" spans="1:34" ht="49.5" customHeight="1">
      <c r="A64" s="919" t="s">
        <v>521</v>
      </c>
      <c r="B64" s="920"/>
      <c r="C64" s="920"/>
      <c r="D64" s="921"/>
      <c r="E64" s="921" t="s">
        <v>1455</v>
      </c>
      <c r="F64" s="63"/>
      <c r="G64" s="63" t="s">
        <v>113</v>
      </c>
      <c r="H64" s="63"/>
      <c r="I64" s="63" t="s">
        <v>881</v>
      </c>
      <c r="J64" s="63" t="s">
        <v>142</v>
      </c>
      <c r="K64" s="63" t="s">
        <v>130</v>
      </c>
      <c r="L64" s="835">
        <v>2142.86</v>
      </c>
      <c r="M64" s="63" t="s">
        <v>1389</v>
      </c>
      <c r="N64" s="63" t="s">
        <v>99</v>
      </c>
      <c r="O64" s="63" t="s">
        <v>111</v>
      </c>
      <c r="P64" s="215">
        <v>44013</v>
      </c>
      <c r="Q64" s="155"/>
      <c r="R64" s="155" t="s">
        <v>523</v>
      </c>
      <c r="S64" s="155"/>
      <c r="T64" s="831" t="s">
        <v>525</v>
      </c>
      <c r="U64" s="155"/>
      <c r="V64" s="215"/>
      <c r="W64" s="155"/>
      <c r="X64" s="215"/>
      <c r="Y64" s="155"/>
      <c r="Z64" s="155"/>
      <c r="AA64" s="155"/>
      <c r="AB64" s="215"/>
      <c r="AC64" s="155"/>
      <c r="AD64" s="57"/>
      <c r="AE64" s="63"/>
      <c r="AF64" s="63"/>
      <c r="AG64" s="63"/>
      <c r="AH64" s="830"/>
    </row>
    <row r="65" spans="1:41" ht="25.5">
      <c r="A65" s="919" t="s">
        <v>521</v>
      </c>
      <c r="B65" s="920"/>
      <c r="C65" s="920"/>
      <c r="D65" s="921"/>
      <c r="E65" s="921" t="s">
        <v>902</v>
      </c>
      <c r="F65" s="905"/>
      <c r="G65" s="921" t="s">
        <v>113</v>
      </c>
      <c r="H65" s="63"/>
      <c r="I65" s="63" t="s">
        <v>903</v>
      </c>
      <c r="J65" s="63" t="s">
        <v>142</v>
      </c>
      <c r="K65" s="63" t="s">
        <v>130</v>
      </c>
      <c r="L65" s="835">
        <v>40821</v>
      </c>
      <c r="M65" s="63" t="s">
        <v>1389</v>
      </c>
      <c r="N65" s="63" t="s">
        <v>99</v>
      </c>
      <c r="O65" s="63" t="s">
        <v>111</v>
      </c>
      <c r="P65" s="215">
        <v>43910</v>
      </c>
      <c r="Q65" s="155"/>
      <c r="R65" s="155" t="s">
        <v>523</v>
      </c>
      <c r="S65" s="155"/>
      <c r="T65" s="831" t="s">
        <v>525</v>
      </c>
      <c r="U65" s="155"/>
      <c r="V65" s="215">
        <v>43910</v>
      </c>
      <c r="W65" s="155"/>
      <c r="X65" s="215">
        <v>43910</v>
      </c>
      <c r="Y65" s="155"/>
      <c r="Z65" s="155" t="s">
        <v>525</v>
      </c>
      <c r="AA65" s="155"/>
      <c r="AB65" s="215">
        <v>43910</v>
      </c>
      <c r="AC65" s="155"/>
      <c r="AD65" s="215">
        <v>43910</v>
      </c>
      <c r="AE65" s="63"/>
      <c r="AF65" s="63"/>
      <c r="AG65" s="63"/>
      <c r="AH65" s="830"/>
    </row>
    <row r="66" spans="1:41" ht="76.5">
      <c r="A66" s="219" t="s">
        <v>521</v>
      </c>
      <c r="B66" s="220"/>
      <c r="C66" s="220"/>
      <c r="D66" s="218"/>
      <c r="E66" s="218" t="s">
        <v>912</v>
      </c>
      <c r="F66" s="218"/>
      <c r="G66" s="218" t="s">
        <v>113</v>
      </c>
      <c r="H66" s="218"/>
      <c r="I66" s="218" t="s">
        <v>880</v>
      </c>
      <c r="J66" s="218" t="s">
        <v>142</v>
      </c>
      <c r="K66" s="63" t="s">
        <v>130</v>
      </c>
      <c r="L66" s="221">
        <v>2142.86</v>
      </c>
      <c r="M66" s="218" t="s">
        <v>533</v>
      </c>
      <c r="N66" s="218" t="s">
        <v>99</v>
      </c>
      <c r="O66" s="218" t="s">
        <v>111</v>
      </c>
      <c r="P66" s="213">
        <v>43831</v>
      </c>
      <c r="Q66" s="53"/>
      <c r="R66" s="53" t="s">
        <v>523</v>
      </c>
      <c r="S66" s="53"/>
      <c r="T66" s="60" t="s">
        <v>525</v>
      </c>
      <c r="U66" s="53"/>
      <c r="V66" s="213">
        <v>43831</v>
      </c>
      <c r="W66" s="53"/>
      <c r="X66" s="213">
        <v>43831</v>
      </c>
      <c r="Y66" s="53"/>
      <c r="Z66" s="53" t="s">
        <v>525</v>
      </c>
      <c r="AA66" s="53"/>
      <c r="AB66" s="225">
        <v>43831</v>
      </c>
      <c r="AC66" s="53"/>
      <c r="AD66" s="225">
        <v>43891</v>
      </c>
      <c r="AE66" s="218"/>
      <c r="AF66" s="218"/>
      <c r="AG66" s="218"/>
      <c r="AH66" s="54" t="s">
        <v>605</v>
      </c>
    </row>
    <row r="67" spans="1:41" ht="76.5">
      <c r="A67" s="53" t="s">
        <v>521</v>
      </c>
      <c r="B67" s="53"/>
      <c r="C67" s="53"/>
      <c r="D67" s="53"/>
      <c r="E67" s="53" t="s">
        <v>534</v>
      </c>
      <c r="F67" s="53"/>
      <c r="G67" s="53" t="s">
        <v>113</v>
      </c>
      <c r="H67" s="53"/>
      <c r="I67" s="53" t="s">
        <v>879</v>
      </c>
      <c r="J67" s="53" t="s">
        <v>142</v>
      </c>
      <c r="K67" s="63" t="s">
        <v>130</v>
      </c>
      <c r="L67" s="212">
        <v>2857</v>
      </c>
      <c r="M67" s="53" t="s">
        <v>606</v>
      </c>
      <c r="N67" s="53" t="s">
        <v>99</v>
      </c>
      <c r="O67" s="53" t="s">
        <v>111</v>
      </c>
      <c r="P67" s="213">
        <v>43831</v>
      </c>
      <c r="Q67" s="53"/>
      <c r="R67" s="53" t="s">
        <v>523</v>
      </c>
      <c r="S67" s="53"/>
      <c r="T67" s="60" t="s">
        <v>525</v>
      </c>
      <c r="U67" s="53"/>
      <c r="V67" s="213">
        <v>43831</v>
      </c>
      <c r="W67" s="53"/>
      <c r="X67" s="213">
        <v>43831</v>
      </c>
      <c r="Y67" s="53"/>
      <c r="Z67" s="53" t="s">
        <v>525</v>
      </c>
      <c r="AA67" s="53"/>
      <c r="AB67" s="225">
        <v>43831</v>
      </c>
      <c r="AC67" s="53"/>
      <c r="AD67" s="225">
        <v>43891</v>
      </c>
      <c r="AE67" s="53"/>
      <c r="AF67" s="53"/>
      <c r="AG67" s="53"/>
      <c r="AH67" s="53" t="s">
        <v>605</v>
      </c>
    </row>
    <row r="68" spans="1:41" ht="76.5">
      <c r="A68" s="53" t="s">
        <v>521</v>
      </c>
      <c r="B68" s="53"/>
      <c r="C68" s="53"/>
      <c r="D68" s="53"/>
      <c r="E68" s="53" t="s">
        <v>607</v>
      </c>
      <c r="F68" s="53"/>
      <c r="G68" s="53" t="s">
        <v>113</v>
      </c>
      <c r="H68" s="53"/>
      <c r="I68" s="53" t="s">
        <v>878</v>
      </c>
      <c r="J68" s="53" t="s">
        <v>142</v>
      </c>
      <c r="K68" s="63" t="s">
        <v>130</v>
      </c>
      <c r="L68" s="212">
        <v>10239</v>
      </c>
      <c r="M68" s="53" t="s">
        <v>608</v>
      </c>
      <c r="N68" s="53" t="s">
        <v>99</v>
      </c>
      <c r="O68" s="53" t="s">
        <v>111</v>
      </c>
      <c r="P68" s="213">
        <v>43831</v>
      </c>
      <c r="Q68" s="53"/>
      <c r="R68" s="53" t="s">
        <v>523</v>
      </c>
      <c r="S68" s="53"/>
      <c r="T68" s="60" t="s">
        <v>525</v>
      </c>
      <c r="U68" s="53"/>
      <c r="V68" s="213">
        <v>43831</v>
      </c>
      <c r="W68" s="53"/>
      <c r="X68" s="213">
        <v>43831</v>
      </c>
      <c r="Y68" s="53"/>
      <c r="Z68" s="53" t="s">
        <v>525</v>
      </c>
      <c r="AA68" s="53"/>
      <c r="AB68" s="225">
        <v>43831</v>
      </c>
      <c r="AC68" s="53"/>
      <c r="AD68" s="225">
        <v>44166</v>
      </c>
      <c r="AE68" s="53"/>
      <c r="AF68" s="53"/>
      <c r="AG68" s="53"/>
      <c r="AH68" s="53" t="s">
        <v>605</v>
      </c>
    </row>
    <row r="69" spans="1:41" ht="76.5">
      <c r="A69" s="53" t="s">
        <v>521</v>
      </c>
      <c r="B69" s="53"/>
      <c r="C69" s="53"/>
      <c r="D69" s="53"/>
      <c r="E69" s="53" t="s">
        <v>535</v>
      </c>
      <c r="F69" s="53"/>
      <c r="G69" s="53" t="s">
        <v>113</v>
      </c>
      <c r="H69" s="53"/>
      <c r="I69" s="53" t="s">
        <v>877</v>
      </c>
      <c r="J69" s="53" t="s">
        <v>142</v>
      </c>
      <c r="K69" s="63" t="s">
        <v>130</v>
      </c>
      <c r="L69" s="212">
        <v>1785.71</v>
      </c>
      <c r="M69" s="53" t="s">
        <v>608</v>
      </c>
      <c r="N69" s="53" t="s">
        <v>99</v>
      </c>
      <c r="O69" s="53" t="s">
        <v>111</v>
      </c>
      <c r="P69" s="213">
        <v>43831</v>
      </c>
      <c r="Q69" s="53"/>
      <c r="R69" s="53" t="s">
        <v>523</v>
      </c>
      <c r="S69" s="53"/>
      <c r="T69" s="60" t="s">
        <v>525</v>
      </c>
      <c r="U69" s="53"/>
      <c r="V69" s="213">
        <v>43831</v>
      </c>
      <c r="W69" s="53"/>
      <c r="X69" s="213">
        <v>43831</v>
      </c>
      <c r="Y69" s="53"/>
      <c r="Z69" s="53" t="s">
        <v>525</v>
      </c>
      <c r="AA69" s="53"/>
      <c r="AB69" s="225">
        <v>43831</v>
      </c>
      <c r="AC69" s="53"/>
      <c r="AD69" s="225">
        <v>44166</v>
      </c>
      <c r="AE69" s="53"/>
      <c r="AF69" s="53"/>
      <c r="AG69" s="53"/>
      <c r="AH69" s="53" t="s">
        <v>605</v>
      </c>
    </row>
    <row r="70" spans="1:41" ht="15.75">
      <c r="A70" s="1287" t="s">
        <v>115</v>
      </c>
      <c r="B70" s="1288"/>
      <c r="C70" s="1288"/>
      <c r="D70" s="1288"/>
      <c r="E70" s="1288"/>
      <c r="F70" s="1288"/>
      <c r="G70" s="1288"/>
      <c r="H70" s="1288"/>
      <c r="I70" s="1288"/>
      <c r="J70" s="1288"/>
      <c r="K70" s="1288"/>
      <c r="L70" s="1288"/>
      <c r="M70" s="1288"/>
      <c r="N70" s="1288"/>
      <c r="O70" s="1288"/>
      <c r="P70" s="1288"/>
      <c r="Q70" s="1288"/>
      <c r="R70" s="1288"/>
      <c r="S70" s="1288"/>
      <c r="T70" s="1288"/>
      <c r="U70" s="1288"/>
      <c r="V70" s="1288"/>
      <c r="W70" s="1288"/>
      <c r="X70" s="1288"/>
      <c r="Y70" s="1288"/>
      <c r="Z70" s="1288"/>
      <c r="AA70" s="1288"/>
      <c r="AB70" s="1288"/>
      <c r="AC70" s="1288"/>
      <c r="AD70" s="1288"/>
      <c r="AE70" s="1288"/>
      <c r="AF70" s="1288"/>
      <c r="AG70" s="1288"/>
      <c r="AH70" s="1289"/>
      <c r="AI70" s="284"/>
      <c r="AJ70" s="284"/>
      <c r="AK70" s="284"/>
      <c r="AL70" s="284"/>
      <c r="AM70" s="284"/>
      <c r="AN70" s="284"/>
      <c r="AO70" s="284"/>
    </row>
    <row r="71" spans="1:41">
      <c r="A71" s="1281" t="s">
        <v>85</v>
      </c>
      <c r="B71" s="1257" t="s">
        <v>86</v>
      </c>
      <c r="C71" s="1290" t="s">
        <v>87</v>
      </c>
      <c r="D71" s="1257" t="s">
        <v>88</v>
      </c>
      <c r="E71" s="1257" t="s">
        <v>89</v>
      </c>
      <c r="F71" s="1257" t="s">
        <v>90</v>
      </c>
      <c r="G71" s="1257" t="s">
        <v>1365</v>
      </c>
      <c r="H71" s="1257" t="s">
        <v>91</v>
      </c>
      <c r="I71" s="1257" t="s">
        <v>92</v>
      </c>
      <c r="J71" s="1257" t="s">
        <v>1376</v>
      </c>
      <c r="K71" s="1257" t="s">
        <v>1364</v>
      </c>
      <c r="L71" s="1257" t="s">
        <v>93</v>
      </c>
      <c r="M71" s="1257" t="s">
        <v>94</v>
      </c>
      <c r="N71" s="1257" t="s">
        <v>1363</v>
      </c>
      <c r="O71" s="1257" t="s">
        <v>1362</v>
      </c>
      <c r="P71" s="1255" t="s">
        <v>95</v>
      </c>
      <c r="Q71" s="1265"/>
      <c r="R71" s="1265"/>
      <c r="S71" s="1265"/>
      <c r="T71" s="1265"/>
      <c r="U71" s="1265"/>
      <c r="V71" s="1265"/>
      <c r="W71" s="1265"/>
      <c r="X71" s="1265"/>
      <c r="Y71" s="1265"/>
      <c r="Z71" s="1265"/>
      <c r="AA71" s="1265"/>
      <c r="AB71" s="1265"/>
      <c r="AC71" s="1265"/>
      <c r="AD71" s="1265"/>
      <c r="AE71" s="1256"/>
      <c r="AF71" s="1257" t="s">
        <v>96</v>
      </c>
      <c r="AG71" s="1257" t="s">
        <v>97</v>
      </c>
      <c r="AH71" s="1284" t="s">
        <v>98</v>
      </c>
      <c r="AI71" s="284"/>
      <c r="AJ71" s="284"/>
      <c r="AK71" s="284"/>
      <c r="AL71" s="284"/>
      <c r="AM71" s="284"/>
      <c r="AN71" s="284"/>
      <c r="AO71" s="284"/>
    </row>
    <row r="72" spans="1:41">
      <c r="A72" s="1282"/>
      <c r="B72" s="1258"/>
      <c r="C72" s="1291"/>
      <c r="D72" s="1258"/>
      <c r="E72" s="1258"/>
      <c r="F72" s="1258"/>
      <c r="G72" s="1258"/>
      <c r="H72" s="1258"/>
      <c r="I72" s="1258"/>
      <c r="J72" s="1258"/>
      <c r="K72" s="1258"/>
      <c r="L72" s="1258"/>
      <c r="M72" s="1258"/>
      <c r="N72" s="1258"/>
      <c r="O72" s="1258"/>
      <c r="P72" s="1255" t="s">
        <v>100</v>
      </c>
      <c r="Q72" s="1256"/>
      <c r="R72" s="1255" t="s">
        <v>101</v>
      </c>
      <c r="S72" s="1256"/>
      <c r="T72" s="1255" t="s">
        <v>102</v>
      </c>
      <c r="U72" s="1256"/>
      <c r="V72" s="1255" t="s">
        <v>103</v>
      </c>
      <c r="W72" s="1256"/>
      <c r="X72" s="1255" t="s">
        <v>104</v>
      </c>
      <c r="Y72" s="1256"/>
      <c r="Z72" s="1255" t="s">
        <v>105</v>
      </c>
      <c r="AA72" s="1256"/>
      <c r="AB72" s="1255" t="s">
        <v>106</v>
      </c>
      <c r="AC72" s="1256"/>
      <c r="AD72" s="1255" t="s">
        <v>107</v>
      </c>
      <c r="AE72" s="1256"/>
      <c r="AF72" s="1258"/>
      <c r="AG72" s="1258"/>
      <c r="AH72" s="1285"/>
      <c r="AI72" s="284"/>
      <c r="AJ72" s="284"/>
      <c r="AK72" s="284"/>
      <c r="AL72" s="284"/>
      <c r="AM72" s="284"/>
      <c r="AN72" s="284"/>
      <c r="AO72" s="284"/>
    </row>
    <row r="73" spans="1:41">
      <c r="A73" s="1283"/>
      <c r="B73" s="1259"/>
      <c r="C73" s="1292"/>
      <c r="D73" s="1259"/>
      <c r="E73" s="1259"/>
      <c r="F73" s="1259"/>
      <c r="G73" s="1259"/>
      <c r="H73" s="1259"/>
      <c r="I73" s="1259"/>
      <c r="J73" s="1259"/>
      <c r="K73" s="1259"/>
      <c r="L73" s="1259"/>
      <c r="M73" s="1259"/>
      <c r="N73" s="1259"/>
      <c r="O73" s="1259"/>
      <c r="P73" s="834" t="s">
        <v>109</v>
      </c>
      <c r="Q73" s="834" t="s">
        <v>110</v>
      </c>
      <c r="R73" s="834" t="s">
        <v>109</v>
      </c>
      <c r="S73" s="834" t="s">
        <v>110</v>
      </c>
      <c r="T73" s="834" t="s">
        <v>109</v>
      </c>
      <c r="U73" s="834" t="s">
        <v>110</v>
      </c>
      <c r="V73" s="834" t="s">
        <v>109</v>
      </c>
      <c r="W73" s="834" t="s">
        <v>110</v>
      </c>
      <c r="X73" s="834" t="s">
        <v>109</v>
      </c>
      <c r="Y73" s="834" t="s">
        <v>110</v>
      </c>
      <c r="Z73" s="834" t="s">
        <v>109</v>
      </c>
      <c r="AA73" s="834" t="s">
        <v>110</v>
      </c>
      <c r="AB73" s="834" t="s">
        <v>109</v>
      </c>
      <c r="AC73" s="834" t="s">
        <v>110</v>
      </c>
      <c r="AD73" s="834" t="s">
        <v>109</v>
      </c>
      <c r="AE73" s="834" t="s">
        <v>110</v>
      </c>
      <c r="AF73" s="1259"/>
      <c r="AG73" s="1259"/>
      <c r="AH73" s="1286"/>
      <c r="AI73" s="284"/>
      <c r="AJ73" s="284"/>
      <c r="AK73" s="284"/>
      <c r="AL73" s="284"/>
      <c r="AM73" s="284"/>
      <c r="AN73" s="284"/>
      <c r="AO73" s="284"/>
    </row>
    <row r="74" spans="1:41" ht="25.5">
      <c r="A74" s="63" t="s">
        <v>521</v>
      </c>
      <c r="B74" s="63"/>
      <c r="C74" s="63"/>
      <c r="D74" s="63"/>
      <c r="E74" s="63" t="s">
        <v>536</v>
      </c>
      <c r="F74" s="63"/>
      <c r="G74" s="63" t="s">
        <v>113</v>
      </c>
      <c r="H74" s="63"/>
      <c r="I74" s="63" t="s">
        <v>876</v>
      </c>
      <c r="J74" s="63" t="s">
        <v>144</v>
      </c>
      <c r="K74" s="63" t="s">
        <v>130</v>
      </c>
      <c r="L74" s="216">
        <v>1157</v>
      </c>
      <c r="M74" s="63" t="s">
        <v>522</v>
      </c>
      <c r="N74" s="63" t="s">
        <v>99</v>
      </c>
      <c r="O74" s="63" t="s">
        <v>111</v>
      </c>
      <c r="P74" s="217">
        <v>43891</v>
      </c>
      <c r="Q74" s="63"/>
      <c r="R74" s="63" t="s">
        <v>523</v>
      </c>
      <c r="S74" s="63"/>
      <c r="T74" s="217" t="s">
        <v>523</v>
      </c>
      <c r="U74" s="63"/>
      <c r="V74" s="217">
        <v>43891</v>
      </c>
      <c r="W74" s="63"/>
      <c r="X74" s="217">
        <v>43891</v>
      </c>
      <c r="Y74" s="63"/>
      <c r="Z74" s="63" t="s">
        <v>525</v>
      </c>
      <c r="AA74" s="63"/>
      <c r="AB74" s="217">
        <v>43891</v>
      </c>
      <c r="AC74" s="63"/>
      <c r="AD74" s="217">
        <v>43891</v>
      </c>
      <c r="AE74" s="63"/>
      <c r="AF74" s="63"/>
      <c r="AG74" s="63"/>
      <c r="AH74" s="833"/>
    </row>
    <row r="75" spans="1:41" ht="30">
      <c r="A75" s="155" t="s">
        <v>521</v>
      </c>
      <c r="B75" s="895"/>
      <c r="C75" s="895"/>
      <c r="D75" s="895"/>
      <c r="E75" s="942" t="s">
        <v>1388</v>
      </c>
      <c r="F75" s="895"/>
      <c r="G75" s="155" t="s">
        <v>113</v>
      </c>
      <c r="H75" s="895"/>
      <c r="I75" s="155" t="s">
        <v>893</v>
      </c>
      <c r="J75" s="155" t="s">
        <v>144</v>
      </c>
      <c r="K75" s="155" t="s">
        <v>130</v>
      </c>
      <c r="L75" s="896">
        <f>+'[3]3. Implementation Plan'!$F$12</f>
        <v>18754</v>
      </c>
      <c r="M75" s="155" t="s">
        <v>522</v>
      </c>
      <c r="N75" s="155" t="s">
        <v>99</v>
      </c>
      <c r="O75" s="155" t="s">
        <v>111</v>
      </c>
      <c r="P75" s="897">
        <v>43862</v>
      </c>
      <c r="Q75" s="895"/>
      <c r="R75" s="155" t="s">
        <v>523</v>
      </c>
      <c r="S75" s="155"/>
      <c r="T75" s="215" t="s">
        <v>523</v>
      </c>
      <c r="U75" s="155"/>
      <c r="V75" s="897">
        <v>43862</v>
      </c>
      <c r="W75" s="895"/>
      <c r="X75" s="897">
        <v>43862</v>
      </c>
      <c r="Y75" s="895"/>
      <c r="Z75" s="155" t="s">
        <v>525</v>
      </c>
      <c r="AA75" s="895"/>
      <c r="AB75" s="897">
        <v>43862</v>
      </c>
      <c r="AC75" s="895"/>
      <c r="AD75" s="897">
        <v>43862</v>
      </c>
      <c r="AE75" s="895"/>
      <c r="AF75" s="895"/>
      <c r="AG75" s="895"/>
      <c r="AH75" s="895"/>
      <c r="AI75" s="387"/>
      <c r="AJ75" s="387"/>
      <c r="AK75" s="387"/>
      <c r="AL75" s="387"/>
      <c r="AM75" s="387"/>
      <c r="AN75" s="387"/>
      <c r="AO75" s="387"/>
    </row>
    <row r="76" spans="1:41" ht="76.5">
      <c r="A76" s="573" t="s">
        <v>521</v>
      </c>
      <c r="B76" s="572"/>
      <c r="C76" s="572"/>
      <c r="D76" s="335"/>
      <c r="E76" s="918" t="s">
        <v>1418</v>
      </c>
      <c r="F76" s="335"/>
      <c r="G76" s="63" t="s">
        <v>113</v>
      </c>
      <c r="H76" s="335"/>
      <c r="I76" s="335" t="s">
        <v>1419</v>
      </c>
      <c r="J76" s="155" t="s">
        <v>144</v>
      </c>
      <c r="K76" s="155" t="s">
        <v>130</v>
      </c>
      <c r="L76" s="571">
        <f>+'[3]3. Implementation Plan'!$F$23</f>
        <v>2857</v>
      </c>
      <c r="M76" s="335" t="s">
        <v>522</v>
      </c>
      <c r="N76" s="155" t="s">
        <v>99</v>
      </c>
      <c r="O76" s="335" t="s">
        <v>111</v>
      </c>
      <c r="P76" s="832">
        <v>43881</v>
      </c>
      <c r="Q76" s="335"/>
      <c r="R76" s="335" t="s">
        <v>523</v>
      </c>
      <c r="S76" s="335"/>
      <c r="T76" s="832">
        <v>43881</v>
      </c>
      <c r="U76" s="335"/>
      <c r="V76" s="832">
        <v>43881</v>
      </c>
      <c r="W76" s="335"/>
      <c r="X76" s="832">
        <v>43881</v>
      </c>
      <c r="Y76" s="335"/>
      <c r="Z76" s="335" t="s">
        <v>523</v>
      </c>
      <c r="AA76" s="335"/>
      <c r="AB76" s="832">
        <v>43881</v>
      </c>
      <c r="AC76" s="335"/>
      <c r="AD76" s="832">
        <v>43881</v>
      </c>
      <c r="AE76" s="335"/>
      <c r="AF76" s="335"/>
      <c r="AG76" s="335"/>
      <c r="AH76" s="830" t="s">
        <v>1382</v>
      </c>
      <c r="AI76" s="387"/>
      <c r="AJ76" s="387"/>
      <c r="AK76" s="387"/>
      <c r="AL76" s="387"/>
      <c r="AM76" s="387"/>
      <c r="AN76" s="387"/>
      <c r="AO76" s="387"/>
    </row>
    <row r="77" spans="1:41" ht="38.25">
      <c r="A77" s="826" t="s">
        <v>521</v>
      </c>
      <c r="B77" s="62"/>
      <c r="C77" s="62"/>
      <c r="D77" s="63"/>
      <c r="E77" s="921" t="s">
        <v>538</v>
      </c>
      <c r="F77" s="63"/>
      <c r="G77" s="63" t="s">
        <v>113</v>
      </c>
      <c r="H77" s="63"/>
      <c r="I77" s="63" t="s">
        <v>874</v>
      </c>
      <c r="J77" s="63" t="s">
        <v>144</v>
      </c>
      <c r="K77" s="155" t="s">
        <v>130</v>
      </c>
      <c r="L77" s="216">
        <f>+'[3]3. Implementation Plan'!$F$56+'[3]3. Implementation Plan'!$F$61</f>
        <v>11830</v>
      </c>
      <c r="M77" s="63" t="s">
        <v>524</v>
      </c>
      <c r="N77" s="63" t="s">
        <v>99</v>
      </c>
      <c r="O77" s="63" t="s">
        <v>111</v>
      </c>
      <c r="P77" s="897">
        <v>43862</v>
      </c>
      <c r="Q77" s="155"/>
      <c r="R77" s="155" t="s">
        <v>523</v>
      </c>
      <c r="S77" s="155"/>
      <c r="T77" s="831" t="s">
        <v>525</v>
      </c>
      <c r="U77" s="155"/>
      <c r="V77" s="897">
        <v>43862</v>
      </c>
      <c r="W77" s="895"/>
      <c r="X77" s="897">
        <v>43862</v>
      </c>
      <c r="Y77" s="155"/>
      <c r="Z77" s="155" t="s">
        <v>525</v>
      </c>
      <c r="AA77" s="155"/>
      <c r="AB77" s="897">
        <v>43862</v>
      </c>
      <c r="AC77" s="895"/>
      <c r="AD77" s="897">
        <v>43862</v>
      </c>
      <c r="AE77" s="63"/>
      <c r="AF77" s="63"/>
      <c r="AG77" s="63"/>
      <c r="AH77" s="830"/>
      <c r="AI77" s="387"/>
      <c r="AJ77" s="387"/>
      <c r="AK77" s="387"/>
      <c r="AL77" s="387"/>
      <c r="AM77" s="387"/>
      <c r="AN77" s="387"/>
      <c r="AO77" s="387"/>
    </row>
    <row r="78" spans="1:41" ht="38.25">
      <c r="A78" s="826" t="s">
        <v>528</v>
      </c>
      <c r="B78" s="62"/>
      <c r="C78" s="62"/>
      <c r="D78" s="63"/>
      <c r="E78" s="921" t="s">
        <v>539</v>
      </c>
      <c r="F78" s="63"/>
      <c r="G78" s="63" t="s">
        <v>113</v>
      </c>
      <c r="H78" s="63"/>
      <c r="I78" s="63" t="s">
        <v>873</v>
      </c>
      <c r="J78" s="63" t="s">
        <v>144</v>
      </c>
      <c r="K78" s="155" t="s">
        <v>130</v>
      </c>
      <c r="L78" s="216">
        <f>+'[3]3. Implementation Plan'!$F$64+'[3]3. Implementation Plan'!$F$58</f>
        <v>3880</v>
      </c>
      <c r="M78" s="63" t="s">
        <v>524</v>
      </c>
      <c r="N78" s="63" t="s">
        <v>99</v>
      </c>
      <c r="O78" s="63" t="s">
        <v>111</v>
      </c>
      <c r="P78" s="897">
        <v>43862</v>
      </c>
      <c r="Q78" s="155"/>
      <c r="R78" s="155" t="s">
        <v>523</v>
      </c>
      <c r="S78" s="155"/>
      <c r="T78" s="831" t="s">
        <v>525</v>
      </c>
      <c r="U78" s="155"/>
      <c r="V78" s="897">
        <v>43862</v>
      </c>
      <c r="W78" s="895"/>
      <c r="X78" s="897">
        <v>43862</v>
      </c>
      <c r="Y78" s="155"/>
      <c r="Z78" s="155" t="s">
        <v>525</v>
      </c>
      <c r="AA78" s="155"/>
      <c r="AB78" s="897">
        <v>43862</v>
      </c>
      <c r="AC78" s="895"/>
      <c r="AD78" s="897">
        <v>43862</v>
      </c>
      <c r="AE78" s="63"/>
      <c r="AF78" s="63"/>
      <c r="AG78" s="63"/>
      <c r="AH78" s="830"/>
      <c r="AI78" s="387"/>
      <c r="AJ78" s="387"/>
      <c r="AK78" s="387"/>
      <c r="AL78" s="387"/>
      <c r="AM78" s="387"/>
      <c r="AN78" s="387"/>
      <c r="AO78" s="387"/>
    </row>
    <row r="79" spans="1:41" ht="38.25">
      <c r="A79" s="826" t="s">
        <v>528</v>
      </c>
      <c r="B79" s="62"/>
      <c r="C79" s="62"/>
      <c r="D79" s="63"/>
      <c r="E79" s="921" t="s">
        <v>540</v>
      </c>
      <c r="F79" s="63"/>
      <c r="G79" s="63" t="s">
        <v>113</v>
      </c>
      <c r="H79" s="63"/>
      <c r="I79" s="63" t="s">
        <v>872</v>
      </c>
      <c r="J79" s="63" t="s">
        <v>144</v>
      </c>
      <c r="K79" s="63" t="s">
        <v>130</v>
      </c>
      <c r="L79" s="216">
        <f>+'[3]3. Implementation Plan'!$F$63+'[3]3. Implementation Plan'!$F$57</f>
        <v>6417</v>
      </c>
      <c r="M79" s="63" t="s">
        <v>524</v>
      </c>
      <c r="N79" s="63" t="s">
        <v>99</v>
      </c>
      <c r="O79" s="63" t="s">
        <v>111</v>
      </c>
      <c r="P79" s="897">
        <v>43862</v>
      </c>
      <c r="Q79" s="155"/>
      <c r="R79" s="155" t="s">
        <v>523</v>
      </c>
      <c r="S79" s="155"/>
      <c r="T79" s="831" t="s">
        <v>525</v>
      </c>
      <c r="U79" s="155"/>
      <c r="V79" s="897">
        <v>43862</v>
      </c>
      <c r="W79" s="895"/>
      <c r="X79" s="897">
        <v>43862</v>
      </c>
      <c r="Y79" s="155"/>
      <c r="Z79" s="155" t="s">
        <v>525</v>
      </c>
      <c r="AA79" s="155"/>
      <c r="AB79" s="897">
        <v>43862</v>
      </c>
      <c r="AC79" s="895"/>
      <c r="AD79" s="897">
        <v>43862</v>
      </c>
      <c r="AE79" s="63"/>
      <c r="AF79" s="63"/>
      <c r="AG79" s="63"/>
      <c r="AH79" s="830"/>
      <c r="AI79" s="387"/>
      <c r="AJ79" s="387"/>
      <c r="AK79" s="387"/>
      <c r="AL79" s="387"/>
      <c r="AM79" s="387"/>
      <c r="AN79" s="387"/>
      <c r="AO79" s="387"/>
    </row>
    <row r="80" spans="1:41" ht="25.5">
      <c r="A80" s="826" t="s">
        <v>521</v>
      </c>
      <c r="B80" s="62"/>
      <c r="C80" s="62"/>
      <c r="D80" s="63"/>
      <c r="E80" s="921" t="s">
        <v>541</v>
      </c>
      <c r="F80" s="63"/>
      <c r="G80" s="63" t="s">
        <v>113</v>
      </c>
      <c r="H80" s="63"/>
      <c r="I80" s="63" t="s">
        <v>871</v>
      </c>
      <c r="J80" s="63" t="s">
        <v>144</v>
      </c>
      <c r="K80" s="63" t="s">
        <v>130</v>
      </c>
      <c r="L80" s="216">
        <f>+'[3]3. Implementation Plan'!$F$54+'[3]3. Implementation Plan'!$F$49</f>
        <v>5874</v>
      </c>
      <c r="M80" s="63" t="s">
        <v>524</v>
      </c>
      <c r="N80" s="63" t="s">
        <v>99</v>
      </c>
      <c r="O80" s="63" t="s">
        <v>111</v>
      </c>
      <c r="P80" s="897">
        <v>43862</v>
      </c>
      <c r="Q80" s="155"/>
      <c r="R80" s="155" t="s">
        <v>523</v>
      </c>
      <c r="S80" s="155"/>
      <c r="T80" s="831" t="s">
        <v>525</v>
      </c>
      <c r="U80" s="155"/>
      <c r="V80" s="897">
        <v>43862</v>
      </c>
      <c r="W80" s="895"/>
      <c r="X80" s="897">
        <v>43862</v>
      </c>
      <c r="Y80" s="155"/>
      <c r="Z80" s="155" t="s">
        <v>525</v>
      </c>
      <c r="AA80" s="155"/>
      <c r="AB80" s="897">
        <v>43862</v>
      </c>
      <c r="AC80" s="895"/>
      <c r="AD80" s="897">
        <v>43862</v>
      </c>
      <c r="AE80" s="63"/>
      <c r="AF80" s="63"/>
      <c r="AG80" s="63"/>
      <c r="AH80" s="830"/>
      <c r="AI80" s="387"/>
      <c r="AJ80" s="387"/>
      <c r="AK80" s="387"/>
      <c r="AL80" s="387"/>
      <c r="AM80" s="387"/>
      <c r="AN80" s="387"/>
      <c r="AO80" s="387"/>
    </row>
    <row r="81" spans="1:41" ht="25.5">
      <c r="A81" s="826" t="s">
        <v>521</v>
      </c>
      <c r="B81" s="62"/>
      <c r="C81" s="62"/>
      <c r="D81" s="63"/>
      <c r="E81" s="921" t="s">
        <v>542</v>
      </c>
      <c r="F81" s="63"/>
      <c r="G81" s="63" t="s">
        <v>113</v>
      </c>
      <c r="H81" s="63"/>
      <c r="I81" s="63" t="s">
        <v>870</v>
      </c>
      <c r="J81" s="63" t="s">
        <v>144</v>
      </c>
      <c r="K81" s="63" t="s">
        <v>130</v>
      </c>
      <c r="L81" s="216">
        <f>+'[3]3. Implementation Plan'!$F$55+'[3]3. Implementation Plan'!$F$60</f>
        <v>17531</v>
      </c>
      <c r="M81" s="63" t="s">
        <v>524</v>
      </c>
      <c r="N81" s="63" t="s">
        <v>99</v>
      </c>
      <c r="O81" s="63" t="s">
        <v>111</v>
      </c>
      <c r="P81" s="897">
        <v>43862</v>
      </c>
      <c r="Q81" s="155"/>
      <c r="R81" s="155" t="s">
        <v>523</v>
      </c>
      <c r="S81" s="155"/>
      <c r="T81" s="831" t="s">
        <v>525</v>
      </c>
      <c r="U81" s="155"/>
      <c r="V81" s="897">
        <v>43862</v>
      </c>
      <c r="W81" s="895"/>
      <c r="X81" s="897">
        <v>43862</v>
      </c>
      <c r="Y81" s="155"/>
      <c r="Z81" s="155" t="s">
        <v>525</v>
      </c>
      <c r="AA81" s="155"/>
      <c r="AB81" s="897">
        <v>43862</v>
      </c>
      <c r="AC81" s="895"/>
      <c r="AD81" s="897">
        <v>43862</v>
      </c>
      <c r="AE81" s="63"/>
      <c r="AF81" s="63"/>
      <c r="AG81" s="63"/>
      <c r="AH81" s="830"/>
      <c r="AI81" s="387"/>
      <c r="AJ81" s="387"/>
      <c r="AK81" s="387"/>
      <c r="AL81" s="387"/>
      <c r="AM81" s="387"/>
      <c r="AN81" s="387"/>
      <c r="AO81" s="387"/>
    </row>
    <row r="82" spans="1:41" ht="25.5">
      <c r="A82" s="826" t="s">
        <v>521</v>
      </c>
      <c r="B82" s="62"/>
      <c r="C82" s="62"/>
      <c r="D82" s="63"/>
      <c r="E82" s="921" t="s">
        <v>1416</v>
      </c>
      <c r="F82" s="63"/>
      <c r="G82" s="155" t="s">
        <v>113</v>
      </c>
      <c r="H82" s="63"/>
      <c r="I82" s="63" t="s">
        <v>875</v>
      </c>
      <c r="J82" s="63" t="s">
        <v>144</v>
      </c>
      <c r="K82" s="155" t="s">
        <v>130</v>
      </c>
      <c r="L82" s="216">
        <f>+'[3]3. Implementation Plan'!$F$59</f>
        <v>319</v>
      </c>
      <c r="M82" s="63" t="s">
        <v>522</v>
      </c>
      <c r="N82" s="63" t="s">
        <v>99</v>
      </c>
      <c r="O82" s="63" t="s">
        <v>111</v>
      </c>
      <c r="P82" s="832">
        <v>43891</v>
      </c>
      <c r="Q82" s="335"/>
      <c r="R82" s="335" t="s">
        <v>523</v>
      </c>
      <c r="S82" s="335"/>
      <c r="T82" s="217" t="s">
        <v>523</v>
      </c>
      <c r="U82" s="335"/>
      <c r="V82" s="217">
        <v>43891</v>
      </c>
      <c r="W82" s="335"/>
      <c r="X82" s="217">
        <v>43891</v>
      </c>
      <c r="Y82" s="335"/>
      <c r="Z82" s="155" t="s">
        <v>525</v>
      </c>
      <c r="AA82" s="335"/>
      <c r="AB82" s="832">
        <v>43891</v>
      </c>
      <c r="AC82" s="335"/>
      <c r="AD82" s="832">
        <v>43891</v>
      </c>
      <c r="AE82" s="63"/>
      <c r="AF82" s="63"/>
      <c r="AG82" s="63"/>
      <c r="AH82" s="830"/>
      <c r="AI82" s="387"/>
      <c r="AJ82" s="387"/>
      <c r="AK82" s="387"/>
      <c r="AL82" s="387"/>
      <c r="AM82" s="387"/>
      <c r="AN82" s="387"/>
      <c r="AO82" s="387"/>
    </row>
    <row r="83" spans="1:41" ht="38.25">
      <c r="A83" s="826" t="s">
        <v>528</v>
      </c>
      <c r="B83" s="62"/>
      <c r="C83" s="62"/>
      <c r="D83" s="63"/>
      <c r="E83" s="921" t="s">
        <v>1387</v>
      </c>
      <c r="F83" s="63"/>
      <c r="G83" s="63" t="s">
        <v>113</v>
      </c>
      <c r="H83" s="63"/>
      <c r="I83" s="63" t="s">
        <v>869</v>
      </c>
      <c r="J83" s="63" t="s">
        <v>144</v>
      </c>
      <c r="K83" s="63" t="s">
        <v>130</v>
      </c>
      <c r="L83" s="216">
        <f>+'[3]3. Implementation Plan'!$F$51+'[3]3. Implementation Plan'!$F$62+'[3]3. Implementation Plan'!$F$53</f>
        <v>4528</v>
      </c>
      <c r="M83" s="63" t="s">
        <v>524</v>
      </c>
      <c r="N83" s="63" t="s">
        <v>99</v>
      </c>
      <c r="O83" s="63" t="s">
        <v>111</v>
      </c>
      <c r="P83" s="897">
        <v>43862</v>
      </c>
      <c r="Q83" s="155"/>
      <c r="R83" s="155" t="s">
        <v>523</v>
      </c>
      <c r="S83" s="155"/>
      <c r="T83" s="831" t="s">
        <v>525</v>
      </c>
      <c r="U83" s="155"/>
      <c r="V83" s="897">
        <v>43862</v>
      </c>
      <c r="W83" s="895"/>
      <c r="X83" s="897">
        <v>43862</v>
      </c>
      <c r="Y83" s="155"/>
      <c r="Z83" s="155" t="s">
        <v>525</v>
      </c>
      <c r="AA83" s="155"/>
      <c r="AB83" s="897">
        <v>43862</v>
      </c>
      <c r="AC83" s="895"/>
      <c r="AD83" s="897">
        <v>43862</v>
      </c>
      <c r="AE83" s="63"/>
      <c r="AF83" s="63"/>
      <c r="AG83" s="63"/>
      <c r="AH83" s="830"/>
      <c r="AI83" s="387"/>
      <c r="AJ83" s="387"/>
      <c r="AK83" s="387"/>
      <c r="AL83" s="387"/>
      <c r="AM83" s="387"/>
      <c r="AN83" s="387"/>
      <c r="AO83" s="387"/>
    </row>
    <row r="84" spans="1:41" ht="38.25">
      <c r="A84" s="919" t="s">
        <v>521</v>
      </c>
      <c r="B84" s="920"/>
      <c r="C84" s="920"/>
      <c r="D84" s="921"/>
      <c r="E84" s="921" t="s">
        <v>1386</v>
      </c>
      <c r="F84" s="63"/>
      <c r="G84" s="63" t="s">
        <v>113</v>
      </c>
      <c r="H84" s="63"/>
      <c r="I84" s="63" t="s">
        <v>869</v>
      </c>
      <c r="J84" s="63" t="s">
        <v>144</v>
      </c>
      <c r="K84" s="63" t="s">
        <v>130</v>
      </c>
      <c r="L84" s="216">
        <f>+'[3]3. Implementation Plan'!$F$52</f>
        <v>11080</v>
      </c>
      <c r="M84" s="63" t="s">
        <v>524</v>
      </c>
      <c r="N84" s="63" t="s">
        <v>537</v>
      </c>
      <c r="O84" s="63" t="s">
        <v>111</v>
      </c>
      <c r="P84" s="897">
        <v>43862</v>
      </c>
      <c r="Q84" s="155"/>
      <c r="R84" s="155" t="s">
        <v>523</v>
      </c>
      <c r="S84" s="155"/>
      <c r="T84" s="831" t="s">
        <v>525</v>
      </c>
      <c r="U84" s="155"/>
      <c r="V84" s="897">
        <v>43862</v>
      </c>
      <c r="W84" s="895"/>
      <c r="X84" s="897">
        <v>43862</v>
      </c>
      <c r="Y84" s="155"/>
      <c r="Z84" s="155" t="s">
        <v>525</v>
      </c>
      <c r="AA84" s="155"/>
      <c r="AB84" s="897">
        <v>43862</v>
      </c>
      <c r="AC84" s="895"/>
      <c r="AD84" s="897">
        <v>43862</v>
      </c>
      <c r="AE84" s="63"/>
      <c r="AF84" s="63"/>
      <c r="AG84" s="63"/>
      <c r="AH84" s="830"/>
    </row>
    <row r="85" spans="1:41" ht="25.5">
      <c r="A85" s="919" t="s">
        <v>521</v>
      </c>
      <c r="B85" s="920"/>
      <c r="C85" s="920"/>
      <c r="D85" s="921"/>
      <c r="E85" s="921" t="s">
        <v>868</v>
      </c>
      <c r="F85" s="63"/>
      <c r="G85" s="63" t="s">
        <v>113</v>
      </c>
      <c r="H85" s="63"/>
      <c r="I85" s="63" t="s">
        <v>867</v>
      </c>
      <c r="J85" s="63" t="s">
        <v>144</v>
      </c>
      <c r="K85" s="63" t="s">
        <v>130</v>
      </c>
      <c r="L85" s="216">
        <f>+'[3]3. Implementation Plan'!$F$103</f>
        <v>17055</v>
      </c>
      <c r="M85" s="63" t="s">
        <v>543</v>
      </c>
      <c r="N85" s="63" t="s">
        <v>99</v>
      </c>
      <c r="O85" s="63" t="s">
        <v>111</v>
      </c>
      <c r="P85" s="215">
        <v>43831</v>
      </c>
      <c r="Q85" s="155"/>
      <c r="R85" s="155" t="s">
        <v>523</v>
      </c>
      <c r="S85" s="155"/>
      <c r="T85" s="831" t="s">
        <v>525</v>
      </c>
      <c r="U85" s="155"/>
      <c r="V85" s="215">
        <v>43831</v>
      </c>
      <c r="W85" s="155"/>
      <c r="X85" s="215">
        <v>43831</v>
      </c>
      <c r="Y85" s="155"/>
      <c r="Z85" s="155" t="s">
        <v>525</v>
      </c>
      <c r="AA85" s="155"/>
      <c r="AB85" s="57">
        <v>43831</v>
      </c>
      <c r="AC85" s="155"/>
      <c r="AD85" s="57">
        <v>43862</v>
      </c>
      <c r="AE85" s="63"/>
      <c r="AF85" s="63"/>
      <c r="AG85" s="63"/>
      <c r="AH85" s="830"/>
    </row>
    <row r="86" spans="1:41" ht="25.5">
      <c r="A86" s="919" t="s">
        <v>521</v>
      </c>
      <c r="B86" s="920"/>
      <c r="C86" s="920"/>
      <c r="D86" s="921"/>
      <c r="E86" s="921" t="s">
        <v>866</v>
      </c>
      <c r="F86" s="63"/>
      <c r="G86" s="63" t="s">
        <v>113</v>
      </c>
      <c r="H86" s="63"/>
      <c r="I86" s="63" t="s">
        <v>865</v>
      </c>
      <c r="J86" s="63" t="s">
        <v>144</v>
      </c>
      <c r="K86" s="63" t="s">
        <v>130</v>
      </c>
      <c r="L86" s="216">
        <f>+'[3]3. Implementation Plan'!$F$104</f>
        <v>1442</v>
      </c>
      <c r="M86" s="63" t="s">
        <v>543</v>
      </c>
      <c r="N86" s="63" t="s">
        <v>99</v>
      </c>
      <c r="O86" s="63" t="s">
        <v>111</v>
      </c>
      <c r="P86" s="215">
        <v>43831</v>
      </c>
      <c r="Q86" s="155"/>
      <c r="R86" s="155" t="s">
        <v>523</v>
      </c>
      <c r="S86" s="155"/>
      <c r="T86" s="831" t="s">
        <v>525</v>
      </c>
      <c r="U86" s="155"/>
      <c r="V86" s="215">
        <v>43831</v>
      </c>
      <c r="W86" s="155"/>
      <c r="X86" s="215">
        <v>43831</v>
      </c>
      <c r="Y86" s="155"/>
      <c r="Z86" s="155" t="s">
        <v>525</v>
      </c>
      <c r="AA86" s="155"/>
      <c r="AB86" s="57">
        <v>43831</v>
      </c>
      <c r="AC86" s="155"/>
      <c r="AD86" s="57">
        <v>43862</v>
      </c>
      <c r="AE86" s="63"/>
      <c r="AF86" s="63"/>
      <c r="AG86" s="63"/>
      <c r="AH86" s="830"/>
    </row>
    <row r="87" spans="1:41" ht="25.5">
      <c r="A87" s="919" t="s">
        <v>521</v>
      </c>
      <c r="B87" s="920"/>
      <c r="C87" s="920"/>
      <c r="D87" s="921"/>
      <c r="E87" s="921" t="s">
        <v>864</v>
      </c>
      <c r="F87" s="63"/>
      <c r="G87" s="63" t="s">
        <v>113</v>
      </c>
      <c r="H87" s="63"/>
      <c r="I87" s="63" t="s">
        <v>863</v>
      </c>
      <c r="J87" s="63" t="s">
        <v>144</v>
      </c>
      <c r="K87" s="63" t="s">
        <v>130</v>
      </c>
      <c r="L87" s="216">
        <f>+'[3]3. Implementation Plan'!$F$105</f>
        <v>3607</v>
      </c>
      <c r="M87" s="63" t="s">
        <v>543</v>
      </c>
      <c r="N87" s="63" t="s">
        <v>537</v>
      </c>
      <c r="O87" s="63" t="s">
        <v>111</v>
      </c>
      <c r="P87" s="215">
        <v>43831</v>
      </c>
      <c r="Q87" s="155"/>
      <c r="R87" s="155" t="s">
        <v>523</v>
      </c>
      <c r="S87" s="155"/>
      <c r="T87" s="831" t="s">
        <v>525</v>
      </c>
      <c r="U87" s="155"/>
      <c r="V87" s="215">
        <v>43831</v>
      </c>
      <c r="W87" s="155"/>
      <c r="X87" s="215">
        <v>43831</v>
      </c>
      <c r="Y87" s="155"/>
      <c r="Z87" s="155" t="s">
        <v>525</v>
      </c>
      <c r="AA87" s="155"/>
      <c r="AB87" s="57">
        <v>43831</v>
      </c>
      <c r="AC87" s="155"/>
      <c r="AD87" s="57">
        <v>43862</v>
      </c>
      <c r="AE87" s="63"/>
      <c r="AF87" s="63"/>
      <c r="AG87" s="63"/>
      <c r="AH87" s="830"/>
    </row>
    <row r="88" spans="1:41" ht="76.5">
      <c r="A88" s="919" t="s">
        <v>521</v>
      </c>
      <c r="B88" s="920"/>
      <c r="C88" s="920"/>
      <c r="D88" s="921"/>
      <c r="E88" s="921" t="s">
        <v>1384</v>
      </c>
      <c r="F88" s="63"/>
      <c r="G88" s="63" t="s">
        <v>113</v>
      </c>
      <c r="H88" s="63"/>
      <c r="I88" s="63" t="s">
        <v>1383</v>
      </c>
      <c r="J88" s="63" t="s">
        <v>144</v>
      </c>
      <c r="K88" s="63" t="s">
        <v>130</v>
      </c>
      <c r="L88" s="216">
        <v>20468</v>
      </c>
      <c r="M88" s="63" t="s">
        <v>526</v>
      </c>
      <c r="N88" s="63" t="s">
        <v>99</v>
      </c>
      <c r="O88" s="63" t="s">
        <v>111</v>
      </c>
      <c r="P88" s="217">
        <v>43891</v>
      </c>
      <c r="Q88" s="63"/>
      <c r="R88" s="63" t="s">
        <v>523</v>
      </c>
      <c r="S88" s="63"/>
      <c r="T88" s="217">
        <v>43891</v>
      </c>
      <c r="U88" s="63"/>
      <c r="V88" s="217">
        <v>43891</v>
      </c>
      <c r="W88" s="63"/>
      <c r="X88" s="217">
        <v>43891</v>
      </c>
      <c r="Y88" s="63"/>
      <c r="Z88" s="63" t="s">
        <v>523</v>
      </c>
      <c r="AA88" s="63"/>
      <c r="AB88" s="217">
        <v>43891</v>
      </c>
      <c r="AC88" s="217"/>
      <c r="AD88" s="217">
        <v>43891</v>
      </c>
      <c r="AE88" s="63"/>
      <c r="AF88" s="63"/>
      <c r="AG88" s="63"/>
      <c r="AH88" s="830" t="s">
        <v>1382</v>
      </c>
    </row>
    <row r="89" spans="1:41" ht="44.25" customHeight="1">
      <c r="A89" s="919" t="s">
        <v>521</v>
      </c>
      <c r="B89" s="920"/>
      <c r="C89" s="920"/>
      <c r="D89" s="921"/>
      <c r="E89" s="921" t="s">
        <v>1435</v>
      </c>
      <c r="F89" s="63"/>
      <c r="G89" s="63" t="s">
        <v>113</v>
      </c>
      <c r="H89" s="63"/>
      <c r="I89" s="63" t="s">
        <v>1436</v>
      </c>
      <c r="J89" s="63" t="s">
        <v>144</v>
      </c>
      <c r="K89" s="63" t="s">
        <v>130</v>
      </c>
      <c r="L89" s="216">
        <v>4285.71</v>
      </c>
      <c r="M89" s="63" t="s">
        <v>526</v>
      </c>
      <c r="N89" s="63" t="s">
        <v>99</v>
      </c>
      <c r="O89" s="63" t="s">
        <v>111</v>
      </c>
      <c r="P89" s="217">
        <v>44013</v>
      </c>
      <c r="Q89" s="63"/>
      <c r="R89" s="63" t="s">
        <v>523</v>
      </c>
      <c r="S89" s="63"/>
      <c r="T89" s="217">
        <v>44044</v>
      </c>
      <c r="U89" s="63"/>
      <c r="V89" s="217">
        <v>44044</v>
      </c>
      <c r="W89" s="63"/>
      <c r="X89" s="217"/>
      <c r="Y89" s="63"/>
      <c r="Z89" s="63"/>
      <c r="AA89" s="63"/>
      <c r="AB89" s="217"/>
      <c r="AC89" s="217"/>
      <c r="AD89" s="217"/>
      <c r="AE89" s="63"/>
      <c r="AF89" s="63"/>
      <c r="AG89" s="63"/>
      <c r="AH89" s="830"/>
    </row>
    <row r="90" spans="1:41" ht="51">
      <c r="A90" s="919" t="s">
        <v>521</v>
      </c>
      <c r="B90" s="920"/>
      <c r="C90" s="920"/>
      <c r="D90" s="921"/>
      <c r="E90" s="921" t="s">
        <v>544</v>
      </c>
      <c r="F90" s="63"/>
      <c r="G90" s="63" t="s">
        <v>113</v>
      </c>
      <c r="H90" s="63"/>
      <c r="I90" s="63" t="s">
        <v>862</v>
      </c>
      <c r="J90" s="63" t="s">
        <v>144</v>
      </c>
      <c r="K90" s="63" t="s">
        <v>130</v>
      </c>
      <c r="L90" s="216">
        <v>32807</v>
      </c>
      <c r="M90" s="63" t="s">
        <v>526</v>
      </c>
      <c r="N90" s="63" t="s">
        <v>537</v>
      </c>
      <c r="O90" s="63" t="s">
        <v>111</v>
      </c>
      <c r="P90" s="57">
        <v>43862</v>
      </c>
      <c r="Q90" s="155"/>
      <c r="R90" s="155" t="s">
        <v>523</v>
      </c>
      <c r="S90" s="155"/>
      <c r="T90" s="831" t="s">
        <v>525</v>
      </c>
      <c r="U90" s="155"/>
      <c r="V90" s="57">
        <v>43862</v>
      </c>
      <c r="W90" s="155"/>
      <c r="X90" s="57">
        <v>43862</v>
      </c>
      <c r="Y90" s="155"/>
      <c r="Z90" s="155" t="s">
        <v>525</v>
      </c>
      <c r="AA90" s="155"/>
      <c r="AB90" s="57">
        <v>43862</v>
      </c>
      <c r="AC90" s="155"/>
      <c r="AD90" s="57">
        <v>44032</v>
      </c>
      <c r="AE90" s="63"/>
      <c r="AF90" s="63"/>
      <c r="AG90" s="63"/>
      <c r="AH90" s="830" t="s">
        <v>527</v>
      </c>
    </row>
    <row r="91" spans="1:41" ht="51">
      <c r="A91" s="919" t="s">
        <v>521</v>
      </c>
      <c r="B91" s="920"/>
      <c r="C91" s="920"/>
      <c r="D91" s="921"/>
      <c r="E91" s="921" t="s">
        <v>1470</v>
      </c>
      <c r="F91" s="63"/>
      <c r="G91" s="63" t="s">
        <v>113</v>
      </c>
      <c r="H91" s="63"/>
      <c r="I91" s="63" t="s">
        <v>1454</v>
      </c>
      <c r="J91" s="63" t="s">
        <v>144</v>
      </c>
      <c r="K91" s="63" t="s">
        <v>130</v>
      </c>
      <c r="L91" s="216">
        <v>1634</v>
      </c>
      <c r="M91" s="63" t="s">
        <v>526</v>
      </c>
      <c r="N91" s="63" t="s">
        <v>99</v>
      </c>
      <c r="O91" s="63" t="s">
        <v>111</v>
      </c>
      <c r="P91" s="215">
        <v>43831</v>
      </c>
      <c r="Q91" s="155"/>
      <c r="R91" s="155" t="s">
        <v>523</v>
      </c>
      <c r="S91" s="155"/>
      <c r="T91" s="831" t="s">
        <v>525</v>
      </c>
      <c r="U91" s="155"/>
      <c r="V91" s="215">
        <v>43831</v>
      </c>
      <c r="W91" s="155"/>
      <c r="X91" s="215">
        <v>43831</v>
      </c>
      <c r="Y91" s="155"/>
      <c r="Z91" s="155" t="s">
        <v>525</v>
      </c>
      <c r="AA91" s="155"/>
      <c r="AB91" s="215">
        <v>43831</v>
      </c>
      <c r="AC91" s="155"/>
      <c r="AD91" s="57">
        <v>43862</v>
      </c>
      <c r="AE91" s="63"/>
      <c r="AF91" s="63"/>
      <c r="AG91" s="63"/>
      <c r="AH91" s="830" t="s">
        <v>527</v>
      </c>
    </row>
    <row r="92" spans="1:41" ht="25.5">
      <c r="A92" s="919" t="s">
        <v>521</v>
      </c>
      <c r="B92" s="920"/>
      <c r="C92" s="920"/>
      <c r="D92" s="921"/>
      <c r="E92" s="921" t="s">
        <v>1471</v>
      </c>
      <c r="F92" s="63"/>
      <c r="G92" s="63" t="s">
        <v>113</v>
      </c>
      <c r="H92" s="63"/>
      <c r="I92" s="63" t="s">
        <v>1454</v>
      </c>
      <c r="J92" s="63" t="s">
        <v>144</v>
      </c>
      <c r="K92" s="63" t="s">
        <v>130</v>
      </c>
      <c r="L92" s="216">
        <v>2908</v>
      </c>
      <c r="M92" s="63" t="s">
        <v>526</v>
      </c>
      <c r="N92" s="63" t="s">
        <v>99</v>
      </c>
      <c r="O92" s="63" t="s">
        <v>111</v>
      </c>
      <c r="P92" s="215">
        <v>43831</v>
      </c>
      <c r="Q92" s="918"/>
      <c r="R92" s="155" t="s">
        <v>523</v>
      </c>
      <c r="S92" s="155"/>
      <c r="T92" s="831" t="s">
        <v>525</v>
      </c>
      <c r="U92" s="155"/>
      <c r="V92" s="215">
        <v>43831</v>
      </c>
      <c r="W92" s="155"/>
      <c r="X92" s="215">
        <v>43831</v>
      </c>
      <c r="Y92" s="155"/>
      <c r="Z92" s="155"/>
      <c r="AA92" s="155"/>
      <c r="AB92" s="215"/>
      <c r="AC92" s="155"/>
      <c r="AD92" s="57"/>
      <c r="AE92" s="63"/>
      <c r="AF92" s="63"/>
      <c r="AG92" s="63"/>
      <c r="AH92" s="830"/>
    </row>
    <row r="93" spans="1:41" ht="25.5">
      <c r="A93" s="919" t="s">
        <v>521</v>
      </c>
      <c r="B93" s="920"/>
      <c r="C93" s="920"/>
      <c r="D93" s="921"/>
      <c r="E93" s="921" t="s">
        <v>1472</v>
      </c>
      <c r="F93" s="63"/>
      <c r="G93" s="63" t="s">
        <v>113</v>
      </c>
      <c r="H93" s="63"/>
      <c r="I93" s="63" t="s">
        <v>1454</v>
      </c>
      <c r="J93" s="63" t="s">
        <v>144</v>
      </c>
      <c r="K93" s="63" t="s">
        <v>130</v>
      </c>
      <c r="L93" s="216">
        <v>2068</v>
      </c>
      <c r="M93" s="63" t="s">
        <v>526</v>
      </c>
      <c r="N93" s="63" t="s">
        <v>99</v>
      </c>
      <c r="O93" s="63" t="s">
        <v>111</v>
      </c>
      <c r="P93" s="215">
        <v>43831</v>
      </c>
      <c r="Q93" s="918"/>
      <c r="R93" s="155" t="s">
        <v>523</v>
      </c>
      <c r="S93" s="155"/>
      <c r="T93" s="831" t="s">
        <v>525</v>
      </c>
      <c r="U93" s="155"/>
      <c r="V93" s="215">
        <v>43831</v>
      </c>
      <c r="W93" s="155"/>
      <c r="X93" s="215">
        <v>43831</v>
      </c>
      <c r="Y93" s="155"/>
      <c r="Z93" s="155"/>
      <c r="AA93" s="155"/>
      <c r="AB93" s="215"/>
      <c r="AC93" s="155"/>
      <c r="AD93" s="57"/>
      <c r="AE93" s="63"/>
      <c r="AF93" s="63"/>
      <c r="AG93" s="63"/>
      <c r="AH93" s="830"/>
    </row>
    <row r="94" spans="1:41" ht="51">
      <c r="A94" s="919" t="s">
        <v>521</v>
      </c>
      <c r="B94" s="920"/>
      <c r="C94" s="920"/>
      <c r="D94" s="921"/>
      <c r="E94" s="921" t="s">
        <v>1380</v>
      </c>
      <c r="F94" s="63"/>
      <c r="G94" s="63" t="s">
        <v>113</v>
      </c>
      <c r="H94" s="63"/>
      <c r="I94" s="63" t="s">
        <v>1454</v>
      </c>
      <c r="J94" s="63" t="s">
        <v>144</v>
      </c>
      <c r="K94" s="63" t="s">
        <v>130</v>
      </c>
      <c r="L94" s="216">
        <v>23687</v>
      </c>
      <c r="M94" s="63" t="s">
        <v>526</v>
      </c>
      <c r="N94" s="63" t="s">
        <v>99</v>
      </c>
      <c r="O94" s="63" t="s">
        <v>111</v>
      </c>
      <c r="P94" s="215">
        <v>43952</v>
      </c>
      <c r="Q94" s="155"/>
      <c r="R94" s="155" t="s">
        <v>523</v>
      </c>
      <c r="S94" s="155"/>
      <c r="T94" s="831" t="s">
        <v>525</v>
      </c>
      <c r="U94" s="155"/>
      <c r="V94" s="215">
        <v>43952</v>
      </c>
      <c r="W94" s="155"/>
      <c r="X94" s="215">
        <v>43952</v>
      </c>
      <c r="Y94" s="155"/>
      <c r="Z94" s="155" t="s">
        <v>525</v>
      </c>
      <c r="AA94" s="155"/>
      <c r="AB94" s="215">
        <v>43952</v>
      </c>
      <c r="AC94" s="155"/>
      <c r="AD94" s="215">
        <v>44002</v>
      </c>
      <c r="AE94" s="63"/>
      <c r="AF94" s="63"/>
      <c r="AG94" s="63"/>
      <c r="AH94" s="830" t="s">
        <v>527</v>
      </c>
    </row>
    <row r="95" spans="1:41" ht="25.5">
      <c r="A95" s="919" t="s">
        <v>521</v>
      </c>
      <c r="B95" s="920"/>
      <c r="C95" s="920"/>
      <c r="D95" s="921"/>
      <c r="E95" s="921" t="s">
        <v>1379</v>
      </c>
      <c r="F95" s="63"/>
      <c r="G95" s="63" t="s">
        <v>113</v>
      </c>
      <c r="H95" s="63"/>
      <c r="I95" s="63" t="s">
        <v>1454</v>
      </c>
      <c r="J95" s="63" t="s">
        <v>144</v>
      </c>
      <c r="K95" s="63" t="s">
        <v>130</v>
      </c>
      <c r="L95" s="216">
        <v>33920</v>
      </c>
      <c r="M95" s="63" t="s">
        <v>526</v>
      </c>
      <c r="N95" s="63" t="s">
        <v>99</v>
      </c>
      <c r="O95" s="63" t="s">
        <v>111</v>
      </c>
      <c r="P95" s="215">
        <v>43881</v>
      </c>
      <c r="Q95" s="155"/>
      <c r="R95" s="155" t="s">
        <v>523</v>
      </c>
      <c r="S95" s="155"/>
      <c r="T95" s="831" t="s">
        <v>525</v>
      </c>
      <c r="U95" s="155"/>
      <c r="V95" s="215">
        <v>43881</v>
      </c>
      <c r="W95" s="155"/>
      <c r="X95" s="215">
        <v>43881</v>
      </c>
      <c r="Y95" s="155"/>
      <c r="Z95" s="155" t="s">
        <v>525</v>
      </c>
      <c r="AA95" s="155"/>
      <c r="AB95" s="215">
        <v>43881</v>
      </c>
      <c r="AC95" s="155"/>
      <c r="AD95" s="215">
        <v>44002</v>
      </c>
      <c r="AE95" s="63"/>
      <c r="AF95" s="63"/>
      <c r="AG95" s="63"/>
      <c r="AH95" s="830"/>
    </row>
    <row r="96" spans="1:41" ht="36" customHeight="1">
      <c r="A96" s="919" t="s">
        <v>521</v>
      </c>
      <c r="B96" s="920"/>
      <c r="C96" s="920"/>
      <c r="D96" s="921"/>
      <c r="E96" s="921" t="s">
        <v>1453</v>
      </c>
      <c r="F96" s="63"/>
      <c r="G96" s="63" t="s">
        <v>113</v>
      </c>
      <c r="H96" s="63"/>
      <c r="I96" s="63" t="s">
        <v>1454</v>
      </c>
      <c r="J96" s="63" t="s">
        <v>144</v>
      </c>
      <c r="K96" s="63" t="s">
        <v>130</v>
      </c>
      <c r="L96" s="216">
        <v>1400</v>
      </c>
      <c r="M96" s="63" t="s">
        <v>526</v>
      </c>
      <c r="N96" s="63" t="s">
        <v>99</v>
      </c>
      <c r="O96" s="63" t="s">
        <v>111</v>
      </c>
      <c r="P96" s="215">
        <v>43983</v>
      </c>
      <c r="Q96" s="155"/>
      <c r="R96" s="155"/>
      <c r="S96" s="155"/>
      <c r="T96" s="831"/>
      <c r="U96" s="155"/>
      <c r="V96" s="215"/>
      <c r="W96" s="155"/>
      <c r="X96" s="215"/>
      <c r="Y96" s="155"/>
      <c r="Z96" s="155"/>
      <c r="AA96" s="155"/>
      <c r="AB96" s="215"/>
      <c r="AC96" s="155"/>
      <c r="AD96" s="215"/>
      <c r="AE96" s="63"/>
      <c r="AF96" s="63"/>
      <c r="AG96" s="63"/>
      <c r="AH96" s="830"/>
    </row>
    <row r="97" spans="1:41" ht="51">
      <c r="A97" s="919" t="s">
        <v>528</v>
      </c>
      <c r="B97" s="920"/>
      <c r="C97" s="920"/>
      <c r="D97" s="921"/>
      <c r="E97" s="921" t="s">
        <v>1457</v>
      </c>
      <c r="F97" s="63"/>
      <c r="G97" s="63" t="s">
        <v>113</v>
      </c>
      <c r="H97" s="63"/>
      <c r="I97" s="63" t="s">
        <v>901</v>
      </c>
      <c r="J97" s="63" t="s">
        <v>144</v>
      </c>
      <c r="K97" s="63" t="s">
        <v>130</v>
      </c>
      <c r="L97" s="216">
        <f>13806+2920</f>
        <v>16726</v>
      </c>
      <c r="M97" s="63" t="s">
        <v>526</v>
      </c>
      <c r="N97" s="63" t="s">
        <v>99</v>
      </c>
      <c r="O97" s="63" t="s">
        <v>111</v>
      </c>
      <c r="P97" s="215">
        <v>43881</v>
      </c>
      <c r="Q97" s="155"/>
      <c r="R97" s="155" t="s">
        <v>523</v>
      </c>
      <c r="S97" s="155"/>
      <c r="T97" s="831" t="s">
        <v>525</v>
      </c>
      <c r="U97" s="155"/>
      <c r="V97" s="215">
        <v>43881</v>
      </c>
      <c r="W97" s="155"/>
      <c r="X97" s="215">
        <v>43941</v>
      </c>
      <c r="Y97" s="155"/>
      <c r="Z97" s="155" t="s">
        <v>525</v>
      </c>
      <c r="AA97" s="155"/>
      <c r="AB97" s="215">
        <v>43881</v>
      </c>
      <c r="AC97" s="155"/>
      <c r="AD97" s="57">
        <v>43891</v>
      </c>
      <c r="AE97" s="63"/>
      <c r="AF97" s="63"/>
      <c r="AG97" s="63"/>
      <c r="AH97" s="830" t="s">
        <v>527</v>
      </c>
    </row>
    <row r="98" spans="1:41" ht="51">
      <c r="A98" s="919" t="s">
        <v>528</v>
      </c>
      <c r="B98" s="920"/>
      <c r="C98" s="920"/>
      <c r="D98" s="921"/>
      <c r="E98" s="921" t="s">
        <v>1378</v>
      </c>
      <c r="F98" s="63"/>
      <c r="G98" s="63" t="s">
        <v>113</v>
      </c>
      <c r="H98" s="63"/>
      <c r="I98" s="63" t="s">
        <v>901</v>
      </c>
      <c r="J98" s="63" t="s">
        <v>144</v>
      </c>
      <c r="K98" s="63" t="s">
        <v>130</v>
      </c>
      <c r="L98" s="216">
        <v>92</v>
      </c>
      <c r="M98" s="63" t="s">
        <v>526</v>
      </c>
      <c r="N98" s="63" t="s">
        <v>99</v>
      </c>
      <c r="O98" s="63" t="s">
        <v>111</v>
      </c>
      <c r="P98" s="215">
        <v>43881</v>
      </c>
      <c r="Q98" s="155"/>
      <c r="R98" s="155" t="s">
        <v>523</v>
      </c>
      <c r="S98" s="155"/>
      <c r="T98" s="831" t="s">
        <v>525</v>
      </c>
      <c r="U98" s="155"/>
      <c r="V98" s="215">
        <v>43881</v>
      </c>
      <c r="W98" s="155"/>
      <c r="X98" s="215">
        <v>43941</v>
      </c>
      <c r="Y98" s="155"/>
      <c r="Z98" s="155" t="s">
        <v>525</v>
      </c>
      <c r="AA98" s="155"/>
      <c r="AB98" s="215">
        <v>43881</v>
      </c>
      <c r="AC98" s="155"/>
      <c r="AD98" s="57">
        <v>43891</v>
      </c>
      <c r="AE98" s="63"/>
      <c r="AF98" s="63"/>
      <c r="AG98" s="63"/>
      <c r="AH98" s="830" t="s">
        <v>527</v>
      </c>
    </row>
    <row r="99" spans="1:41" ht="51">
      <c r="A99" s="919" t="s">
        <v>528</v>
      </c>
      <c r="B99" s="920"/>
      <c r="C99" s="920"/>
      <c r="D99" s="921"/>
      <c r="E99" s="921" t="s">
        <v>1458</v>
      </c>
      <c r="F99" s="63"/>
      <c r="G99" s="63" t="s">
        <v>113</v>
      </c>
      <c r="H99" s="63"/>
      <c r="I99" s="63" t="s">
        <v>901</v>
      </c>
      <c r="J99" s="63" t="s">
        <v>144</v>
      </c>
      <c r="K99" s="63" t="s">
        <v>130</v>
      </c>
      <c r="L99" s="216">
        <v>98401</v>
      </c>
      <c r="M99" s="63" t="s">
        <v>526</v>
      </c>
      <c r="N99" s="63" t="s">
        <v>99</v>
      </c>
      <c r="O99" s="63" t="s">
        <v>111</v>
      </c>
      <c r="P99" s="215">
        <v>43881</v>
      </c>
      <c r="Q99" s="155"/>
      <c r="R99" s="155" t="s">
        <v>523</v>
      </c>
      <c r="S99" s="155"/>
      <c r="T99" s="831" t="s">
        <v>525</v>
      </c>
      <c r="U99" s="155"/>
      <c r="V99" s="215">
        <v>43881</v>
      </c>
      <c r="W99" s="155"/>
      <c r="X99" s="215">
        <v>43881</v>
      </c>
      <c r="Y99" s="155"/>
      <c r="Z99" s="155" t="s">
        <v>525</v>
      </c>
      <c r="AA99" s="155"/>
      <c r="AB99" s="215">
        <v>43881</v>
      </c>
      <c r="AC99" s="155"/>
      <c r="AD99" s="57">
        <v>43891</v>
      </c>
      <c r="AE99" s="63"/>
      <c r="AF99" s="63"/>
      <c r="AG99" s="63"/>
      <c r="AH99" s="830" t="s">
        <v>527</v>
      </c>
    </row>
    <row r="100" spans="1:41" ht="25.5">
      <c r="A100" s="919" t="s">
        <v>521</v>
      </c>
      <c r="B100" s="920"/>
      <c r="C100" s="920"/>
      <c r="D100" s="921"/>
      <c r="E100" s="921" t="s">
        <v>905</v>
      </c>
      <c r="F100" s="218"/>
      <c r="G100" s="218" t="s">
        <v>113</v>
      </c>
      <c r="H100" s="218"/>
      <c r="I100" s="218" t="s">
        <v>904</v>
      </c>
      <c r="J100" s="218" t="s">
        <v>144</v>
      </c>
      <c r="K100" s="218" t="s">
        <v>130</v>
      </c>
      <c r="L100" s="221">
        <f>+'[3]3. Implementation Plan'!$F$288</f>
        <v>13294</v>
      </c>
      <c r="M100" s="218" t="s">
        <v>526</v>
      </c>
      <c r="N100" s="218" t="s">
        <v>99</v>
      </c>
      <c r="O100" s="218" t="s">
        <v>111</v>
      </c>
      <c r="P100" s="213">
        <v>43881</v>
      </c>
      <c r="Q100" s="53"/>
      <c r="R100" s="53" t="s">
        <v>523</v>
      </c>
      <c r="S100" s="53"/>
      <c r="T100" s="60" t="s">
        <v>525</v>
      </c>
      <c r="U100" s="53"/>
      <c r="V100" s="213">
        <v>43881</v>
      </c>
      <c r="W100" s="53"/>
      <c r="X100" s="213">
        <v>43881</v>
      </c>
      <c r="Y100" s="53"/>
      <c r="Z100" s="53" t="s">
        <v>525</v>
      </c>
      <c r="AA100" s="53"/>
      <c r="AB100" s="213">
        <v>43881</v>
      </c>
      <c r="AC100" s="53"/>
      <c r="AD100" s="225">
        <v>43891</v>
      </c>
      <c r="AE100" s="218"/>
      <c r="AF100" s="218"/>
      <c r="AG100" s="218"/>
      <c r="AH100" s="54"/>
    </row>
    <row r="101" spans="1:41" ht="25.5">
      <c r="A101" s="919" t="s">
        <v>521</v>
      </c>
      <c r="B101" s="920"/>
      <c r="C101" s="920"/>
      <c r="D101" s="921"/>
      <c r="E101" s="921" t="s">
        <v>906</v>
      </c>
      <c r="F101" s="218"/>
      <c r="G101" s="218" t="s">
        <v>113</v>
      </c>
      <c r="H101" s="218"/>
      <c r="I101" s="218" t="s">
        <v>907</v>
      </c>
      <c r="J101" s="218" t="s">
        <v>144</v>
      </c>
      <c r="K101" s="218" t="s">
        <v>130</v>
      </c>
      <c r="L101" s="221">
        <f>+'[3]3. Implementation Plan'!$F$289</f>
        <v>1652</v>
      </c>
      <c r="M101" s="218" t="s">
        <v>526</v>
      </c>
      <c r="N101" s="218" t="s">
        <v>99</v>
      </c>
      <c r="O101" s="218" t="s">
        <v>111</v>
      </c>
      <c r="P101" s="215">
        <v>43910</v>
      </c>
      <c r="Q101" s="53"/>
      <c r="R101" s="53" t="s">
        <v>523</v>
      </c>
      <c r="S101" s="53"/>
      <c r="T101" s="60" t="s">
        <v>525</v>
      </c>
      <c r="U101" s="53"/>
      <c r="V101" s="215">
        <v>43910</v>
      </c>
      <c r="W101" s="53"/>
      <c r="X101" s="215">
        <v>43910</v>
      </c>
      <c r="Y101" s="53"/>
      <c r="Z101" s="53" t="s">
        <v>525</v>
      </c>
      <c r="AA101" s="53"/>
      <c r="AB101" s="215">
        <v>43910</v>
      </c>
      <c r="AC101" s="53"/>
      <c r="AD101" s="225">
        <v>43891</v>
      </c>
      <c r="AE101" s="218"/>
      <c r="AF101" s="218"/>
      <c r="AG101" s="218"/>
      <c r="AH101" s="54"/>
    </row>
    <row r="102" spans="1:41" ht="25.5">
      <c r="A102" s="919" t="s">
        <v>521</v>
      </c>
      <c r="B102" s="920"/>
      <c r="C102" s="920"/>
      <c r="D102" s="921"/>
      <c r="E102" s="921" t="s">
        <v>908</v>
      </c>
      <c r="F102" s="218"/>
      <c r="G102" s="218" t="s">
        <v>113</v>
      </c>
      <c r="H102" s="218"/>
      <c r="I102" s="218" t="s">
        <v>909</v>
      </c>
      <c r="J102" s="218" t="s">
        <v>144</v>
      </c>
      <c r="K102" s="218" t="s">
        <v>130</v>
      </c>
      <c r="L102" s="221">
        <f>+'[3]3. Implementation Plan'!$F$291</f>
        <v>4483</v>
      </c>
      <c r="M102" s="218" t="s">
        <v>526</v>
      </c>
      <c r="N102" s="218" t="s">
        <v>99</v>
      </c>
      <c r="O102" s="218" t="s">
        <v>111</v>
      </c>
      <c r="P102" s="215">
        <v>43910</v>
      </c>
      <c r="Q102" s="53"/>
      <c r="R102" s="53" t="s">
        <v>523</v>
      </c>
      <c r="S102" s="53"/>
      <c r="T102" s="60" t="s">
        <v>525</v>
      </c>
      <c r="U102" s="53"/>
      <c r="V102" s="215">
        <v>43910</v>
      </c>
      <c r="W102" s="53"/>
      <c r="X102" s="215">
        <v>43910</v>
      </c>
      <c r="Y102" s="53"/>
      <c r="Z102" s="53" t="s">
        <v>525</v>
      </c>
      <c r="AA102" s="53"/>
      <c r="AB102" s="225">
        <v>43891</v>
      </c>
      <c r="AC102" s="53"/>
      <c r="AD102" s="225">
        <v>43891</v>
      </c>
      <c r="AE102" s="218"/>
      <c r="AF102" s="218"/>
      <c r="AG102" s="218"/>
      <c r="AH102" s="54"/>
    </row>
    <row r="103" spans="1:41" ht="25.5">
      <c r="A103" s="919" t="s">
        <v>521</v>
      </c>
      <c r="B103" s="920"/>
      <c r="C103" s="920"/>
      <c r="D103" s="921"/>
      <c r="E103" s="921" t="s">
        <v>1377</v>
      </c>
      <c r="F103" s="218"/>
      <c r="G103" s="218" t="s">
        <v>113</v>
      </c>
      <c r="H103" s="218"/>
      <c r="I103" s="218" t="s">
        <v>911</v>
      </c>
      <c r="J103" s="218" t="s">
        <v>144</v>
      </c>
      <c r="K103" s="218" t="s">
        <v>130</v>
      </c>
      <c r="L103" s="221">
        <f>+'[3]3. Implementation Plan'!$F$290</f>
        <v>1909</v>
      </c>
      <c r="M103" s="218" t="s">
        <v>526</v>
      </c>
      <c r="N103" s="218" t="s">
        <v>99</v>
      </c>
      <c r="O103" s="218" t="s">
        <v>111</v>
      </c>
      <c r="P103" s="215">
        <v>43910</v>
      </c>
      <c r="Q103" s="53"/>
      <c r="R103" s="53" t="s">
        <v>523</v>
      </c>
      <c r="S103" s="53"/>
      <c r="T103" s="60" t="s">
        <v>525</v>
      </c>
      <c r="U103" s="53"/>
      <c r="V103" s="215">
        <v>43910</v>
      </c>
      <c r="W103" s="53"/>
      <c r="X103" s="215">
        <v>43910</v>
      </c>
      <c r="Y103" s="53"/>
      <c r="Z103" s="53" t="s">
        <v>525</v>
      </c>
      <c r="AA103" s="53"/>
      <c r="AB103" s="225">
        <v>43891</v>
      </c>
      <c r="AC103" s="53"/>
      <c r="AD103" s="225">
        <v>43891</v>
      </c>
      <c r="AE103" s="218"/>
      <c r="AF103" s="218"/>
      <c r="AG103" s="218"/>
      <c r="AH103" s="54"/>
    </row>
    <row r="104" spans="1:41" ht="25.5">
      <c r="A104" s="919" t="s">
        <v>521</v>
      </c>
      <c r="B104" s="920"/>
      <c r="C104" s="920"/>
      <c r="D104" s="921"/>
      <c r="E104" s="921" t="s">
        <v>910</v>
      </c>
      <c r="F104" s="218"/>
      <c r="G104" s="218" t="s">
        <v>113</v>
      </c>
      <c r="H104" s="218"/>
      <c r="I104" s="218" t="s">
        <v>911</v>
      </c>
      <c r="J104" s="218" t="s">
        <v>144</v>
      </c>
      <c r="K104" s="218" t="s">
        <v>130</v>
      </c>
      <c r="L104" s="221">
        <f>+'[3]3. Implementation Plan'!$F$292</f>
        <v>2566</v>
      </c>
      <c r="M104" s="218" t="s">
        <v>526</v>
      </c>
      <c r="N104" s="218" t="s">
        <v>99</v>
      </c>
      <c r="O104" s="218" t="s">
        <v>111</v>
      </c>
      <c r="P104" s="215">
        <v>43910</v>
      </c>
      <c r="Q104" s="53"/>
      <c r="R104" s="53" t="s">
        <v>523</v>
      </c>
      <c r="S104" s="53"/>
      <c r="T104" s="60" t="s">
        <v>525</v>
      </c>
      <c r="U104" s="53"/>
      <c r="V104" s="215">
        <v>43910</v>
      </c>
      <c r="W104" s="53"/>
      <c r="X104" s="215">
        <v>43910</v>
      </c>
      <c r="Y104" s="53"/>
      <c r="Z104" s="53" t="s">
        <v>525</v>
      </c>
      <c r="AA104" s="53"/>
      <c r="AB104" s="225">
        <v>43891</v>
      </c>
      <c r="AC104" s="53"/>
      <c r="AD104" s="225">
        <v>43891</v>
      </c>
      <c r="AE104" s="218"/>
      <c r="AF104" s="218"/>
      <c r="AG104" s="218"/>
      <c r="AH104" s="54"/>
    </row>
    <row r="105" spans="1:41" ht="51">
      <c r="A105" s="919" t="s">
        <v>521</v>
      </c>
      <c r="B105" s="920"/>
      <c r="C105" s="920"/>
      <c r="D105" s="921"/>
      <c r="E105" s="921" t="s">
        <v>545</v>
      </c>
      <c r="F105" s="63"/>
      <c r="G105" s="63" t="s">
        <v>113</v>
      </c>
      <c r="H105" s="63"/>
      <c r="I105" s="63" t="s">
        <v>860</v>
      </c>
      <c r="J105" s="63" t="s">
        <v>144</v>
      </c>
      <c r="K105" s="63" t="s">
        <v>130</v>
      </c>
      <c r="L105" s="216">
        <f>+'[3]3. Implementation Plan'!$F$301</f>
        <v>3214.29</v>
      </c>
      <c r="M105" s="63" t="s">
        <v>533</v>
      </c>
      <c r="N105" s="63" t="s">
        <v>99</v>
      </c>
      <c r="O105" s="63" t="s">
        <v>111</v>
      </c>
      <c r="P105" s="215">
        <v>43831</v>
      </c>
      <c r="Q105" s="155"/>
      <c r="R105" s="155" t="s">
        <v>523</v>
      </c>
      <c r="S105" s="155"/>
      <c r="T105" s="831" t="s">
        <v>525</v>
      </c>
      <c r="U105" s="155"/>
      <c r="V105" s="215">
        <v>43831</v>
      </c>
      <c r="W105" s="155"/>
      <c r="X105" s="215">
        <v>43831</v>
      </c>
      <c r="Y105" s="155"/>
      <c r="Z105" s="155" t="s">
        <v>525</v>
      </c>
      <c r="AA105" s="155"/>
      <c r="AB105" s="57">
        <v>43831</v>
      </c>
      <c r="AC105" s="155"/>
      <c r="AD105" s="57">
        <v>43891</v>
      </c>
      <c r="AE105" s="63"/>
      <c r="AF105" s="63"/>
      <c r="AG105" s="63"/>
      <c r="AH105" s="830" t="s">
        <v>527</v>
      </c>
    </row>
    <row r="106" spans="1:41" ht="51">
      <c r="A106" s="919" t="s">
        <v>521</v>
      </c>
      <c r="B106" s="920"/>
      <c r="C106" s="920"/>
      <c r="D106" s="921"/>
      <c r="E106" s="921" t="s">
        <v>546</v>
      </c>
      <c r="F106" s="218"/>
      <c r="G106" s="218" t="s">
        <v>113</v>
      </c>
      <c r="H106" s="218"/>
      <c r="I106" s="218" t="s">
        <v>859</v>
      </c>
      <c r="J106" s="218" t="s">
        <v>144</v>
      </c>
      <c r="K106" s="218" t="s">
        <v>130</v>
      </c>
      <c r="L106" s="221">
        <f>+'[3]3. Implementation Plan'!$F$329</f>
        <v>9322</v>
      </c>
      <c r="M106" s="218" t="s">
        <v>608</v>
      </c>
      <c r="N106" s="218" t="s">
        <v>99</v>
      </c>
      <c r="O106" s="218" t="s">
        <v>111</v>
      </c>
      <c r="P106" s="213">
        <v>43831</v>
      </c>
      <c r="Q106" s="53"/>
      <c r="R106" s="53" t="s">
        <v>523</v>
      </c>
      <c r="S106" s="53"/>
      <c r="T106" s="60" t="s">
        <v>525</v>
      </c>
      <c r="U106" s="53"/>
      <c r="V106" s="213">
        <v>43831</v>
      </c>
      <c r="W106" s="53"/>
      <c r="X106" s="213">
        <v>43831</v>
      </c>
      <c r="Y106" s="53"/>
      <c r="Z106" s="53" t="s">
        <v>525</v>
      </c>
      <c r="AA106" s="53"/>
      <c r="AB106" s="225">
        <v>43831</v>
      </c>
      <c r="AC106" s="53"/>
      <c r="AD106" s="225">
        <v>44166</v>
      </c>
      <c r="AE106" s="218"/>
      <c r="AF106" s="218"/>
      <c r="AG106" s="218"/>
      <c r="AH106" s="54" t="s">
        <v>527</v>
      </c>
    </row>
    <row r="107" spans="1:41" ht="25.5">
      <c r="A107" s="919" t="s">
        <v>521</v>
      </c>
      <c r="B107" s="920"/>
      <c r="C107" s="920"/>
      <c r="D107" s="921"/>
      <c r="E107" s="921" t="s">
        <v>1461</v>
      </c>
      <c r="F107" s="218"/>
      <c r="G107" s="218" t="s">
        <v>114</v>
      </c>
      <c r="H107" s="218"/>
      <c r="I107" s="218" t="s">
        <v>859</v>
      </c>
      <c r="J107" s="218" t="s">
        <v>144</v>
      </c>
      <c r="K107" s="218" t="s">
        <v>130</v>
      </c>
      <c r="L107" s="221">
        <f>+'[3]3. Implementation Plan'!$F$330</f>
        <v>2700</v>
      </c>
      <c r="M107" s="218" t="s">
        <v>608</v>
      </c>
      <c r="N107" s="218" t="s">
        <v>99</v>
      </c>
      <c r="O107" s="218" t="s">
        <v>111</v>
      </c>
      <c r="P107" s="213">
        <v>43922</v>
      </c>
      <c r="Q107" s="53"/>
      <c r="R107" s="53" t="s">
        <v>523</v>
      </c>
      <c r="S107" s="53"/>
      <c r="T107" s="60" t="s">
        <v>525</v>
      </c>
      <c r="U107" s="53"/>
      <c r="V107" s="213">
        <v>43922</v>
      </c>
      <c r="W107" s="53"/>
      <c r="X107" s="213"/>
      <c r="Y107" s="53"/>
      <c r="Z107" s="53"/>
      <c r="AA107" s="53"/>
      <c r="AB107" s="225"/>
      <c r="AC107" s="53"/>
      <c r="AD107" s="225"/>
      <c r="AE107" s="218"/>
      <c r="AF107" s="218"/>
      <c r="AG107" s="218"/>
      <c r="AH107" s="54"/>
    </row>
    <row r="108" spans="1:41" ht="51.75" thickBot="1">
      <c r="A108" s="219" t="s">
        <v>521</v>
      </c>
      <c r="B108" s="220"/>
      <c r="C108" s="220"/>
      <c r="D108" s="218"/>
      <c r="E108" s="218" t="s">
        <v>858</v>
      </c>
      <c r="F108" s="218"/>
      <c r="G108" s="218" t="s">
        <v>113</v>
      </c>
      <c r="H108" s="218"/>
      <c r="I108" s="218" t="s">
        <v>857</v>
      </c>
      <c r="J108" s="218" t="s">
        <v>144</v>
      </c>
      <c r="K108" s="218" t="s">
        <v>130</v>
      </c>
      <c r="L108" s="221">
        <v>78740</v>
      </c>
      <c r="M108" s="218" t="s">
        <v>608</v>
      </c>
      <c r="N108" s="218" t="s">
        <v>99</v>
      </c>
      <c r="O108" s="218" t="s">
        <v>111</v>
      </c>
      <c r="P108" s="213">
        <v>43831</v>
      </c>
      <c r="Q108" s="53"/>
      <c r="R108" s="53" t="s">
        <v>523</v>
      </c>
      <c r="S108" s="53"/>
      <c r="T108" s="60" t="s">
        <v>525</v>
      </c>
      <c r="U108" s="53"/>
      <c r="V108" s="213">
        <v>43831</v>
      </c>
      <c r="W108" s="53"/>
      <c r="X108" s="213">
        <v>43831</v>
      </c>
      <c r="Y108" s="53"/>
      <c r="Z108" s="53" t="s">
        <v>525</v>
      </c>
      <c r="AA108" s="53"/>
      <c r="AB108" s="225">
        <v>43831</v>
      </c>
      <c r="AC108" s="53"/>
      <c r="AD108" s="225">
        <v>44166</v>
      </c>
      <c r="AE108" s="218"/>
      <c r="AF108" s="218"/>
      <c r="AG108" s="218"/>
      <c r="AH108" s="54" t="s">
        <v>527</v>
      </c>
    </row>
    <row r="109" spans="1:41" ht="15.75">
      <c r="A109" s="1270" t="s">
        <v>116</v>
      </c>
      <c r="B109" s="1271"/>
      <c r="C109" s="1271"/>
      <c r="D109" s="1271"/>
      <c r="E109" s="1271"/>
      <c r="F109" s="1271"/>
      <c r="G109" s="1271"/>
      <c r="H109" s="1271"/>
      <c r="I109" s="1271"/>
      <c r="J109" s="1271"/>
      <c r="K109" s="1271"/>
      <c r="L109" s="1271"/>
      <c r="M109" s="1271"/>
      <c r="N109" s="1271"/>
      <c r="O109" s="1271"/>
      <c r="P109" s="1271"/>
      <c r="Q109" s="1271"/>
      <c r="R109" s="1271"/>
      <c r="S109" s="1271"/>
      <c r="T109" s="1271"/>
      <c r="U109" s="1271"/>
      <c r="V109" s="1271"/>
      <c r="W109" s="1271"/>
      <c r="X109" s="1271"/>
      <c r="Y109" s="1271"/>
      <c r="Z109" s="1271"/>
      <c r="AA109" s="1271"/>
      <c r="AB109" s="1271"/>
      <c r="AC109" s="1271"/>
      <c r="AD109" s="1271"/>
      <c r="AE109" s="1271"/>
      <c r="AF109" s="1271"/>
      <c r="AG109" s="1271"/>
      <c r="AH109" s="1272"/>
      <c r="AI109" s="1273"/>
      <c r="AJ109" s="1271"/>
      <c r="AK109" s="1271"/>
      <c r="AL109" s="1271"/>
      <c r="AM109" s="1271"/>
      <c r="AN109" s="1271"/>
      <c r="AO109" s="1274"/>
    </row>
    <row r="110" spans="1:41">
      <c r="A110" s="1260" t="s">
        <v>85</v>
      </c>
      <c r="B110" s="1260" t="s">
        <v>86</v>
      </c>
      <c r="C110" s="1275" t="s">
        <v>87</v>
      </c>
      <c r="D110" s="1260" t="s">
        <v>88</v>
      </c>
      <c r="E110" s="1260" t="s">
        <v>89</v>
      </c>
      <c r="F110" s="1260" t="s">
        <v>90</v>
      </c>
      <c r="G110" s="1260" t="s">
        <v>1365</v>
      </c>
      <c r="H110" s="1260" t="s">
        <v>245</v>
      </c>
      <c r="I110" s="1260" t="s">
        <v>92</v>
      </c>
      <c r="J110" s="1260" t="s">
        <v>1376</v>
      </c>
      <c r="K110" s="1260" t="s">
        <v>1364</v>
      </c>
      <c r="L110" s="1260" t="s">
        <v>93</v>
      </c>
      <c r="M110" s="1260" t="s">
        <v>94</v>
      </c>
      <c r="N110" s="1260" t="s">
        <v>1363</v>
      </c>
      <c r="O110" s="1260" t="s">
        <v>1362</v>
      </c>
      <c r="P110" s="1263" t="s">
        <v>95</v>
      </c>
      <c r="Q110" s="1269"/>
      <c r="R110" s="1269"/>
      <c r="S110" s="1269"/>
      <c r="T110" s="1269"/>
      <c r="U110" s="1269"/>
      <c r="V110" s="1269"/>
      <c r="W110" s="1269"/>
      <c r="X110" s="1269"/>
      <c r="Y110" s="1269"/>
      <c r="Z110" s="1269"/>
      <c r="AA110" s="1269"/>
      <c r="AB110" s="1269"/>
      <c r="AC110" s="1269"/>
      <c r="AD110" s="1269"/>
      <c r="AE110" s="1269"/>
      <c r="AF110" s="1269"/>
      <c r="AG110" s="1269"/>
      <c r="AH110" s="1269"/>
      <c r="AI110" s="1269"/>
      <c r="AJ110" s="1269"/>
      <c r="AK110" s="1264"/>
      <c r="AL110" s="1260" t="s">
        <v>117</v>
      </c>
      <c r="AM110" s="1260" t="s">
        <v>118</v>
      </c>
      <c r="AN110" s="1260" t="s">
        <v>119</v>
      </c>
      <c r="AO110" s="1260" t="s">
        <v>120</v>
      </c>
    </row>
    <row r="111" spans="1:41">
      <c r="A111" s="1262"/>
      <c r="B111" s="1262"/>
      <c r="C111" s="1276"/>
      <c r="D111" s="1262"/>
      <c r="E111" s="1262"/>
      <c r="F111" s="1262"/>
      <c r="G111" s="1262"/>
      <c r="H111" s="1262"/>
      <c r="I111" s="1262"/>
      <c r="J111" s="1262"/>
      <c r="K111" s="1262"/>
      <c r="L111" s="1262"/>
      <c r="M111" s="1262"/>
      <c r="N111" s="1262"/>
      <c r="O111" s="1262"/>
      <c r="P111" s="1263" t="s">
        <v>121</v>
      </c>
      <c r="Q111" s="1264"/>
      <c r="R111" s="1263" t="s">
        <v>122</v>
      </c>
      <c r="S111" s="1264"/>
      <c r="T111" s="1263" t="s">
        <v>123</v>
      </c>
      <c r="U111" s="1264"/>
      <c r="V111" s="1263" t="s">
        <v>124</v>
      </c>
      <c r="W111" s="1264"/>
      <c r="X111" s="1263" t="s">
        <v>103</v>
      </c>
      <c r="Y111" s="1264"/>
      <c r="Z111" s="1263" t="s">
        <v>125</v>
      </c>
      <c r="AA111" s="1264"/>
      <c r="AB111" s="1263" t="s">
        <v>126</v>
      </c>
      <c r="AC111" s="1264"/>
      <c r="AD111" s="1263" t="s">
        <v>127</v>
      </c>
      <c r="AE111" s="1264"/>
      <c r="AF111" s="1263" t="s">
        <v>128</v>
      </c>
      <c r="AG111" s="1264"/>
      <c r="AH111" s="1263" t="s">
        <v>106</v>
      </c>
      <c r="AI111" s="1264"/>
      <c r="AJ111" s="1263" t="s">
        <v>107</v>
      </c>
      <c r="AK111" s="1264"/>
      <c r="AL111" s="1261"/>
      <c r="AM111" s="1261"/>
      <c r="AN111" s="1261"/>
      <c r="AO111" s="1261"/>
    </row>
    <row r="112" spans="1:41" ht="36" customHeight="1">
      <c r="A112" s="1261"/>
      <c r="B112" s="1261"/>
      <c r="C112" s="1277"/>
      <c r="D112" s="1261"/>
      <c r="E112" s="1261"/>
      <c r="F112" s="1261"/>
      <c r="G112" s="1261"/>
      <c r="H112" s="1261"/>
      <c r="I112" s="1261"/>
      <c r="J112" s="1261"/>
      <c r="K112" s="1261"/>
      <c r="L112" s="1261"/>
      <c r="M112" s="1261"/>
      <c r="N112" s="1261"/>
      <c r="O112" s="1261"/>
      <c r="P112" s="827" t="s">
        <v>109</v>
      </c>
      <c r="Q112" s="827" t="s">
        <v>110</v>
      </c>
      <c r="R112" s="827" t="s">
        <v>109</v>
      </c>
      <c r="S112" s="827" t="s">
        <v>110</v>
      </c>
      <c r="T112" s="827" t="s">
        <v>109</v>
      </c>
      <c r="U112" s="827" t="s">
        <v>110</v>
      </c>
      <c r="V112" s="827" t="s">
        <v>109</v>
      </c>
      <c r="W112" s="827" t="s">
        <v>110</v>
      </c>
      <c r="X112" s="827" t="s">
        <v>109</v>
      </c>
      <c r="Y112" s="827" t="s">
        <v>110</v>
      </c>
      <c r="Z112" s="827" t="s">
        <v>109</v>
      </c>
      <c r="AA112" s="827" t="s">
        <v>110</v>
      </c>
      <c r="AB112" s="827" t="s">
        <v>109</v>
      </c>
      <c r="AC112" s="827" t="s">
        <v>110</v>
      </c>
      <c r="AD112" s="827" t="s">
        <v>109</v>
      </c>
      <c r="AE112" s="827" t="s">
        <v>110</v>
      </c>
      <c r="AF112" s="827" t="s">
        <v>109</v>
      </c>
      <c r="AG112" s="827" t="s">
        <v>110</v>
      </c>
      <c r="AH112" s="827" t="s">
        <v>109</v>
      </c>
      <c r="AI112" s="827" t="s">
        <v>110</v>
      </c>
      <c r="AJ112" s="827" t="s">
        <v>109</v>
      </c>
      <c r="AK112" s="827" t="s">
        <v>110</v>
      </c>
      <c r="AL112" s="827"/>
      <c r="AM112" s="827"/>
      <c r="AN112" s="827"/>
      <c r="AO112" s="827"/>
    </row>
    <row r="113" spans="1:41" ht="25.5">
      <c r="A113" s="912" t="s">
        <v>521</v>
      </c>
      <c r="B113" s="913"/>
      <c r="C113" s="914"/>
      <c r="D113" s="915"/>
      <c r="E113" s="922" t="s">
        <v>1375</v>
      </c>
      <c r="F113" s="155"/>
      <c r="G113" s="155" t="s">
        <v>114</v>
      </c>
      <c r="H113" s="155"/>
      <c r="I113" s="155" t="s">
        <v>1374</v>
      </c>
      <c r="J113" s="155" t="s">
        <v>129</v>
      </c>
      <c r="K113" s="155" t="s">
        <v>130</v>
      </c>
      <c r="L113" s="214">
        <v>158102</v>
      </c>
      <c r="M113" s="155" t="s">
        <v>524</v>
      </c>
      <c r="N113" s="155" t="s">
        <v>108</v>
      </c>
      <c r="O113" s="155" t="s">
        <v>111</v>
      </c>
      <c r="P113" s="57" t="s">
        <v>523</v>
      </c>
      <c r="Q113" s="155"/>
      <c r="R113" s="155" t="s">
        <v>523</v>
      </c>
      <c r="S113" s="155"/>
      <c r="T113" s="155" t="s">
        <v>525</v>
      </c>
      <c r="U113" s="155"/>
      <c r="V113" s="215">
        <v>43831</v>
      </c>
      <c r="W113" s="155"/>
      <c r="X113" s="215">
        <v>43831</v>
      </c>
      <c r="Y113" s="155"/>
      <c r="Z113" s="155" t="s">
        <v>523</v>
      </c>
      <c r="AA113" s="155"/>
      <c r="AB113" s="215">
        <v>43831</v>
      </c>
      <c r="AC113" s="155"/>
      <c r="AD113" s="155" t="s">
        <v>523</v>
      </c>
      <c r="AE113" s="155"/>
      <c r="AF113" s="215">
        <v>43831</v>
      </c>
      <c r="AG113" s="155"/>
      <c r="AH113" s="215">
        <v>43862</v>
      </c>
      <c r="AI113" s="215"/>
      <c r="AJ113" s="215">
        <v>43891</v>
      </c>
      <c r="AK113" s="155"/>
      <c r="AL113" s="155"/>
      <c r="AM113" s="155"/>
      <c r="AN113" s="155"/>
      <c r="AO113" s="155"/>
    </row>
    <row r="114" spans="1:41" ht="25.5">
      <c r="A114" s="912" t="s">
        <v>521</v>
      </c>
      <c r="B114" s="913"/>
      <c r="C114" s="914"/>
      <c r="D114" s="915"/>
      <c r="E114" s="922" t="s">
        <v>1373</v>
      </c>
      <c r="F114" s="155"/>
      <c r="G114" s="155" t="s">
        <v>114</v>
      </c>
      <c r="H114" s="155"/>
      <c r="I114" s="155" t="s">
        <v>1372</v>
      </c>
      <c r="J114" s="155" t="s">
        <v>129</v>
      </c>
      <c r="K114" s="155" t="s">
        <v>130</v>
      </c>
      <c r="L114" s="214">
        <v>162789</v>
      </c>
      <c r="M114" s="155" t="s">
        <v>524</v>
      </c>
      <c r="N114" s="155" t="s">
        <v>108</v>
      </c>
      <c r="O114" s="155" t="s">
        <v>111</v>
      </c>
      <c r="P114" s="57" t="s">
        <v>523</v>
      </c>
      <c r="Q114" s="155"/>
      <c r="R114" s="155" t="s">
        <v>523</v>
      </c>
      <c r="S114" s="155"/>
      <c r="T114" s="155" t="s">
        <v>523</v>
      </c>
      <c r="U114" s="155"/>
      <c r="V114" s="215">
        <v>43831</v>
      </c>
      <c r="W114" s="155"/>
      <c r="X114" s="215">
        <v>43831</v>
      </c>
      <c r="Y114" s="155"/>
      <c r="Z114" s="155" t="s">
        <v>523</v>
      </c>
      <c r="AA114" s="155"/>
      <c r="AB114" s="215">
        <v>43831</v>
      </c>
      <c r="AC114" s="155"/>
      <c r="AD114" s="155" t="s">
        <v>523</v>
      </c>
      <c r="AE114" s="155"/>
      <c r="AF114" s="215">
        <v>43831</v>
      </c>
      <c r="AG114" s="155"/>
      <c r="AH114" s="215">
        <v>43862</v>
      </c>
      <c r="AI114" s="215"/>
      <c r="AJ114" s="215">
        <v>43891</v>
      </c>
      <c r="AK114" s="155"/>
      <c r="AL114" s="155"/>
      <c r="AM114" s="155"/>
      <c r="AN114" s="155"/>
      <c r="AO114" s="155"/>
    </row>
    <row r="115" spans="1:41" ht="25.5">
      <c r="A115" s="912" t="s">
        <v>521</v>
      </c>
      <c r="B115" s="913"/>
      <c r="C115" s="914"/>
      <c r="D115" s="915"/>
      <c r="E115" s="916" t="s">
        <v>856</v>
      </c>
      <c r="F115" s="155"/>
      <c r="G115" s="155" t="s">
        <v>114</v>
      </c>
      <c r="H115" s="155"/>
      <c r="I115" s="155" t="s">
        <v>855</v>
      </c>
      <c r="J115" s="155" t="s">
        <v>129</v>
      </c>
      <c r="K115" s="155" t="s">
        <v>130</v>
      </c>
      <c r="L115" s="214">
        <f>+'[3]3. Implementation Plan'!$F$96</f>
        <v>152127</v>
      </c>
      <c r="M115" s="155" t="s">
        <v>522</v>
      </c>
      <c r="N115" s="155" t="s">
        <v>108</v>
      </c>
      <c r="O115" s="155" t="s">
        <v>111</v>
      </c>
      <c r="P115" s="57" t="s">
        <v>523</v>
      </c>
      <c r="Q115" s="155"/>
      <c r="R115" s="215" t="s">
        <v>523</v>
      </c>
      <c r="S115" s="155"/>
      <c r="T115" s="215" t="s">
        <v>525</v>
      </c>
      <c r="U115" s="155"/>
      <c r="V115" s="215"/>
      <c r="W115" s="155"/>
      <c r="X115" s="215"/>
      <c r="Y115" s="155"/>
      <c r="Z115" s="215"/>
      <c r="AA115" s="155"/>
      <c r="AB115" s="215">
        <v>43831</v>
      </c>
      <c r="AC115" s="155"/>
      <c r="AD115" s="215"/>
      <c r="AE115" s="155"/>
      <c r="AF115" s="215">
        <v>43831</v>
      </c>
      <c r="AG115" s="155"/>
      <c r="AH115" s="215">
        <v>43862</v>
      </c>
      <c r="AI115" s="215"/>
      <c r="AJ115" s="215">
        <v>43952</v>
      </c>
      <c r="AK115" s="155"/>
      <c r="AL115" s="155"/>
      <c r="AM115" s="155"/>
      <c r="AN115" s="155"/>
      <c r="AO115" s="155"/>
    </row>
    <row r="116" spans="1:41" ht="25.5">
      <c r="A116" s="912" t="s">
        <v>521</v>
      </c>
      <c r="B116" s="913"/>
      <c r="C116" s="914"/>
      <c r="D116" s="915"/>
      <c r="E116" s="916" t="s">
        <v>1371</v>
      </c>
      <c r="F116" s="155"/>
      <c r="G116" s="155" t="s">
        <v>114</v>
      </c>
      <c r="H116" s="155"/>
      <c r="I116" s="155" t="s">
        <v>1370</v>
      </c>
      <c r="J116" s="155" t="s">
        <v>129</v>
      </c>
      <c r="K116" s="155" t="s">
        <v>130</v>
      </c>
      <c r="L116" s="214">
        <v>19275.36</v>
      </c>
      <c r="M116" s="155" t="s">
        <v>526</v>
      </c>
      <c r="N116" s="155" t="s">
        <v>108</v>
      </c>
      <c r="O116" s="155" t="s">
        <v>111</v>
      </c>
      <c r="P116" s="57" t="s">
        <v>523</v>
      </c>
      <c r="Q116" s="155"/>
      <c r="R116" s="155" t="s">
        <v>523</v>
      </c>
      <c r="S116" s="155"/>
      <c r="T116" s="155" t="s">
        <v>523</v>
      </c>
      <c r="U116" s="155"/>
      <c r="V116" s="215">
        <v>43910</v>
      </c>
      <c r="W116" s="155"/>
      <c r="X116" s="215">
        <v>43910</v>
      </c>
      <c r="Y116" s="155"/>
      <c r="Z116" s="155" t="s">
        <v>523</v>
      </c>
      <c r="AA116" s="155"/>
      <c r="AB116" s="155" t="s">
        <v>523</v>
      </c>
      <c r="AC116" s="155"/>
      <c r="AD116" s="215"/>
      <c r="AE116" s="155"/>
      <c r="AF116" s="215">
        <v>43910</v>
      </c>
      <c r="AG116" s="155"/>
      <c r="AH116" s="215">
        <v>43910</v>
      </c>
      <c r="AI116" s="215"/>
      <c r="AJ116" s="215">
        <v>44002</v>
      </c>
      <c r="AK116" s="155"/>
      <c r="AL116" s="155"/>
      <c r="AM116" s="155"/>
      <c r="AN116" s="155"/>
      <c r="AO116" s="155"/>
    </row>
    <row r="117" spans="1:41" ht="25.5">
      <c r="A117" s="923" t="s">
        <v>521</v>
      </c>
      <c r="B117" s="924"/>
      <c r="C117" s="925"/>
      <c r="D117" s="922"/>
      <c r="E117" s="922" t="s">
        <v>1368</v>
      </c>
      <c r="F117" s="59"/>
      <c r="G117" s="290" t="s">
        <v>114</v>
      </c>
      <c r="H117" s="59"/>
      <c r="I117" s="59" t="s">
        <v>1421</v>
      </c>
      <c r="J117" s="290" t="s">
        <v>129</v>
      </c>
      <c r="K117" s="290" t="s">
        <v>130</v>
      </c>
      <c r="L117" s="888">
        <f>+'[3]3. Implementation Plan'!$F$284</f>
        <v>42714</v>
      </c>
      <c r="M117" s="155" t="s">
        <v>1366</v>
      </c>
      <c r="N117" s="290" t="s">
        <v>108</v>
      </c>
      <c r="O117" s="290" t="s">
        <v>111</v>
      </c>
      <c r="P117" s="59" t="s">
        <v>523</v>
      </c>
      <c r="Q117" s="59"/>
      <c r="R117" s="59" t="s">
        <v>523</v>
      </c>
      <c r="S117" s="59"/>
      <c r="T117" s="59" t="s">
        <v>523</v>
      </c>
      <c r="U117" s="59"/>
      <c r="V117" s="889">
        <v>43831</v>
      </c>
      <c r="W117" s="59"/>
      <c r="X117" s="889">
        <v>43831</v>
      </c>
      <c r="Y117" s="59"/>
      <c r="Z117" s="155" t="s">
        <v>523</v>
      </c>
      <c r="AA117" s="59"/>
      <c r="AB117" s="889"/>
      <c r="AC117" s="59"/>
      <c r="AD117" s="889">
        <v>43831</v>
      </c>
      <c r="AE117" s="59"/>
      <c r="AF117" s="889">
        <v>43831</v>
      </c>
      <c r="AG117" s="59"/>
      <c r="AH117" s="889">
        <v>43831</v>
      </c>
      <c r="AI117" s="59"/>
      <c r="AJ117" s="215">
        <v>43891</v>
      </c>
      <c r="AK117" s="59"/>
      <c r="AL117" s="59"/>
      <c r="AM117" s="59"/>
      <c r="AN117" s="59"/>
      <c r="AO117" s="59"/>
    </row>
    <row r="118" spans="1:41" ht="25.5">
      <c r="A118" s="912" t="s">
        <v>521</v>
      </c>
      <c r="B118" s="913"/>
      <c r="C118" s="914"/>
      <c r="D118" s="915"/>
      <c r="E118" s="916" t="s">
        <v>1460</v>
      </c>
      <c r="F118" s="155"/>
      <c r="G118" s="155" t="s">
        <v>114</v>
      </c>
      <c r="H118" s="155"/>
      <c r="I118" s="59" t="s">
        <v>1422</v>
      </c>
      <c r="J118" s="155" t="s">
        <v>129</v>
      </c>
      <c r="K118" s="155" t="s">
        <v>130</v>
      </c>
      <c r="L118" s="214">
        <f>+'[3]3. Implementation Plan'!$F$283</f>
        <v>292858</v>
      </c>
      <c r="M118" s="155" t="s">
        <v>1366</v>
      </c>
      <c r="N118" s="155" t="s">
        <v>108</v>
      </c>
      <c r="O118" s="155" t="s">
        <v>111</v>
      </c>
      <c r="P118" s="57" t="s">
        <v>523</v>
      </c>
      <c r="Q118" s="155"/>
      <c r="R118" s="155" t="s">
        <v>523</v>
      </c>
      <c r="S118" s="155"/>
      <c r="T118" s="155" t="s">
        <v>523</v>
      </c>
      <c r="U118" s="155"/>
      <c r="V118" s="215">
        <v>43850</v>
      </c>
      <c r="W118" s="155"/>
      <c r="X118" s="215">
        <v>43850</v>
      </c>
      <c r="Y118" s="155"/>
      <c r="Z118" s="155" t="s">
        <v>523</v>
      </c>
      <c r="AA118" s="155"/>
      <c r="AB118" s="155" t="s">
        <v>523</v>
      </c>
      <c r="AC118" s="155"/>
      <c r="AD118" s="215">
        <v>43850</v>
      </c>
      <c r="AE118" s="215"/>
      <c r="AF118" s="215">
        <v>43850</v>
      </c>
      <c r="AG118" s="155"/>
      <c r="AH118" s="215">
        <v>43850</v>
      </c>
      <c r="AI118" s="155"/>
      <c r="AJ118" s="215">
        <v>44002</v>
      </c>
      <c r="AK118" s="155"/>
      <c r="AL118" s="155"/>
      <c r="AM118" s="155"/>
      <c r="AN118" s="155"/>
      <c r="AO118" s="155"/>
    </row>
    <row r="119" spans="1:41" ht="25.5">
      <c r="A119" s="912" t="s">
        <v>521</v>
      </c>
      <c r="B119" s="913"/>
      <c r="C119" s="914"/>
      <c r="D119" s="915"/>
      <c r="E119" s="922" t="s">
        <v>1367</v>
      </c>
      <c r="F119" s="155"/>
      <c r="G119" s="155" t="s">
        <v>114</v>
      </c>
      <c r="H119" s="155"/>
      <c r="I119" s="59" t="s">
        <v>1423</v>
      </c>
      <c r="J119" s="155" t="s">
        <v>129</v>
      </c>
      <c r="K119" s="155" t="s">
        <v>130</v>
      </c>
      <c r="L119" s="214">
        <f>+'[3]3. Implementation Plan'!$F$295</f>
        <v>14286</v>
      </c>
      <c r="M119" s="155" t="s">
        <v>1366</v>
      </c>
      <c r="N119" s="155" t="s">
        <v>108</v>
      </c>
      <c r="O119" s="155" t="s">
        <v>111</v>
      </c>
      <c r="P119" s="57" t="s">
        <v>523</v>
      </c>
      <c r="Q119" s="155"/>
      <c r="R119" s="155" t="s">
        <v>523</v>
      </c>
      <c r="S119" s="155"/>
      <c r="T119" s="155" t="s">
        <v>523</v>
      </c>
      <c r="U119" s="155"/>
      <c r="V119" s="215">
        <v>43850</v>
      </c>
      <c r="W119" s="155"/>
      <c r="X119" s="215">
        <v>43850</v>
      </c>
      <c r="Y119" s="155"/>
      <c r="Z119" s="155" t="s">
        <v>523</v>
      </c>
      <c r="AA119" s="155"/>
      <c r="AB119" s="155" t="s">
        <v>523</v>
      </c>
      <c r="AC119" s="155"/>
      <c r="AD119" s="155" t="s">
        <v>523</v>
      </c>
      <c r="AE119" s="155"/>
      <c r="AF119" s="215">
        <v>43850</v>
      </c>
      <c r="AG119" s="155"/>
      <c r="AH119" s="215">
        <v>43850</v>
      </c>
      <c r="AI119" s="155"/>
      <c r="AJ119" s="215">
        <v>43891</v>
      </c>
      <c r="AK119" s="155"/>
      <c r="AL119" s="155"/>
      <c r="AM119" s="155"/>
      <c r="AN119" s="155"/>
      <c r="AO119" s="155"/>
    </row>
    <row r="120" spans="1:41" ht="25.5">
      <c r="A120" s="912" t="s">
        <v>521</v>
      </c>
      <c r="B120" s="926"/>
      <c r="C120" s="927"/>
      <c r="D120" s="928"/>
      <c r="E120" s="929" t="s">
        <v>1462</v>
      </c>
      <c r="F120" s="906"/>
      <c r="G120" s="155" t="s">
        <v>114</v>
      </c>
      <c r="H120" s="906"/>
      <c r="I120" s="907"/>
      <c r="J120" s="155" t="s">
        <v>129</v>
      </c>
      <c r="K120" s="155" t="s">
        <v>130</v>
      </c>
      <c r="L120" s="908">
        <v>249607</v>
      </c>
      <c r="M120" s="906" t="s">
        <v>1463</v>
      </c>
      <c r="N120" s="155" t="s">
        <v>108</v>
      </c>
      <c r="O120" s="155" t="s">
        <v>111</v>
      </c>
      <c r="P120" s="57" t="s">
        <v>523</v>
      </c>
      <c r="Q120" s="155"/>
      <c r="R120" s="155" t="s">
        <v>523</v>
      </c>
      <c r="S120" s="155"/>
      <c r="T120" s="155" t="s">
        <v>523</v>
      </c>
      <c r="U120" s="906"/>
      <c r="V120" s="909">
        <v>43941</v>
      </c>
      <c r="W120" s="906"/>
      <c r="X120" s="909"/>
      <c r="Y120" s="906"/>
      <c r="Z120" s="906"/>
      <c r="AA120" s="910"/>
      <c r="AB120" s="910"/>
      <c r="AC120" s="910"/>
      <c r="AD120" s="910"/>
      <c r="AE120" s="910"/>
      <c r="AF120" s="911"/>
      <c r="AG120" s="910"/>
      <c r="AH120" s="911"/>
      <c r="AI120" s="910"/>
      <c r="AJ120" s="911"/>
      <c r="AK120" s="910"/>
      <c r="AL120" s="910"/>
      <c r="AM120" s="910"/>
      <c r="AN120" s="910"/>
      <c r="AO120" s="910"/>
    </row>
    <row r="121" spans="1:41" ht="15.75">
      <c r="A121" s="829" t="s">
        <v>131</v>
      </c>
      <c r="B121" s="828"/>
      <c r="C121" s="828"/>
      <c r="D121" s="828"/>
      <c r="E121" s="828"/>
      <c r="F121" s="828"/>
      <c r="G121" s="828"/>
      <c r="H121" s="828"/>
      <c r="I121" s="828"/>
      <c r="J121" s="828"/>
      <c r="K121" s="828"/>
      <c r="L121" s="828"/>
      <c r="M121" s="828"/>
      <c r="N121" s="828"/>
      <c r="O121" s="828"/>
      <c r="P121" s="828"/>
      <c r="Q121" s="828"/>
      <c r="R121" s="828"/>
      <c r="S121" s="828"/>
      <c r="T121" s="828"/>
      <c r="U121" s="828"/>
      <c r="V121" s="828"/>
      <c r="W121" s="828"/>
      <c r="X121" s="828"/>
      <c r="Y121" s="828"/>
      <c r="Z121" s="828"/>
    </row>
    <row r="122" spans="1:41">
      <c r="A122" s="1278" t="s">
        <v>85</v>
      </c>
      <c r="B122" s="1260" t="s">
        <v>86</v>
      </c>
      <c r="C122" s="1275" t="s">
        <v>87</v>
      </c>
      <c r="D122" s="1260" t="s">
        <v>88</v>
      </c>
      <c r="E122" s="1260" t="s">
        <v>89</v>
      </c>
      <c r="F122" s="1260" t="s">
        <v>90</v>
      </c>
      <c r="G122" s="1260" t="s">
        <v>1365</v>
      </c>
      <c r="H122" s="1260" t="s">
        <v>245</v>
      </c>
      <c r="I122" s="1260" t="s">
        <v>92</v>
      </c>
      <c r="J122" s="1260" t="s">
        <v>1364</v>
      </c>
      <c r="K122" s="1260" t="s">
        <v>93</v>
      </c>
      <c r="L122" s="1260" t="s">
        <v>132</v>
      </c>
      <c r="M122" s="1260" t="s">
        <v>94</v>
      </c>
      <c r="N122" s="1260" t="s">
        <v>1363</v>
      </c>
      <c r="O122" s="1260" t="s">
        <v>1362</v>
      </c>
      <c r="P122" s="1263" t="s">
        <v>95</v>
      </c>
      <c r="Q122" s="1269"/>
      <c r="R122" s="1269"/>
      <c r="S122" s="1269"/>
      <c r="T122" s="1269"/>
      <c r="U122" s="1264"/>
      <c r="V122" s="1260" t="s">
        <v>133</v>
      </c>
      <c r="W122" s="1263" t="s">
        <v>134</v>
      </c>
      <c r="X122" s="1264"/>
      <c r="Y122" s="1260" t="s">
        <v>135</v>
      </c>
      <c r="Z122" s="1266" t="s">
        <v>98</v>
      </c>
    </row>
    <row r="123" spans="1:41">
      <c r="A123" s="1279"/>
      <c r="B123" s="1262"/>
      <c r="C123" s="1276"/>
      <c r="D123" s="1262"/>
      <c r="E123" s="1262"/>
      <c r="F123" s="1262"/>
      <c r="G123" s="1262"/>
      <c r="H123" s="1262"/>
      <c r="I123" s="1262"/>
      <c r="J123" s="1262"/>
      <c r="K123" s="1262"/>
      <c r="L123" s="1262"/>
      <c r="M123" s="1262"/>
      <c r="N123" s="1262"/>
      <c r="O123" s="1262"/>
      <c r="P123" s="1263" t="s">
        <v>136</v>
      </c>
      <c r="Q123" s="1264"/>
      <c r="R123" s="1263" t="s">
        <v>137</v>
      </c>
      <c r="S123" s="1264"/>
      <c r="T123" s="1263" t="s">
        <v>138</v>
      </c>
      <c r="U123" s="1264"/>
      <c r="V123" s="1262"/>
      <c r="W123" s="1260" t="s">
        <v>139</v>
      </c>
      <c r="X123" s="1260" t="s">
        <v>140</v>
      </c>
      <c r="Y123" s="1262"/>
      <c r="Z123" s="1267"/>
    </row>
    <row r="124" spans="1:41">
      <c r="A124" s="1280"/>
      <c r="B124" s="1261"/>
      <c r="C124" s="1277"/>
      <c r="D124" s="1261"/>
      <c r="E124" s="1261"/>
      <c r="F124" s="1261"/>
      <c r="G124" s="1261"/>
      <c r="H124" s="1261"/>
      <c r="I124" s="1261"/>
      <c r="J124" s="1261"/>
      <c r="K124" s="1261"/>
      <c r="L124" s="1261"/>
      <c r="M124" s="1261"/>
      <c r="N124" s="1261"/>
      <c r="O124" s="1261"/>
      <c r="P124" s="827" t="s">
        <v>109</v>
      </c>
      <c r="Q124" s="827" t="s">
        <v>110</v>
      </c>
      <c r="R124" s="827" t="s">
        <v>109</v>
      </c>
      <c r="S124" s="827" t="s">
        <v>110</v>
      </c>
      <c r="T124" s="827" t="s">
        <v>109</v>
      </c>
      <c r="U124" s="827" t="s">
        <v>110</v>
      </c>
      <c r="V124" s="1261"/>
      <c r="W124" s="1261"/>
      <c r="X124" s="1261"/>
      <c r="Y124" s="1261"/>
      <c r="Z124" s="1268"/>
    </row>
    <row r="125" spans="1:41" ht="45">
      <c r="A125" s="930" t="s">
        <v>521</v>
      </c>
      <c r="B125" s="931"/>
      <c r="C125" s="932"/>
      <c r="D125" s="933"/>
      <c r="E125" s="934" t="s">
        <v>854</v>
      </c>
      <c r="F125" s="935"/>
      <c r="G125" s="918" t="s">
        <v>141</v>
      </c>
      <c r="H125" s="526"/>
      <c r="I125" s="526" t="s">
        <v>853</v>
      </c>
      <c r="J125" s="155" t="s">
        <v>130</v>
      </c>
      <c r="K125" s="890">
        <v>5091</v>
      </c>
      <c r="L125" s="526">
        <v>2</v>
      </c>
      <c r="M125" s="155" t="s">
        <v>1389</v>
      </c>
      <c r="N125" s="155" t="s">
        <v>108</v>
      </c>
      <c r="O125" s="526" t="s">
        <v>111</v>
      </c>
      <c r="P125" s="891">
        <v>43831</v>
      </c>
      <c r="Q125" s="526"/>
      <c r="R125" s="822">
        <v>43831</v>
      </c>
      <c r="S125" s="526"/>
      <c r="T125" s="822">
        <v>43831</v>
      </c>
      <c r="U125" s="526"/>
      <c r="V125" s="821"/>
      <c r="W125" s="822">
        <v>43831</v>
      </c>
      <c r="X125" s="822">
        <v>43831</v>
      </c>
      <c r="Y125" s="526"/>
      <c r="Z125" s="892"/>
      <c r="AA125" s="818"/>
      <c r="AB125" s="819"/>
      <c r="AC125" s="818"/>
      <c r="AD125" s="818"/>
      <c r="AE125" s="818"/>
      <c r="AF125" s="818"/>
      <c r="AG125" s="818"/>
      <c r="AH125" s="818"/>
      <c r="AI125" s="818"/>
      <c r="AJ125" s="818"/>
      <c r="AK125" s="818"/>
      <c r="AL125" s="818"/>
      <c r="AM125" s="818"/>
      <c r="AN125" s="818"/>
      <c r="AO125" s="818"/>
    </row>
    <row r="126" spans="1:41" ht="43.5" customHeight="1">
      <c r="A126" s="912" t="s">
        <v>521</v>
      </c>
      <c r="B126" s="936"/>
      <c r="C126" s="920"/>
      <c r="D126" s="921"/>
      <c r="E126" s="934" t="s">
        <v>1469</v>
      </c>
      <c r="F126" s="921"/>
      <c r="G126" s="921" t="s">
        <v>141</v>
      </c>
      <c r="H126" s="63"/>
      <c r="I126" s="63" t="s">
        <v>1361</v>
      </c>
      <c r="J126" s="63" t="s">
        <v>130</v>
      </c>
      <c r="K126" s="216">
        <v>5575</v>
      </c>
      <c r="L126" s="63">
        <v>2</v>
      </c>
      <c r="M126" s="63" t="s">
        <v>526</v>
      </c>
      <c r="N126" s="155" t="s">
        <v>99</v>
      </c>
      <c r="O126" s="63" t="s">
        <v>111</v>
      </c>
      <c r="P126" s="217">
        <v>44105</v>
      </c>
      <c r="Q126" s="63"/>
      <c r="R126" s="217">
        <v>44105</v>
      </c>
      <c r="S126" s="64"/>
      <c r="T126" s="217">
        <v>44105</v>
      </c>
      <c r="U126" s="64"/>
      <c r="V126" s="63"/>
      <c r="W126" s="217">
        <v>44105</v>
      </c>
      <c r="X126" s="217">
        <v>44105</v>
      </c>
      <c r="Y126" s="63"/>
      <c r="Z126" s="223" t="s">
        <v>1360</v>
      </c>
    </row>
    <row r="127" spans="1:41" ht="25.5">
      <c r="A127" s="912" t="s">
        <v>521</v>
      </c>
      <c r="B127" s="936"/>
      <c r="C127" s="920"/>
      <c r="D127" s="921"/>
      <c r="E127" s="934" t="s">
        <v>1348</v>
      </c>
      <c r="F127" s="921"/>
      <c r="G127" s="921" t="s">
        <v>141</v>
      </c>
      <c r="H127" s="63"/>
      <c r="I127" s="63" t="s">
        <v>1347</v>
      </c>
      <c r="J127" s="63" t="s">
        <v>130</v>
      </c>
      <c r="K127" s="216">
        <v>11000</v>
      </c>
      <c r="L127" s="63">
        <v>2</v>
      </c>
      <c r="M127" s="63" t="s">
        <v>526</v>
      </c>
      <c r="N127" s="53" t="s">
        <v>99</v>
      </c>
      <c r="O127" s="63" t="s">
        <v>111</v>
      </c>
      <c r="P127" s="217"/>
      <c r="Q127" s="63"/>
      <c r="R127" s="217">
        <v>43862</v>
      </c>
      <c r="S127" s="64"/>
      <c r="T127" s="217">
        <v>43862</v>
      </c>
      <c r="U127" s="63"/>
      <c r="V127" s="63"/>
      <c r="W127" s="217">
        <v>43862</v>
      </c>
      <c r="X127" s="64">
        <v>44185</v>
      </c>
      <c r="Y127" s="63"/>
      <c r="Z127" s="223"/>
    </row>
    <row r="128" spans="1:41" ht="25.5">
      <c r="A128" s="912" t="s">
        <v>521</v>
      </c>
      <c r="B128" s="936"/>
      <c r="C128" s="920"/>
      <c r="D128" s="921"/>
      <c r="E128" s="934" t="s">
        <v>1359</v>
      </c>
      <c r="F128" s="921"/>
      <c r="G128" s="921" t="s">
        <v>141</v>
      </c>
      <c r="H128" s="63"/>
      <c r="I128" s="63" t="s">
        <v>1345</v>
      </c>
      <c r="J128" s="63" t="s">
        <v>130</v>
      </c>
      <c r="K128" s="216">
        <v>13164</v>
      </c>
      <c r="L128" s="63">
        <v>1</v>
      </c>
      <c r="M128" s="63" t="s">
        <v>526</v>
      </c>
      <c r="N128" s="53" t="s">
        <v>99</v>
      </c>
      <c r="O128" s="63" t="s">
        <v>111</v>
      </c>
      <c r="P128" s="217"/>
      <c r="Q128" s="63"/>
      <c r="R128" s="217">
        <v>43862</v>
      </c>
      <c r="S128" s="64"/>
      <c r="T128" s="217">
        <v>43862</v>
      </c>
      <c r="U128" s="63"/>
      <c r="V128" s="63"/>
      <c r="W128" s="217">
        <v>43862</v>
      </c>
      <c r="X128" s="64">
        <v>44185</v>
      </c>
      <c r="Y128" s="63"/>
      <c r="Z128" s="223"/>
    </row>
    <row r="129" spans="1:41" ht="25.5">
      <c r="A129" s="912" t="s">
        <v>521</v>
      </c>
      <c r="B129" s="936"/>
      <c r="C129" s="920"/>
      <c r="D129" s="921"/>
      <c r="E129" s="934" t="s">
        <v>1358</v>
      </c>
      <c r="F129" s="921"/>
      <c r="G129" s="921" t="s">
        <v>141</v>
      </c>
      <c r="H129" s="63"/>
      <c r="I129" s="63" t="s">
        <v>1345</v>
      </c>
      <c r="J129" s="63" t="s">
        <v>130</v>
      </c>
      <c r="K129" s="216">
        <v>31217</v>
      </c>
      <c r="L129" s="63">
        <v>2</v>
      </c>
      <c r="M129" s="63" t="s">
        <v>526</v>
      </c>
      <c r="N129" s="53" t="s">
        <v>99</v>
      </c>
      <c r="O129" s="63" t="s">
        <v>111</v>
      </c>
      <c r="P129" s="217"/>
      <c r="Q129" s="63"/>
      <c r="R129" s="217">
        <v>43862</v>
      </c>
      <c r="S129" s="64"/>
      <c r="T129" s="217">
        <v>43862</v>
      </c>
      <c r="U129" s="63"/>
      <c r="V129" s="63"/>
      <c r="W129" s="217">
        <v>43862</v>
      </c>
      <c r="X129" s="64">
        <v>44185</v>
      </c>
      <c r="Y129" s="63"/>
      <c r="Z129" s="223"/>
    </row>
    <row r="130" spans="1:41" ht="33.75" customHeight="1">
      <c r="A130" s="912" t="s">
        <v>521</v>
      </c>
      <c r="B130" s="936"/>
      <c r="C130" s="920"/>
      <c r="D130" s="921"/>
      <c r="E130" s="934" t="s">
        <v>547</v>
      </c>
      <c r="F130" s="921"/>
      <c r="G130" s="921" t="s">
        <v>114</v>
      </c>
      <c r="H130" s="63"/>
      <c r="I130" s="63" t="s">
        <v>1356</v>
      </c>
      <c r="J130" s="63" t="s">
        <v>130</v>
      </c>
      <c r="K130" s="216">
        <v>5142</v>
      </c>
      <c r="L130" s="63"/>
      <c r="M130" s="63" t="s">
        <v>526</v>
      </c>
      <c r="N130" s="155" t="s">
        <v>99</v>
      </c>
      <c r="O130" s="63" t="s">
        <v>111</v>
      </c>
      <c r="P130" s="217">
        <v>43862</v>
      </c>
      <c r="Q130" s="63"/>
      <c r="R130" s="217">
        <v>43862</v>
      </c>
      <c r="S130" s="64"/>
      <c r="T130" s="217">
        <v>43862</v>
      </c>
      <c r="U130" s="63"/>
      <c r="V130" s="63"/>
      <c r="W130" s="217">
        <v>43862</v>
      </c>
      <c r="X130" s="64">
        <v>44013</v>
      </c>
      <c r="Y130" s="63"/>
      <c r="Z130" s="223" t="s">
        <v>609</v>
      </c>
    </row>
    <row r="131" spans="1:41" ht="24" customHeight="1">
      <c r="A131" s="912" t="s">
        <v>521</v>
      </c>
      <c r="B131" s="936"/>
      <c r="C131" s="920"/>
      <c r="D131" s="921"/>
      <c r="E131" s="934" t="s">
        <v>1357</v>
      </c>
      <c r="F131" s="921"/>
      <c r="G131" s="921" t="s">
        <v>114</v>
      </c>
      <c r="H131" s="63"/>
      <c r="I131" s="63" t="s">
        <v>1356</v>
      </c>
      <c r="J131" s="63" t="s">
        <v>130</v>
      </c>
      <c r="K131" s="216">
        <v>17100</v>
      </c>
      <c r="L131" s="63"/>
      <c r="M131" s="63" t="s">
        <v>526</v>
      </c>
      <c r="N131" s="53" t="s">
        <v>99</v>
      </c>
      <c r="O131" s="63" t="s">
        <v>111</v>
      </c>
      <c r="P131" s="217">
        <v>43941</v>
      </c>
      <c r="Q131" s="63"/>
      <c r="R131" s="217">
        <v>43941</v>
      </c>
      <c r="S131" s="64"/>
      <c r="T131" s="217">
        <v>43941</v>
      </c>
      <c r="U131" s="63"/>
      <c r="V131" s="63"/>
      <c r="W131" s="217">
        <v>43941</v>
      </c>
      <c r="X131" s="217">
        <v>44185</v>
      </c>
      <c r="Y131" s="63"/>
      <c r="Z131" s="223" t="s">
        <v>609</v>
      </c>
    </row>
    <row r="132" spans="1:41" ht="46.5" customHeight="1">
      <c r="A132" s="912" t="s">
        <v>521</v>
      </c>
      <c r="B132" s="936"/>
      <c r="C132" s="920"/>
      <c r="D132" s="921"/>
      <c r="E132" s="934" t="s">
        <v>1451</v>
      </c>
      <c r="F132" s="921"/>
      <c r="G132" s="921" t="s">
        <v>1449</v>
      </c>
      <c r="H132" s="63"/>
      <c r="I132" s="63" t="s">
        <v>1450</v>
      </c>
      <c r="J132" s="63"/>
      <c r="K132" s="216">
        <f>1786+3928.57</f>
        <v>5714.57</v>
      </c>
      <c r="L132" s="63"/>
      <c r="M132" s="63" t="s">
        <v>1369</v>
      </c>
      <c r="N132" s="155" t="s">
        <v>1349</v>
      </c>
      <c r="O132" s="63"/>
      <c r="P132" s="217">
        <v>44002</v>
      </c>
      <c r="Q132" s="63"/>
      <c r="R132" s="217">
        <v>44002</v>
      </c>
      <c r="S132" s="64"/>
      <c r="U132" s="63"/>
      <c r="W132" s="217"/>
      <c r="X132" s="217"/>
      <c r="Y132" s="63"/>
      <c r="Z132" s="898"/>
    </row>
    <row r="133" spans="1:41" ht="15.75">
      <c r="A133" s="912" t="s">
        <v>521</v>
      </c>
      <c r="B133" s="936"/>
      <c r="C133" s="920"/>
      <c r="D133" s="921"/>
      <c r="E133" s="937" t="s">
        <v>1355</v>
      </c>
      <c r="F133" s="921"/>
      <c r="G133" s="921" t="s">
        <v>141</v>
      </c>
      <c r="H133" s="63"/>
      <c r="I133" s="63" t="s">
        <v>1354</v>
      </c>
      <c r="J133" s="63" t="s">
        <v>130</v>
      </c>
      <c r="K133" s="216">
        <v>50672</v>
      </c>
      <c r="L133" s="63"/>
      <c r="M133" s="63" t="s">
        <v>526</v>
      </c>
      <c r="N133" s="155" t="s">
        <v>1349</v>
      </c>
      <c r="O133" s="63" t="s">
        <v>111</v>
      </c>
      <c r="P133" s="217">
        <v>43881</v>
      </c>
      <c r="Q133" s="63"/>
      <c r="R133" s="217">
        <v>43881</v>
      </c>
      <c r="S133" s="64"/>
      <c r="T133" s="217">
        <v>43881</v>
      </c>
      <c r="U133" s="63"/>
      <c r="W133" s="217">
        <v>43881</v>
      </c>
      <c r="X133" s="217">
        <v>44185</v>
      </c>
      <c r="Y133" s="63"/>
      <c r="Z133" s="899"/>
      <c r="AB133" s="839"/>
      <c r="AD133" s="839"/>
    </row>
    <row r="134" spans="1:41" ht="15.75">
      <c r="A134" s="919" t="s">
        <v>528</v>
      </c>
      <c r="B134" s="920"/>
      <c r="C134" s="920"/>
      <c r="D134" s="921"/>
      <c r="E134" s="921" t="s">
        <v>1353</v>
      </c>
      <c r="F134" s="921"/>
      <c r="G134" s="921" t="s">
        <v>114</v>
      </c>
      <c r="H134" s="63"/>
      <c r="I134" s="63" t="s">
        <v>901</v>
      </c>
      <c r="J134" s="63" t="s">
        <v>130</v>
      </c>
      <c r="K134" s="823">
        <v>5915.71</v>
      </c>
      <c r="L134" s="817"/>
      <c r="M134" s="63" t="s">
        <v>526</v>
      </c>
      <c r="N134" s="155" t="s">
        <v>99</v>
      </c>
      <c r="O134" s="63" t="s">
        <v>111</v>
      </c>
      <c r="P134" s="217">
        <v>43881</v>
      </c>
      <c r="Q134" s="63"/>
      <c r="R134" s="217">
        <v>43881</v>
      </c>
      <c r="S134" s="64"/>
      <c r="T134" s="217">
        <v>43881</v>
      </c>
      <c r="U134" s="63"/>
      <c r="W134" s="217">
        <v>43881</v>
      </c>
      <c r="X134" s="821">
        <v>43891</v>
      </c>
      <c r="Y134" s="817"/>
      <c r="Z134" s="820"/>
      <c r="AA134" s="818"/>
      <c r="AB134" s="819"/>
      <c r="AC134" s="818"/>
      <c r="AD134" s="818"/>
      <c r="AE134" s="818"/>
      <c r="AF134" s="818"/>
      <c r="AG134" s="818"/>
      <c r="AH134" s="818"/>
      <c r="AI134" s="818"/>
      <c r="AJ134" s="818"/>
      <c r="AK134" s="818"/>
      <c r="AL134" s="818"/>
      <c r="AM134" s="818"/>
      <c r="AN134" s="818"/>
      <c r="AO134" s="818"/>
    </row>
    <row r="135" spans="1:41" ht="15.75">
      <c r="A135" s="919" t="s">
        <v>528</v>
      </c>
      <c r="B135" s="920"/>
      <c r="C135" s="920"/>
      <c r="D135" s="921"/>
      <c r="E135" s="921" t="s">
        <v>1473</v>
      </c>
      <c r="F135" s="921"/>
      <c r="G135" s="921" t="s">
        <v>141</v>
      </c>
      <c r="H135" s="63"/>
      <c r="I135" s="63" t="s">
        <v>901</v>
      </c>
      <c r="J135" s="63" t="s">
        <v>130</v>
      </c>
      <c r="K135" s="823">
        <v>5786</v>
      </c>
      <c r="L135" s="817"/>
      <c r="M135" s="63" t="s">
        <v>526</v>
      </c>
      <c r="N135" s="155" t="s">
        <v>99</v>
      </c>
      <c r="O135" s="63" t="s">
        <v>111</v>
      </c>
      <c r="P135" s="217">
        <v>43910</v>
      </c>
      <c r="Q135" s="63"/>
      <c r="R135" s="821">
        <v>43891</v>
      </c>
      <c r="S135" s="64"/>
      <c r="T135" s="821">
        <v>43891</v>
      </c>
      <c r="U135" s="63"/>
      <c r="W135" s="217">
        <v>43881</v>
      </c>
      <c r="X135" s="821">
        <v>43891</v>
      </c>
      <c r="Y135" s="817"/>
      <c r="Z135" s="820"/>
      <c r="AA135" s="818"/>
      <c r="AB135" s="819"/>
      <c r="AC135" s="818"/>
      <c r="AD135" s="818"/>
      <c r="AE135" s="818"/>
      <c r="AF135" s="818"/>
      <c r="AG135" s="818"/>
      <c r="AH135" s="818"/>
      <c r="AI135" s="818"/>
      <c r="AJ135" s="818"/>
      <c r="AK135" s="818"/>
      <c r="AL135" s="818"/>
      <c r="AM135" s="818"/>
      <c r="AN135" s="818"/>
      <c r="AO135" s="818"/>
    </row>
    <row r="136" spans="1:41" ht="31.5">
      <c r="A136" s="912" t="s">
        <v>521</v>
      </c>
      <c r="B136" s="936"/>
      <c r="C136" s="920"/>
      <c r="D136" s="921"/>
      <c r="E136" s="937" t="s">
        <v>1352</v>
      </c>
      <c r="F136" s="921"/>
      <c r="G136" s="921" t="s">
        <v>141</v>
      </c>
      <c r="H136" s="63"/>
      <c r="I136" s="63" t="s">
        <v>1350</v>
      </c>
      <c r="J136" s="63" t="s">
        <v>130</v>
      </c>
      <c r="K136" s="216">
        <v>16200</v>
      </c>
      <c r="L136" s="63">
        <v>1</v>
      </c>
      <c r="M136" s="63" t="s">
        <v>526</v>
      </c>
      <c r="N136" s="155" t="s">
        <v>1349</v>
      </c>
      <c r="O136" s="63" t="s">
        <v>111</v>
      </c>
      <c r="P136" s="217">
        <v>43881</v>
      </c>
      <c r="Q136" s="63"/>
      <c r="R136" s="217">
        <v>43881</v>
      </c>
      <c r="S136" s="64"/>
      <c r="T136" s="217">
        <v>43881</v>
      </c>
      <c r="U136" s="63"/>
      <c r="W136" s="217">
        <v>43881</v>
      </c>
      <c r="X136" s="217">
        <v>43910</v>
      </c>
      <c r="Y136" s="63"/>
      <c r="Z136" s="899"/>
      <c r="AB136" s="839"/>
      <c r="AD136" s="839"/>
    </row>
    <row r="137" spans="1:41" ht="25.5">
      <c r="A137" s="912" t="s">
        <v>521</v>
      </c>
      <c r="B137" s="936"/>
      <c r="C137" s="920"/>
      <c r="D137" s="921"/>
      <c r="E137" s="937" t="s">
        <v>1351</v>
      </c>
      <c r="F137" s="921"/>
      <c r="G137" s="921" t="s">
        <v>141</v>
      </c>
      <c r="H137" s="63"/>
      <c r="I137" s="63" t="s">
        <v>1350</v>
      </c>
      <c r="J137" s="63" t="s">
        <v>130</v>
      </c>
      <c r="K137" s="216">
        <v>32400</v>
      </c>
      <c r="L137" s="63">
        <v>1</v>
      </c>
      <c r="M137" s="63" t="s">
        <v>526</v>
      </c>
      <c r="N137" s="155" t="s">
        <v>1349</v>
      </c>
      <c r="O137" s="63" t="s">
        <v>111</v>
      </c>
      <c r="P137" s="217">
        <v>44002</v>
      </c>
      <c r="Q137" s="63"/>
      <c r="R137" s="217">
        <v>44002</v>
      </c>
      <c r="S137" s="64"/>
      <c r="T137" s="217">
        <v>44002</v>
      </c>
      <c r="U137" s="63"/>
      <c r="W137" s="217">
        <v>44002</v>
      </c>
      <c r="X137" s="217">
        <v>44002</v>
      </c>
      <c r="Y137" s="63"/>
      <c r="Z137" s="899"/>
      <c r="AB137" s="839"/>
      <c r="AD137" s="839"/>
    </row>
    <row r="138" spans="1:41" ht="25.5">
      <c r="A138" s="912" t="s">
        <v>521</v>
      </c>
      <c r="B138" s="936"/>
      <c r="C138" s="920"/>
      <c r="D138" s="921"/>
      <c r="E138" s="937" t="s">
        <v>1415</v>
      </c>
      <c r="F138" s="921"/>
      <c r="G138" s="921" t="s">
        <v>141</v>
      </c>
      <c r="H138" s="218"/>
      <c r="I138" s="218" t="s">
        <v>1350</v>
      </c>
      <c r="J138" s="218" t="s">
        <v>130</v>
      </c>
      <c r="K138" s="221">
        <v>52973.38</v>
      </c>
      <c r="L138" s="218">
        <v>3</v>
      </c>
      <c r="M138" s="218" t="s">
        <v>526</v>
      </c>
      <c r="N138" s="53" t="s">
        <v>1349</v>
      </c>
      <c r="O138" s="218" t="s">
        <v>111</v>
      </c>
      <c r="P138" s="222">
        <v>43881</v>
      </c>
      <c r="Q138" s="218"/>
      <c r="R138" s="222">
        <v>43941</v>
      </c>
      <c r="S138" s="825"/>
      <c r="T138" s="222">
        <v>43941</v>
      </c>
      <c r="U138" s="218"/>
      <c r="W138" s="222">
        <v>43941</v>
      </c>
      <c r="X138" s="222">
        <v>44185</v>
      </c>
      <c r="Y138" s="218"/>
      <c r="Z138" s="824"/>
      <c r="AB138" s="839"/>
      <c r="AD138" s="839"/>
    </row>
    <row r="139" spans="1:41" ht="25.5">
      <c r="A139" s="912" t="s">
        <v>521</v>
      </c>
      <c r="B139" s="936"/>
      <c r="C139" s="920"/>
      <c r="D139" s="921"/>
      <c r="E139" s="937" t="s">
        <v>1414</v>
      </c>
      <c r="F139" s="921"/>
      <c r="G139" s="921" t="s">
        <v>141</v>
      </c>
      <c r="H139" s="218"/>
      <c r="I139" s="218" t="s">
        <v>1350</v>
      </c>
      <c r="J139" s="218" t="s">
        <v>130</v>
      </c>
      <c r="K139" s="221">
        <v>35871.949999999997</v>
      </c>
      <c r="L139" s="218">
        <v>1</v>
      </c>
      <c r="M139" s="218" t="s">
        <v>526</v>
      </c>
      <c r="N139" s="53" t="s">
        <v>1349</v>
      </c>
      <c r="O139" s="218" t="s">
        <v>111</v>
      </c>
      <c r="P139" s="222">
        <v>43881</v>
      </c>
      <c r="Q139" s="218"/>
      <c r="R139" s="222">
        <v>43941</v>
      </c>
      <c r="S139" s="825"/>
      <c r="T139" s="222">
        <v>43941</v>
      </c>
      <c r="U139" s="218"/>
      <c r="W139" s="222">
        <v>43941</v>
      </c>
      <c r="X139" s="222">
        <v>44185</v>
      </c>
      <c r="Y139" s="218"/>
      <c r="Z139" s="824"/>
      <c r="AB139" s="839"/>
      <c r="AD139" s="839"/>
    </row>
    <row r="140" spans="1:41" ht="25.5">
      <c r="A140" s="912" t="s">
        <v>521</v>
      </c>
      <c r="B140" s="936"/>
      <c r="C140" s="920"/>
      <c r="D140" s="921"/>
      <c r="E140" s="934" t="s">
        <v>1348</v>
      </c>
      <c r="F140" s="921"/>
      <c r="G140" s="921" t="s">
        <v>141</v>
      </c>
      <c r="H140" s="63"/>
      <c r="I140" s="63" t="s">
        <v>1347</v>
      </c>
      <c r="J140" s="63" t="s">
        <v>130</v>
      </c>
      <c r="K140" s="216">
        <v>11000</v>
      </c>
      <c r="L140" s="63">
        <v>2</v>
      </c>
      <c r="M140" s="63" t="s">
        <v>526</v>
      </c>
      <c r="N140" s="53" t="s">
        <v>99</v>
      </c>
      <c r="O140" s="63" t="s">
        <v>111</v>
      </c>
      <c r="P140" s="822">
        <v>43831</v>
      </c>
      <c r="Q140" s="63"/>
      <c r="R140" s="822">
        <v>43831</v>
      </c>
      <c r="S140" s="64"/>
      <c r="T140" s="822">
        <v>43831</v>
      </c>
      <c r="U140" s="63"/>
      <c r="V140" s="63"/>
      <c r="W140" s="64">
        <v>43862</v>
      </c>
      <c r="X140" s="64">
        <v>44166</v>
      </c>
      <c r="Y140" s="63"/>
      <c r="Z140" s="223"/>
    </row>
    <row r="141" spans="1:41" ht="25.5">
      <c r="A141" s="912" t="s">
        <v>521</v>
      </c>
      <c r="B141" s="936"/>
      <c r="C141" s="920"/>
      <c r="D141" s="921"/>
      <c r="E141" s="934" t="s">
        <v>1346</v>
      </c>
      <c r="F141" s="921"/>
      <c r="G141" s="921" t="s">
        <v>141</v>
      </c>
      <c r="H141" s="63"/>
      <c r="I141" s="63" t="s">
        <v>1345</v>
      </c>
      <c r="J141" s="63" t="s">
        <v>130</v>
      </c>
      <c r="K141" s="216">
        <v>13164</v>
      </c>
      <c r="L141" s="63">
        <v>1</v>
      </c>
      <c r="M141" s="63" t="s">
        <v>526</v>
      </c>
      <c r="N141" s="53" t="s">
        <v>99</v>
      </c>
      <c r="O141" s="63" t="s">
        <v>111</v>
      </c>
      <c r="P141" s="822">
        <v>43831</v>
      </c>
      <c r="Q141" s="63"/>
      <c r="R141" s="822">
        <v>43831</v>
      </c>
      <c r="S141" s="64"/>
      <c r="T141" s="822">
        <v>43831</v>
      </c>
      <c r="U141" s="63"/>
      <c r="V141" s="63"/>
      <c r="W141" s="64">
        <v>43862</v>
      </c>
      <c r="X141" s="64">
        <v>44166</v>
      </c>
      <c r="Y141" s="63"/>
      <c r="Z141" s="223"/>
    </row>
    <row r="142" spans="1:41" ht="15.75">
      <c r="A142" s="930" t="s">
        <v>521</v>
      </c>
      <c r="B142" s="931"/>
      <c r="C142" s="938"/>
      <c r="D142" s="939"/>
      <c r="E142" s="934" t="s">
        <v>900</v>
      </c>
      <c r="F142" s="940"/>
      <c r="G142" s="918" t="s">
        <v>141</v>
      </c>
      <c r="H142" s="817"/>
      <c r="I142" s="817" t="s">
        <v>899</v>
      </c>
      <c r="J142" s="155" t="s">
        <v>130</v>
      </c>
      <c r="K142" s="823">
        <v>31217</v>
      </c>
      <c r="L142" s="817">
        <v>2</v>
      </c>
      <c r="M142" s="63" t="s">
        <v>526</v>
      </c>
      <c r="N142" s="155" t="s">
        <v>108</v>
      </c>
      <c r="O142" s="526" t="s">
        <v>111</v>
      </c>
      <c r="P142" s="822">
        <v>43831</v>
      </c>
      <c r="Q142" s="526"/>
      <c r="R142" s="822">
        <v>43831</v>
      </c>
      <c r="S142" s="526"/>
      <c r="T142" s="822">
        <v>43831</v>
      </c>
      <c r="U142" s="526"/>
      <c r="V142" s="821"/>
      <c r="W142" s="64">
        <v>43862</v>
      </c>
      <c r="X142" s="64">
        <v>44166</v>
      </c>
      <c r="Y142" s="817"/>
      <c r="Z142" s="820"/>
      <c r="AA142" s="818"/>
      <c r="AB142" s="819"/>
      <c r="AC142" s="818"/>
      <c r="AD142" s="818"/>
      <c r="AE142" s="818"/>
      <c r="AF142" s="818"/>
      <c r="AG142" s="818"/>
      <c r="AH142" s="818"/>
      <c r="AI142" s="818"/>
      <c r="AJ142" s="818"/>
      <c r="AK142" s="818"/>
      <c r="AL142" s="818"/>
      <c r="AM142" s="818"/>
      <c r="AN142" s="818"/>
      <c r="AO142" s="818"/>
    </row>
    <row r="143" spans="1:41">
      <c r="A143" s="941"/>
      <c r="B143" s="941"/>
      <c r="C143" s="941"/>
      <c r="D143" s="941"/>
      <c r="E143" s="941"/>
      <c r="F143" s="941"/>
      <c r="G143" s="941"/>
    </row>
    <row r="144" spans="1:41">
      <c r="A144" s="941"/>
      <c r="B144" s="941"/>
      <c r="C144" s="941"/>
      <c r="D144" s="941"/>
      <c r="E144" s="941"/>
      <c r="F144" s="941"/>
      <c r="G144" s="941"/>
    </row>
    <row r="193" spans="16:21">
      <c r="U193" s="885">
        <v>6900</v>
      </c>
    </row>
    <row r="194" spans="16:21">
      <c r="P194" s="52">
        <f>139.86*3*2</f>
        <v>839.16000000000008</v>
      </c>
      <c r="U194" s="885">
        <v>690</v>
      </c>
    </row>
    <row r="195" spans="16:21">
      <c r="P195" s="52">
        <f>126*30</f>
        <v>3780</v>
      </c>
      <c r="U195" s="885">
        <v>1800</v>
      </c>
    </row>
    <row r="196" spans="16:21">
      <c r="P196" s="52">
        <f>SUM(P194:P195)</f>
        <v>4619.16</v>
      </c>
      <c r="U196" s="885">
        <v>180</v>
      </c>
    </row>
    <row r="197" spans="16:21">
      <c r="P197" s="52">
        <f>50*3*2</f>
        <v>300</v>
      </c>
      <c r="U197" s="885">
        <v>957.45</v>
      </c>
    </row>
    <row r="198" spans="16:21">
      <c r="P198" s="52">
        <v>1500</v>
      </c>
      <c r="U198" s="885">
        <v>141.84</v>
      </c>
    </row>
    <row r="199" spans="16:21">
      <c r="P199" s="52">
        <v>600</v>
      </c>
      <c r="U199" s="885">
        <v>531.91</v>
      </c>
    </row>
    <row r="200" spans="16:21">
      <c r="P200" s="52">
        <v>660</v>
      </c>
      <c r="U200" s="885">
        <f>SUM(U193:U199)</f>
        <v>11201.2</v>
      </c>
    </row>
    <row r="201" spans="16:21">
      <c r="P201" s="52">
        <f>33*35*2</f>
        <v>2310</v>
      </c>
      <c r="U201" s="885">
        <f>+U200*140</f>
        <v>1568168</v>
      </c>
    </row>
    <row r="202" spans="16:21">
      <c r="P202" s="52">
        <f>10*33*2</f>
        <v>660</v>
      </c>
      <c r="S202" s="52">
        <f>+P205+P196</f>
        <v>11252.16</v>
      </c>
      <c r="U202" s="52">
        <v>-25000</v>
      </c>
    </row>
    <row r="203" spans="16:21">
      <c r="P203" s="52">
        <f>SUM(P197:P202)</f>
        <v>6030</v>
      </c>
      <c r="S203" s="885">
        <f>+S202*130</f>
        <v>1462780.8</v>
      </c>
      <c r="U203" s="886">
        <f>+U201+U202</f>
        <v>1543168</v>
      </c>
    </row>
    <row r="204" spans="16:21">
      <c r="P204" s="52">
        <f>+P203*0.1</f>
        <v>603</v>
      </c>
    </row>
    <row r="205" spans="16:21">
      <c r="P205" s="52">
        <f>+P203+P204</f>
        <v>6633</v>
      </c>
      <c r="R205" s="52">
        <f>+P205+P196</f>
        <v>11252.16</v>
      </c>
    </row>
    <row r="206" spans="16:21">
      <c r="R206" s="885">
        <f>+R205*130</f>
        <v>1462780.8</v>
      </c>
    </row>
    <row r="207" spans="16:21">
      <c r="P207" s="52">
        <f>+P205*0.1</f>
        <v>663.30000000000007</v>
      </c>
      <c r="Q207" s="52">
        <f>+P207*2</f>
        <v>1326.6000000000001</v>
      </c>
    </row>
    <row r="208" spans="16:21">
      <c r="S208" s="52">
        <f>25000/140</f>
        <v>178.57142857142858</v>
      </c>
    </row>
    <row r="210" spans="15:15">
      <c r="O210" s="52">
        <v>6030</v>
      </c>
    </row>
    <row r="211" spans="15:15">
      <c r="O211" s="52">
        <f>+O210*0.2</f>
        <v>1206</v>
      </c>
    </row>
  </sheetData>
  <mergeCells count="142">
    <mergeCell ref="W123:W124"/>
    <mergeCell ref="P111:Q111"/>
    <mergeCell ref="R111:S111"/>
    <mergeCell ref="T111:U111"/>
    <mergeCell ref="V111:W111"/>
    <mergeCell ref="X123:X124"/>
    <mergeCell ref="V122:V124"/>
    <mergeCell ref="W122:X122"/>
    <mergeCell ref="T22:U22"/>
    <mergeCell ref="V22:W22"/>
    <mergeCell ref="A70:AH70"/>
    <mergeCell ref="H71:H73"/>
    <mergeCell ref="N71:N73"/>
    <mergeCell ref="O71:O73"/>
    <mergeCell ref="B71:B73"/>
    <mergeCell ref="C71:C73"/>
    <mergeCell ref="D71:D73"/>
    <mergeCell ref="E71:E73"/>
    <mergeCell ref="F71:F73"/>
    <mergeCell ref="G71:G73"/>
    <mergeCell ref="AF71:AF73"/>
    <mergeCell ref="L71:L73"/>
    <mergeCell ref="M71:M73"/>
    <mergeCell ref="P72:Q72"/>
    <mergeCell ref="O21:O23"/>
    <mergeCell ref="P21:AE21"/>
    <mergeCell ref="P22:Q22"/>
    <mergeCell ref="R22:S22"/>
    <mergeCell ref="AB22:AC22"/>
    <mergeCell ref="AG21:AG23"/>
    <mergeCell ref="AF21:AF23"/>
    <mergeCell ref="AD22:AE22"/>
    <mergeCell ref="A21:A23"/>
    <mergeCell ref="B21:B23"/>
    <mergeCell ref="C21:C23"/>
    <mergeCell ref="A4:AH4"/>
    <mergeCell ref="A5:A7"/>
    <mergeCell ref="B5:B7"/>
    <mergeCell ref="C5:C7"/>
    <mergeCell ref="D5:D7"/>
    <mergeCell ref="E5:E7"/>
    <mergeCell ref="F5:F7"/>
    <mergeCell ref="G5:G7"/>
    <mergeCell ref="H5:H7"/>
    <mergeCell ref="Z6:AA6"/>
    <mergeCell ref="AB6:AC6"/>
    <mergeCell ref="AD6:AE6"/>
    <mergeCell ref="I5:I7"/>
    <mergeCell ref="J5:J7"/>
    <mergeCell ref="K5:K7"/>
    <mergeCell ref="L5:L7"/>
    <mergeCell ref="R6:S6"/>
    <mergeCell ref="T6:U6"/>
    <mergeCell ref="AH5:AH7"/>
    <mergeCell ref="AF5:AF7"/>
    <mergeCell ref="AG5:AG7"/>
    <mergeCell ref="P6:Q6"/>
    <mergeCell ref="V6:W6"/>
    <mergeCell ref="X6:Y6"/>
    <mergeCell ref="M5:M7"/>
    <mergeCell ref="N5:N7"/>
    <mergeCell ref="O5:O7"/>
    <mergeCell ref="P5:AE5"/>
    <mergeCell ref="J71:J73"/>
    <mergeCell ref="K71:K73"/>
    <mergeCell ref="A71:A73"/>
    <mergeCell ref="D21:D23"/>
    <mergeCell ref="E21:E23"/>
    <mergeCell ref="F21:F23"/>
    <mergeCell ref="G21:G23"/>
    <mergeCell ref="X22:Y22"/>
    <mergeCell ref="Z22:AA22"/>
    <mergeCell ref="A20:AH20"/>
    <mergeCell ref="H21:H23"/>
    <mergeCell ref="I21:I23"/>
    <mergeCell ref="J21:J23"/>
    <mergeCell ref="K21:K23"/>
    <mergeCell ref="AH21:AH23"/>
    <mergeCell ref="L21:L23"/>
    <mergeCell ref="M21:M23"/>
    <mergeCell ref="N21:N23"/>
    <mergeCell ref="AH71:AH73"/>
    <mergeCell ref="AG71:AG73"/>
    <mergeCell ref="M122:M124"/>
    <mergeCell ref="J122:J124"/>
    <mergeCell ref="K122:K124"/>
    <mergeCell ref="L122:L124"/>
    <mergeCell ref="G122:G124"/>
    <mergeCell ref="H122:H124"/>
    <mergeCell ref="I122:I124"/>
    <mergeCell ref="A122:A124"/>
    <mergeCell ref="B122:B124"/>
    <mergeCell ref="C122:C124"/>
    <mergeCell ref="D122:D124"/>
    <mergeCell ref="E122:E124"/>
    <mergeCell ref="F122:F124"/>
    <mergeCell ref="N122:N124"/>
    <mergeCell ref="P71:AE71"/>
    <mergeCell ref="Y122:Y124"/>
    <mergeCell ref="Z122:Z124"/>
    <mergeCell ref="O110:O112"/>
    <mergeCell ref="P110:AK110"/>
    <mergeCell ref="O122:O124"/>
    <mergeCell ref="AJ111:AK111"/>
    <mergeCell ref="AD111:AE111"/>
    <mergeCell ref="P123:Q123"/>
    <mergeCell ref="R123:S123"/>
    <mergeCell ref="T123:U123"/>
    <mergeCell ref="P122:U122"/>
    <mergeCell ref="A109:AH109"/>
    <mergeCell ref="AH111:AI111"/>
    <mergeCell ref="AI109:AO109"/>
    <mergeCell ref="A110:A112"/>
    <mergeCell ref="B110:B112"/>
    <mergeCell ref="C110:C112"/>
    <mergeCell ref="D110:D112"/>
    <mergeCell ref="E110:E112"/>
    <mergeCell ref="F110:F112"/>
    <mergeCell ref="G110:G112"/>
    <mergeCell ref="AO110:AO111"/>
    <mergeCell ref="AN110:AN111"/>
    <mergeCell ref="H110:H112"/>
    <mergeCell ref="AL110:AL111"/>
    <mergeCell ref="I110:I112"/>
    <mergeCell ref="J110:J112"/>
    <mergeCell ref="K110:K112"/>
    <mergeCell ref="L110:L112"/>
    <mergeCell ref="X111:Y111"/>
    <mergeCell ref="Z111:AA111"/>
    <mergeCell ref="AB111:AC111"/>
    <mergeCell ref="M110:M112"/>
    <mergeCell ref="N110:N112"/>
    <mergeCell ref="AF111:AG111"/>
    <mergeCell ref="R72:S72"/>
    <mergeCell ref="T72:U72"/>
    <mergeCell ref="V72:W72"/>
    <mergeCell ref="X72:Y72"/>
    <mergeCell ref="Z72:AA72"/>
    <mergeCell ref="AB72:AC72"/>
    <mergeCell ref="AD72:AE72"/>
    <mergeCell ref="I71:I73"/>
    <mergeCell ref="AM110:AM111"/>
  </mergeCells>
  <dataValidations count="17">
    <dataValidation type="list" allowBlank="1" showInputMessage="1" showErrorMessage="1" sqref="K82 K38:K40 K28:K36 K74:K75 K51:K69 K85:K87 K24:K25 K90:K108">
      <formula1>$AP$121</formula1>
    </dataValidation>
    <dataValidation type="list" allowBlank="1" showInputMessage="1" showErrorMessage="1" sqref="K113:K114">
      <formula1>$AP$233:$AP$234</formula1>
    </dataValidation>
    <dataValidation type="list" allowBlank="1" showInputMessage="1" showErrorMessage="1" sqref="K41:K45">
      <formula1>$AP$195</formula1>
    </dataValidation>
    <dataValidation type="list" allowBlank="1" showInputMessage="1" showErrorMessage="1" sqref="K88:K89 K46:K50">
      <formula1>$AP$149</formula1>
    </dataValidation>
    <dataValidation type="list" allowBlank="1" showInputMessage="1" showErrorMessage="1" sqref="K119:K120">
      <formula1>$AP$127:$AP$128</formula1>
    </dataValidation>
    <dataValidation type="list" allowBlank="1" showInputMessage="1" showErrorMessage="1" sqref="K77:K81 K83">
      <formula1>#REF!</formula1>
    </dataValidation>
    <dataValidation type="list" allowBlank="1" showInputMessage="1" showErrorMessage="1" sqref="K84">
      <formula1>#REF!</formula1>
    </dataValidation>
    <dataValidation type="list" allowBlank="1" showInputMessage="1" showErrorMessage="1" sqref="K115">
      <formula1>$AP$122:$AP$123</formula1>
    </dataValidation>
    <dataValidation type="list" allowBlank="1" showInputMessage="1" showErrorMessage="1" sqref="K37">
      <formula1>$AP$109</formula1>
    </dataValidation>
    <dataValidation type="list" allowBlank="1" showInputMessage="1" showErrorMessage="1" sqref="O37">
      <formula1>$AP$5:$AP$13</formula1>
    </dataValidation>
    <dataValidation type="list" allowBlank="1" showInputMessage="1" showErrorMessage="1" sqref="N37">
      <formula1>$AP$3:$AP$4</formula1>
    </dataValidation>
    <dataValidation type="list" allowBlank="1" showInputMessage="1" showErrorMessage="1" sqref="G37">
      <formula1>$AP$16:$AP$62</formula1>
    </dataValidation>
    <dataValidation type="list" allowBlank="1" showInputMessage="1" showErrorMessage="1" sqref="K76 K26">
      <formula1>#REF!</formula1>
    </dataValidation>
    <dataValidation type="list" allowBlank="1" showInputMessage="1" showErrorMessage="1" sqref="K27">
      <formula1>#REF!</formula1>
    </dataValidation>
    <dataValidation type="list" allowBlank="1" showInputMessage="1" showErrorMessage="1" sqref="K118">
      <formula1>$AP$129:$AP$129</formula1>
    </dataValidation>
    <dataValidation type="list" allowBlank="1" showInputMessage="1" showErrorMessage="1" sqref="J37">
      <formula1>$AP$130:$AP$130</formula1>
    </dataValidation>
    <dataValidation type="list" allowBlank="1" showInputMessage="1" showErrorMessage="1" sqref="K116">
      <formula1>#REF!</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K64539:K64543 WVO982082:WVO982090 WLS982082:WLS982090 WBW982082:WBW982090 VSA982082:VSA982090 VIE982082:VIE982090 UYI982082:UYI982090 UOM982082:UOM982090 UEQ982082:UEQ982090 TUU982082:TUU982090 TKY982082:TKY982090 TBC982082:TBC982090 SRG982082:SRG982090 SHK982082:SHK982090 RXO982082:RXO982090 RNS982082:RNS982090 RDW982082:RDW982090 QUA982082:QUA982090 QKE982082:QKE982090 QAI982082:QAI982090 PQM982082:PQM982090 PGQ982082:PGQ982090 OWU982082:OWU982090 OMY982082:OMY982090 ODC982082:ODC982090 NTG982082:NTG982090 NJK982082:NJK982090 MZO982082:MZO982090 MPS982082:MPS982090 MFW982082:MFW982090 LWA982082:LWA982090 LME982082:LME982090 LCI982082:LCI982090 KSM982082:KSM982090 KIQ982082:KIQ982090 JYU982082:JYU982090 JOY982082:JOY982090 JFC982082:JFC982090 IVG982082:IVG982090 ILK982082:ILK982090 IBO982082:IBO982090 HRS982082:HRS982090 HHW982082:HHW982090 GYA982082:GYA982090 GOE982082:GOE982090 GEI982082:GEI982090 FUM982082:FUM982090 FKQ982082:FKQ982090 FAU982082:FAU982090 EQY982082:EQY982090 EHC982082:EHC982090 DXG982082:DXG982090 DNK982082:DNK982090 DDO982082:DDO982090 CTS982082:CTS982090 CJW982082:CJW982090 CAA982082:CAA982090 BQE982082:BQE982090 BGI982082:BGI982090 AWM982082:AWM982090 AMQ982082:AMQ982090 ACU982082:ACU982090 SY982082:SY982090 JC982082:JC982090 ILM130114:ILM130122 WVO916546:WVO916554 WLS916546:WLS916554 WBW916546:WBW916554 VSA916546:VSA916554 VIE916546:VIE916554 UYI916546:UYI916554 UOM916546:UOM916554 UEQ916546:UEQ916554 TUU916546:TUU916554 TKY916546:TKY916554 TBC916546:TBC916554 SRG916546:SRG916554 SHK916546:SHK916554 RXO916546:RXO916554 RNS916546:RNS916554 RDW916546:RDW916554 QUA916546:QUA916554 QKE916546:QKE916554 QAI916546:QAI916554 PQM916546:PQM916554 PGQ916546:PGQ916554 OWU916546:OWU916554 OMY916546:OMY916554 ODC916546:ODC916554 NTG916546:NTG916554 NJK916546:NJK916554 MZO916546:MZO916554 MPS916546:MPS916554 MFW916546:MFW916554 LWA916546:LWA916554 LME916546:LME916554 LCI916546:LCI916554 KSM916546:KSM916554 KIQ916546:KIQ916554 JYU916546:JYU916554 JOY916546:JOY916554 JFC916546:JFC916554 IVG916546:IVG916554 ILK916546:ILK916554 IBO916546:IBO916554 HRS916546:HRS916554 HHW916546:HHW916554 GYA916546:GYA916554 GOE916546:GOE916554 GEI916546:GEI916554 FUM916546:FUM916554 FKQ916546:FKQ916554 FAU916546:FAU916554 EQY916546:EQY916554 EHC916546:EHC916554 DXG916546:DXG916554 DNK916546:DNK916554 DDO916546:DDO916554 CTS916546:CTS916554 CJW916546:CJW916554 CAA916546:CAA916554 BQE916546:BQE916554 BGI916546:BGI916554 AWM916546:AWM916554 AMQ916546:AMQ916554 ACU916546:ACU916554 SY916546:SY916554 JC916546:JC916554 IBQ130114:IBQ130122 WVO851010:WVO851018 WLS851010:WLS851018 WBW851010:WBW851018 VSA851010:VSA851018 VIE851010:VIE851018 UYI851010:UYI851018 UOM851010:UOM851018 UEQ851010:UEQ851018 TUU851010:TUU851018 TKY851010:TKY851018 TBC851010:TBC851018 SRG851010:SRG851018 SHK851010:SHK851018 RXO851010:RXO851018 RNS851010:RNS851018 RDW851010:RDW851018 QUA851010:QUA851018 QKE851010:QKE851018 QAI851010:QAI851018 PQM851010:PQM851018 PGQ851010:PGQ851018 OWU851010:OWU851018 OMY851010:OMY851018 ODC851010:ODC851018 NTG851010:NTG851018 NJK851010:NJK851018 MZO851010:MZO851018 MPS851010:MPS851018 MFW851010:MFW851018 LWA851010:LWA851018 LME851010:LME851018 LCI851010:LCI851018 KSM851010:KSM851018 KIQ851010:KIQ851018 JYU851010:JYU851018 JOY851010:JOY851018 JFC851010:JFC851018 IVG851010:IVG851018 ILK851010:ILK851018 IBO851010:IBO851018 HRS851010:HRS851018 HHW851010:HHW851018 GYA851010:GYA851018 GOE851010:GOE851018 GEI851010:GEI851018 FUM851010:FUM851018 FKQ851010:FKQ851018 FAU851010:FAU851018 EQY851010:EQY851018 EHC851010:EHC851018 DXG851010:DXG851018 DNK851010:DNK851018 DDO851010:DDO851018 CTS851010:CTS851018 CJW851010:CJW851018 CAA851010:CAA851018 BQE851010:BQE851018 BGI851010:BGI851018 AWM851010:AWM851018 AMQ851010:AMQ851018 ACU851010:ACU851018 SY851010:SY851018 JC851010:JC851018 HRU130114:HRU130122 WVO785474:WVO785482 WLS785474:WLS785482 WBW785474:WBW785482 VSA785474:VSA785482 VIE785474:VIE785482 UYI785474:UYI785482 UOM785474:UOM785482 UEQ785474:UEQ785482 TUU785474:TUU785482 TKY785474:TKY785482 TBC785474:TBC785482 SRG785474:SRG785482 SHK785474:SHK785482 RXO785474:RXO785482 RNS785474:RNS785482 RDW785474:RDW785482 QUA785474:QUA785482 QKE785474:QKE785482 QAI785474:QAI785482 PQM785474:PQM785482 PGQ785474:PGQ785482 OWU785474:OWU785482 OMY785474:OMY785482 ODC785474:ODC785482 NTG785474:NTG785482 NJK785474:NJK785482 MZO785474:MZO785482 MPS785474:MPS785482 MFW785474:MFW785482 LWA785474:LWA785482 LME785474:LME785482 LCI785474:LCI785482 KSM785474:KSM785482 KIQ785474:KIQ785482 JYU785474:JYU785482 JOY785474:JOY785482 JFC785474:JFC785482 IVG785474:IVG785482 ILK785474:ILK785482 IBO785474:IBO785482 HRS785474:HRS785482 HHW785474:HHW785482 GYA785474:GYA785482 GOE785474:GOE785482 GEI785474:GEI785482 FUM785474:FUM785482 FKQ785474:FKQ785482 FAU785474:FAU785482 EQY785474:EQY785482 EHC785474:EHC785482 DXG785474:DXG785482 DNK785474:DNK785482 DDO785474:DDO785482 CTS785474:CTS785482 CJW785474:CJW785482 CAA785474:CAA785482 BQE785474:BQE785482 BGI785474:BGI785482 AWM785474:AWM785482 AMQ785474:AMQ785482 ACU785474:ACU785482 SY785474:SY785482 JC785474:JC785482 HHY130114:HHY130122 WVO719938:WVO719946 WLS719938:WLS719946 WBW719938:WBW719946 VSA719938:VSA719946 VIE719938:VIE719946 UYI719938:UYI719946 UOM719938:UOM719946 UEQ719938:UEQ719946 TUU719938:TUU719946 TKY719938:TKY719946 TBC719938:TBC719946 SRG719938:SRG719946 SHK719938:SHK719946 RXO719938:RXO719946 RNS719938:RNS719946 RDW719938:RDW719946 QUA719938:QUA719946 QKE719938:QKE719946 QAI719938:QAI719946 PQM719938:PQM719946 PGQ719938:PGQ719946 OWU719938:OWU719946 OMY719938:OMY719946 ODC719938:ODC719946 NTG719938:NTG719946 NJK719938:NJK719946 MZO719938:MZO719946 MPS719938:MPS719946 MFW719938:MFW719946 LWA719938:LWA719946 LME719938:LME719946 LCI719938:LCI719946 KSM719938:KSM719946 KIQ719938:KIQ719946 JYU719938:JYU719946 JOY719938:JOY719946 JFC719938:JFC719946 IVG719938:IVG719946 ILK719938:ILK719946 IBO719938:IBO719946 HRS719938:HRS719946 HHW719938:HHW719946 GYA719938:GYA719946 GOE719938:GOE719946 GEI719938:GEI719946 FUM719938:FUM719946 FKQ719938:FKQ719946 FAU719938:FAU719946 EQY719938:EQY719946 EHC719938:EHC719946 DXG719938:DXG719946 DNK719938:DNK719946 DDO719938:DDO719946 CTS719938:CTS719946 CJW719938:CJW719946 CAA719938:CAA719946 BQE719938:BQE719946 BGI719938:BGI719946 AWM719938:AWM719946 AMQ719938:AMQ719946 ACU719938:ACU719946 SY719938:SY719946 JC719938:JC719946 GYC130114:GYC130122 WVO654402:WVO654410 WLS654402:WLS654410 WBW654402:WBW654410 VSA654402:VSA654410 VIE654402:VIE654410 UYI654402:UYI654410 UOM654402:UOM654410 UEQ654402:UEQ654410 TUU654402:TUU654410 TKY654402:TKY654410 TBC654402:TBC654410 SRG654402:SRG654410 SHK654402:SHK654410 RXO654402:RXO654410 RNS654402:RNS654410 RDW654402:RDW654410 QUA654402:QUA654410 QKE654402:QKE654410 QAI654402:QAI654410 PQM654402:PQM654410 PGQ654402:PGQ654410 OWU654402:OWU654410 OMY654402:OMY654410 ODC654402:ODC654410 NTG654402:NTG654410 NJK654402:NJK654410 MZO654402:MZO654410 MPS654402:MPS654410 MFW654402:MFW654410 LWA654402:LWA654410 LME654402:LME654410 LCI654402:LCI654410 KSM654402:KSM654410 KIQ654402:KIQ654410 JYU654402:JYU654410 JOY654402:JOY654410 JFC654402:JFC654410 IVG654402:IVG654410 ILK654402:ILK654410 IBO654402:IBO654410 HRS654402:HRS654410 HHW654402:HHW654410 GYA654402:GYA654410 GOE654402:GOE654410 GEI654402:GEI654410 FUM654402:FUM654410 FKQ654402:FKQ654410 FAU654402:FAU654410 EQY654402:EQY654410 EHC654402:EHC654410 DXG654402:DXG654410 DNK654402:DNK654410 DDO654402:DDO654410 CTS654402:CTS654410 CJW654402:CJW654410 CAA654402:CAA654410 BQE654402:BQE654410 BGI654402:BGI654410 AWM654402:AWM654410 AMQ654402:AMQ654410 ACU654402:ACU654410 SY654402:SY654410 JC654402:JC654410 GOG130114:GOG130122 WVO588866:WVO588874 WLS588866:WLS588874 WBW588866:WBW588874 VSA588866:VSA588874 VIE588866:VIE588874 UYI588866:UYI588874 UOM588866:UOM588874 UEQ588866:UEQ588874 TUU588866:TUU588874 TKY588866:TKY588874 TBC588866:TBC588874 SRG588866:SRG588874 SHK588866:SHK588874 RXO588866:RXO588874 RNS588866:RNS588874 RDW588866:RDW588874 QUA588866:QUA588874 QKE588866:QKE588874 QAI588866:QAI588874 PQM588866:PQM588874 PGQ588866:PGQ588874 OWU588866:OWU588874 OMY588866:OMY588874 ODC588866:ODC588874 NTG588866:NTG588874 NJK588866:NJK588874 MZO588866:MZO588874 MPS588866:MPS588874 MFW588866:MFW588874 LWA588866:LWA588874 LME588866:LME588874 LCI588866:LCI588874 KSM588866:KSM588874 KIQ588866:KIQ588874 JYU588866:JYU588874 JOY588866:JOY588874 JFC588866:JFC588874 IVG588866:IVG588874 ILK588866:ILK588874 IBO588866:IBO588874 HRS588866:HRS588874 HHW588866:HHW588874 GYA588866:GYA588874 GOE588866:GOE588874 GEI588866:GEI588874 FUM588866:FUM588874 FKQ588866:FKQ588874 FAU588866:FAU588874 EQY588866:EQY588874 EHC588866:EHC588874 DXG588866:DXG588874 DNK588866:DNK588874 DDO588866:DDO588874 CTS588866:CTS588874 CJW588866:CJW588874 CAA588866:CAA588874 BQE588866:BQE588874 BGI588866:BGI588874 AWM588866:AWM588874 AMQ588866:AMQ588874 ACU588866:ACU588874 SY588866:SY588874 JC588866:JC588874 GEK130114:GEK130122 WVO523330:WVO523338 WLS523330:WLS523338 WBW523330:WBW523338 VSA523330:VSA523338 VIE523330:VIE523338 UYI523330:UYI523338 UOM523330:UOM523338 UEQ523330:UEQ523338 TUU523330:TUU523338 TKY523330:TKY523338 TBC523330:TBC523338 SRG523330:SRG523338 SHK523330:SHK523338 RXO523330:RXO523338 RNS523330:RNS523338 RDW523330:RDW523338 QUA523330:QUA523338 QKE523330:QKE523338 QAI523330:QAI523338 PQM523330:PQM523338 PGQ523330:PGQ523338 OWU523330:OWU523338 OMY523330:OMY523338 ODC523330:ODC523338 NTG523330:NTG523338 NJK523330:NJK523338 MZO523330:MZO523338 MPS523330:MPS523338 MFW523330:MFW523338 LWA523330:LWA523338 LME523330:LME523338 LCI523330:LCI523338 KSM523330:KSM523338 KIQ523330:KIQ523338 JYU523330:JYU523338 JOY523330:JOY523338 JFC523330:JFC523338 IVG523330:IVG523338 ILK523330:ILK523338 IBO523330:IBO523338 HRS523330:HRS523338 HHW523330:HHW523338 GYA523330:GYA523338 GOE523330:GOE523338 GEI523330:GEI523338 FUM523330:FUM523338 FKQ523330:FKQ523338 FAU523330:FAU523338 EQY523330:EQY523338 EHC523330:EHC523338 DXG523330:DXG523338 DNK523330:DNK523338 DDO523330:DDO523338 CTS523330:CTS523338 CJW523330:CJW523338 CAA523330:CAA523338 BQE523330:BQE523338 BGI523330:BGI523338 AWM523330:AWM523338 AMQ523330:AMQ523338 ACU523330:ACU523338 SY523330:SY523338 JC523330:JC523338 FUO130114:FUO130122 WVO457794:WVO457802 WLS457794:WLS457802 WBW457794:WBW457802 VSA457794:VSA457802 VIE457794:VIE457802 UYI457794:UYI457802 UOM457794:UOM457802 UEQ457794:UEQ457802 TUU457794:TUU457802 TKY457794:TKY457802 TBC457794:TBC457802 SRG457794:SRG457802 SHK457794:SHK457802 RXO457794:RXO457802 RNS457794:RNS457802 RDW457794:RDW457802 QUA457794:QUA457802 QKE457794:QKE457802 QAI457794:QAI457802 PQM457794:PQM457802 PGQ457794:PGQ457802 OWU457794:OWU457802 OMY457794:OMY457802 ODC457794:ODC457802 NTG457794:NTG457802 NJK457794:NJK457802 MZO457794:MZO457802 MPS457794:MPS457802 MFW457794:MFW457802 LWA457794:LWA457802 LME457794:LME457802 LCI457794:LCI457802 KSM457794:KSM457802 KIQ457794:KIQ457802 JYU457794:JYU457802 JOY457794:JOY457802 JFC457794:JFC457802 IVG457794:IVG457802 ILK457794:ILK457802 IBO457794:IBO457802 HRS457794:HRS457802 HHW457794:HHW457802 GYA457794:GYA457802 GOE457794:GOE457802 GEI457794:GEI457802 FUM457794:FUM457802 FKQ457794:FKQ457802 FAU457794:FAU457802 EQY457794:EQY457802 EHC457794:EHC457802 DXG457794:DXG457802 DNK457794:DNK457802 DDO457794:DDO457802 CTS457794:CTS457802 CJW457794:CJW457802 CAA457794:CAA457802 BQE457794:BQE457802 BGI457794:BGI457802 AWM457794:AWM457802 AMQ457794:AMQ457802 ACU457794:ACU457802 SY457794:SY457802 JC457794:JC457802 FKS130114:FKS130122 WVO392258:WVO392266 WLS392258:WLS392266 WBW392258:WBW392266 VSA392258:VSA392266 VIE392258:VIE392266 UYI392258:UYI392266 UOM392258:UOM392266 UEQ392258:UEQ392266 TUU392258:TUU392266 TKY392258:TKY392266 TBC392258:TBC392266 SRG392258:SRG392266 SHK392258:SHK392266 RXO392258:RXO392266 RNS392258:RNS392266 RDW392258:RDW392266 QUA392258:QUA392266 QKE392258:QKE392266 QAI392258:QAI392266 PQM392258:PQM392266 PGQ392258:PGQ392266 OWU392258:OWU392266 OMY392258:OMY392266 ODC392258:ODC392266 NTG392258:NTG392266 NJK392258:NJK392266 MZO392258:MZO392266 MPS392258:MPS392266 MFW392258:MFW392266 LWA392258:LWA392266 LME392258:LME392266 LCI392258:LCI392266 KSM392258:KSM392266 KIQ392258:KIQ392266 JYU392258:JYU392266 JOY392258:JOY392266 JFC392258:JFC392266 IVG392258:IVG392266 ILK392258:ILK392266 IBO392258:IBO392266 HRS392258:HRS392266 HHW392258:HHW392266 GYA392258:GYA392266 GOE392258:GOE392266 GEI392258:GEI392266 FUM392258:FUM392266 FKQ392258:FKQ392266 FAU392258:FAU392266 EQY392258:EQY392266 EHC392258:EHC392266 DXG392258:DXG392266 DNK392258:DNK392266 DDO392258:DDO392266 CTS392258:CTS392266 CJW392258:CJW392266 CAA392258:CAA392266 BQE392258:BQE392266 BGI392258:BGI392266 AWM392258:AWM392266 AMQ392258:AMQ392266 ACU392258:ACU392266 SY392258:SY392266 JC392258:JC392266 FAW130114:FAW130122 WVO326722:WVO326730 WLS326722:WLS326730 WBW326722:WBW326730 VSA326722:VSA326730 VIE326722:VIE326730 UYI326722:UYI326730 UOM326722:UOM326730 UEQ326722:UEQ326730 TUU326722:TUU326730 TKY326722:TKY326730 TBC326722:TBC326730 SRG326722:SRG326730 SHK326722:SHK326730 RXO326722:RXO326730 RNS326722:RNS326730 RDW326722:RDW326730 QUA326722:QUA326730 QKE326722:QKE326730 QAI326722:QAI326730 PQM326722:PQM326730 PGQ326722:PGQ326730 OWU326722:OWU326730 OMY326722:OMY326730 ODC326722:ODC326730 NTG326722:NTG326730 NJK326722:NJK326730 MZO326722:MZO326730 MPS326722:MPS326730 MFW326722:MFW326730 LWA326722:LWA326730 LME326722:LME326730 LCI326722:LCI326730 KSM326722:KSM326730 KIQ326722:KIQ326730 JYU326722:JYU326730 JOY326722:JOY326730 JFC326722:JFC326730 IVG326722:IVG326730 ILK326722:ILK326730 IBO326722:IBO326730 HRS326722:HRS326730 HHW326722:HHW326730 GYA326722:GYA326730 GOE326722:GOE326730 GEI326722:GEI326730 FUM326722:FUM326730 FKQ326722:FKQ326730 FAU326722:FAU326730 EQY326722:EQY326730 EHC326722:EHC326730 DXG326722:DXG326730 DNK326722:DNK326730 DDO326722:DDO326730 CTS326722:CTS326730 CJW326722:CJW326730 CAA326722:CAA326730 BQE326722:BQE326730 BGI326722:BGI326730 AWM326722:AWM326730 AMQ326722:AMQ326730 ACU326722:ACU326730 SY326722:SY326730 JC326722:JC326730 ERA130114:ERA130122 WVO261186:WVO261194 WLS261186:WLS261194 WBW261186:WBW261194 VSA261186:VSA261194 VIE261186:VIE261194 UYI261186:UYI261194 UOM261186:UOM261194 UEQ261186:UEQ261194 TUU261186:TUU261194 TKY261186:TKY261194 TBC261186:TBC261194 SRG261186:SRG261194 SHK261186:SHK261194 RXO261186:RXO261194 RNS261186:RNS261194 RDW261186:RDW261194 QUA261186:QUA261194 QKE261186:QKE261194 QAI261186:QAI261194 PQM261186:PQM261194 PGQ261186:PGQ261194 OWU261186:OWU261194 OMY261186:OMY261194 ODC261186:ODC261194 NTG261186:NTG261194 NJK261186:NJK261194 MZO261186:MZO261194 MPS261186:MPS261194 MFW261186:MFW261194 LWA261186:LWA261194 LME261186:LME261194 LCI261186:LCI261194 KSM261186:KSM261194 KIQ261186:KIQ261194 JYU261186:JYU261194 JOY261186:JOY261194 JFC261186:JFC261194 IVG261186:IVG261194 ILK261186:ILK261194 IBO261186:IBO261194 HRS261186:HRS261194 HHW261186:HHW261194 GYA261186:GYA261194 GOE261186:GOE261194 GEI261186:GEI261194 FUM261186:FUM261194 FKQ261186:FKQ261194 FAU261186:FAU261194 EQY261186:EQY261194 EHC261186:EHC261194 DXG261186:DXG261194 DNK261186:DNK261194 DDO261186:DDO261194 CTS261186:CTS261194 CJW261186:CJW261194 CAA261186:CAA261194 BQE261186:BQE261194 BGI261186:BGI261194 AWM261186:AWM261194 AMQ261186:AMQ261194 ACU261186:ACU261194 SY261186:SY261194 JC261186:JC261194 EHE130114:EHE130122 WVO195650:WVO195658 WLS195650:WLS195658 WBW195650:WBW195658 VSA195650:VSA195658 VIE195650:VIE195658 UYI195650:UYI195658 UOM195650:UOM195658 UEQ195650:UEQ195658 TUU195650:TUU195658 TKY195650:TKY195658 TBC195650:TBC195658 SRG195650:SRG195658 SHK195650:SHK195658 RXO195650:RXO195658 RNS195650:RNS195658 RDW195650:RDW195658 QUA195650:QUA195658 QKE195650:QKE195658 QAI195650:QAI195658 PQM195650:PQM195658 PGQ195650:PGQ195658 OWU195650:OWU195658 OMY195650:OMY195658 ODC195650:ODC195658 NTG195650:NTG195658 NJK195650:NJK195658 MZO195650:MZO195658 MPS195650:MPS195658 MFW195650:MFW195658 LWA195650:LWA195658 LME195650:LME195658 LCI195650:LCI195658 KSM195650:KSM195658 KIQ195650:KIQ195658 JYU195650:JYU195658 JOY195650:JOY195658 JFC195650:JFC195658 IVG195650:IVG195658 ILK195650:ILK195658 IBO195650:IBO195658 HRS195650:HRS195658 HHW195650:HHW195658 GYA195650:GYA195658 GOE195650:GOE195658 GEI195650:GEI195658 FUM195650:FUM195658 FKQ195650:FKQ195658 FAU195650:FAU195658 EQY195650:EQY195658 EHC195650:EHC195658 DXG195650:DXG195658 DNK195650:DNK195658 DDO195650:DDO195658 CTS195650:CTS195658 CJW195650:CJW195658 CAA195650:CAA195658 BQE195650:BQE195658 BGI195650:BGI195658 AWM195650:AWM195658 AMQ195650:AMQ195658 ACU195650:ACU195658 SY195650:SY195658 JC195650:JC195658 DXI130114:DXI130122 WVO130114:WVO130122 WLS130114:WLS130122 WBW130114:WBW130122 VSA130114:VSA130122 VIE130114:VIE130122 UYI130114:UYI130122 UOM130114:UOM130122 UEQ130114:UEQ130122 TUU130114:TUU130122 TKY130114:TKY130122 TBC130114:TBC130122 SRG130114:SRG130122 SHK130114:SHK130122 RXO130114:RXO130122 RNS130114:RNS130122 RDW130114:RDW130122 QUA130114:QUA130122 QKE130114:QKE130122 QAI130114:QAI130122 PQM130114:PQM130122 PGQ130114:PGQ130122 OWU130114:OWU130122 OMY130114:OMY130122 ODC130114:ODC130122 NTG130114:NTG130122 NJK130114:NJK130122 MZO130114:MZO130122 MPS130114:MPS130122 MFW130114:MFW130122 LWA130114:LWA130122 LME130114:LME130122 LCI130114:LCI130122 KSM130114:KSM130122 KIQ130114:KIQ130122 JYU130114:JYU130122 JOY130114:JOY130122 JFC130114:JFC130122 IVG130114:IVG130122 ILK130114:ILK130122 IBO130114:IBO130122 HRS130114:HRS130122 HHW130114:HHW130122 GYA130114:GYA130122 GOE130114:GOE130122 GEI130114:GEI130122 FUM130114:FUM130122 FKQ130114:FKQ130122 FAU130114:FAU130122 EQY130114:EQY130122 EHC130114:EHC130122 DXG130114:DXG130122 DNK130114:DNK130122 DDO130114:DDO130122 CTS130114:CTS130122 CJW130114:CJW130122 CAA130114:CAA130122 BQE130114:BQE130122 BGI130114:BGI130122 AWM130114:AWM130122 AMQ130114:AMQ130122 ACU130114:ACU130122 SY130114:SY130122 JC130114:JC130122 DNM130114:DNM130122 WVO64578:WVO64586 WLS64578:WLS64586 WBW64578:WBW64586 VSA64578:VSA64586 VIE64578:VIE64586 UYI64578:UYI64586 UOM64578:UOM64586 UEQ64578:UEQ64586 TUU64578:TUU64586 TKY64578:TKY64586 TBC64578:TBC64586 SRG64578:SRG64586 SHK64578:SHK64586 RXO64578:RXO64586 RNS64578:RNS64586 RDW64578:RDW64586 QUA64578:QUA64586 QKE64578:QKE64586 QAI64578:QAI64586 PQM64578:PQM64586 PGQ64578:PGQ64586 OWU64578:OWU64586 OMY64578:OMY64586 ODC64578:ODC64586 NTG64578:NTG64586 NJK64578:NJK64586 MZO64578:MZO64586 MPS64578:MPS64586 MFW64578:MFW64586 LWA64578:LWA64586 LME64578:LME64586 LCI64578:LCI64586 KSM64578:KSM64586 KIQ64578:KIQ64586 JYU64578:JYU64586 JOY64578:JOY64586 JFC64578:JFC64586 IVG64578:IVG64586 ILK64578:ILK64586 IBO64578:IBO64586 HRS64578:HRS64586 HHW64578:HHW64586 GYA64578:GYA64586 GOE64578:GOE64586 GEI64578:GEI64586 FUM64578:FUM64586 FKQ64578:FKQ64586 FAU64578:FAU64586 EQY64578:EQY64586 EHC64578:EHC64586 DXG64578:DXG64586 DNK64578:DNK64586 DDO64578:DDO64586 CTS64578:CTS64586 CJW64578:CJW64586 CAA64578:CAA64586 BQE64578:BQE64586 BGI64578:BGI64586 AWM64578:AWM64586 AMQ64578:AMQ64586 ACU64578:ACU64586 SY64578:SY64586 JC64578:JC64586 DDQ130114:DDQ130122 WVT982105:WVT982109 WLX982105:WLX982109 WCB982105:WCB982109 VSF982105:VSF982109 VIJ982105:VIJ982109 UYN982105:UYN982109 UOR982105:UOR982109 UEV982105:UEV982109 TUZ982105:TUZ982109 TLD982105:TLD982109 TBH982105:TBH982109 SRL982105:SRL982109 SHP982105:SHP982109 RXT982105:RXT982109 RNX982105:RNX982109 REB982105:REB982109 QUF982105:QUF982109 QKJ982105:QKJ982109 QAN982105:QAN982109 PQR982105:PQR982109 PGV982105:PGV982109 OWZ982105:OWZ982109 OND982105:OND982109 ODH982105:ODH982109 NTL982105:NTL982109 NJP982105:NJP982109 MZT982105:MZT982109 MPX982105:MPX982109 MGB982105:MGB982109 LWF982105:LWF982109 LMJ982105:LMJ982109 LCN982105:LCN982109 KSR982105:KSR982109 KIV982105:KIV982109 JYZ982105:JYZ982109 JPD982105:JPD982109 JFH982105:JFH982109 IVL982105:IVL982109 ILP982105:ILP982109 IBT982105:IBT982109 HRX982105:HRX982109 HIB982105:HIB982109 GYF982105:GYF982109 GOJ982105:GOJ982109 GEN982105:GEN982109 FUR982105:FUR982109 FKV982105:FKV982109 FAZ982105:FAZ982109 ERD982105:ERD982109 EHH982105:EHH982109 DXL982105:DXL982109 DNP982105:DNP982109 DDT982105:DDT982109 CTX982105:CTX982109 CKB982105:CKB982109 CAF982105:CAF982109 BQJ982105:BQJ982109 BGN982105:BGN982109 AWR982105:AWR982109 AMV982105:AMV982109 ACZ982105:ACZ982109 TD982105:TD982109 JH982105:JH982109 L982105:L982109 WVT916569:WVT916573 WLX916569:WLX916573 WCB916569:WCB916573 VSF916569:VSF916573 VIJ916569:VIJ916573 UYN916569:UYN916573 UOR916569:UOR916573 UEV916569:UEV916573 TUZ916569:TUZ916573 TLD916569:TLD916573 TBH916569:TBH916573 SRL916569:SRL916573 SHP916569:SHP916573 RXT916569:RXT916573 RNX916569:RNX916573 REB916569:REB916573 QUF916569:QUF916573 QKJ916569:QKJ916573 QAN916569:QAN916573 PQR916569:PQR916573 PGV916569:PGV916573 OWZ916569:OWZ916573 OND916569:OND916573 ODH916569:ODH916573 NTL916569:NTL916573 NJP916569:NJP916573 MZT916569:MZT916573 MPX916569:MPX916573 MGB916569:MGB916573 LWF916569:LWF916573 LMJ916569:LMJ916573 LCN916569:LCN916573 KSR916569:KSR916573 KIV916569:KIV916573 JYZ916569:JYZ916573 JPD916569:JPD916573 JFH916569:JFH916573 IVL916569:IVL916573 ILP916569:ILP916573 IBT916569:IBT916573 HRX916569:HRX916573 HIB916569:HIB916573 GYF916569:GYF916573 GOJ916569:GOJ916573 GEN916569:GEN916573 FUR916569:FUR916573 FKV916569:FKV916573 FAZ916569:FAZ916573 ERD916569:ERD916573 EHH916569:EHH916573 DXL916569:DXL916573 DNP916569:DNP916573 DDT916569:DDT916573 CTX916569:CTX916573 CKB916569:CKB916573 CAF916569:CAF916573 BQJ916569:BQJ916573 BGN916569:BGN916573 AWR916569:AWR916573 AMV916569:AMV916573 ACZ916569:ACZ916573 TD916569:TD916573 JH916569:JH916573 L916569:L916573 WVT851033:WVT851037 WLX851033:WLX851037 WCB851033:WCB851037 VSF851033:VSF851037 VIJ851033:VIJ851037 UYN851033:UYN851037 UOR851033:UOR851037 UEV851033:UEV851037 TUZ851033:TUZ851037 TLD851033:TLD851037 TBH851033:TBH851037 SRL851033:SRL851037 SHP851033:SHP851037 RXT851033:RXT851037 RNX851033:RNX851037 REB851033:REB851037 QUF851033:QUF851037 QKJ851033:QKJ851037 QAN851033:QAN851037 PQR851033:PQR851037 PGV851033:PGV851037 OWZ851033:OWZ851037 OND851033:OND851037 ODH851033:ODH851037 NTL851033:NTL851037 NJP851033:NJP851037 MZT851033:MZT851037 MPX851033:MPX851037 MGB851033:MGB851037 LWF851033:LWF851037 LMJ851033:LMJ851037 LCN851033:LCN851037 KSR851033:KSR851037 KIV851033:KIV851037 JYZ851033:JYZ851037 JPD851033:JPD851037 JFH851033:JFH851037 IVL851033:IVL851037 ILP851033:ILP851037 IBT851033:IBT851037 HRX851033:HRX851037 HIB851033:HIB851037 GYF851033:GYF851037 GOJ851033:GOJ851037 GEN851033:GEN851037 FUR851033:FUR851037 FKV851033:FKV851037 FAZ851033:FAZ851037 ERD851033:ERD851037 EHH851033:EHH851037 DXL851033:DXL851037 DNP851033:DNP851037 DDT851033:DDT851037 CTX851033:CTX851037 CKB851033:CKB851037 CAF851033:CAF851037 BQJ851033:BQJ851037 BGN851033:BGN851037 AWR851033:AWR851037 AMV851033:AMV851037 ACZ851033:ACZ851037 TD851033:TD851037 JH851033:JH851037 L851033:L851037 WVT785497:WVT785501 WLX785497:WLX785501 WCB785497:WCB785501 VSF785497:VSF785501 VIJ785497:VIJ785501 UYN785497:UYN785501 UOR785497:UOR785501 UEV785497:UEV785501 TUZ785497:TUZ785501 TLD785497:TLD785501 TBH785497:TBH785501 SRL785497:SRL785501 SHP785497:SHP785501 RXT785497:RXT785501 RNX785497:RNX785501 REB785497:REB785501 QUF785497:QUF785501 QKJ785497:QKJ785501 QAN785497:QAN785501 PQR785497:PQR785501 PGV785497:PGV785501 OWZ785497:OWZ785501 OND785497:OND785501 ODH785497:ODH785501 NTL785497:NTL785501 NJP785497:NJP785501 MZT785497:MZT785501 MPX785497:MPX785501 MGB785497:MGB785501 LWF785497:LWF785501 LMJ785497:LMJ785501 LCN785497:LCN785501 KSR785497:KSR785501 KIV785497:KIV785501 JYZ785497:JYZ785501 JPD785497:JPD785501 JFH785497:JFH785501 IVL785497:IVL785501 ILP785497:ILP785501 IBT785497:IBT785501 HRX785497:HRX785501 HIB785497:HIB785501 GYF785497:GYF785501 GOJ785497:GOJ785501 GEN785497:GEN785501 FUR785497:FUR785501 FKV785497:FKV785501 FAZ785497:FAZ785501 ERD785497:ERD785501 EHH785497:EHH785501 DXL785497:DXL785501 DNP785497:DNP785501 DDT785497:DDT785501 CTX785497:CTX785501 CKB785497:CKB785501 CAF785497:CAF785501 BQJ785497:BQJ785501 BGN785497:BGN785501 AWR785497:AWR785501 AMV785497:AMV785501 ACZ785497:ACZ785501 TD785497:TD785501 JH785497:JH785501 L785497:L785501 WVT719961:WVT719965 WLX719961:WLX719965 WCB719961:WCB719965 VSF719961:VSF719965 VIJ719961:VIJ719965 UYN719961:UYN719965 UOR719961:UOR719965 UEV719961:UEV719965 TUZ719961:TUZ719965 TLD719961:TLD719965 TBH719961:TBH719965 SRL719961:SRL719965 SHP719961:SHP719965 RXT719961:RXT719965 RNX719961:RNX719965 REB719961:REB719965 QUF719961:QUF719965 QKJ719961:QKJ719965 QAN719961:QAN719965 PQR719961:PQR719965 PGV719961:PGV719965 OWZ719961:OWZ719965 OND719961:OND719965 ODH719961:ODH719965 NTL719961:NTL719965 NJP719961:NJP719965 MZT719961:MZT719965 MPX719961:MPX719965 MGB719961:MGB719965 LWF719961:LWF719965 LMJ719961:LMJ719965 LCN719961:LCN719965 KSR719961:KSR719965 KIV719961:KIV719965 JYZ719961:JYZ719965 JPD719961:JPD719965 JFH719961:JFH719965 IVL719961:IVL719965 ILP719961:ILP719965 IBT719961:IBT719965 HRX719961:HRX719965 HIB719961:HIB719965 GYF719961:GYF719965 GOJ719961:GOJ719965 GEN719961:GEN719965 FUR719961:FUR719965 FKV719961:FKV719965 FAZ719961:FAZ719965 ERD719961:ERD719965 EHH719961:EHH719965 DXL719961:DXL719965 DNP719961:DNP719965 DDT719961:DDT719965 CTX719961:CTX719965 CKB719961:CKB719965 CAF719961:CAF719965 BQJ719961:BQJ719965 BGN719961:BGN719965 AWR719961:AWR719965 AMV719961:AMV719965 ACZ719961:ACZ719965 TD719961:TD719965 JH719961:JH719965 L719961:L719965 WVT654425:WVT654429 WLX654425:WLX654429 WCB654425:WCB654429 VSF654425:VSF654429 VIJ654425:VIJ654429 UYN654425:UYN654429 UOR654425:UOR654429 UEV654425:UEV654429 TUZ654425:TUZ654429 TLD654425:TLD654429 TBH654425:TBH654429 SRL654425:SRL654429 SHP654425:SHP654429 RXT654425:RXT654429 RNX654425:RNX654429 REB654425:REB654429 QUF654425:QUF654429 QKJ654425:QKJ654429 QAN654425:QAN654429 PQR654425:PQR654429 PGV654425:PGV654429 OWZ654425:OWZ654429 OND654425:OND654429 ODH654425:ODH654429 NTL654425:NTL654429 NJP654425:NJP654429 MZT654425:MZT654429 MPX654425:MPX654429 MGB654425:MGB654429 LWF654425:LWF654429 LMJ654425:LMJ654429 LCN654425:LCN654429 KSR654425:KSR654429 KIV654425:KIV654429 JYZ654425:JYZ654429 JPD654425:JPD654429 JFH654425:JFH654429 IVL654425:IVL654429 ILP654425:ILP654429 IBT654425:IBT654429 HRX654425:HRX654429 HIB654425:HIB654429 GYF654425:GYF654429 GOJ654425:GOJ654429 GEN654425:GEN654429 FUR654425:FUR654429 FKV654425:FKV654429 FAZ654425:FAZ654429 ERD654425:ERD654429 EHH654425:EHH654429 DXL654425:DXL654429 DNP654425:DNP654429 DDT654425:DDT654429 CTX654425:CTX654429 CKB654425:CKB654429 CAF654425:CAF654429 BQJ654425:BQJ654429 BGN654425:BGN654429 AWR654425:AWR654429 AMV654425:AMV654429 ACZ654425:ACZ654429 TD654425:TD654429 JH654425:JH654429 L654425:L654429 WVT588889:WVT588893 WLX588889:WLX588893 WCB588889:WCB588893 VSF588889:VSF588893 VIJ588889:VIJ588893 UYN588889:UYN588893 UOR588889:UOR588893 UEV588889:UEV588893 TUZ588889:TUZ588893 TLD588889:TLD588893 TBH588889:TBH588893 SRL588889:SRL588893 SHP588889:SHP588893 RXT588889:RXT588893 RNX588889:RNX588893 REB588889:REB588893 QUF588889:QUF588893 QKJ588889:QKJ588893 QAN588889:QAN588893 PQR588889:PQR588893 PGV588889:PGV588893 OWZ588889:OWZ588893 OND588889:OND588893 ODH588889:ODH588893 NTL588889:NTL588893 NJP588889:NJP588893 MZT588889:MZT588893 MPX588889:MPX588893 MGB588889:MGB588893 LWF588889:LWF588893 LMJ588889:LMJ588893 LCN588889:LCN588893 KSR588889:KSR588893 KIV588889:KIV588893 JYZ588889:JYZ588893 JPD588889:JPD588893 JFH588889:JFH588893 IVL588889:IVL588893 ILP588889:ILP588893 IBT588889:IBT588893 HRX588889:HRX588893 HIB588889:HIB588893 GYF588889:GYF588893 GOJ588889:GOJ588893 GEN588889:GEN588893 FUR588889:FUR588893 FKV588889:FKV588893 FAZ588889:FAZ588893 ERD588889:ERD588893 EHH588889:EHH588893 DXL588889:DXL588893 DNP588889:DNP588893 DDT588889:DDT588893 CTX588889:CTX588893 CKB588889:CKB588893 CAF588889:CAF588893 BQJ588889:BQJ588893 BGN588889:BGN588893 AWR588889:AWR588893 AMV588889:AMV588893 ACZ588889:ACZ588893 TD588889:TD588893 JH588889:JH588893 L588889:L588893 WVT523353:WVT523357 WLX523353:WLX523357 WCB523353:WCB523357 VSF523353:VSF523357 VIJ523353:VIJ523357 UYN523353:UYN523357 UOR523353:UOR523357 UEV523353:UEV523357 TUZ523353:TUZ523357 TLD523353:TLD523357 TBH523353:TBH523357 SRL523353:SRL523357 SHP523353:SHP523357 RXT523353:RXT523357 RNX523353:RNX523357 REB523353:REB523357 QUF523353:QUF523357 QKJ523353:QKJ523357 QAN523353:QAN523357 PQR523353:PQR523357 PGV523353:PGV523357 OWZ523353:OWZ523357 OND523353:OND523357 ODH523353:ODH523357 NTL523353:NTL523357 NJP523353:NJP523357 MZT523353:MZT523357 MPX523353:MPX523357 MGB523353:MGB523357 LWF523353:LWF523357 LMJ523353:LMJ523357 LCN523353:LCN523357 KSR523353:KSR523357 KIV523353:KIV523357 JYZ523353:JYZ523357 JPD523353:JPD523357 JFH523353:JFH523357 IVL523353:IVL523357 ILP523353:ILP523357 IBT523353:IBT523357 HRX523353:HRX523357 HIB523353:HIB523357 GYF523353:GYF523357 GOJ523353:GOJ523357 GEN523353:GEN523357 FUR523353:FUR523357 FKV523353:FKV523357 FAZ523353:FAZ523357 ERD523353:ERD523357 EHH523353:EHH523357 DXL523353:DXL523357 DNP523353:DNP523357 DDT523353:DDT523357 CTX523353:CTX523357 CKB523353:CKB523357 CAF523353:CAF523357 BQJ523353:BQJ523357 BGN523353:BGN523357 AWR523353:AWR523357 AMV523353:AMV523357 ACZ523353:ACZ523357 TD523353:TD523357 JH523353:JH523357 L523353:L523357 WVT457817:WVT457821 WLX457817:WLX457821 WCB457817:WCB457821 VSF457817:VSF457821 VIJ457817:VIJ457821 UYN457817:UYN457821 UOR457817:UOR457821 UEV457817:UEV457821 TUZ457817:TUZ457821 TLD457817:TLD457821 TBH457817:TBH457821 SRL457817:SRL457821 SHP457817:SHP457821 RXT457817:RXT457821 RNX457817:RNX457821 REB457817:REB457821 QUF457817:QUF457821 QKJ457817:QKJ457821 QAN457817:QAN457821 PQR457817:PQR457821 PGV457817:PGV457821 OWZ457817:OWZ457821 OND457817:OND457821 ODH457817:ODH457821 NTL457817:NTL457821 NJP457817:NJP457821 MZT457817:MZT457821 MPX457817:MPX457821 MGB457817:MGB457821 LWF457817:LWF457821 LMJ457817:LMJ457821 LCN457817:LCN457821 KSR457817:KSR457821 KIV457817:KIV457821 JYZ457817:JYZ457821 JPD457817:JPD457821 JFH457817:JFH457821 IVL457817:IVL457821 ILP457817:ILP457821 IBT457817:IBT457821 HRX457817:HRX457821 HIB457817:HIB457821 GYF457817:GYF457821 GOJ457817:GOJ457821 GEN457817:GEN457821 FUR457817:FUR457821 FKV457817:FKV457821 FAZ457817:FAZ457821 ERD457817:ERD457821 EHH457817:EHH457821 DXL457817:DXL457821 DNP457817:DNP457821 DDT457817:DDT457821 CTX457817:CTX457821 CKB457817:CKB457821 CAF457817:CAF457821 BQJ457817:BQJ457821 BGN457817:BGN457821 AWR457817:AWR457821 AMV457817:AMV457821 ACZ457817:ACZ457821 TD457817:TD457821 JH457817:JH457821 L457817:L457821 WVT392281:WVT392285 WLX392281:WLX392285 WCB392281:WCB392285 VSF392281:VSF392285 VIJ392281:VIJ392285 UYN392281:UYN392285 UOR392281:UOR392285 UEV392281:UEV392285 TUZ392281:TUZ392285 TLD392281:TLD392285 TBH392281:TBH392285 SRL392281:SRL392285 SHP392281:SHP392285 RXT392281:RXT392285 RNX392281:RNX392285 REB392281:REB392285 QUF392281:QUF392285 QKJ392281:QKJ392285 QAN392281:QAN392285 PQR392281:PQR392285 PGV392281:PGV392285 OWZ392281:OWZ392285 OND392281:OND392285 ODH392281:ODH392285 NTL392281:NTL392285 NJP392281:NJP392285 MZT392281:MZT392285 MPX392281:MPX392285 MGB392281:MGB392285 LWF392281:LWF392285 LMJ392281:LMJ392285 LCN392281:LCN392285 KSR392281:KSR392285 KIV392281:KIV392285 JYZ392281:JYZ392285 JPD392281:JPD392285 JFH392281:JFH392285 IVL392281:IVL392285 ILP392281:ILP392285 IBT392281:IBT392285 HRX392281:HRX392285 HIB392281:HIB392285 GYF392281:GYF392285 GOJ392281:GOJ392285 GEN392281:GEN392285 FUR392281:FUR392285 FKV392281:FKV392285 FAZ392281:FAZ392285 ERD392281:ERD392285 EHH392281:EHH392285 DXL392281:DXL392285 DNP392281:DNP392285 DDT392281:DDT392285 CTX392281:CTX392285 CKB392281:CKB392285 CAF392281:CAF392285 BQJ392281:BQJ392285 BGN392281:BGN392285 AWR392281:AWR392285 AMV392281:AMV392285 ACZ392281:ACZ392285 TD392281:TD392285 JH392281:JH392285 L392281:L392285 WVT326745:WVT326749 WLX326745:WLX326749 WCB326745:WCB326749 VSF326745:VSF326749 VIJ326745:VIJ326749 UYN326745:UYN326749 UOR326745:UOR326749 UEV326745:UEV326749 TUZ326745:TUZ326749 TLD326745:TLD326749 TBH326745:TBH326749 SRL326745:SRL326749 SHP326745:SHP326749 RXT326745:RXT326749 RNX326745:RNX326749 REB326745:REB326749 QUF326745:QUF326749 QKJ326745:QKJ326749 QAN326745:QAN326749 PQR326745:PQR326749 PGV326745:PGV326749 OWZ326745:OWZ326749 OND326745:OND326749 ODH326745:ODH326749 NTL326745:NTL326749 NJP326745:NJP326749 MZT326745:MZT326749 MPX326745:MPX326749 MGB326745:MGB326749 LWF326745:LWF326749 LMJ326745:LMJ326749 LCN326745:LCN326749 KSR326745:KSR326749 KIV326745:KIV326749 JYZ326745:JYZ326749 JPD326745:JPD326749 JFH326745:JFH326749 IVL326745:IVL326749 ILP326745:ILP326749 IBT326745:IBT326749 HRX326745:HRX326749 HIB326745:HIB326749 GYF326745:GYF326749 GOJ326745:GOJ326749 GEN326745:GEN326749 FUR326745:FUR326749 FKV326745:FKV326749 FAZ326745:FAZ326749 ERD326745:ERD326749 EHH326745:EHH326749 DXL326745:DXL326749 DNP326745:DNP326749 DDT326745:DDT326749 CTX326745:CTX326749 CKB326745:CKB326749 CAF326745:CAF326749 BQJ326745:BQJ326749 BGN326745:BGN326749 AWR326745:AWR326749 AMV326745:AMV326749 ACZ326745:ACZ326749 TD326745:TD326749 JH326745:JH326749 L326745:L326749 WVT261209:WVT261213 WLX261209:WLX261213 WCB261209:WCB261213 VSF261209:VSF261213 VIJ261209:VIJ261213 UYN261209:UYN261213 UOR261209:UOR261213 UEV261209:UEV261213 TUZ261209:TUZ261213 TLD261209:TLD261213 TBH261209:TBH261213 SRL261209:SRL261213 SHP261209:SHP261213 RXT261209:RXT261213 RNX261209:RNX261213 REB261209:REB261213 QUF261209:QUF261213 QKJ261209:QKJ261213 QAN261209:QAN261213 PQR261209:PQR261213 PGV261209:PGV261213 OWZ261209:OWZ261213 OND261209:OND261213 ODH261209:ODH261213 NTL261209:NTL261213 NJP261209:NJP261213 MZT261209:MZT261213 MPX261209:MPX261213 MGB261209:MGB261213 LWF261209:LWF261213 LMJ261209:LMJ261213 LCN261209:LCN261213 KSR261209:KSR261213 KIV261209:KIV261213 JYZ261209:JYZ261213 JPD261209:JPD261213 JFH261209:JFH261213 IVL261209:IVL261213 ILP261209:ILP261213 IBT261209:IBT261213 HRX261209:HRX261213 HIB261209:HIB261213 GYF261209:GYF261213 GOJ261209:GOJ261213 GEN261209:GEN261213 FUR261209:FUR261213 FKV261209:FKV261213 FAZ261209:FAZ261213 ERD261209:ERD261213 EHH261209:EHH261213 DXL261209:DXL261213 DNP261209:DNP261213 DDT261209:DDT261213 CTX261209:CTX261213 CKB261209:CKB261213 CAF261209:CAF261213 BQJ261209:BQJ261213 BGN261209:BGN261213 AWR261209:AWR261213 AMV261209:AMV261213 ACZ261209:ACZ261213 TD261209:TD261213 JH261209:JH261213 L261209:L261213 WVT195673:WVT195677 WLX195673:WLX195677 WCB195673:WCB195677 VSF195673:VSF195677 VIJ195673:VIJ195677 UYN195673:UYN195677 UOR195673:UOR195677 UEV195673:UEV195677 TUZ195673:TUZ195677 TLD195673:TLD195677 TBH195673:TBH195677 SRL195673:SRL195677 SHP195673:SHP195677 RXT195673:RXT195677 RNX195673:RNX195677 REB195673:REB195677 QUF195673:QUF195677 QKJ195673:QKJ195677 QAN195673:QAN195677 PQR195673:PQR195677 PGV195673:PGV195677 OWZ195673:OWZ195677 OND195673:OND195677 ODH195673:ODH195677 NTL195673:NTL195677 NJP195673:NJP195677 MZT195673:MZT195677 MPX195673:MPX195677 MGB195673:MGB195677 LWF195673:LWF195677 LMJ195673:LMJ195677 LCN195673:LCN195677 KSR195673:KSR195677 KIV195673:KIV195677 JYZ195673:JYZ195677 JPD195673:JPD195677 JFH195673:JFH195677 IVL195673:IVL195677 ILP195673:ILP195677 IBT195673:IBT195677 HRX195673:HRX195677 HIB195673:HIB195677 GYF195673:GYF195677 GOJ195673:GOJ195677 GEN195673:GEN195677 FUR195673:FUR195677 FKV195673:FKV195677 FAZ195673:FAZ195677 ERD195673:ERD195677 EHH195673:EHH195677 DXL195673:DXL195677 DNP195673:DNP195677 DDT195673:DDT195677 CTX195673:CTX195677 CKB195673:CKB195677 CAF195673:CAF195677 BQJ195673:BQJ195677 BGN195673:BGN195677 AWR195673:AWR195677 AMV195673:AMV195677 ACZ195673:ACZ195677 TD195673:TD195677 JH195673:JH195677 L195673:L195677 WVT130137:WVT130141 WLX130137:WLX130141 WCB130137:WCB130141 VSF130137:VSF130141 VIJ130137:VIJ130141 UYN130137:UYN130141 UOR130137:UOR130141 UEV130137:UEV130141 TUZ130137:TUZ130141 TLD130137:TLD130141 TBH130137:TBH130141 SRL130137:SRL130141 SHP130137:SHP130141 RXT130137:RXT130141 RNX130137:RNX130141 REB130137:REB130141 QUF130137:QUF130141 QKJ130137:QKJ130141 QAN130137:QAN130141 PQR130137:PQR130141 PGV130137:PGV130141 OWZ130137:OWZ130141 OND130137:OND130141 ODH130137:ODH130141 NTL130137:NTL130141 NJP130137:NJP130141 MZT130137:MZT130141 MPX130137:MPX130141 MGB130137:MGB130141 LWF130137:LWF130141 LMJ130137:LMJ130141 LCN130137:LCN130141 KSR130137:KSR130141 KIV130137:KIV130141 JYZ130137:JYZ130141 JPD130137:JPD130141 JFH130137:JFH130141 IVL130137:IVL130141 ILP130137:ILP130141 IBT130137:IBT130141 HRX130137:HRX130141 HIB130137:HIB130141 GYF130137:GYF130141 GOJ130137:GOJ130141 GEN130137:GEN130141 FUR130137:FUR130141 FKV130137:FKV130141 FAZ130137:FAZ130141 ERD130137:ERD130141 EHH130137:EHH130141 DXL130137:DXL130141 DNP130137:DNP130141 DDT130137:DDT130141 CTX130137:CTX130141 CKB130137:CKB130141 CAF130137:CAF130141 BQJ130137:BQJ130141 BGN130137:BGN130141 AWR130137:AWR130141 AMV130137:AMV130141 ACZ130137:ACZ130141 TD130137:TD130141 JH130137:JH130141 L130137:L130141 WVT64601:WVT64605 WLX64601:WLX64605 WCB64601:WCB64605 VSF64601:VSF64605 VIJ64601:VIJ64605 UYN64601:UYN64605 UOR64601:UOR64605 UEV64601:UEV64605 TUZ64601:TUZ64605 TLD64601:TLD64605 TBH64601:TBH64605 SRL64601:SRL64605 SHP64601:SHP64605 RXT64601:RXT64605 RNX64601:RNX64605 REB64601:REB64605 QUF64601:QUF64605 QKJ64601:QKJ64605 QAN64601:QAN64605 PQR64601:PQR64605 PGV64601:PGV64605 OWZ64601:OWZ64605 OND64601:OND64605 ODH64601:ODH64605 NTL64601:NTL64605 NJP64601:NJP64605 MZT64601:MZT64605 MPX64601:MPX64605 MGB64601:MGB64605 LWF64601:LWF64605 LMJ64601:LMJ64605 LCN64601:LCN64605 KSR64601:KSR64605 KIV64601:KIV64605 JYZ64601:JYZ64605 JPD64601:JPD64605 JFH64601:JFH64605 IVL64601:IVL64605 ILP64601:ILP64605 IBT64601:IBT64605 HRX64601:HRX64605 HIB64601:HIB64605 GYF64601:GYF64605 GOJ64601:GOJ64605 GEN64601:GEN64605 FUR64601:FUR64605 FKV64601:FKV64605 FAZ64601:FAZ64605 ERD64601:ERD64605 EHH64601:EHH64605 DXL64601:DXL64605 DNP64601:DNP64605 DDT64601:DDT64605 CTX64601:CTX64605 CKB64601:CKB64605 CAF64601:CAF64605 BQJ64601:BQJ64605 BGN64601:BGN64605 AWR64601:AWR64605 AMV64601:AMV64605 ACZ64601:ACZ64605 TD64601:TD64605 JH64601:JH64605 L64601:L64605 UYO982082:UYP982090 M130127:M130131 JI64591:JJ64595 TE64591:TF64595 ADA64591:ADB64595 AMW64591:AMX64595 AWS64591:AWT64595 BGO64591:BGP64595 BQK64591:BQL64595 CAG64591:CAH64595 CKC64591:CKD64595 CTY64591:CTZ64595 DDU64591:DDV64595 DNQ64591:DNR64595 DXM64591:DXN64595 EHI64591:EHJ64595 ERE64591:ERF64595 FBA64591:FBB64595 FKW64591:FKX64595 FUS64591:FUT64595 GEO64591:GEP64595 GOK64591:GOL64595 GYG64591:GYH64595 HIC64591:HID64595 HRY64591:HRZ64595 IBU64591:IBV64595 ILQ64591:ILR64595 IVM64591:IVN64595 JFI64591:JFJ64595 JPE64591:JPF64595 JZA64591:JZB64595 KIW64591:KIX64595 KSS64591:KST64595 LCO64591:LCP64595 LMK64591:LML64595 LWG64591:LWH64595 MGC64591:MGD64595 MPY64591:MPZ64595 MZU64591:MZV64595 NJQ64591:NJR64595 NTM64591:NTN64595 ODI64591:ODJ64595 ONE64591:ONF64595 OXA64591:OXB64595 PGW64591:PGX64595 PQS64591:PQT64595 QAO64591:QAP64595 QKK64591:QKL64595 QUG64591:QUH64595 REC64591:RED64595 RNY64591:RNZ64595 RXU64591:RXV64595 SHQ64591:SHR64595 SRM64591:SRN64595 TBI64591:TBJ64595 TLE64591:TLF64595 TVA64591:TVB64595 UEW64591:UEX64595 UOS64591:UOT64595 UYO64591:UYP64595 VIK64591:VIL64595 VSG64591:VSH64595 WCC64591:WCD64595 WLY64591:WLZ64595 WVU64591:WVV64595 M195663:M195667 JI130127:JJ130131 TE130127:TF130131 ADA130127:ADB130131 AMW130127:AMX130131 AWS130127:AWT130131 BGO130127:BGP130131 BQK130127:BQL130131 CAG130127:CAH130131 CKC130127:CKD130131 CTY130127:CTZ130131 DDU130127:DDV130131 DNQ130127:DNR130131 DXM130127:DXN130131 EHI130127:EHJ130131 ERE130127:ERF130131 FBA130127:FBB130131 FKW130127:FKX130131 FUS130127:FUT130131 GEO130127:GEP130131 GOK130127:GOL130131 GYG130127:GYH130131 HIC130127:HID130131 HRY130127:HRZ130131 IBU130127:IBV130131 ILQ130127:ILR130131 IVM130127:IVN130131 JFI130127:JFJ130131 JPE130127:JPF130131 JZA130127:JZB130131 KIW130127:KIX130131 KSS130127:KST130131 LCO130127:LCP130131 LMK130127:LML130131 LWG130127:LWH130131 MGC130127:MGD130131 MPY130127:MPZ130131 MZU130127:MZV130131 NJQ130127:NJR130131 NTM130127:NTN130131 ODI130127:ODJ130131 ONE130127:ONF130131 OXA130127:OXB130131 PGW130127:PGX130131 PQS130127:PQT130131 QAO130127:QAP130131 QKK130127:QKL130131 QUG130127:QUH130131 REC130127:RED130131 RNY130127:RNZ130131 RXU130127:RXV130131 SHQ130127:SHR130131 SRM130127:SRN130131 TBI130127:TBJ130131 TLE130127:TLF130131 TVA130127:TVB130131 UEW130127:UEX130131 UOS130127:UOT130131 UYO130127:UYP130131 VIK130127:VIL130131 VSG130127:VSH130131 WCC130127:WCD130131 WLY130127:WLZ130131 WVU130127:WVV130131 M261199:M261203 JI195663:JJ195667 TE195663:TF195667 ADA195663:ADB195667 AMW195663:AMX195667 AWS195663:AWT195667 BGO195663:BGP195667 BQK195663:BQL195667 CAG195663:CAH195667 CKC195663:CKD195667 CTY195663:CTZ195667 DDU195663:DDV195667 DNQ195663:DNR195667 DXM195663:DXN195667 EHI195663:EHJ195667 ERE195663:ERF195667 FBA195663:FBB195667 FKW195663:FKX195667 FUS195663:FUT195667 GEO195663:GEP195667 GOK195663:GOL195667 GYG195663:GYH195667 HIC195663:HID195667 HRY195663:HRZ195667 IBU195663:IBV195667 ILQ195663:ILR195667 IVM195663:IVN195667 JFI195663:JFJ195667 JPE195663:JPF195667 JZA195663:JZB195667 KIW195663:KIX195667 KSS195663:KST195667 LCO195663:LCP195667 LMK195663:LML195667 LWG195663:LWH195667 MGC195663:MGD195667 MPY195663:MPZ195667 MZU195663:MZV195667 NJQ195663:NJR195667 NTM195663:NTN195667 ODI195663:ODJ195667 ONE195663:ONF195667 OXA195663:OXB195667 PGW195663:PGX195667 PQS195663:PQT195667 QAO195663:QAP195667 QKK195663:QKL195667 QUG195663:QUH195667 REC195663:RED195667 RNY195663:RNZ195667 RXU195663:RXV195667 SHQ195663:SHR195667 SRM195663:SRN195667 TBI195663:TBJ195667 TLE195663:TLF195667 TVA195663:TVB195667 UEW195663:UEX195667 UOS195663:UOT195667 UYO195663:UYP195667 VIK195663:VIL195667 VSG195663:VSH195667 WCC195663:WCD195667 WLY195663:WLZ195667 WVU195663:WVV195667 M326735:M326739 JI261199:JJ261203 TE261199:TF261203 ADA261199:ADB261203 AMW261199:AMX261203 AWS261199:AWT261203 BGO261199:BGP261203 BQK261199:BQL261203 CAG261199:CAH261203 CKC261199:CKD261203 CTY261199:CTZ261203 DDU261199:DDV261203 DNQ261199:DNR261203 DXM261199:DXN261203 EHI261199:EHJ261203 ERE261199:ERF261203 FBA261199:FBB261203 FKW261199:FKX261203 FUS261199:FUT261203 GEO261199:GEP261203 GOK261199:GOL261203 GYG261199:GYH261203 HIC261199:HID261203 HRY261199:HRZ261203 IBU261199:IBV261203 ILQ261199:ILR261203 IVM261199:IVN261203 JFI261199:JFJ261203 JPE261199:JPF261203 JZA261199:JZB261203 KIW261199:KIX261203 KSS261199:KST261203 LCO261199:LCP261203 LMK261199:LML261203 LWG261199:LWH261203 MGC261199:MGD261203 MPY261199:MPZ261203 MZU261199:MZV261203 NJQ261199:NJR261203 NTM261199:NTN261203 ODI261199:ODJ261203 ONE261199:ONF261203 OXA261199:OXB261203 PGW261199:PGX261203 PQS261199:PQT261203 QAO261199:QAP261203 QKK261199:QKL261203 QUG261199:QUH261203 REC261199:RED261203 RNY261199:RNZ261203 RXU261199:RXV261203 SHQ261199:SHR261203 SRM261199:SRN261203 TBI261199:TBJ261203 TLE261199:TLF261203 TVA261199:TVB261203 UEW261199:UEX261203 UOS261199:UOT261203 UYO261199:UYP261203 VIK261199:VIL261203 VSG261199:VSH261203 WCC261199:WCD261203 WLY261199:WLZ261203 WVU261199:WVV261203 M392271:M392275 JI326735:JJ326739 TE326735:TF326739 ADA326735:ADB326739 AMW326735:AMX326739 AWS326735:AWT326739 BGO326735:BGP326739 BQK326735:BQL326739 CAG326735:CAH326739 CKC326735:CKD326739 CTY326735:CTZ326739 DDU326735:DDV326739 DNQ326735:DNR326739 DXM326735:DXN326739 EHI326735:EHJ326739 ERE326735:ERF326739 FBA326735:FBB326739 FKW326735:FKX326739 FUS326735:FUT326739 GEO326735:GEP326739 GOK326735:GOL326739 GYG326735:GYH326739 HIC326735:HID326739 HRY326735:HRZ326739 IBU326735:IBV326739 ILQ326735:ILR326739 IVM326735:IVN326739 JFI326735:JFJ326739 JPE326735:JPF326739 JZA326735:JZB326739 KIW326735:KIX326739 KSS326735:KST326739 LCO326735:LCP326739 LMK326735:LML326739 LWG326735:LWH326739 MGC326735:MGD326739 MPY326735:MPZ326739 MZU326735:MZV326739 NJQ326735:NJR326739 NTM326735:NTN326739 ODI326735:ODJ326739 ONE326735:ONF326739 OXA326735:OXB326739 PGW326735:PGX326739 PQS326735:PQT326739 QAO326735:QAP326739 QKK326735:QKL326739 QUG326735:QUH326739 REC326735:RED326739 RNY326735:RNZ326739 RXU326735:RXV326739 SHQ326735:SHR326739 SRM326735:SRN326739 TBI326735:TBJ326739 TLE326735:TLF326739 TVA326735:TVB326739 UEW326735:UEX326739 UOS326735:UOT326739 UYO326735:UYP326739 VIK326735:VIL326739 VSG326735:VSH326739 WCC326735:WCD326739 WLY326735:WLZ326739 WVU326735:WVV326739 M457807:M457811 JI392271:JJ392275 TE392271:TF392275 ADA392271:ADB392275 AMW392271:AMX392275 AWS392271:AWT392275 BGO392271:BGP392275 BQK392271:BQL392275 CAG392271:CAH392275 CKC392271:CKD392275 CTY392271:CTZ392275 DDU392271:DDV392275 DNQ392271:DNR392275 DXM392271:DXN392275 EHI392271:EHJ392275 ERE392271:ERF392275 FBA392271:FBB392275 FKW392271:FKX392275 FUS392271:FUT392275 GEO392271:GEP392275 GOK392271:GOL392275 GYG392271:GYH392275 HIC392271:HID392275 HRY392271:HRZ392275 IBU392271:IBV392275 ILQ392271:ILR392275 IVM392271:IVN392275 JFI392271:JFJ392275 JPE392271:JPF392275 JZA392271:JZB392275 KIW392271:KIX392275 KSS392271:KST392275 LCO392271:LCP392275 LMK392271:LML392275 LWG392271:LWH392275 MGC392271:MGD392275 MPY392271:MPZ392275 MZU392271:MZV392275 NJQ392271:NJR392275 NTM392271:NTN392275 ODI392271:ODJ392275 ONE392271:ONF392275 OXA392271:OXB392275 PGW392271:PGX392275 PQS392271:PQT392275 QAO392271:QAP392275 QKK392271:QKL392275 QUG392271:QUH392275 REC392271:RED392275 RNY392271:RNZ392275 RXU392271:RXV392275 SHQ392271:SHR392275 SRM392271:SRN392275 TBI392271:TBJ392275 TLE392271:TLF392275 TVA392271:TVB392275 UEW392271:UEX392275 UOS392271:UOT392275 UYO392271:UYP392275 VIK392271:VIL392275 VSG392271:VSH392275 WCC392271:WCD392275 WLY392271:WLZ392275 WVU392271:WVV392275 M523343:M523347 JI457807:JJ457811 TE457807:TF457811 ADA457807:ADB457811 AMW457807:AMX457811 AWS457807:AWT457811 BGO457807:BGP457811 BQK457807:BQL457811 CAG457807:CAH457811 CKC457807:CKD457811 CTY457807:CTZ457811 DDU457807:DDV457811 DNQ457807:DNR457811 DXM457807:DXN457811 EHI457807:EHJ457811 ERE457807:ERF457811 FBA457807:FBB457811 FKW457807:FKX457811 FUS457807:FUT457811 GEO457807:GEP457811 GOK457807:GOL457811 GYG457807:GYH457811 HIC457807:HID457811 HRY457807:HRZ457811 IBU457807:IBV457811 ILQ457807:ILR457811 IVM457807:IVN457811 JFI457807:JFJ457811 JPE457807:JPF457811 JZA457807:JZB457811 KIW457807:KIX457811 KSS457807:KST457811 LCO457807:LCP457811 LMK457807:LML457811 LWG457807:LWH457811 MGC457807:MGD457811 MPY457807:MPZ457811 MZU457807:MZV457811 NJQ457807:NJR457811 NTM457807:NTN457811 ODI457807:ODJ457811 ONE457807:ONF457811 OXA457807:OXB457811 PGW457807:PGX457811 PQS457807:PQT457811 QAO457807:QAP457811 QKK457807:QKL457811 QUG457807:QUH457811 REC457807:RED457811 RNY457807:RNZ457811 RXU457807:RXV457811 SHQ457807:SHR457811 SRM457807:SRN457811 TBI457807:TBJ457811 TLE457807:TLF457811 TVA457807:TVB457811 UEW457807:UEX457811 UOS457807:UOT457811 UYO457807:UYP457811 VIK457807:VIL457811 VSG457807:VSH457811 WCC457807:WCD457811 WLY457807:WLZ457811 WVU457807:WVV457811 M588879:M588883 JI523343:JJ523347 TE523343:TF523347 ADA523343:ADB523347 AMW523343:AMX523347 AWS523343:AWT523347 BGO523343:BGP523347 BQK523343:BQL523347 CAG523343:CAH523347 CKC523343:CKD523347 CTY523343:CTZ523347 DDU523343:DDV523347 DNQ523343:DNR523347 DXM523343:DXN523347 EHI523343:EHJ523347 ERE523343:ERF523347 FBA523343:FBB523347 FKW523343:FKX523347 FUS523343:FUT523347 GEO523343:GEP523347 GOK523343:GOL523347 GYG523343:GYH523347 HIC523343:HID523347 HRY523343:HRZ523347 IBU523343:IBV523347 ILQ523343:ILR523347 IVM523343:IVN523347 JFI523343:JFJ523347 JPE523343:JPF523347 JZA523343:JZB523347 KIW523343:KIX523347 KSS523343:KST523347 LCO523343:LCP523347 LMK523343:LML523347 LWG523343:LWH523347 MGC523343:MGD523347 MPY523343:MPZ523347 MZU523343:MZV523347 NJQ523343:NJR523347 NTM523343:NTN523347 ODI523343:ODJ523347 ONE523343:ONF523347 OXA523343:OXB523347 PGW523343:PGX523347 PQS523343:PQT523347 QAO523343:QAP523347 QKK523343:QKL523347 QUG523343:QUH523347 REC523343:RED523347 RNY523343:RNZ523347 RXU523343:RXV523347 SHQ523343:SHR523347 SRM523343:SRN523347 TBI523343:TBJ523347 TLE523343:TLF523347 TVA523343:TVB523347 UEW523343:UEX523347 UOS523343:UOT523347 UYO523343:UYP523347 VIK523343:VIL523347 VSG523343:VSH523347 WCC523343:WCD523347 WLY523343:WLZ523347 WVU523343:WVV523347 M654415:M654419 JI588879:JJ588883 TE588879:TF588883 ADA588879:ADB588883 AMW588879:AMX588883 AWS588879:AWT588883 BGO588879:BGP588883 BQK588879:BQL588883 CAG588879:CAH588883 CKC588879:CKD588883 CTY588879:CTZ588883 DDU588879:DDV588883 DNQ588879:DNR588883 DXM588879:DXN588883 EHI588879:EHJ588883 ERE588879:ERF588883 FBA588879:FBB588883 FKW588879:FKX588883 FUS588879:FUT588883 GEO588879:GEP588883 GOK588879:GOL588883 GYG588879:GYH588883 HIC588879:HID588883 HRY588879:HRZ588883 IBU588879:IBV588883 ILQ588879:ILR588883 IVM588879:IVN588883 JFI588879:JFJ588883 JPE588879:JPF588883 JZA588879:JZB588883 KIW588879:KIX588883 KSS588879:KST588883 LCO588879:LCP588883 LMK588879:LML588883 LWG588879:LWH588883 MGC588879:MGD588883 MPY588879:MPZ588883 MZU588879:MZV588883 NJQ588879:NJR588883 NTM588879:NTN588883 ODI588879:ODJ588883 ONE588879:ONF588883 OXA588879:OXB588883 PGW588879:PGX588883 PQS588879:PQT588883 QAO588879:QAP588883 QKK588879:QKL588883 QUG588879:QUH588883 REC588879:RED588883 RNY588879:RNZ588883 RXU588879:RXV588883 SHQ588879:SHR588883 SRM588879:SRN588883 TBI588879:TBJ588883 TLE588879:TLF588883 TVA588879:TVB588883 UEW588879:UEX588883 UOS588879:UOT588883 UYO588879:UYP588883 VIK588879:VIL588883 VSG588879:VSH588883 WCC588879:WCD588883 WLY588879:WLZ588883 WVU588879:WVV588883 M719951:M719955 JI654415:JJ654419 TE654415:TF654419 ADA654415:ADB654419 AMW654415:AMX654419 AWS654415:AWT654419 BGO654415:BGP654419 BQK654415:BQL654419 CAG654415:CAH654419 CKC654415:CKD654419 CTY654415:CTZ654419 DDU654415:DDV654419 DNQ654415:DNR654419 DXM654415:DXN654419 EHI654415:EHJ654419 ERE654415:ERF654419 FBA654415:FBB654419 FKW654415:FKX654419 FUS654415:FUT654419 GEO654415:GEP654419 GOK654415:GOL654419 GYG654415:GYH654419 HIC654415:HID654419 HRY654415:HRZ654419 IBU654415:IBV654419 ILQ654415:ILR654419 IVM654415:IVN654419 JFI654415:JFJ654419 JPE654415:JPF654419 JZA654415:JZB654419 KIW654415:KIX654419 KSS654415:KST654419 LCO654415:LCP654419 LMK654415:LML654419 LWG654415:LWH654419 MGC654415:MGD654419 MPY654415:MPZ654419 MZU654415:MZV654419 NJQ654415:NJR654419 NTM654415:NTN654419 ODI654415:ODJ654419 ONE654415:ONF654419 OXA654415:OXB654419 PGW654415:PGX654419 PQS654415:PQT654419 QAO654415:QAP654419 QKK654415:QKL654419 QUG654415:QUH654419 REC654415:RED654419 RNY654415:RNZ654419 RXU654415:RXV654419 SHQ654415:SHR654419 SRM654415:SRN654419 TBI654415:TBJ654419 TLE654415:TLF654419 TVA654415:TVB654419 UEW654415:UEX654419 UOS654415:UOT654419 UYO654415:UYP654419 VIK654415:VIL654419 VSG654415:VSH654419 WCC654415:WCD654419 WLY654415:WLZ654419 WVU654415:WVV654419 M785487:M785491 JI719951:JJ719955 TE719951:TF719955 ADA719951:ADB719955 AMW719951:AMX719955 AWS719951:AWT719955 BGO719951:BGP719955 BQK719951:BQL719955 CAG719951:CAH719955 CKC719951:CKD719955 CTY719951:CTZ719955 DDU719951:DDV719955 DNQ719951:DNR719955 DXM719951:DXN719955 EHI719951:EHJ719955 ERE719951:ERF719955 FBA719951:FBB719955 FKW719951:FKX719955 FUS719951:FUT719955 GEO719951:GEP719955 GOK719951:GOL719955 GYG719951:GYH719955 HIC719951:HID719955 HRY719951:HRZ719955 IBU719951:IBV719955 ILQ719951:ILR719955 IVM719951:IVN719955 JFI719951:JFJ719955 JPE719951:JPF719955 JZA719951:JZB719955 KIW719951:KIX719955 KSS719951:KST719955 LCO719951:LCP719955 LMK719951:LML719955 LWG719951:LWH719955 MGC719951:MGD719955 MPY719951:MPZ719955 MZU719951:MZV719955 NJQ719951:NJR719955 NTM719951:NTN719955 ODI719951:ODJ719955 ONE719951:ONF719955 OXA719951:OXB719955 PGW719951:PGX719955 PQS719951:PQT719955 QAO719951:QAP719955 QKK719951:QKL719955 QUG719951:QUH719955 REC719951:RED719955 RNY719951:RNZ719955 RXU719951:RXV719955 SHQ719951:SHR719955 SRM719951:SRN719955 TBI719951:TBJ719955 TLE719951:TLF719955 TVA719951:TVB719955 UEW719951:UEX719955 UOS719951:UOT719955 UYO719951:UYP719955 VIK719951:VIL719955 VSG719951:VSH719955 WCC719951:WCD719955 WLY719951:WLZ719955 WVU719951:WVV719955 M851023:M851027 JI785487:JJ785491 TE785487:TF785491 ADA785487:ADB785491 AMW785487:AMX785491 AWS785487:AWT785491 BGO785487:BGP785491 BQK785487:BQL785491 CAG785487:CAH785491 CKC785487:CKD785491 CTY785487:CTZ785491 DDU785487:DDV785491 DNQ785487:DNR785491 DXM785487:DXN785491 EHI785487:EHJ785491 ERE785487:ERF785491 FBA785487:FBB785491 FKW785487:FKX785491 FUS785487:FUT785491 GEO785487:GEP785491 GOK785487:GOL785491 GYG785487:GYH785491 HIC785487:HID785491 HRY785487:HRZ785491 IBU785487:IBV785491 ILQ785487:ILR785491 IVM785487:IVN785491 JFI785487:JFJ785491 JPE785487:JPF785491 JZA785487:JZB785491 KIW785487:KIX785491 KSS785487:KST785491 LCO785487:LCP785491 LMK785487:LML785491 LWG785487:LWH785491 MGC785487:MGD785491 MPY785487:MPZ785491 MZU785487:MZV785491 NJQ785487:NJR785491 NTM785487:NTN785491 ODI785487:ODJ785491 ONE785487:ONF785491 OXA785487:OXB785491 PGW785487:PGX785491 PQS785487:PQT785491 QAO785487:QAP785491 QKK785487:QKL785491 QUG785487:QUH785491 REC785487:RED785491 RNY785487:RNZ785491 RXU785487:RXV785491 SHQ785487:SHR785491 SRM785487:SRN785491 TBI785487:TBJ785491 TLE785487:TLF785491 TVA785487:TVB785491 UEW785487:UEX785491 UOS785487:UOT785491 UYO785487:UYP785491 VIK785487:VIL785491 VSG785487:VSH785491 WCC785487:WCD785491 WLY785487:WLZ785491 WVU785487:WVV785491 M916559:M916563 JI851023:JJ851027 TE851023:TF851027 ADA851023:ADB851027 AMW851023:AMX851027 AWS851023:AWT851027 BGO851023:BGP851027 BQK851023:BQL851027 CAG851023:CAH851027 CKC851023:CKD851027 CTY851023:CTZ851027 DDU851023:DDV851027 DNQ851023:DNR851027 DXM851023:DXN851027 EHI851023:EHJ851027 ERE851023:ERF851027 FBA851023:FBB851027 FKW851023:FKX851027 FUS851023:FUT851027 GEO851023:GEP851027 GOK851023:GOL851027 GYG851023:GYH851027 HIC851023:HID851027 HRY851023:HRZ851027 IBU851023:IBV851027 ILQ851023:ILR851027 IVM851023:IVN851027 JFI851023:JFJ851027 JPE851023:JPF851027 JZA851023:JZB851027 KIW851023:KIX851027 KSS851023:KST851027 LCO851023:LCP851027 LMK851023:LML851027 LWG851023:LWH851027 MGC851023:MGD851027 MPY851023:MPZ851027 MZU851023:MZV851027 NJQ851023:NJR851027 NTM851023:NTN851027 ODI851023:ODJ851027 ONE851023:ONF851027 OXA851023:OXB851027 PGW851023:PGX851027 PQS851023:PQT851027 QAO851023:QAP851027 QKK851023:QKL851027 QUG851023:QUH851027 REC851023:RED851027 RNY851023:RNZ851027 RXU851023:RXV851027 SHQ851023:SHR851027 SRM851023:SRN851027 TBI851023:TBJ851027 TLE851023:TLF851027 TVA851023:TVB851027 UEW851023:UEX851027 UOS851023:UOT851027 UYO851023:UYP851027 VIK851023:VIL851027 VSG851023:VSH851027 WCC851023:WCD851027 WLY851023:WLZ851027 WVU851023:WVV851027 M982095:M982099 JI916559:JJ916563 TE916559:TF916563 ADA916559:ADB916563 AMW916559:AMX916563 AWS916559:AWT916563 BGO916559:BGP916563 BQK916559:BQL916563 CAG916559:CAH916563 CKC916559:CKD916563 CTY916559:CTZ916563 DDU916559:DDV916563 DNQ916559:DNR916563 DXM916559:DXN916563 EHI916559:EHJ916563 ERE916559:ERF916563 FBA916559:FBB916563 FKW916559:FKX916563 FUS916559:FUT916563 GEO916559:GEP916563 GOK916559:GOL916563 GYG916559:GYH916563 HIC916559:HID916563 HRY916559:HRZ916563 IBU916559:IBV916563 ILQ916559:ILR916563 IVM916559:IVN916563 JFI916559:JFJ916563 JPE916559:JPF916563 JZA916559:JZB916563 KIW916559:KIX916563 KSS916559:KST916563 LCO916559:LCP916563 LMK916559:LML916563 LWG916559:LWH916563 MGC916559:MGD916563 MPY916559:MPZ916563 MZU916559:MZV916563 NJQ916559:NJR916563 NTM916559:NTN916563 ODI916559:ODJ916563 ONE916559:ONF916563 OXA916559:OXB916563 PGW916559:PGX916563 PQS916559:PQT916563 QAO916559:QAP916563 QKK916559:QKL916563 QUG916559:QUH916563 REC916559:RED916563 RNY916559:RNZ916563 RXU916559:RXV916563 SHQ916559:SHR916563 SRM916559:SRN916563 TBI916559:TBJ916563 TLE916559:TLF916563 TVA916559:TVB916563 UEW916559:UEX916563 UOS916559:UOT916563 UYO916559:UYP916563 VIK916559:VIL916563 VSG916559:VSH916563 WCC916559:WCD916563 WLY916559:WLZ916563 WVU916559:WVV916563 BGK195650:BGK195658 JI982095:JJ982099 TE982095:TF982099 ADA982095:ADB982099 AMW982095:AMX982099 AWS982095:AWT982099 BGO982095:BGP982099 BQK982095:BQL982099 CAG982095:CAH982099 CKC982095:CKD982099 CTY982095:CTZ982099 DDU982095:DDV982099 DNQ982095:DNR982099 DXM982095:DXN982099 EHI982095:EHJ982099 ERE982095:ERF982099 FBA982095:FBB982099 FKW982095:FKX982099 FUS982095:FUT982099 GEO982095:GEP982099 GOK982095:GOL982099 GYG982095:GYH982099 HIC982095:HID982099 HRY982095:HRZ982099 IBU982095:IBV982099 ILQ982095:ILR982099 IVM982095:IVN982099 JFI982095:JFJ982099 JPE982095:JPF982099 JZA982095:JZB982099 KIW982095:KIX982099 KSS982095:KST982099 LCO982095:LCP982099 LMK982095:LML982099 LWG982095:LWH982099 MGC982095:MGD982099 MPY982095:MPZ982099 MZU982095:MZV982099 NJQ982095:NJR982099 NTM982095:NTN982099 ODI982095:ODJ982099 ONE982095:ONF982099 OXA982095:OXB982099 PGW982095:PGX982099 PQS982095:PQT982099 QAO982095:QAP982099 QKK982095:QKL982099 QUG982095:QUH982099 REC982095:RED982099 RNY982095:RNZ982099 RXU982095:RXV982099 SHQ982095:SHR982099 SRM982095:SRN982099 TBI982095:TBJ982099 TLE982095:TLF982099 TVA982095:TVB982099 UEW982095:UEX982099 UOS982095:UOT982099 UYO982095:UYP982099 VIK982095:VIL982099 VSG982095:VSH982099 WCC982095:WCD982099 WLY982095:WLZ982099 WVU982095:WVV982099 VIK982082:VIL982090 AWO195650:AWO195658 JJ64539:JK64543 TF64539:TG64543 ADB64539:ADC64543 AMX64539:AMY64543 AWT64539:AWU64543 BGP64539:BGQ64543 BQL64539:BQM64543 CAH64539:CAI64543 CKD64539:CKE64543 CTZ64539:CUA64543 DDV64539:DDW64543 DNR64539:DNS64543 DXN64539:DXO64543 EHJ64539:EHK64543 ERF64539:ERG64543 FBB64539:FBC64543 FKX64539:FKY64543 FUT64539:FUU64543 GEP64539:GEQ64543 GOL64539:GOM64543 GYH64539:GYI64543 HID64539:HIE64543 HRZ64539:HSA64543 IBV64539:IBW64543 ILR64539:ILS64543 IVN64539:IVO64543 JFJ64539:JFK64543 JPF64539:JPG64543 JZB64539:JZC64543 KIX64539:KIY64543 KST64539:KSU64543 LCP64539:LCQ64543 LML64539:LMM64543 LWH64539:LWI64543 MGD64539:MGE64543 MPZ64539:MQA64543 MZV64539:MZW64543 NJR64539:NJS64543 NTN64539:NTO64543 ODJ64539:ODK64543 ONF64539:ONG64543 OXB64539:OXC64543 PGX64539:PGY64543 PQT64539:PQU64543 QAP64539:QAQ64543 QKL64539:QKM64543 QUH64539:QUI64543 RED64539:REE64543 RNZ64539:ROA64543 RXV64539:RXW64543 SHR64539:SHS64543 SRN64539:SRO64543 TBJ64539:TBK64543 TLF64539:TLG64543 TVB64539:TVC64543 UEX64539:UEY64543 UOT64539:UOU64543 UYP64539:UYQ64543 VIL64539:VIM64543 VSH64539:VSI64543 WCD64539:WCE64543 WLZ64539:WMA64543 WVV64539:WVW64543 AMS195650:AMS195658 JJ130075:JK130079 TF130075:TG130079 ADB130075:ADC130079 AMX130075:AMY130079 AWT130075:AWU130079 BGP130075:BGQ130079 BQL130075:BQM130079 CAH130075:CAI130079 CKD130075:CKE130079 CTZ130075:CUA130079 DDV130075:DDW130079 DNR130075:DNS130079 DXN130075:DXO130079 EHJ130075:EHK130079 ERF130075:ERG130079 FBB130075:FBC130079 FKX130075:FKY130079 FUT130075:FUU130079 GEP130075:GEQ130079 GOL130075:GOM130079 GYH130075:GYI130079 HID130075:HIE130079 HRZ130075:HSA130079 IBV130075:IBW130079 ILR130075:ILS130079 IVN130075:IVO130079 JFJ130075:JFK130079 JPF130075:JPG130079 JZB130075:JZC130079 KIX130075:KIY130079 KST130075:KSU130079 LCP130075:LCQ130079 LML130075:LMM130079 LWH130075:LWI130079 MGD130075:MGE130079 MPZ130075:MQA130079 MZV130075:MZW130079 NJR130075:NJS130079 NTN130075:NTO130079 ODJ130075:ODK130079 ONF130075:ONG130079 OXB130075:OXC130079 PGX130075:PGY130079 PQT130075:PQU130079 QAP130075:QAQ130079 QKL130075:QKM130079 QUH130075:QUI130079 RED130075:REE130079 RNZ130075:ROA130079 RXV130075:RXW130079 SHR130075:SHS130079 SRN130075:SRO130079 TBJ130075:TBK130079 TLF130075:TLG130079 TVB130075:TVC130079 UEX130075:UEY130079 UOT130075:UOU130079 UYP130075:UYQ130079 VIL130075:VIM130079 VSH130075:VSI130079 WCD130075:WCE130079 WLZ130075:WMA130079 WVV130075:WVW130079 ACW195650:ACW195658 JJ195611:JK195615 TF195611:TG195615 ADB195611:ADC195615 AMX195611:AMY195615 AWT195611:AWU195615 BGP195611:BGQ195615 BQL195611:BQM195615 CAH195611:CAI195615 CKD195611:CKE195615 CTZ195611:CUA195615 DDV195611:DDW195615 DNR195611:DNS195615 DXN195611:DXO195615 EHJ195611:EHK195615 ERF195611:ERG195615 FBB195611:FBC195615 FKX195611:FKY195615 FUT195611:FUU195615 GEP195611:GEQ195615 GOL195611:GOM195615 GYH195611:GYI195615 HID195611:HIE195615 HRZ195611:HSA195615 IBV195611:IBW195615 ILR195611:ILS195615 IVN195611:IVO195615 JFJ195611:JFK195615 JPF195611:JPG195615 JZB195611:JZC195615 KIX195611:KIY195615 KST195611:KSU195615 LCP195611:LCQ195615 LML195611:LMM195615 LWH195611:LWI195615 MGD195611:MGE195615 MPZ195611:MQA195615 MZV195611:MZW195615 NJR195611:NJS195615 NTN195611:NTO195615 ODJ195611:ODK195615 ONF195611:ONG195615 OXB195611:OXC195615 PGX195611:PGY195615 PQT195611:PQU195615 QAP195611:QAQ195615 QKL195611:QKM195615 QUH195611:QUI195615 RED195611:REE195615 RNZ195611:ROA195615 RXV195611:RXW195615 SHR195611:SHS195615 SRN195611:SRO195615 TBJ195611:TBK195615 TLF195611:TLG195615 TVB195611:TVC195615 UEX195611:UEY195615 UOT195611:UOU195615 UYP195611:UYQ195615 VIL195611:VIM195615 VSH195611:VSI195615 WCD195611:WCE195615 WLZ195611:WMA195615 WVV195611:WVW195615 TA195650:TA195658 JJ261147:JK261151 TF261147:TG261151 ADB261147:ADC261151 AMX261147:AMY261151 AWT261147:AWU261151 BGP261147:BGQ261151 BQL261147:BQM261151 CAH261147:CAI261151 CKD261147:CKE261151 CTZ261147:CUA261151 DDV261147:DDW261151 DNR261147:DNS261151 DXN261147:DXO261151 EHJ261147:EHK261151 ERF261147:ERG261151 FBB261147:FBC261151 FKX261147:FKY261151 FUT261147:FUU261151 GEP261147:GEQ261151 GOL261147:GOM261151 GYH261147:GYI261151 HID261147:HIE261151 HRZ261147:HSA261151 IBV261147:IBW261151 ILR261147:ILS261151 IVN261147:IVO261151 JFJ261147:JFK261151 JPF261147:JPG261151 JZB261147:JZC261151 KIX261147:KIY261151 KST261147:KSU261151 LCP261147:LCQ261151 LML261147:LMM261151 LWH261147:LWI261151 MGD261147:MGE261151 MPZ261147:MQA261151 MZV261147:MZW261151 NJR261147:NJS261151 NTN261147:NTO261151 ODJ261147:ODK261151 ONF261147:ONG261151 OXB261147:OXC261151 PGX261147:PGY261151 PQT261147:PQU261151 QAP261147:QAQ261151 QKL261147:QKM261151 QUH261147:QUI261151 RED261147:REE261151 RNZ261147:ROA261151 RXV261147:RXW261151 SHR261147:SHS261151 SRN261147:SRO261151 TBJ261147:TBK261151 TLF261147:TLG261151 TVB261147:TVC261151 UEX261147:UEY261151 UOT261147:UOU261151 UYP261147:UYQ261151 VIL261147:VIM261151 VSH261147:VSI261151 WCD261147:WCE261151 WLZ261147:WMA261151 WVV261147:WVW261151 JE195650:JE195658 JJ326683:JK326687 TF326683:TG326687 ADB326683:ADC326687 AMX326683:AMY326687 AWT326683:AWU326687 BGP326683:BGQ326687 BQL326683:BQM326687 CAH326683:CAI326687 CKD326683:CKE326687 CTZ326683:CUA326687 DDV326683:DDW326687 DNR326683:DNS326687 DXN326683:DXO326687 EHJ326683:EHK326687 ERF326683:ERG326687 FBB326683:FBC326687 FKX326683:FKY326687 FUT326683:FUU326687 GEP326683:GEQ326687 GOL326683:GOM326687 GYH326683:GYI326687 HID326683:HIE326687 HRZ326683:HSA326687 IBV326683:IBW326687 ILR326683:ILS326687 IVN326683:IVO326687 JFJ326683:JFK326687 JPF326683:JPG326687 JZB326683:JZC326687 KIX326683:KIY326687 KST326683:KSU326687 LCP326683:LCQ326687 LML326683:LMM326687 LWH326683:LWI326687 MGD326683:MGE326687 MPZ326683:MQA326687 MZV326683:MZW326687 NJR326683:NJS326687 NTN326683:NTO326687 ODJ326683:ODK326687 ONF326683:ONG326687 OXB326683:OXC326687 PGX326683:PGY326687 PQT326683:PQU326687 QAP326683:QAQ326687 QKL326683:QKM326687 QUH326683:QUI326687 RED326683:REE326687 RNZ326683:ROA326687 RXV326683:RXW326687 SHR326683:SHS326687 SRN326683:SRO326687 TBJ326683:TBK326687 TLF326683:TLG326687 TVB326683:TVC326687 UEX326683:UEY326687 UOT326683:UOU326687 UYP326683:UYQ326687 VIL326683:VIM326687 VSH326683:VSI326687 WCD326683:WCE326687 WLZ326683:WMA326687 WVV326683:WVW326687 I195650:I195658 JJ392219:JK392223 TF392219:TG392223 ADB392219:ADC392223 AMX392219:AMY392223 AWT392219:AWU392223 BGP392219:BGQ392223 BQL392219:BQM392223 CAH392219:CAI392223 CKD392219:CKE392223 CTZ392219:CUA392223 DDV392219:DDW392223 DNR392219:DNS392223 DXN392219:DXO392223 EHJ392219:EHK392223 ERF392219:ERG392223 FBB392219:FBC392223 FKX392219:FKY392223 FUT392219:FUU392223 GEP392219:GEQ392223 GOL392219:GOM392223 GYH392219:GYI392223 HID392219:HIE392223 HRZ392219:HSA392223 IBV392219:IBW392223 ILR392219:ILS392223 IVN392219:IVO392223 JFJ392219:JFK392223 JPF392219:JPG392223 JZB392219:JZC392223 KIX392219:KIY392223 KST392219:KSU392223 LCP392219:LCQ392223 LML392219:LMM392223 LWH392219:LWI392223 MGD392219:MGE392223 MPZ392219:MQA392223 MZV392219:MZW392223 NJR392219:NJS392223 NTN392219:NTO392223 ODJ392219:ODK392223 ONF392219:ONG392223 OXB392219:OXC392223 PGX392219:PGY392223 PQT392219:PQU392223 QAP392219:QAQ392223 QKL392219:QKM392223 QUH392219:QUI392223 RED392219:REE392223 RNZ392219:ROA392223 RXV392219:RXW392223 SHR392219:SHS392223 SRN392219:SRO392223 TBJ392219:TBK392223 TLF392219:TLG392223 TVB392219:TVC392223 UEX392219:UEY392223 UOT392219:UOU392223 UYP392219:UYQ392223 VIL392219:VIM392223 VSH392219:VSI392223 WCD392219:WCE392223 WLZ392219:WMA392223 WVV392219:WVW392223 WVQ130114:WVQ130122 JJ457755:JK457759 TF457755:TG457759 ADB457755:ADC457759 AMX457755:AMY457759 AWT457755:AWU457759 BGP457755:BGQ457759 BQL457755:BQM457759 CAH457755:CAI457759 CKD457755:CKE457759 CTZ457755:CUA457759 DDV457755:DDW457759 DNR457755:DNS457759 DXN457755:DXO457759 EHJ457755:EHK457759 ERF457755:ERG457759 FBB457755:FBC457759 FKX457755:FKY457759 FUT457755:FUU457759 GEP457755:GEQ457759 GOL457755:GOM457759 GYH457755:GYI457759 HID457755:HIE457759 HRZ457755:HSA457759 IBV457755:IBW457759 ILR457755:ILS457759 IVN457755:IVO457759 JFJ457755:JFK457759 JPF457755:JPG457759 JZB457755:JZC457759 KIX457755:KIY457759 KST457755:KSU457759 LCP457755:LCQ457759 LML457755:LMM457759 LWH457755:LWI457759 MGD457755:MGE457759 MPZ457755:MQA457759 MZV457755:MZW457759 NJR457755:NJS457759 NTN457755:NTO457759 ODJ457755:ODK457759 ONF457755:ONG457759 OXB457755:OXC457759 PGX457755:PGY457759 PQT457755:PQU457759 QAP457755:QAQ457759 QKL457755:QKM457759 QUH457755:QUI457759 RED457755:REE457759 RNZ457755:ROA457759 RXV457755:RXW457759 SHR457755:SHS457759 SRN457755:SRO457759 TBJ457755:TBK457759 TLF457755:TLG457759 TVB457755:TVC457759 UEX457755:UEY457759 UOT457755:UOU457759 UYP457755:UYQ457759 VIL457755:VIM457759 VSH457755:VSI457759 WCD457755:WCE457759 WLZ457755:WMA457759 WVV457755:WVW457759 WLU130114:WLU130122 JJ523291:JK523295 TF523291:TG523295 ADB523291:ADC523295 AMX523291:AMY523295 AWT523291:AWU523295 BGP523291:BGQ523295 BQL523291:BQM523295 CAH523291:CAI523295 CKD523291:CKE523295 CTZ523291:CUA523295 DDV523291:DDW523295 DNR523291:DNS523295 DXN523291:DXO523295 EHJ523291:EHK523295 ERF523291:ERG523295 FBB523291:FBC523295 FKX523291:FKY523295 FUT523291:FUU523295 GEP523291:GEQ523295 GOL523291:GOM523295 GYH523291:GYI523295 HID523291:HIE523295 HRZ523291:HSA523295 IBV523291:IBW523295 ILR523291:ILS523295 IVN523291:IVO523295 JFJ523291:JFK523295 JPF523291:JPG523295 JZB523291:JZC523295 KIX523291:KIY523295 KST523291:KSU523295 LCP523291:LCQ523295 LML523291:LMM523295 LWH523291:LWI523295 MGD523291:MGE523295 MPZ523291:MQA523295 MZV523291:MZW523295 NJR523291:NJS523295 NTN523291:NTO523295 ODJ523291:ODK523295 ONF523291:ONG523295 OXB523291:OXC523295 PGX523291:PGY523295 PQT523291:PQU523295 QAP523291:QAQ523295 QKL523291:QKM523295 QUH523291:QUI523295 RED523291:REE523295 RNZ523291:ROA523295 RXV523291:RXW523295 SHR523291:SHS523295 SRN523291:SRO523295 TBJ523291:TBK523295 TLF523291:TLG523295 TVB523291:TVC523295 UEX523291:UEY523295 UOT523291:UOU523295 UYP523291:UYQ523295 VIL523291:VIM523295 VSH523291:VSI523295 WCD523291:WCE523295 WLZ523291:WMA523295 WVV523291:WVW523295 WBY130114:WBY130122 JJ588827:JK588831 TF588827:TG588831 ADB588827:ADC588831 AMX588827:AMY588831 AWT588827:AWU588831 BGP588827:BGQ588831 BQL588827:BQM588831 CAH588827:CAI588831 CKD588827:CKE588831 CTZ588827:CUA588831 DDV588827:DDW588831 DNR588827:DNS588831 DXN588827:DXO588831 EHJ588827:EHK588831 ERF588827:ERG588831 FBB588827:FBC588831 FKX588827:FKY588831 FUT588827:FUU588831 GEP588827:GEQ588831 GOL588827:GOM588831 GYH588827:GYI588831 HID588827:HIE588831 HRZ588827:HSA588831 IBV588827:IBW588831 ILR588827:ILS588831 IVN588827:IVO588831 JFJ588827:JFK588831 JPF588827:JPG588831 JZB588827:JZC588831 KIX588827:KIY588831 KST588827:KSU588831 LCP588827:LCQ588831 LML588827:LMM588831 LWH588827:LWI588831 MGD588827:MGE588831 MPZ588827:MQA588831 MZV588827:MZW588831 NJR588827:NJS588831 NTN588827:NTO588831 ODJ588827:ODK588831 ONF588827:ONG588831 OXB588827:OXC588831 PGX588827:PGY588831 PQT588827:PQU588831 QAP588827:QAQ588831 QKL588827:QKM588831 QUH588827:QUI588831 RED588827:REE588831 RNZ588827:ROA588831 RXV588827:RXW588831 SHR588827:SHS588831 SRN588827:SRO588831 TBJ588827:TBK588831 TLF588827:TLG588831 TVB588827:TVC588831 UEX588827:UEY588831 UOT588827:UOU588831 UYP588827:UYQ588831 VIL588827:VIM588831 VSH588827:VSI588831 WCD588827:WCE588831 WLZ588827:WMA588831 WVV588827:WVW588831 VSC130114:VSC130122 JJ654363:JK654367 TF654363:TG654367 ADB654363:ADC654367 AMX654363:AMY654367 AWT654363:AWU654367 BGP654363:BGQ654367 BQL654363:BQM654367 CAH654363:CAI654367 CKD654363:CKE654367 CTZ654363:CUA654367 DDV654363:DDW654367 DNR654363:DNS654367 DXN654363:DXO654367 EHJ654363:EHK654367 ERF654363:ERG654367 FBB654363:FBC654367 FKX654363:FKY654367 FUT654363:FUU654367 GEP654363:GEQ654367 GOL654363:GOM654367 GYH654363:GYI654367 HID654363:HIE654367 HRZ654363:HSA654367 IBV654363:IBW654367 ILR654363:ILS654367 IVN654363:IVO654367 JFJ654363:JFK654367 JPF654363:JPG654367 JZB654363:JZC654367 KIX654363:KIY654367 KST654363:KSU654367 LCP654363:LCQ654367 LML654363:LMM654367 LWH654363:LWI654367 MGD654363:MGE654367 MPZ654363:MQA654367 MZV654363:MZW654367 NJR654363:NJS654367 NTN654363:NTO654367 ODJ654363:ODK654367 ONF654363:ONG654367 OXB654363:OXC654367 PGX654363:PGY654367 PQT654363:PQU654367 QAP654363:QAQ654367 QKL654363:QKM654367 QUH654363:QUI654367 RED654363:REE654367 RNZ654363:ROA654367 RXV654363:RXW654367 SHR654363:SHS654367 SRN654363:SRO654367 TBJ654363:TBK654367 TLF654363:TLG654367 TVB654363:TVC654367 UEX654363:UEY654367 UOT654363:UOU654367 UYP654363:UYQ654367 VIL654363:VIM654367 VSH654363:VSI654367 WCD654363:WCE654367 WLZ654363:WMA654367 WVV654363:WVW654367 VIG130114:VIG130122 JJ719899:JK719903 TF719899:TG719903 ADB719899:ADC719903 AMX719899:AMY719903 AWT719899:AWU719903 BGP719899:BGQ719903 BQL719899:BQM719903 CAH719899:CAI719903 CKD719899:CKE719903 CTZ719899:CUA719903 DDV719899:DDW719903 DNR719899:DNS719903 DXN719899:DXO719903 EHJ719899:EHK719903 ERF719899:ERG719903 FBB719899:FBC719903 FKX719899:FKY719903 FUT719899:FUU719903 GEP719899:GEQ719903 GOL719899:GOM719903 GYH719899:GYI719903 HID719899:HIE719903 HRZ719899:HSA719903 IBV719899:IBW719903 ILR719899:ILS719903 IVN719899:IVO719903 JFJ719899:JFK719903 JPF719899:JPG719903 JZB719899:JZC719903 KIX719899:KIY719903 KST719899:KSU719903 LCP719899:LCQ719903 LML719899:LMM719903 LWH719899:LWI719903 MGD719899:MGE719903 MPZ719899:MQA719903 MZV719899:MZW719903 NJR719899:NJS719903 NTN719899:NTO719903 ODJ719899:ODK719903 ONF719899:ONG719903 OXB719899:OXC719903 PGX719899:PGY719903 PQT719899:PQU719903 QAP719899:QAQ719903 QKL719899:QKM719903 QUH719899:QUI719903 RED719899:REE719903 RNZ719899:ROA719903 RXV719899:RXW719903 SHR719899:SHS719903 SRN719899:SRO719903 TBJ719899:TBK719903 TLF719899:TLG719903 TVB719899:TVC719903 UEX719899:UEY719903 UOT719899:UOU719903 UYP719899:UYQ719903 VIL719899:VIM719903 VSH719899:VSI719903 WCD719899:WCE719903 WLZ719899:WMA719903 WVV719899:WVW719903 UYK130114:UYK130122 JJ785435:JK785439 TF785435:TG785439 ADB785435:ADC785439 AMX785435:AMY785439 AWT785435:AWU785439 BGP785435:BGQ785439 BQL785435:BQM785439 CAH785435:CAI785439 CKD785435:CKE785439 CTZ785435:CUA785439 DDV785435:DDW785439 DNR785435:DNS785439 DXN785435:DXO785439 EHJ785435:EHK785439 ERF785435:ERG785439 FBB785435:FBC785439 FKX785435:FKY785439 FUT785435:FUU785439 GEP785435:GEQ785439 GOL785435:GOM785439 GYH785435:GYI785439 HID785435:HIE785439 HRZ785435:HSA785439 IBV785435:IBW785439 ILR785435:ILS785439 IVN785435:IVO785439 JFJ785435:JFK785439 JPF785435:JPG785439 JZB785435:JZC785439 KIX785435:KIY785439 KST785435:KSU785439 LCP785435:LCQ785439 LML785435:LMM785439 LWH785435:LWI785439 MGD785435:MGE785439 MPZ785435:MQA785439 MZV785435:MZW785439 NJR785435:NJS785439 NTN785435:NTO785439 ODJ785435:ODK785439 ONF785435:ONG785439 OXB785435:OXC785439 PGX785435:PGY785439 PQT785435:PQU785439 QAP785435:QAQ785439 QKL785435:QKM785439 QUH785435:QUI785439 RED785435:REE785439 RNZ785435:ROA785439 RXV785435:RXW785439 SHR785435:SHS785439 SRN785435:SRO785439 TBJ785435:TBK785439 TLF785435:TLG785439 TVB785435:TVC785439 UEX785435:UEY785439 UOT785435:UOU785439 UYP785435:UYQ785439 VIL785435:VIM785439 VSH785435:VSI785439 WCD785435:WCE785439 WLZ785435:WMA785439 WVV785435:WVW785439 UOO130114:UOO130122 JJ850971:JK850975 TF850971:TG850975 ADB850971:ADC850975 AMX850971:AMY850975 AWT850971:AWU850975 BGP850971:BGQ850975 BQL850971:BQM850975 CAH850971:CAI850975 CKD850971:CKE850975 CTZ850971:CUA850975 DDV850971:DDW850975 DNR850971:DNS850975 DXN850971:DXO850975 EHJ850971:EHK850975 ERF850971:ERG850975 FBB850971:FBC850975 FKX850971:FKY850975 FUT850971:FUU850975 GEP850971:GEQ850975 GOL850971:GOM850975 GYH850971:GYI850975 HID850971:HIE850975 HRZ850971:HSA850975 IBV850971:IBW850975 ILR850971:ILS850975 IVN850971:IVO850975 JFJ850971:JFK850975 JPF850971:JPG850975 JZB850971:JZC850975 KIX850971:KIY850975 KST850971:KSU850975 LCP850971:LCQ850975 LML850971:LMM850975 LWH850971:LWI850975 MGD850971:MGE850975 MPZ850971:MQA850975 MZV850971:MZW850975 NJR850971:NJS850975 NTN850971:NTO850975 ODJ850971:ODK850975 ONF850971:ONG850975 OXB850971:OXC850975 PGX850971:PGY850975 PQT850971:PQU850975 QAP850971:QAQ850975 QKL850971:QKM850975 QUH850971:QUI850975 RED850971:REE850975 RNZ850971:ROA850975 RXV850971:RXW850975 SHR850971:SHS850975 SRN850971:SRO850975 TBJ850971:TBK850975 TLF850971:TLG850975 TVB850971:TVC850975 UEX850971:UEY850975 UOT850971:UOU850975 UYP850971:UYQ850975 VIL850971:VIM850975 VSH850971:VSI850975 WCD850971:WCE850975 WLZ850971:WMA850975 WVV850971:WVW850975 UES130114:UES130122 JJ916507:JK916511 TF916507:TG916511 ADB916507:ADC916511 AMX916507:AMY916511 AWT916507:AWU916511 BGP916507:BGQ916511 BQL916507:BQM916511 CAH916507:CAI916511 CKD916507:CKE916511 CTZ916507:CUA916511 DDV916507:DDW916511 DNR916507:DNS916511 DXN916507:DXO916511 EHJ916507:EHK916511 ERF916507:ERG916511 FBB916507:FBC916511 FKX916507:FKY916511 FUT916507:FUU916511 GEP916507:GEQ916511 GOL916507:GOM916511 GYH916507:GYI916511 HID916507:HIE916511 HRZ916507:HSA916511 IBV916507:IBW916511 ILR916507:ILS916511 IVN916507:IVO916511 JFJ916507:JFK916511 JPF916507:JPG916511 JZB916507:JZC916511 KIX916507:KIY916511 KST916507:KSU916511 LCP916507:LCQ916511 LML916507:LMM916511 LWH916507:LWI916511 MGD916507:MGE916511 MPZ916507:MQA916511 MZV916507:MZW916511 NJR916507:NJS916511 NTN916507:NTO916511 ODJ916507:ODK916511 ONF916507:ONG916511 OXB916507:OXC916511 PGX916507:PGY916511 PQT916507:PQU916511 QAP916507:QAQ916511 QKL916507:QKM916511 QUH916507:QUI916511 RED916507:REE916511 RNZ916507:ROA916511 RXV916507:RXW916511 SHR916507:SHS916511 SRN916507:SRO916511 TBJ916507:TBK916511 TLF916507:TLG916511 TVB916507:TVC916511 UEX916507:UEY916511 UOT916507:UOU916511 UYP916507:UYQ916511 VIL916507:VIM916511 VSH916507:VSI916511 WCD916507:WCE916511 WLZ916507:WMA916511 WVV916507:WVW916511 M64559:M64573 JJ982043:JK982047 TF982043:TG982047 ADB982043:ADC982047 AMX982043:AMY982047 AWT982043:AWU982047 BGP982043:BGQ982047 BQL982043:BQM982047 CAH982043:CAI982047 CKD982043:CKE982047 CTZ982043:CUA982047 DDV982043:DDW982047 DNR982043:DNS982047 DXN982043:DXO982047 EHJ982043:EHK982047 ERF982043:ERG982047 FBB982043:FBC982047 FKX982043:FKY982047 FUT982043:FUU982047 GEP982043:GEQ982047 GOL982043:GOM982047 GYH982043:GYI982047 HID982043:HIE982047 HRZ982043:HSA982047 IBV982043:IBW982047 ILR982043:ILS982047 IVN982043:IVO982047 JFJ982043:JFK982047 JPF982043:JPG982047 JZB982043:JZC982047 KIX982043:KIY982047 KST982043:KSU982047 LCP982043:LCQ982047 LML982043:LMM982047 LWH982043:LWI982047 MGD982043:MGE982047 MPZ982043:MQA982047 MZV982043:MZW982047 NJR982043:NJS982047 NTN982043:NTO982047 ODJ982043:ODK982047 ONF982043:ONG982047 OXB982043:OXC982047 PGX982043:PGY982047 PQT982043:PQU982047 QAP982043:QAQ982047 QKL982043:QKM982047 QUH982043:QUI982047 RED982043:REE982047 RNZ982043:ROA982047 RXV982043:RXW982047 SHR982043:SHS982047 SRN982043:SRO982047 TBJ982043:TBK982047 TLF982043:TLG982047 TVB982043:TVC982047 UEX982043:UEY982047 UOT982043:UOU982047 UYP982043:UYQ982047 VIL982043:VIM982047 VSH982043:VSI982047 WCD982043:WCE982047 WLZ982043:WMA982047 WVV982043:WVW982047 WVU982082:WVV982090 M130095:M130109 JI64559:JJ64573 TE64559:TF64573 ADA64559:ADB64573 AMW64559:AMX64573 AWS64559:AWT64573 BGO64559:BGP64573 BQK64559:BQL64573 CAG64559:CAH64573 CKC64559:CKD64573 CTY64559:CTZ64573 DDU64559:DDV64573 DNQ64559:DNR64573 DXM64559:DXN64573 EHI64559:EHJ64573 ERE64559:ERF64573 FBA64559:FBB64573 FKW64559:FKX64573 FUS64559:FUT64573 GEO64559:GEP64573 GOK64559:GOL64573 GYG64559:GYH64573 HIC64559:HID64573 HRY64559:HRZ64573 IBU64559:IBV64573 ILQ64559:ILR64573 IVM64559:IVN64573 JFI64559:JFJ64573 JPE64559:JPF64573 JZA64559:JZB64573 KIW64559:KIX64573 KSS64559:KST64573 LCO64559:LCP64573 LMK64559:LML64573 LWG64559:LWH64573 MGC64559:MGD64573 MPY64559:MPZ64573 MZU64559:MZV64573 NJQ64559:NJR64573 NTM64559:NTN64573 ODI64559:ODJ64573 ONE64559:ONF64573 OXA64559:OXB64573 PGW64559:PGX64573 PQS64559:PQT64573 QAO64559:QAP64573 QKK64559:QKL64573 QUG64559:QUH64573 REC64559:RED64573 RNY64559:RNZ64573 RXU64559:RXV64573 SHQ64559:SHR64573 SRM64559:SRN64573 TBI64559:TBJ64573 TLE64559:TLF64573 TVA64559:TVB64573 UEW64559:UEX64573 UOS64559:UOT64573 UYO64559:UYP64573 VIK64559:VIL64573 VSG64559:VSH64573 WCC64559:WCD64573 WLY64559:WLZ64573 WVU64559:WVV64573 M195631:M195645 JI130095:JJ130109 TE130095:TF130109 ADA130095:ADB130109 AMW130095:AMX130109 AWS130095:AWT130109 BGO130095:BGP130109 BQK130095:BQL130109 CAG130095:CAH130109 CKC130095:CKD130109 CTY130095:CTZ130109 DDU130095:DDV130109 DNQ130095:DNR130109 DXM130095:DXN130109 EHI130095:EHJ130109 ERE130095:ERF130109 FBA130095:FBB130109 FKW130095:FKX130109 FUS130095:FUT130109 GEO130095:GEP130109 GOK130095:GOL130109 GYG130095:GYH130109 HIC130095:HID130109 HRY130095:HRZ130109 IBU130095:IBV130109 ILQ130095:ILR130109 IVM130095:IVN130109 JFI130095:JFJ130109 JPE130095:JPF130109 JZA130095:JZB130109 KIW130095:KIX130109 KSS130095:KST130109 LCO130095:LCP130109 LMK130095:LML130109 LWG130095:LWH130109 MGC130095:MGD130109 MPY130095:MPZ130109 MZU130095:MZV130109 NJQ130095:NJR130109 NTM130095:NTN130109 ODI130095:ODJ130109 ONE130095:ONF130109 OXA130095:OXB130109 PGW130095:PGX130109 PQS130095:PQT130109 QAO130095:QAP130109 QKK130095:QKL130109 QUG130095:QUH130109 REC130095:RED130109 RNY130095:RNZ130109 RXU130095:RXV130109 SHQ130095:SHR130109 SRM130095:SRN130109 TBI130095:TBJ130109 TLE130095:TLF130109 TVA130095:TVB130109 UEW130095:UEX130109 UOS130095:UOT130109 UYO130095:UYP130109 VIK130095:VIL130109 VSG130095:VSH130109 WCC130095:WCD130109 WLY130095:WLZ130109 WVU130095:WVV130109 M261167:M261181 JI195631:JJ195645 TE195631:TF195645 ADA195631:ADB195645 AMW195631:AMX195645 AWS195631:AWT195645 BGO195631:BGP195645 BQK195631:BQL195645 CAG195631:CAH195645 CKC195631:CKD195645 CTY195631:CTZ195645 DDU195631:DDV195645 DNQ195631:DNR195645 DXM195631:DXN195645 EHI195631:EHJ195645 ERE195631:ERF195645 FBA195631:FBB195645 FKW195631:FKX195645 FUS195631:FUT195645 GEO195631:GEP195645 GOK195631:GOL195645 GYG195631:GYH195645 HIC195631:HID195645 HRY195631:HRZ195645 IBU195631:IBV195645 ILQ195631:ILR195645 IVM195631:IVN195645 JFI195631:JFJ195645 JPE195631:JPF195645 JZA195631:JZB195645 KIW195631:KIX195645 KSS195631:KST195645 LCO195631:LCP195645 LMK195631:LML195645 LWG195631:LWH195645 MGC195631:MGD195645 MPY195631:MPZ195645 MZU195631:MZV195645 NJQ195631:NJR195645 NTM195631:NTN195645 ODI195631:ODJ195645 ONE195631:ONF195645 OXA195631:OXB195645 PGW195631:PGX195645 PQS195631:PQT195645 QAO195631:QAP195645 QKK195631:QKL195645 QUG195631:QUH195645 REC195631:RED195645 RNY195631:RNZ195645 RXU195631:RXV195645 SHQ195631:SHR195645 SRM195631:SRN195645 TBI195631:TBJ195645 TLE195631:TLF195645 TVA195631:TVB195645 UEW195631:UEX195645 UOS195631:UOT195645 UYO195631:UYP195645 VIK195631:VIL195645 VSG195631:VSH195645 WCC195631:WCD195645 WLY195631:WLZ195645 WVU195631:WVV195645 M326703:M326717 JI261167:JJ261181 TE261167:TF261181 ADA261167:ADB261181 AMW261167:AMX261181 AWS261167:AWT261181 BGO261167:BGP261181 BQK261167:BQL261181 CAG261167:CAH261181 CKC261167:CKD261181 CTY261167:CTZ261181 DDU261167:DDV261181 DNQ261167:DNR261181 DXM261167:DXN261181 EHI261167:EHJ261181 ERE261167:ERF261181 FBA261167:FBB261181 FKW261167:FKX261181 FUS261167:FUT261181 GEO261167:GEP261181 GOK261167:GOL261181 GYG261167:GYH261181 HIC261167:HID261181 HRY261167:HRZ261181 IBU261167:IBV261181 ILQ261167:ILR261181 IVM261167:IVN261181 JFI261167:JFJ261181 JPE261167:JPF261181 JZA261167:JZB261181 KIW261167:KIX261181 KSS261167:KST261181 LCO261167:LCP261181 LMK261167:LML261181 LWG261167:LWH261181 MGC261167:MGD261181 MPY261167:MPZ261181 MZU261167:MZV261181 NJQ261167:NJR261181 NTM261167:NTN261181 ODI261167:ODJ261181 ONE261167:ONF261181 OXA261167:OXB261181 PGW261167:PGX261181 PQS261167:PQT261181 QAO261167:QAP261181 QKK261167:QKL261181 QUG261167:QUH261181 REC261167:RED261181 RNY261167:RNZ261181 RXU261167:RXV261181 SHQ261167:SHR261181 SRM261167:SRN261181 TBI261167:TBJ261181 TLE261167:TLF261181 TVA261167:TVB261181 UEW261167:UEX261181 UOS261167:UOT261181 UYO261167:UYP261181 VIK261167:VIL261181 VSG261167:VSH261181 WCC261167:WCD261181 WLY261167:WLZ261181 WVU261167:WVV261181 M392239:M392253 JI326703:JJ326717 TE326703:TF326717 ADA326703:ADB326717 AMW326703:AMX326717 AWS326703:AWT326717 BGO326703:BGP326717 BQK326703:BQL326717 CAG326703:CAH326717 CKC326703:CKD326717 CTY326703:CTZ326717 DDU326703:DDV326717 DNQ326703:DNR326717 DXM326703:DXN326717 EHI326703:EHJ326717 ERE326703:ERF326717 FBA326703:FBB326717 FKW326703:FKX326717 FUS326703:FUT326717 GEO326703:GEP326717 GOK326703:GOL326717 GYG326703:GYH326717 HIC326703:HID326717 HRY326703:HRZ326717 IBU326703:IBV326717 ILQ326703:ILR326717 IVM326703:IVN326717 JFI326703:JFJ326717 JPE326703:JPF326717 JZA326703:JZB326717 KIW326703:KIX326717 KSS326703:KST326717 LCO326703:LCP326717 LMK326703:LML326717 LWG326703:LWH326717 MGC326703:MGD326717 MPY326703:MPZ326717 MZU326703:MZV326717 NJQ326703:NJR326717 NTM326703:NTN326717 ODI326703:ODJ326717 ONE326703:ONF326717 OXA326703:OXB326717 PGW326703:PGX326717 PQS326703:PQT326717 QAO326703:QAP326717 QKK326703:QKL326717 QUG326703:QUH326717 REC326703:RED326717 RNY326703:RNZ326717 RXU326703:RXV326717 SHQ326703:SHR326717 SRM326703:SRN326717 TBI326703:TBJ326717 TLE326703:TLF326717 TVA326703:TVB326717 UEW326703:UEX326717 UOS326703:UOT326717 UYO326703:UYP326717 VIK326703:VIL326717 VSG326703:VSH326717 WCC326703:WCD326717 WLY326703:WLZ326717 WVU326703:WVV326717 M457775:M457789 JI392239:JJ392253 TE392239:TF392253 ADA392239:ADB392253 AMW392239:AMX392253 AWS392239:AWT392253 BGO392239:BGP392253 BQK392239:BQL392253 CAG392239:CAH392253 CKC392239:CKD392253 CTY392239:CTZ392253 DDU392239:DDV392253 DNQ392239:DNR392253 DXM392239:DXN392253 EHI392239:EHJ392253 ERE392239:ERF392253 FBA392239:FBB392253 FKW392239:FKX392253 FUS392239:FUT392253 GEO392239:GEP392253 GOK392239:GOL392253 GYG392239:GYH392253 HIC392239:HID392253 HRY392239:HRZ392253 IBU392239:IBV392253 ILQ392239:ILR392253 IVM392239:IVN392253 JFI392239:JFJ392253 JPE392239:JPF392253 JZA392239:JZB392253 KIW392239:KIX392253 KSS392239:KST392253 LCO392239:LCP392253 LMK392239:LML392253 LWG392239:LWH392253 MGC392239:MGD392253 MPY392239:MPZ392253 MZU392239:MZV392253 NJQ392239:NJR392253 NTM392239:NTN392253 ODI392239:ODJ392253 ONE392239:ONF392253 OXA392239:OXB392253 PGW392239:PGX392253 PQS392239:PQT392253 QAO392239:QAP392253 QKK392239:QKL392253 QUG392239:QUH392253 REC392239:RED392253 RNY392239:RNZ392253 RXU392239:RXV392253 SHQ392239:SHR392253 SRM392239:SRN392253 TBI392239:TBJ392253 TLE392239:TLF392253 TVA392239:TVB392253 UEW392239:UEX392253 UOS392239:UOT392253 UYO392239:UYP392253 VIK392239:VIL392253 VSG392239:VSH392253 WCC392239:WCD392253 WLY392239:WLZ392253 WVU392239:WVV392253 M523311:M523325 JI457775:JJ457789 TE457775:TF457789 ADA457775:ADB457789 AMW457775:AMX457789 AWS457775:AWT457789 BGO457775:BGP457789 BQK457775:BQL457789 CAG457775:CAH457789 CKC457775:CKD457789 CTY457775:CTZ457789 DDU457775:DDV457789 DNQ457775:DNR457789 DXM457775:DXN457789 EHI457775:EHJ457789 ERE457775:ERF457789 FBA457775:FBB457789 FKW457775:FKX457789 FUS457775:FUT457789 GEO457775:GEP457789 GOK457775:GOL457789 GYG457775:GYH457789 HIC457775:HID457789 HRY457775:HRZ457789 IBU457775:IBV457789 ILQ457775:ILR457789 IVM457775:IVN457789 JFI457775:JFJ457789 JPE457775:JPF457789 JZA457775:JZB457789 KIW457775:KIX457789 KSS457775:KST457789 LCO457775:LCP457789 LMK457775:LML457789 LWG457775:LWH457789 MGC457775:MGD457789 MPY457775:MPZ457789 MZU457775:MZV457789 NJQ457775:NJR457789 NTM457775:NTN457789 ODI457775:ODJ457789 ONE457775:ONF457789 OXA457775:OXB457789 PGW457775:PGX457789 PQS457775:PQT457789 QAO457775:QAP457789 QKK457775:QKL457789 QUG457775:QUH457789 REC457775:RED457789 RNY457775:RNZ457789 RXU457775:RXV457789 SHQ457775:SHR457789 SRM457775:SRN457789 TBI457775:TBJ457789 TLE457775:TLF457789 TVA457775:TVB457789 UEW457775:UEX457789 UOS457775:UOT457789 UYO457775:UYP457789 VIK457775:VIL457789 VSG457775:VSH457789 WCC457775:WCD457789 WLY457775:WLZ457789 WVU457775:WVV457789 M588847:M588861 JI523311:JJ523325 TE523311:TF523325 ADA523311:ADB523325 AMW523311:AMX523325 AWS523311:AWT523325 BGO523311:BGP523325 BQK523311:BQL523325 CAG523311:CAH523325 CKC523311:CKD523325 CTY523311:CTZ523325 DDU523311:DDV523325 DNQ523311:DNR523325 DXM523311:DXN523325 EHI523311:EHJ523325 ERE523311:ERF523325 FBA523311:FBB523325 FKW523311:FKX523325 FUS523311:FUT523325 GEO523311:GEP523325 GOK523311:GOL523325 GYG523311:GYH523325 HIC523311:HID523325 HRY523311:HRZ523325 IBU523311:IBV523325 ILQ523311:ILR523325 IVM523311:IVN523325 JFI523311:JFJ523325 JPE523311:JPF523325 JZA523311:JZB523325 KIW523311:KIX523325 KSS523311:KST523325 LCO523311:LCP523325 LMK523311:LML523325 LWG523311:LWH523325 MGC523311:MGD523325 MPY523311:MPZ523325 MZU523311:MZV523325 NJQ523311:NJR523325 NTM523311:NTN523325 ODI523311:ODJ523325 ONE523311:ONF523325 OXA523311:OXB523325 PGW523311:PGX523325 PQS523311:PQT523325 QAO523311:QAP523325 QKK523311:QKL523325 QUG523311:QUH523325 REC523311:RED523325 RNY523311:RNZ523325 RXU523311:RXV523325 SHQ523311:SHR523325 SRM523311:SRN523325 TBI523311:TBJ523325 TLE523311:TLF523325 TVA523311:TVB523325 UEW523311:UEX523325 UOS523311:UOT523325 UYO523311:UYP523325 VIK523311:VIL523325 VSG523311:VSH523325 WCC523311:WCD523325 WLY523311:WLZ523325 WVU523311:WVV523325 M654383:M654397 JI588847:JJ588861 TE588847:TF588861 ADA588847:ADB588861 AMW588847:AMX588861 AWS588847:AWT588861 BGO588847:BGP588861 BQK588847:BQL588861 CAG588847:CAH588861 CKC588847:CKD588861 CTY588847:CTZ588861 DDU588847:DDV588861 DNQ588847:DNR588861 DXM588847:DXN588861 EHI588847:EHJ588861 ERE588847:ERF588861 FBA588847:FBB588861 FKW588847:FKX588861 FUS588847:FUT588861 GEO588847:GEP588861 GOK588847:GOL588861 GYG588847:GYH588861 HIC588847:HID588861 HRY588847:HRZ588861 IBU588847:IBV588861 ILQ588847:ILR588861 IVM588847:IVN588861 JFI588847:JFJ588861 JPE588847:JPF588861 JZA588847:JZB588861 KIW588847:KIX588861 KSS588847:KST588861 LCO588847:LCP588861 LMK588847:LML588861 LWG588847:LWH588861 MGC588847:MGD588861 MPY588847:MPZ588861 MZU588847:MZV588861 NJQ588847:NJR588861 NTM588847:NTN588861 ODI588847:ODJ588861 ONE588847:ONF588861 OXA588847:OXB588861 PGW588847:PGX588861 PQS588847:PQT588861 QAO588847:QAP588861 QKK588847:QKL588861 QUG588847:QUH588861 REC588847:RED588861 RNY588847:RNZ588861 RXU588847:RXV588861 SHQ588847:SHR588861 SRM588847:SRN588861 TBI588847:TBJ588861 TLE588847:TLF588861 TVA588847:TVB588861 UEW588847:UEX588861 UOS588847:UOT588861 UYO588847:UYP588861 VIK588847:VIL588861 VSG588847:VSH588861 WCC588847:WCD588861 WLY588847:WLZ588861 WVU588847:WVV588861 M719919:M719933 JI654383:JJ654397 TE654383:TF654397 ADA654383:ADB654397 AMW654383:AMX654397 AWS654383:AWT654397 BGO654383:BGP654397 BQK654383:BQL654397 CAG654383:CAH654397 CKC654383:CKD654397 CTY654383:CTZ654397 DDU654383:DDV654397 DNQ654383:DNR654397 DXM654383:DXN654397 EHI654383:EHJ654397 ERE654383:ERF654397 FBA654383:FBB654397 FKW654383:FKX654397 FUS654383:FUT654397 GEO654383:GEP654397 GOK654383:GOL654397 GYG654383:GYH654397 HIC654383:HID654397 HRY654383:HRZ654397 IBU654383:IBV654397 ILQ654383:ILR654397 IVM654383:IVN654397 JFI654383:JFJ654397 JPE654383:JPF654397 JZA654383:JZB654397 KIW654383:KIX654397 KSS654383:KST654397 LCO654383:LCP654397 LMK654383:LML654397 LWG654383:LWH654397 MGC654383:MGD654397 MPY654383:MPZ654397 MZU654383:MZV654397 NJQ654383:NJR654397 NTM654383:NTN654397 ODI654383:ODJ654397 ONE654383:ONF654397 OXA654383:OXB654397 PGW654383:PGX654397 PQS654383:PQT654397 QAO654383:QAP654397 QKK654383:QKL654397 QUG654383:QUH654397 REC654383:RED654397 RNY654383:RNZ654397 RXU654383:RXV654397 SHQ654383:SHR654397 SRM654383:SRN654397 TBI654383:TBJ654397 TLE654383:TLF654397 TVA654383:TVB654397 UEW654383:UEX654397 UOS654383:UOT654397 UYO654383:UYP654397 VIK654383:VIL654397 VSG654383:VSH654397 WCC654383:WCD654397 WLY654383:WLZ654397 WVU654383:WVV654397 M785455:M785469 JI719919:JJ719933 TE719919:TF719933 ADA719919:ADB719933 AMW719919:AMX719933 AWS719919:AWT719933 BGO719919:BGP719933 BQK719919:BQL719933 CAG719919:CAH719933 CKC719919:CKD719933 CTY719919:CTZ719933 DDU719919:DDV719933 DNQ719919:DNR719933 DXM719919:DXN719933 EHI719919:EHJ719933 ERE719919:ERF719933 FBA719919:FBB719933 FKW719919:FKX719933 FUS719919:FUT719933 GEO719919:GEP719933 GOK719919:GOL719933 GYG719919:GYH719933 HIC719919:HID719933 HRY719919:HRZ719933 IBU719919:IBV719933 ILQ719919:ILR719933 IVM719919:IVN719933 JFI719919:JFJ719933 JPE719919:JPF719933 JZA719919:JZB719933 KIW719919:KIX719933 KSS719919:KST719933 LCO719919:LCP719933 LMK719919:LML719933 LWG719919:LWH719933 MGC719919:MGD719933 MPY719919:MPZ719933 MZU719919:MZV719933 NJQ719919:NJR719933 NTM719919:NTN719933 ODI719919:ODJ719933 ONE719919:ONF719933 OXA719919:OXB719933 PGW719919:PGX719933 PQS719919:PQT719933 QAO719919:QAP719933 QKK719919:QKL719933 QUG719919:QUH719933 REC719919:RED719933 RNY719919:RNZ719933 RXU719919:RXV719933 SHQ719919:SHR719933 SRM719919:SRN719933 TBI719919:TBJ719933 TLE719919:TLF719933 TVA719919:TVB719933 UEW719919:UEX719933 UOS719919:UOT719933 UYO719919:UYP719933 VIK719919:VIL719933 VSG719919:VSH719933 WCC719919:WCD719933 WLY719919:WLZ719933 WVU719919:WVV719933 M850991:M851005 JI785455:JJ785469 TE785455:TF785469 ADA785455:ADB785469 AMW785455:AMX785469 AWS785455:AWT785469 BGO785455:BGP785469 BQK785455:BQL785469 CAG785455:CAH785469 CKC785455:CKD785469 CTY785455:CTZ785469 DDU785455:DDV785469 DNQ785455:DNR785469 DXM785455:DXN785469 EHI785455:EHJ785469 ERE785455:ERF785469 FBA785455:FBB785469 FKW785455:FKX785469 FUS785455:FUT785469 GEO785455:GEP785469 GOK785455:GOL785469 GYG785455:GYH785469 HIC785455:HID785469 HRY785455:HRZ785469 IBU785455:IBV785469 ILQ785455:ILR785469 IVM785455:IVN785469 JFI785455:JFJ785469 JPE785455:JPF785469 JZA785455:JZB785469 KIW785455:KIX785469 KSS785455:KST785469 LCO785455:LCP785469 LMK785455:LML785469 LWG785455:LWH785469 MGC785455:MGD785469 MPY785455:MPZ785469 MZU785455:MZV785469 NJQ785455:NJR785469 NTM785455:NTN785469 ODI785455:ODJ785469 ONE785455:ONF785469 OXA785455:OXB785469 PGW785455:PGX785469 PQS785455:PQT785469 QAO785455:QAP785469 QKK785455:QKL785469 QUG785455:QUH785469 REC785455:RED785469 RNY785455:RNZ785469 RXU785455:RXV785469 SHQ785455:SHR785469 SRM785455:SRN785469 TBI785455:TBJ785469 TLE785455:TLF785469 TVA785455:TVB785469 UEW785455:UEX785469 UOS785455:UOT785469 UYO785455:UYP785469 VIK785455:VIL785469 VSG785455:VSH785469 WCC785455:WCD785469 WLY785455:WLZ785469 WVU785455:WVV785469 M916527:M916541 JI850991:JJ851005 TE850991:TF851005 ADA850991:ADB851005 AMW850991:AMX851005 AWS850991:AWT851005 BGO850991:BGP851005 BQK850991:BQL851005 CAG850991:CAH851005 CKC850991:CKD851005 CTY850991:CTZ851005 DDU850991:DDV851005 DNQ850991:DNR851005 DXM850991:DXN851005 EHI850991:EHJ851005 ERE850991:ERF851005 FBA850991:FBB851005 FKW850991:FKX851005 FUS850991:FUT851005 GEO850991:GEP851005 GOK850991:GOL851005 GYG850991:GYH851005 HIC850991:HID851005 HRY850991:HRZ851005 IBU850991:IBV851005 ILQ850991:ILR851005 IVM850991:IVN851005 JFI850991:JFJ851005 JPE850991:JPF851005 JZA850991:JZB851005 KIW850991:KIX851005 KSS850991:KST851005 LCO850991:LCP851005 LMK850991:LML851005 LWG850991:LWH851005 MGC850991:MGD851005 MPY850991:MPZ851005 MZU850991:MZV851005 NJQ850991:NJR851005 NTM850991:NTN851005 ODI850991:ODJ851005 ONE850991:ONF851005 OXA850991:OXB851005 PGW850991:PGX851005 PQS850991:PQT851005 QAO850991:QAP851005 QKK850991:QKL851005 QUG850991:QUH851005 REC850991:RED851005 RNY850991:RNZ851005 RXU850991:RXV851005 SHQ850991:SHR851005 SRM850991:SRN851005 TBI850991:TBJ851005 TLE850991:TLF851005 TVA850991:TVB851005 UEW850991:UEX851005 UOS850991:UOT851005 UYO850991:UYP851005 VIK850991:VIL851005 VSG850991:VSH851005 WCC850991:WCD851005 WLY850991:WLZ851005 WVU850991:WVV851005 M982063:M982077 JI916527:JJ916541 TE916527:TF916541 ADA916527:ADB916541 AMW916527:AMX916541 AWS916527:AWT916541 BGO916527:BGP916541 BQK916527:BQL916541 CAG916527:CAH916541 CKC916527:CKD916541 CTY916527:CTZ916541 DDU916527:DDV916541 DNQ916527:DNR916541 DXM916527:DXN916541 EHI916527:EHJ916541 ERE916527:ERF916541 FBA916527:FBB916541 FKW916527:FKX916541 FUS916527:FUT916541 GEO916527:GEP916541 GOK916527:GOL916541 GYG916527:GYH916541 HIC916527:HID916541 HRY916527:HRZ916541 IBU916527:IBV916541 ILQ916527:ILR916541 IVM916527:IVN916541 JFI916527:JFJ916541 JPE916527:JPF916541 JZA916527:JZB916541 KIW916527:KIX916541 KSS916527:KST916541 LCO916527:LCP916541 LMK916527:LML916541 LWG916527:LWH916541 MGC916527:MGD916541 MPY916527:MPZ916541 MZU916527:MZV916541 NJQ916527:NJR916541 NTM916527:NTN916541 ODI916527:ODJ916541 ONE916527:ONF916541 OXA916527:OXB916541 PGW916527:PGX916541 PQS916527:PQT916541 QAO916527:QAP916541 QKK916527:QKL916541 QUG916527:QUH916541 REC916527:RED916541 RNY916527:RNZ916541 RXU916527:RXV916541 SHQ916527:SHR916541 SRM916527:SRN916541 TBI916527:TBJ916541 TLE916527:TLF916541 TVA916527:TVB916541 UEW916527:UEX916541 UOS916527:UOT916541 UYO916527:UYP916541 VIK916527:VIL916541 VSG916527:VSH916541 WCC916527:WCD916541 WLY916527:WLZ916541 WVU916527:WVV916541 TUW130114:TUW130122 JI982063:JJ982077 TE982063:TF982077 ADA982063:ADB982077 AMW982063:AMX982077 AWS982063:AWT982077 BGO982063:BGP982077 BQK982063:BQL982077 CAG982063:CAH982077 CKC982063:CKD982077 CTY982063:CTZ982077 DDU982063:DDV982077 DNQ982063:DNR982077 DXM982063:DXN982077 EHI982063:EHJ982077 ERE982063:ERF982077 FBA982063:FBB982077 FKW982063:FKX982077 FUS982063:FUT982077 GEO982063:GEP982077 GOK982063:GOL982077 GYG982063:GYH982077 HIC982063:HID982077 HRY982063:HRZ982077 IBU982063:IBV982077 ILQ982063:ILR982077 IVM982063:IVN982077 JFI982063:JFJ982077 JPE982063:JPF982077 JZA982063:JZB982077 KIW982063:KIX982077 KSS982063:KST982077 LCO982063:LCP982077 LMK982063:LML982077 LWG982063:LWH982077 MGC982063:MGD982077 MPY982063:MPZ982077 MZU982063:MZV982077 NJQ982063:NJR982077 NTM982063:NTN982077 ODI982063:ODJ982077 ONE982063:ONF982077 OXA982063:OXB982077 PGW982063:PGX982077 PQS982063:PQT982077 QAO982063:QAP982077 QKK982063:QKL982077 QUG982063:QUH982077 REC982063:RED982077 RNY982063:RNZ982077 RXU982063:RXV982077 SHQ982063:SHR982077 SRM982063:SRN982077 TBI982063:TBJ982077 TLE982063:TLF982077 TVA982063:TVB982077 UEW982063:UEX982077 UOS982063:UOT982077 UYO982063:UYP982077 VIK982063:VIL982077 VSG982063:VSH982077 WCC982063:WCD982077 WLY982063:WLZ982077 WVU982063:WVV982077 VSG982082:VSH982090 TLA130114:TLA130122 JJ64529:JK64533 TF64529:TG64533 ADB64529:ADC64533 AMX64529:AMY64533 AWT64529:AWU64533 BGP64529:BGQ64533 BQL64529:BQM64533 CAH64529:CAI64533 CKD64529:CKE64533 CTZ64529:CUA64533 DDV64529:DDW64533 DNR64529:DNS64533 DXN64529:DXO64533 EHJ64529:EHK64533 ERF64529:ERG64533 FBB64529:FBC64533 FKX64529:FKY64533 FUT64529:FUU64533 GEP64529:GEQ64533 GOL64529:GOM64533 GYH64529:GYI64533 HID64529:HIE64533 HRZ64529:HSA64533 IBV64529:IBW64533 ILR64529:ILS64533 IVN64529:IVO64533 JFJ64529:JFK64533 JPF64529:JPG64533 JZB64529:JZC64533 KIX64529:KIY64533 KST64529:KSU64533 LCP64529:LCQ64533 LML64529:LMM64533 LWH64529:LWI64533 MGD64529:MGE64533 MPZ64529:MQA64533 MZV64529:MZW64533 NJR64529:NJS64533 NTN64529:NTO64533 ODJ64529:ODK64533 ONF64529:ONG64533 OXB64529:OXC64533 PGX64529:PGY64533 PQT64529:PQU64533 QAP64529:QAQ64533 QKL64529:QKM64533 QUH64529:QUI64533 RED64529:REE64533 RNZ64529:ROA64533 RXV64529:RXW64533 SHR64529:SHS64533 SRN64529:SRO64533 TBJ64529:TBK64533 TLF64529:TLG64533 TVB64529:TVC64533 UEX64529:UEY64533 UOT64529:UOU64533 UYP64529:UYQ64533 VIL64529:VIM64533 VSH64529:VSI64533 WCD64529:WCE64533 WLZ64529:WMA64533 WVV64529:WVW64533 TBE130114:TBE130122 JJ130065:JK130069 TF130065:TG130069 ADB130065:ADC130069 AMX130065:AMY130069 AWT130065:AWU130069 BGP130065:BGQ130069 BQL130065:BQM130069 CAH130065:CAI130069 CKD130065:CKE130069 CTZ130065:CUA130069 DDV130065:DDW130069 DNR130065:DNS130069 DXN130065:DXO130069 EHJ130065:EHK130069 ERF130065:ERG130069 FBB130065:FBC130069 FKX130065:FKY130069 FUT130065:FUU130069 GEP130065:GEQ130069 GOL130065:GOM130069 GYH130065:GYI130069 HID130065:HIE130069 HRZ130065:HSA130069 IBV130065:IBW130069 ILR130065:ILS130069 IVN130065:IVO130069 JFJ130065:JFK130069 JPF130065:JPG130069 JZB130065:JZC130069 KIX130065:KIY130069 KST130065:KSU130069 LCP130065:LCQ130069 LML130065:LMM130069 LWH130065:LWI130069 MGD130065:MGE130069 MPZ130065:MQA130069 MZV130065:MZW130069 NJR130065:NJS130069 NTN130065:NTO130069 ODJ130065:ODK130069 ONF130065:ONG130069 OXB130065:OXC130069 PGX130065:PGY130069 PQT130065:PQU130069 QAP130065:QAQ130069 QKL130065:QKM130069 QUH130065:QUI130069 RED130065:REE130069 RNZ130065:ROA130069 RXV130065:RXW130069 SHR130065:SHS130069 SRN130065:SRO130069 TBJ130065:TBK130069 TLF130065:TLG130069 TVB130065:TVC130069 UEX130065:UEY130069 UOT130065:UOU130069 UYP130065:UYQ130069 VIL130065:VIM130069 VSH130065:VSI130069 WCD130065:WCE130069 WLZ130065:WMA130069 WVV130065:WVW130069 SRI130114:SRI130122 JJ195601:JK195605 TF195601:TG195605 ADB195601:ADC195605 AMX195601:AMY195605 AWT195601:AWU195605 BGP195601:BGQ195605 BQL195601:BQM195605 CAH195601:CAI195605 CKD195601:CKE195605 CTZ195601:CUA195605 DDV195601:DDW195605 DNR195601:DNS195605 DXN195601:DXO195605 EHJ195601:EHK195605 ERF195601:ERG195605 FBB195601:FBC195605 FKX195601:FKY195605 FUT195601:FUU195605 GEP195601:GEQ195605 GOL195601:GOM195605 GYH195601:GYI195605 HID195601:HIE195605 HRZ195601:HSA195605 IBV195601:IBW195605 ILR195601:ILS195605 IVN195601:IVO195605 JFJ195601:JFK195605 JPF195601:JPG195605 JZB195601:JZC195605 KIX195601:KIY195605 KST195601:KSU195605 LCP195601:LCQ195605 LML195601:LMM195605 LWH195601:LWI195605 MGD195601:MGE195605 MPZ195601:MQA195605 MZV195601:MZW195605 NJR195601:NJS195605 NTN195601:NTO195605 ODJ195601:ODK195605 ONF195601:ONG195605 OXB195601:OXC195605 PGX195601:PGY195605 PQT195601:PQU195605 QAP195601:QAQ195605 QKL195601:QKM195605 QUH195601:QUI195605 RED195601:REE195605 RNZ195601:ROA195605 RXV195601:RXW195605 SHR195601:SHS195605 SRN195601:SRO195605 TBJ195601:TBK195605 TLF195601:TLG195605 TVB195601:TVC195605 UEX195601:UEY195605 UOT195601:UOU195605 UYP195601:UYQ195605 VIL195601:VIM195605 VSH195601:VSI195605 WCD195601:WCE195605 WLZ195601:WMA195605 WVV195601:WVW195605 SHM130114:SHM130122 JJ261137:JK261141 TF261137:TG261141 ADB261137:ADC261141 AMX261137:AMY261141 AWT261137:AWU261141 BGP261137:BGQ261141 BQL261137:BQM261141 CAH261137:CAI261141 CKD261137:CKE261141 CTZ261137:CUA261141 DDV261137:DDW261141 DNR261137:DNS261141 DXN261137:DXO261141 EHJ261137:EHK261141 ERF261137:ERG261141 FBB261137:FBC261141 FKX261137:FKY261141 FUT261137:FUU261141 GEP261137:GEQ261141 GOL261137:GOM261141 GYH261137:GYI261141 HID261137:HIE261141 HRZ261137:HSA261141 IBV261137:IBW261141 ILR261137:ILS261141 IVN261137:IVO261141 JFJ261137:JFK261141 JPF261137:JPG261141 JZB261137:JZC261141 KIX261137:KIY261141 KST261137:KSU261141 LCP261137:LCQ261141 LML261137:LMM261141 LWH261137:LWI261141 MGD261137:MGE261141 MPZ261137:MQA261141 MZV261137:MZW261141 NJR261137:NJS261141 NTN261137:NTO261141 ODJ261137:ODK261141 ONF261137:ONG261141 OXB261137:OXC261141 PGX261137:PGY261141 PQT261137:PQU261141 QAP261137:QAQ261141 QKL261137:QKM261141 QUH261137:QUI261141 RED261137:REE261141 RNZ261137:ROA261141 RXV261137:RXW261141 SHR261137:SHS261141 SRN261137:SRO261141 TBJ261137:TBK261141 TLF261137:TLG261141 TVB261137:TVC261141 UEX261137:UEY261141 UOT261137:UOU261141 UYP261137:UYQ261141 VIL261137:VIM261141 VSH261137:VSI261141 WCD261137:WCE261141 WLZ261137:WMA261141 WVV261137:WVW261141 RXQ130114:RXQ130122 JJ326673:JK326677 TF326673:TG326677 ADB326673:ADC326677 AMX326673:AMY326677 AWT326673:AWU326677 BGP326673:BGQ326677 BQL326673:BQM326677 CAH326673:CAI326677 CKD326673:CKE326677 CTZ326673:CUA326677 DDV326673:DDW326677 DNR326673:DNS326677 DXN326673:DXO326677 EHJ326673:EHK326677 ERF326673:ERG326677 FBB326673:FBC326677 FKX326673:FKY326677 FUT326673:FUU326677 GEP326673:GEQ326677 GOL326673:GOM326677 GYH326673:GYI326677 HID326673:HIE326677 HRZ326673:HSA326677 IBV326673:IBW326677 ILR326673:ILS326677 IVN326673:IVO326677 JFJ326673:JFK326677 JPF326673:JPG326677 JZB326673:JZC326677 KIX326673:KIY326677 KST326673:KSU326677 LCP326673:LCQ326677 LML326673:LMM326677 LWH326673:LWI326677 MGD326673:MGE326677 MPZ326673:MQA326677 MZV326673:MZW326677 NJR326673:NJS326677 NTN326673:NTO326677 ODJ326673:ODK326677 ONF326673:ONG326677 OXB326673:OXC326677 PGX326673:PGY326677 PQT326673:PQU326677 QAP326673:QAQ326677 QKL326673:QKM326677 QUH326673:QUI326677 RED326673:REE326677 RNZ326673:ROA326677 RXV326673:RXW326677 SHR326673:SHS326677 SRN326673:SRO326677 TBJ326673:TBK326677 TLF326673:TLG326677 TVB326673:TVC326677 UEX326673:UEY326677 UOT326673:UOU326677 UYP326673:UYQ326677 VIL326673:VIM326677 VSH326673:VSI326677 WCD326673:WCE326677 WLZ326673:WMA326677 WVV326673:WVW326677 RNU130114:RNU130122 JJ392209:JK392213 TF392209:TG392213 ADB392209:ADC392213 AMX392209:AMY392213 AWT392209:AWU392213 BGP392209:BGQ392213 BQL392209:BQM392213 CAH392209:CAI392213 CKD392209:CKE392213 CTZ392209:CUA392213 DDV392209:DDW392213 DNR392209:DNS392213 DXN392209:DXO392213 EHJ392209:EHK392213 ERF392209:ERG392213 FBB392209:FBC392213 FKX392209:FKY392213 FUT392209:FUU392213 GEP392209:GEQ392213 GOL392209:GOM392213 GYH392209:GYI392213 HID392209:HIE392213 HRZ392209:HSA392213 IBV392209:IBW392213 ILR392209:ILS392213 IVN392209:IVO392213 JFJ392209:JFK392213 JPF392209:JPG392213 JZB392209:JZC392213 KIX392209:KIY392213 KST392209:KSU392213 LCP392209:LCQ392213 LML392209:LMM392213 LWH392209:LWI392213 MGD392209:MGE392213 MPZ392209:MQA392213 MZV392209:MZW392213 NJR392209:NJS392213 NTN392209:NTO392213 ODJ392209:ODK392213 ONF392209:ONG392213 OXB392209:OXC392213 PGX392209:PGY392213 PQT392209:PQU392213 QAP392209:QAQ392213 QKL392209:QKM392213 QUH392209:QUI392213 RED392209:REE392213 RNZ392209:ROA392213 RXV392209:RXW392213 SHR392209:SHS392213 SRN392209:SRO392213 TBJ392209:TBK392213 TLF392209:TLG392213 TVB392209:TVC392213 UEX392209:UEY392213 UOT392209:UOU392213 UYP392209:UYQ392213 VIL392209:VIM392213 VSH392209:VSI392213 WCD392209:WCE392213 WLZ392209:WMA392213 WVV392209:WVW392213 RDY130114:RDY130122 JJ457745:JK457749 TF457745:TG457749 ADB457745:ADC457749 AMX457745:AMY457749 AWT457745:AWU457749 BGP457745:BGQ457749 BQL457745:BQM457749 CAH457745:CAI457749 CKD457745:CKE457749 CTZ457745:CUA457749 DDV457745:DDW457749 DNR457745:DNS457749 DXN457745:DXO457749 EHJ457745:EHK457749 ERF457745:ERG457749 FBB457745:FBC457749 FKX457745:FKY457749 FUT457745:FUU457749 GEP457745:GEQ457749 GOL457745:GOM457749 GYH457745:GYI457749 HID457745:HIE457749 HRZ457745:HSA457749 IBV457745:IBW457749 ILR457745:ILS457749 IVN457745:IVO457749 JFJ457745:JFK457749 JPF457745:JPG457749 JZB457745:JZC457749 KIX457745:KIY457749 KST457745:KSU457749 LCP457745:LCQ457749 LML457745:LMM457749 LWH457745:LWI457749 MGD457745:MGE457749 MPZ457745:MQA457749 MZV457745:MZW457749 NJR457745:NJS457749 NTN457745:NTO457749 ODJ457745:ODK457749 ONF457745:ONG457749 OXB457745:OXC457749 PGX457745:PGY457749 PQT457745:PQU457749 QAP457745:QAQ457749 QKL457745:QKM457749 QUH457745:QUI457749 RED457745:REE457749 RNZ457745:ROA457749 RXV457745:RXW457749 SHR457745:SHS457749 SRN457745:SRO457749 TBJ457745:TBK457749 TLF457745:TLG457749 TVB457745:TVC457749 UEX457745:UEY457749 UOT457745:UOU457749 UYP457745:UYQ457749 VIL457745:VIM457749 VSH457745:VSI457749 WCD457745:WCE457749 WLZ457745:WMA457749 WVV457745:WVW457749 QUC130114:QUC130122 JJ523281:JK523285 TF523281:TG523285 ADB523281:ADC523285 AMX523281:AMY523285 AWT523281:AWU523285 BGP523281:BGQ523285 BQL523281:BQM523285 CAH523281:CAI523285 CKD523281:CKE523285 CTZ523281:CUA523285 DDV523281:DDW523285 DNR523281:DNS523285 DXN523281:DXO523285 EHJ523281:EHK523285 ERF523281:ERG523285 FBB523281:FBC523285 FKX523281:FKY523285 FUT523281:FUU523285 GEP523281:GEQ523285 GOL523281:GOM523285 GYH523281:GYI523285 HID523281:HIE523285 HRZ523281:HSA523285 IBV523281:IBW523285 ILR523281:ILS523285 IVN523281:IVO523285 JFJ523281:JFK523285 JPF523281:JPG523285 JZB523281:JZC523285 KIX523281:KIY523285 KST523281:KSU523285 LCP523281:LCQ523285 LML523281:LMM523285 LWH523281:LWI523285 MGD523281:MGE523285 MPZ523281:MQA523285 MZV523281:MZW523285 NJR523281:NJS523285 NTN523281:NTO523285 ODJ523281:ODK523285 ONF523281:ONG523285 OXB523281:OXC523285 PGX523281:PGY523285 PQT523281:PQU523285 QAP523281:QAQ523285 QKL523281:QKM523285 QUH523281:QUI523285 RED523281:REE523285 RNZ523281:ROA523285 RXV523281:RXW523285 SHR523281:SHS523285 SRN523281:SRO523285 TBJ523281:TBK523285 TLF523281:TLG523285 TVB523281:TVC523285 UEX523281:UEY523285 UOT523281:UOU523285 UYP523281:UYQ523285 VIL523281:VIM523285 VSH523281:VSI523285 WCD523281:WCE523285 WLZ523281:WMA523285 WVV523281:WVW523285 QKG130114:QKG130122 JJ588817:JK588821 TF588817:TG588821 ADB588817:ADC588821 AMX588817:AMY588821 AWT588817:AWU588821 BGP588817:BGQ588821 BQL588817:BQM588821 CAH588817:CAI588821 CKD588817:CKE588821 CTZ588817:CUA588821 DDV588817:DDW588821 DNR588817:DNS588821 DXN588817:DXO588821 EHJ588817:EHK588821 ERF588817:ERG588821 FBB588817:FBC588821 FKX588817:FKY588821 FUT588817:FUU588821 GEP588817:GEQ588821 GOL588817:GOM588821 GYH588817:GYI588821 HID588817:HIE588821 HRZ588817:HSA588821 IBV588817:IBW588821 ILR588817:ILS588821 IVN588817:IVO588821 JFJ588817:JFK588821 JPF588817:JPG588821 JZB588817:JZC588821 KIX588817:KIY588821 KST588817:KSU588821 LCP588817:LCQ588821 LML588817:LMM588821 LWH588817:LWI588821 MGD588817:MGE588821 MPZ588817:MQA588821 MZV588817:MZW588821 NJR588817:NJS588821 NTN588817:NTO588821 ODJ588817:ODK588821 ONF588817:ONG588821 OXB588817:OXC588821 PGX588817:PGY588821 PQT588817:PQU588821 QAP588817:QAQ588821 QKL588817:QKM588821 QUH588817:QUI588821 RED588817:REE588821 RNZ588817:ROA588821 RXV588817:RXW588821 SHR588817:SHS588821 SRN588817:SRO588821 TBJ588817:TBK588821 TLF588817:TLG588821 TVB588817:TVC588821 UEX588817:UEY588821 UOT588817:UOU588821 UYP588817:UYQ588821 VIL588817:VIM588821 VSH588817:VSI588821 WCD588817:WCE588821 WLZ588817:WMA588821 WVV588817:WVW588821 QAK130114:QAK130122 JJ654353:JK654357 TF654353:TG654357 ADB654353:ADC654357 AMX654353:AMY654357 AWT654353:AWU654357 BGP654353:BGQ654357 BQL654353:BQM654357 CAH654353:CAI654357 CKD654353:CKE654357 CTZ654353:CUA654357 DDV654353:DDW654357 DNR654353:DNS654357 DXN654353:DXO654357 EHJ654353:EHK654357 ERF654353:ERG654357 FBB654353:FBC654357 FKX654353:FKY654357 FUT654353:FUU654357 GEP654353:GEQ654357 GOL654353:GOM654357 GYH654353:GYI654357 HID654353:HIE654357 HRZ654353:HSA654357 IBV654353:IBW654357 ILR654353:ILS654357 IVN654353:IVO654357 JFJ654353:JFK654357 JPF654353:JPG654357 JZB654353:JZC654357 KIX654353:KIY654357 KST654353:KSU654357 LCP654353:LCQ654357 LML654353:LMM654357 LWH654353:LWI654357 MGD654353:MGE654357 MPZ654353:MQA654357 MZV654353:MZW654357 NJR654353:NJS654357 NTN654353:NTO654357 ODJ654353:ODK654357 ONF654353:ONG654357 OXB654353:OXC654357 PGX654353:PGY654357 PQT654353:PQU654357 QAP654353:QAQ654357 QKL654353:QKM654357 QUH654353:QUI654357 RED654353:REE654357 RNZ654353:ROA654357 RXV654353:RXW654357 SHR654353:SHS654357 SRN654353:SRO654357 TBJ654353:TBK654357 TLF654353:TLG654357 TVB654353:TVC654357 UEX654353:UEY654357 UOT654353:UOU654357 UYP654353:UYQ654357 VIL654353:VIM654357 VSH654353:VSI654357 WCD654353:WCE654357 WLZ654353:WMA654357 WVV654353:WVW654357 PQO130114:PQO130122 JJ719889:JK719893 TF719889:TG719893 ADB719889:ADC719893 AMX719889:AMY719893 AWT719889:AWU719893 BGP719889:BGQ719893 BQL719889:BQM719893 CAH719889:CAI719893 CKD719889:CKE719893 CTZ719889:CUA719893 DDV719889:DDW719893 DNR719889:DNS719893 DXN719889:DXO719893 EHJ719889:EHK719893 ERF719889:ERG719893 FBB719889:FBC719893 FKX719889:FKY719893 FUT719889:FUU719893 GEP719889:GEQ719893 GOL719889:GOM719893 GYH719889:GYI719893 HID719889:HIE719893 HRZ719889:HSA719893 IBV719889:IBW719893 ILR719889:ILS719893 IVN719889:IVO719893 JFJ719889:JFK719893 JPF719889:JPG719893 JZB719889:JZC719893 KIX719889:KIY719893 KST719889:KSU719893 LCP719889:LCQ719893 LML719889:LMM719893 LWH719889:LWI719893 MGD719889:MGE719893 MPZ719889:MQA719893 MZV719889:MZW719893 NJR719889:NJS719893 NTN719889:NTO719893 ODJ719889:ODK719893 ONF719889:ONG719893 OXB719889:OXC719893 PGX719889:PGY719893 PQT719889:PQU719893 QAP719889:QAQ719893 QKL719889:QKM719893 QUH719889:QUI719893 RED719889:REE719893 RNZ719889:ROA719893 RXV719889:RXW719893 SHR719889:SHS719893 SRN719889:SRO719893 TBJ719889:TBK719893 TLF719889:TLG719893 TVB719889:TVC719893 UEX719889:UEY719893 UOT719889:UOU719893 UYP719889:UYQ719893 VIL719889:VIM719893 VSH719889:VSI719893 WCD719889:WCE719893 WLZ719889:WMA719893 WVV719889:WVW719893 PGS130114:PGS130122 JJ785425:JK785429 TF785425:TG785429 ADB785425:ADC785429 AMX785425:AMY785429 AWT785425:AWU785429 BGP785425:BGQ785429 BQL785425:BQM785429 CAH785425:CAI785429 CKD785425:CKE785429 CTZ785425:CUA785429 DDV785425:DDW785429 DNR785425:DNS785429 DXN785425:DXO785429 EHJ785425:EHK785429 ERF785425:ERG785429 FBB785425:FBC785429 FKX785425:FKY785429 FUT785425:FUU785429 GEP785425:GEQ785429 GOL785425:GOM785429 GYH785425:GYI785429 HID785425:HIE785429 HRZ785425:HSA785429 IBV785425:IBW785429 ILR785425:ILS785429 IVN785425:IVO785429 JFJ785425:JFK785429 JPF785425:JPG785429 JZB785425:JZC785429 KIX785425:KIY785429 KST785425:KSU785429 LCP785425:LCQ785429 LML785425:LMM785429 LWH785425:LWI785429 MGD785425:MGE785429 MPZ785425:MQA785429 MZV785425:MZW785429 NJR785425:NJS785429 NTN785425:NTO785429 ODJ785425:ODK785429 ONF785425:ONG785429 OXB785425:OXC785429 PGX785425:PGY785429 PQT785425:PQU785429 QAP785425:QAQ785429 QKL785425:QKM785429 QUH785425:QUI785429 RED785425:REE785429 RNZ785425:ROA785429 RXV785425:RXW785429 SHR785425:SHS785429 SRN785425:SRO785429 TBJ785425:TBK785429 TLF785425:TLG785429 TVB785425:TVC785429 UEX785425:UEY785429 UOT785425:UOU785429 UYP785425:UYQ785429 VIL785425:VIM785429 VSH785425:VSI785429 WCD785425:WCE785429 WLZ785425:WMA785429 WVV785425:WVW785429 OWW130114:OWW130122 JJ850961:JK850965 TF850961:TG850965 ADB850961:ADC850965 AMX850961:AMY850965 AWT850961:AWU850965 BGP850961:BGQ850965 BQL850961:BQM850965 CAH850961:CAI850965 CKD850961:CKE850965 CTZ850961:CUA850965 DDV850961:DDW850965 DNR850961:DNS850965 DXN850961:DXO850965 EHJ850961:EHK850965 ERF850961:ERG850965 FBB850961:FBC850965 FKX850961:FKY850965 FUT850961:FUU850965 GEP850961:GEQ850965 GOL850961:GOM850965 GYH850961:GYI850965 HID850961:HIE850965 HRZ850961:HSA850965 IBV850961:IBW850965 ILR850961:ILS850965 IVN850961:IVO850965 JFJ850961:JFK850965 JPF850961:JPG850965 JZB850961:JZC850965 KIX850961:KIY850965 KST850961:KSU850965 LCP850961:LCQ850965 LML850961:LMM850965 LWH850961:LWI850965 MGD850961:MGE850965 MPZ850961:MQA850965 MZV850961:MZW850965 NJR850961:NJS850965 NTN850961:NTO850965 ODJ850961:ODK850965 ONF850961:ONG850965 OXB850961:OXC850965 PGX850961:PGY850965 PQT850961:PQU850965 QAP850961:QAQ850965 QKL850961:QKM850965 QUH850961:QUI850965 RED850961:REE850965 RNZ850961:ROA850965 RXV850961:RXW850965 SHR850961:SHS850965 SRN850961:SRO850965 TBJ850961:TBK850965 TLF850961:TLG850965 TVB850961:TVC850965 UEX850961:UEY850965 UOT850961:UOU850965 UYP850961:UYQ850965 VIL850961:VIM850965 VSH850961:VSI850965 WCD850961:WCE850965 WLZ850961:WMA850965 WVV850961:WVW850965 ONA130114:ONA130122 JJ916497:JK916501 TF916497:TG916501 ADB916497:ADC916501 AMX916497:AMY916501 AWT916497:AWU916501 BGP916497:BGQ916501 BQL916497:BQM916501 CAH916497:CAI916501 CKD916497:CKE916501 CTZ916497:CUA916501 DDV916497:DDW916501 DNR916497:DNS916501 DXN916497:DXO916501 EHJ916497:EHK916501 ERF916497:ERG916501 FBB916497:FBC916501 FKX916497:FKY916501 FUT916497:FUU916501 GEP916497:GEQ916501 GOL916497:GOM916501 GYH916497:GYI916501 HID916497:HIE916501 HRZ916497:HSA916501 IBV916497:IBW916501 ILR916497:ILS916501 IVN916497:IVO916501 JFJ916497:JFK916501 JPF916497:JPG916501 JZB916497:JZC916501 KIX916497:KIY916501 KST916497:KSU916501 LCP916497:LCQ916501 LML916497:LMM916501 LWH916497:LWI916501 MGD916497:MGE916501 MPZ916497:MQA916501 MZV916497:MZW916501 NJR916497:NJS916501 NTN916497:NTO916501 ODJ916497:ODK916501 ONF916497:ONG916501 OXB916497:OXC916501 PGX916497:PGY916501 PQT916497:PQU916501 QAP916497:QAQ916501 QKL916497:QKM916501 QUH916497:QUI916501 RED916497:REE916501 RNZ916497:ROA916501 RXV916497:RXW916501 SHR916497:SHS916501 SRN916497:SRO916501 TBJ916497:TBK916501 TLF916497:TLG916501 TVB916497:TVC916501 UEX916497:UEY916501 UOT916497:UOU916501 UYP916497:UYQ916501 VIL916497:VIM916501 VSH916497:VSI916501 WCD916497:WCE916501 WLZ916497:WMA916501 WVV916497:WVW916501 ODE130114:ODE130122 JJ982033:JK982037 TF982033:TG982037 ADB982033:ADC982037 AMX982033:AMY982037 AWT982033:AWU982037 BGP982033:BGQ982037 BQL982033:BQM982037 CAH982033:CAI982037 CKD982033:CKE982037 CTZ982033:CUA982037 DDV982033:DDW982037 DNR982033:DNS982037 DXN982033:DXO982037 EHJ982033:EHK982037 ERF982033:ERG982037 FBB982033:FBC982037 FKX982033:FKY982037 FUT982033:FUU982037 GEP982033:GEQ982037 GOL982033:GOM982037 GYH982033:GYI982037 HID982033:HIE982037 HRZ982033:HSA982037 IBV982033:IBW982037 ILR982033:ILS982037 IVN982033:IVO982037 JFJ982033:JFK982037 JPF982033:JPG982037 JZB982033:JZC982037 KIX982033:KIY982037 KST982033:KSU982037 LCP982033:LCQ982037 LML982033:LMM982037 LWH982033:LWI982037 MGD982033:MGE982037 MPZ982033:MQA982037 MZV982033:MZW982037 NJR982033:NJS982037 NTN982033:NTO982037 ODJ982033:ODK982037 ONF982033:ONG982037 OXB982033:OXC982037 PGX982033:PGY982037 PQT982033:PQU982037 QAP982033:QAQ982037 QKL982033:QKM982037 QUH982033:QUI982037 RED982033:REE982037 RNZ982033:ROA982037 RXV982033:RXW982037 SHR982033:SHS982037 SRN982033:SRO982037 TBJ982033:TBK982037 TLF982033:TLG982037 TVB982033:TVC982037 UEX982033:UEY982037 UOT982033:UOU982037 UYP982033:UYQ982037 VIL982033:VIM982037 VSH982033:VSI982037 WCD982033:WCE982037 WLZ982033:WMA982037 WVV982033:WVW982037 WCC982082:WCD982090 NTI130114:NTI130122 JJ64549:JK64553 TF64549:TG64553 ADB64549:ADC64553 AMX64549:AMY64553 AWT64549:AWU64553 BGP64549:BGQ64553 BQL64549:BQM64553 CAH64549:CAI64553 CKD64549:CKE64553 CTZ64549:CUA64553 DDV64549:DDW64553 DNR64549:DNS64553 DXN64549:DXO64553 EHJ64549:EHK64553 ERF64549:ERG64553 FBB64549:FBC64553 FKX64549:FKY64553 FUT64549:FUU64553 GEP64549:GEQ64553 GOL64549:GOM64553 GYH64549:GYI64553 HID64549:HIE64553 HRZ64549:HSA64553 IBV64549:IBW64553 ILR64549:ILS64553 IVN64549:IVO64553 JFJ64549:JFK64553 JPF64549:JPG64553 JZB64549:JZC64553 KIX64549:KIY64553 KST64549:KSU64553 LCP64549:LCQ64553 LML64549:LMM64553 LWH64549:LWI64553 MGD64549:MGE64553 MPZ64549:MQA64553 MZV64549:MZW64553 NJR64549:NJS64553 NTN64549:NTO64553 ODJ64549:ODK64553 ONF64549:ONG64553 OXB64549:OXC64553 PGX64549:PGY64553 PQT64549:PQU64553 QAP64549:QAQ64553 QKL64549:QKM64553 QUH64549:QUI64553 RED64549:REE64553 RNZ64549:ROA64553 RXV64549:RXW64553 SHR64549:SHS64553 SRN64549:SRO64553 TBJ64549:TBK64553 TLF64549:TLG64553 TVB64549:TVC64553 UEX64549:UEY64553 UOT64549:UOU64553 UYP64549:UYQ64553 VIL64549:VIM64553 VSH64549:VSI64553 WCD64549:WCE64553 WLZ64549:WMA64553 WVV64549:WVW64553 NJM130114:NJM130122 JJ130085:JK130089 TF130085:TG130089 ADB130085:ADC130089 AMX130085:AMY130089 AWT130085:AWU130089 BGP130085:BGQ130089 BQL130085:BQM130089 CAH130085:CAI130089 CKD130085:CKE130089 CTZ130085:CUA130089 DDV130085:DDW130089 DNR130085:DNS130089 DXN130085:DXO130089 EHJ130085:EHK130089 ERF130085:ERG130089 FBB130085:FBC130089 FKX130085:FKY130089 FUT130085:FUU130089 GEP130085:GEQ130089 GOL130085:GOM130089 GYH130085:GYI130089 HID130085:HIE130089 HRZ130085:HSA130089 IBV130085:IBW130089 ILR130085:ILS130089 IVN130085:IVO130089 JFJ130085:JFK130089 JPF130085:JPG130089 JZB130085:JZC130089 KIX130085:KIY130089 KST130085:KSU130089 LCP130085:LCQ130089 LML130085:LMM130089 LWH130085:LWI130089 MGD130085:MGE130089 MPZ130085:MQA130089 MZV130085:MZW130089 NJR130085:NJS130089 NTN130085:NTO130089 ODJ130085:ODK130089 ONF130085:ONG130089 OXB130085:OXC130089 PGX130085:PGY130089 PQT130085:PQU130089 QAP130085:QAQ130089 QKL130085:QKM130089 QUH130085:QUI130089 RED130085:REE130089 RNZ130085:ROA130089 RXV130085:RXW130089 SHR130085:SHS130089 SRN130085:SRO130089 TBJ130085:TBK130089 TLF130085:TLG130089 TVB130085:TVC130089 UEX130085:UEY130089 UOT130085:UOU130089 UYP130085:UYQ130089 VIL130085:VIM130089 VSH130085:VSI130089 WCD130085:WCE130089 WLZ130085:WMA130089 WVV130085:WVW130089 MZQ130114:MZQ130122 JJ195621:JK195625 TF195621:TG195625 ADB195621:ADC195625 AMX195621:AMY195625 AWT195621:AWU195625 BGP195621:BGQ195625 BQL195621:BQM195625 CAH195621:CAI195625 CKD195621:CKE195625 CTZ195621:CUA195625 DDV195621:DDW195625 DNR195621:DNS195625 DXN195621:DXO195625 EHJ195621:EHK195625 ERF195621:ERG195625 FBB195621:FBC195625 FKX195621:FKY195625 FUT195621:FUU195625 GEP195621:GEQ195625 GOL195621:GOM195625 GYH195621:GYI195625 HID195621:HIE195625 HRZ195621:HSA195625 IBV195621:IBW195625 ILR195621:ILS195625 IVN195621:IVO195625 JFJ195621:JFK195625 JPF195621:JPG195625 JZB195621:JZC195625 KIX195621:KIY195625 KST195621:KSU195625 LCP195621:LCQ195625 LML195621:LMM195625 LWH195621:LWI195625 MGD195621:MGE195625 MPZ195621:MQA195625 MZV195621:MZW195625 NJR195621:NJS195625 NTN195621:NTO195625 ODJ195621:ODK195625 ONF195621:ONG195625 OXB195621:OXC195625 PGX195621:PGY195625 PQT195621:PQU195625 QAP195621:QAQ195625 QKL195621:QKM195625 QUH195621:QUI195625 RED195621:REE195625 RNZ195621:ROA195625 RXV195621:RXW195625 SHR195621:SHS195625 SRN195621:SRO195625 TBJ195621:TBK195625 TLF195621:TLG195625 TVB195621:TVC195625 UEX195621:UEY195625 UOT195621:UOU195625 UYP195621:UYQ195625 VIL195621:VIM195625 VSH195621:VSI195625 WCD195621:WCE195625 WLZ195621:WMA195625 WVV195621:WVW195625 MPU130114:MPU130122 JJ261157:JK261161 TF261157:TG261161 ADB261157:ADC261161 AMX261157:AMY261161 AWT261157:AWU261161 BGP261157:BGQ261161 BQL261157:BQM261161 CAH261157:CAI261161 CKD261157:CKE261161 CTZ261157:CUA261161 DDV261157:DDW261161 DNR261157:DNS261161 DXN261157:DXO261161 EHJ261157:EHK261161 ERF261157:ERG261161 FBB261157:FBC261161 FKX261157:FKY261161 FUT261157:FUU261161 GEP261157:GEQ261161 GOL261157:GOM261161 GYH261157:GYI261161 HID261157:HIE261161 HRZ261157:HSA261161 IBV261157:IBW261161 ILR261157:ILS261161 IVN261157:IVO261161 JFJ261157:JFK261161 JPF261157:JPG261161 JZB261157:JZC261161 KIX261157:KIY261161 KST261157:KSU261161 LCP261157:LCQ261161 LML261157:LMM261161 LWH261157:LWI261161 MGD261157:MGE261161 MPZ261157:MQA261161 MZV261157:MZW261161 NJR261157:NJS261161 NTN261157:NTO261161 ODJ261157:ODK261161 ONF261157:ONG261161 OXB261157:OXC261161 PGX261157:PGY261161 PQT261157:PQU261161 QAP261157:QAQ261161 QKL261157:QKM261161 QUH261157:QUI261161 RED261157:REE261161 RNZ261157:ROA261161 RXV261157:RXW261161 SHR261157:SHS261161 SRN261157:SRO261161 TBJ261157:TBK261161 TLF261157:TLG261161 TVB261157:TVC261161 UEX261157:UEY261161 UOT261157:UOU261161 UYP261157:UYQ261161 VIL261157:VIM261161 VSH261157:VSI261161 WCD261157:WCE261161 WLZ261157:WMA261161 WVV261157:WVW261161 MFY130114:MFY130122 JJ326693:JK326697 TF326693:TG326697 ADB326693:ADC326697 AMX326693:AMY326697 AWT326693:AWU326697 BGP326693:BGQ326697 BQL326693:BQM326697 CAH326693:CAI326697 CKD326693:CKE326697 CTZ326693:CUA326697 DDV326693:DDW326697 DNR326693:DNS326697 DXN326693:DXO326697 EHJ326693:EHK326697 ERF326693:ERG326697 FBB326693:FBC326697 FKX326693:FKY326697 FUT326693:FUU326697 GEP326693:GEQ326697 GOL326693:GOM326697 GYH326693:GYI326697 HID326693:HIE326697 HRZ326693:HSA326697 IBV326693:IBW326697 ILR326693:ILS326697 IVN326693:IVO326697 JFJ326693:JFK326697 JPF326693:JPG326697 JZB326693:JZC326697 KIX326693:KIY326697 KST326693:KSU326697 LCP326693:LCQ326697 LML326693:LMM326697 LWH326693:LWI326697 MGD326693:MGE326697 MPZ326693:MQA326697 MZV326693:MZW326697 NJR326693:NJS326697 NTN326693:NTO326697 ODJ326693:ODK326697 ONF326693:ONG326697 OXB326693:OXC326697 PGX326693:PGY326697 PQT326693:PQU326697 QAP326693:QAQ326697 QKL326693:QKM326697 QUH326693:QUI326697 RED326693:REE326697 RNZ326693:ROA326697 RXV326693:RXW326697 SHR326693:SHS326697 SRN326693:SRO326697 TBJ326693:TBK326697 TLF326693:TLG326697 TVB326693:TVC326697 UEX326693:UEY326697 UOT326693:UOU326697 UYP326693:UYQ326697 VIL326693:VIM326697 VSH326693:VSI326697 WCD326693:WCE326697 WLZ326693:WMA326697 WVV326693:WVW326697 LWC130114:LWC130122 JJ392229:JK392233 TF392229:TG392233 ADB392229:ADC392233 AMX392229:AMY392233 AWT392229:AWU392233 BGP392229:BGQ392233 BQL392229:BQM392233 CAH392229:CAI392233 CKD392229:CKE392233 CTZ392229:CUA392233 DDV392229:DDW392233 DNR392229:DNS392233 DXN392229:DXO392233 EHJ392229:EHK392233 ERF392229:ERG392233 FBB392229:FBC392233 FKX392229:FKY392233 FUT392229:FUU392233 GEP392229:GEQ392233 GOL392229:GOM392233 GYH392229:GYI392233 HID392229:HIE392233 HRZ392229:HSA392233 IBV392229:IBW392233 ILR392229:ILS392233 IVN392229:IVO392233 JFJ392229:JFK392233 JPF392229:JPG392233 JZB392229:JZC392233 KIX392229:KIY392233 KST392229:KSU392233 LCP392229:LCQ392233 LML392229:LMM392233 LWH392229:LWI392233 MGD392229:MGE392233 MPZ392229:MQA392233 MZV392229:MZW392233 NJR392229:NJS392233 NTN392229:NTO392233 ODJ392229:ODK392233 ONF392229:ONG392233 OXB392229:OXC392233 PGX392229:PGY392233 PQT392229:PQU392233 QAP392229:QAQ392233 QKL392229:QKM392233 QUH392229:QUI392233 RED392229:REE392233 RNZ392229:ROA392233 RXV392229:RXW392233 SHR392229:SHS392233 SRN392229:SRO392233 TBJ392229:TBK392233 TLF392229:TLG392233 TVB392229:TVC392233 UEX392229:UEY392233 UOT392229:UOU392233 UYP392229:UYQ392233 VIL392229:VIM392233 VSH392229:VSI392233 WCD392229:WCE392233 WLZ392229:WMA392233 WVV392229:WVW392233 LMG130114:LMG130122 JJ457765:JK457769 TF457765:TG457769 ADB457765:ADC457769 AMX457765:AMY457769 AWT457765:AWU457769 BGP457765:BGQ457769 BQL457765:BQM457769 CAH457765:CAI457769 CKD457765:CKE457769 CTZ457765:CUA457769 DDV457765:DDW457769 DNR457765:DNS457769 DXN457765:DXO457769 EHJ457765:EHK457769 ERF457765:ERG457769 FBB457765:FBC457769 FKX457765:FKY457769 FUT457765:FUU457769 GEP457765:GEQ457769 GOL457765:GOM457769 GYH457765:GYI457769 HID457765:HIE457769 HRZ457765:HSA457769 IBV457765:IBW457769 ILR457765:ILS457769 IVN457765:IVO457769 JFJ457765:JFK457769 JPF457765:JPG457769 JZB457765:JZC457769 KIX457765:KIY457769 KST457765:KSU457769 LCP457765:LCQ457769 LML457765:LMM457769 LWH457765:LWI457769 MGD457765:MGE457769 MPZ457765:MQA457769 MZV457765:MZW457769 NJR457765:NJS457769 NTN457765:NTO457769 ODJ457765:ODK457769 ONF457765:ONG457769 OXB457765:OXC457769 PGX457765:PGY457769 PQT457765:PQU457769 QAP457765:QAQ457769 QKL457765:QKM457769 QUH457765:QUI457769 RED457765:REE457769 RNZ457765:ROA457769 RXV457765:RXW457769 SHR457765:SHS457769 SRN457765:SRO457769 TBJ457765:TBK457769 TLF457765:TLG457769 TVB457765:TVC457769 UEX457765:UEY457769 UOT457765:UOU457769 UYP457765:UYQ457769 VIL457765:VIM457769 VSH457765:VSI457769 WCD457765:WCE457769 WLZ457765:WMA457769 WVV457765:WVW457769 LCK130114:LCK130122 JJ523301:JK523305 TF523301:TG523305 ADB523301:ADC523305 AMX523301:AMY523305 AWT523301:AWU523305 BGP523301:BGQ523305 BQL523301:BQM523305 CAH523301:CAI523305 CKD523301:CKE523305 CTZ523301:CUA523305 DDV523301:DDW523305 DNR523301:DNS523305 DXN523301:DXO523305 EHJ523301:EHK523305 ERF523301:ERG523305 FBB523301:FBC523305 FKX523301:FKY523305 FUT523301:FUU523305 GEP523301:GEQ523305 GOL523301:GOM523305 GYH523301:GYI523305 HID523301:HIE523305 HRZ523301:HSA523305 IBV523301:IBW523305 ILR523301:ILS523305 IVN523301:IVO523305 JFJ523301:JFK523305 JPF523301:JPG523305 JZB523301:JZC523305 KIX523301:KIY523305 KST523301:KSU523305 LCP523301:LCQ523305 LML523301:LMM523305 LWH523301:LWI523305 MGD523301:MGE523305 MPZ523301:MQA523305 MZV523301:MZW523305 NJR523301:NJS523305 NTN523301:NTO523305 ODJ523301:ODK523305 ONF523301:ONG523305 OXB523301:OXC523305 PGX523301:PGY523305 PQT523301:PQU523305 QAP523301:QAQ523305 QKL523301:QKM523305 QUH523301:QUI523305 RED523301:REE523305 RNZ523301:ROA523305 RXV523301:RXW523305 SHR523301:SHS523305 SRN523301:SRO523305 TBJ523301:TBK523305 TLF523301:TLG523305 TVB523301:TVC523305 UEX523301:UEY523305 UOT523301:UOU523305 UYP523301:UYQ523305 VIL523301:VIM523305 VSH523301:VSI523305 WCD523301:WCE523305 WLZ523301:WMA523305 WVV523301:WVW523305 KSO130114:KSO130122 JJ588837:JK588841 TF588837:TG588841 ADB588837:ADC588841 AMX588837:AMY588841 AWT588837:AWU588841 BGP588837:BGQ588841 BQL588837:BQM588841 CAH588837:CAI588841 CKD588837:CKE588841 CTZ588837:CUA588841 DDV588837:DDW588841 DNR588837:DNS588841 DXN588837:DXO588841 EHJ588837:EHK588841 ERF588837:ERG588841 FBB588837:FBC588841 FKX588837:FKY588841 FUT588837:FUU588841 GEP588837:GEQ588841 GOL588837:GOM588841 GYH588837:GYI588841 HID588837:HIE588841 HRZ588837:HSA588841 IBV588837:IBW588841 ILR588837:ILS588841 IVN588837:IVO588841 JFJ588837:JFK588841 JPF588837:JPG588841 JZB588837:JZC588841 KIX588837:KIY588841 KST588837:KSU588841 LCP588837:LCQ588841 LML588837:LMM588841 LWH588837:LWI588841 MGD588837:MGE588841 MPZ588837:MQA588841 MZV588837:MZW588841 NJR588837:NJS588841 NTN588837:NTO588841 ODJ588837:ODK588841 ONF588837:ONG588841 OXB588837:OXC588841 PGX588837:PGY588841 PQT588837:PQU588841 QAP588837:QAQ588841 QKL588837:QKM588841 QUH588837:QUI588841 RED588837:REE588841 RNZ588837:ROA588841 RXV588837:RXW588841 SHR588837:SHS588841 SRN588837:SRO588841 TBJ588837:TBK588841 TLF588837:TLG588841 TVB588837:TVC588841 UEX588837:UEY588841 UOT588837:UOU588841 UYP588837:UYQ588841 VIL588837:VIM588841 VSH588837:VSI588841 WCD588837:WCE588841 WLZ588837:WMA588841 WVV588837:WVW588841 KIS130114:KIS130122 JJ654373:JK654377 TF654373:TG654377 ADB654373:ADC654377 AMX654373:AMY654377 AWT654373:AWU654377 BGP654373:BGQ654377 BQL654373:BQM654377 CAH654373:CAI654377 CKD654373:CKE654377 CTZ654373:CUA654377 DDV654373:DDW654377 DNR654373:DNS654377 DXN654373:DXO654377 EHJ654373:EHK654377 ERF654373:ERG654377 FBB654373:FBC654377 FKX654373:FKY654377 FUT654373:FUU654377 GEP654373:GEQ654377 GOL654373:GOM654377 GYH654373:GYI654377 HID654373:HIE654377 HRZ654373:HSA654377 IBV654373:IBW654377 ILR654373:ILS654377 IVN654373:IVO654377 JFJ654373:JFK654377 JPF654373:JPG654377 JZB654373:JZC654377 KIX654373:KIY654377 KST654373:KSU654377 LCP654373:LCQ654377 LML654373:LMM654377 LWH654373:LWI654377 MGD654373:MGE654377 MPZ654373:MQA654377 MZV654373:MZW654377 NJR654373:NJS654377 NTN654373:NTO654377 ODJ654373:ODK654377 ONF654373:ONG654377 OXB654373:OXC654377 PGX654373:PGY654377 PQT654373:PQU654377 QAP654373:QAQ654377 QKL654373:QKM654377 QUH654373:QUI654377 RED654373:REE654377 RNZ654373:ROA654377 RXV654373:RXW654377 SHR654373:SHS654377 SRN654373:SRO654377 TBJ654373:TBK654377 TLF654373:TLG654377 TVB654373:TVC654377 UEX654373:UEY654377 UOT654373:UOU654377 UYP654373:UYQ654377 VIL654373:VIM654377 VSH654373:VSI654377 WCD654373:WCE654377 WLZ654373:WMA654377 WVV654373:WVW654377 JYW130114:JYW130122 JJ719909:JK719913 TF719909:TG719913 ADB719909:ADC719913 AMX719909:AMY719913 AWT719909:AWU719913 BGP719909:BGQ719913 BQL719909:BQM719913 CAH719909:CAI719913 CKD719909:CKE719913 CTZ719909:CUA719913 DDV719909:DDW719913 DNR719909:DNS719913 DXN719909:DXO719913 EHJ719909:EHK719913 ERF719909:ERG719913 FBB719909:FBC719913 FKX719909:FKY719913 FUT719909:FUU719913 GEP719909:GEQ719913 GOL719909:GOM719913 GYH719909:GYI719913 HID719909:HIE719913 HRZ719909:HSA719913 IBV719909:IBW719913 ILR719909:ILS719913 IVN719909:IVO719913 JFJ719909:JFK719913 JPF719909:JPG719913 JZB719909:JZC719913 KIX719909:KIY719913 KST719909:KSU719913 LCP719909:LCQ719913 LML719909:LMM719913 LWH719909:LWI719913 MGD719909:MGE719913 MPZ719909:MQA719913 MZV719909:MZW719913 NJR719909:NJS719913 NTN719909:NTO719913 ODJ719909:ODK719913 ONF719909:ONG719913 OXB719909:OXC719913 PGX719909:PGY719913 PQT719909:PQU719913 QAP719909:QAQ719913 QKL719909:QKM719913 QUH719909:QUI719913 RED719909:REE719913 RNZ719909:ROA719913 RXV719909:RXW719913 SHR719909:SHS719913 SRN719909:SRO719913 TBJ719909:TBK719913 TLF719909:TLG719913 TVB719909:TVC719913 UEX719909:UEY719913 UOT719909:UOU719913 UYP719909:UYQ719913 VIL719909:VIM719913 VSH719909:VSI719913 WCD719909:WCE719913 WLZ719909:WMA719913 WVV719909:WVW719913 JPA130114:JPA130122 JJ785445:JK785449 TF785445:TG785449 ADB785445:ADC785449 AMX785445:AMY785449 AWT785445:AWU785449 BGP785445:BGQ785449 BQL785445:BQM785449 CAH785445:CAI785449 CKD785445:CKE785449 CTZ785445:CUA785449 DDV785445:DDW785449 DNR785445:DNS785449 DXN785445:DXO785449 EHJ785445:EHK785449 ERF785445:ERG785449 FBB785445:FBC785449 FKX785445:FKY785449 FUT785445:FUU785449 GEP785445:GEQ785449 GOL785445:GOM785449 GYH785445:GYI785449 HID785445:HIE785449 HRZ785445:HSA785449 IBV785445:IBW785449 ILR785445:ILS785449 IVN785445:IVO785449 JFJ785445:JFK785449 JPF785445:JPG785449 JZB785445:JZC785449 KIX785445:KIY785449 KST785445:KSU785449 LCP785445:LCQ785449 LML785445:LMM785449 LWH785445:LWI785449 MGD785445:MGE785449 MPZ785445:MQA785449 MZV785445:MZW785449 NJR785445:NJS785449 NTN785445:NTO785449 ODJ785445:ODK785449 ONF785445:ONG785449 OXB785445:OXC785449 PGX785445:PGY785449 PQT785445:PQU785449 QAP785445:QAQ785449 QKL785445:QKM785449 QUH785445:QUI785449 RED785445:REE785449 RNZ785445:ROA785449 RXV785445:RXW785449 SHR785445:SHS785449 SRN785445:SRO785449 TBJ785445:TBK785449 TLF785445:TLG785449 TVB785445:TVC785449 UEX785445:UEY785449 UOT785445:UOU785449 UYP785445:UYQ785449 VIL785445:VIM785449 VSH785445:VSI785449 WCD785445:WCE785449 WLZ785445:WMA785449 WVV785445:WVW785449 JFE130114:JFE130122 JJ850981:JK850985 TF850981:TG850985 ADB850981:ADC850985 AMX850981:AMY850985 AWT850981:AWU850985 BGP850981:BGQ850985 BQL850981:BQM850985 CAH850981:CAI850985 CKD850981:CKE850985 CTZ850981:CUA850985 DDV850981:DDW850985 DNR850981:DNS850985 DXN850981:DXO850985 EHJ850981:EHK850985 ERF850981:ERG850985 FBB850981:FBC850985 FKX850981:FKY850985 FUT850981:FUU850985 GEP850981:GEQ850985 GOL850981:GOM850985 GYH850981:GYI850985 HID850981:HIE850985 HRZ850981:HSA850985 IBV850981:IBW850985 ILR850981:ILS850985 IVN850981:IVO850985 JFJ850981:JFK850985 JPF850981:JPG850985 JZB850981:JZC850985 KIX850981:KIY850985 KST850981:KSU850985 LCP850981:LCQ850985 LML850981:LMM850985 LWH850981:LWI850985 MGD850981:MGE850985 MPZ850981:MQA850985 MZV850981:MZW850985 NJR850981:NJS850985 NTN850981:NTO850985 ODJ850981:ODK850985 ONF850981:ONG850985 OXB850981:OXC850985 PGX850981:PGY850985 PQT850981:PQU850985 QAP850981:QAQ850985 QKL850981:QKM850985 QUH850981:QUI850985 RED850981:REE850985 RNZ850981:ROA850985 RXV850981:RXW850985 SHR850981:SHS850985 SRN850981:SRO850985 TBJ850981:TBK850985 TLF850981:TLG850985 TVB850981:TVC850985 UEX850981:UEY850985 UOT850981:UOU850985 UYP850981:UYQ850985 VIL850981:VIM850985 VSH850981:VSI850985 WCD850981:WCE850985 WLZ850981:WMA850985 WVV850981:WVW850985 M64591:M64595 JJ916517:JK916521 TF916517:TG916521 ADB916517:ADC916521 AMX916517:AMY916521 AWT916517:AWU916521 BGP916517:BGQ916521 BQL916517:BQM916521 CAH916517:CAI916521 CKD916517:CKE916521 CTZ916517:CUA916521 DDV916517:DDW916521 DNR916517:DNS916521 DXN916517:DXO916521 EHJ916517:EHK916521 ERF916517:ERG916521 FBB916517:FBC916521 FKX916517:FKY916521 FUT916517:FUU916521 GEP916517:GEQ916521 GOL916517:GOM916521 GYH916517:GYI916521 HID916517:HIE916521 HRZ916517:HSA916521 IBV916517:IBW916521 ILR916517:ILS916521 IVN916517:IVO916521 JFJ916517:JFK916521 JPF916517:JPG916521 JZB916517:JZC916521 KIX916517:KIY916521 KST916517:KSU916521 LCP916517:LCQ916521 LML916517:LMM916521 LWH916517:LWI916521 MGD916517:MGE916521 MPZ916517:MQA916521 MZV916517:MZW916521 NJR916517:NJS916521 NTN916517:NTO916521 ODJ916517:ODK916521 ONF916517:ONG916521 OXB916517:OXC916521 PGX916517:PGY916521 PQT916517:PQU916521 QAP916517:QAQ916521 QKL916517:QKM916521 QUH916517:QUI916521 RED916517:REE916521 RNZ916517:ROA916521 RXV916517:RXW916521 SHR916517:SHS916521 SRN916517:SRO916521 TBJ916517:TBK916521 TLF916517:TLG916521 TVB916517:TVC916521 UEX916517:UEY916521 UOT916517:UOU916521 UYP916517:UYQ916521 VIL916517:VIM916521 VSH916517:VSI916521 WCD916517:WCE916521 WLZ916517:WMA916521 WVV916517:WVW916521 M64578:M64586 JJ982053:JK982057 TF982053:TG982057 ADB982053:ADC982057 AMX982053:AMY982057 AWT982053:AWU982057 BGP982053:BGQ982057 BQL982053:BQM982057 CAH982053:CAI982057 CKD982053:CKE982057 CTZ982053:CUA982057 DDV982053:DDW982057 DNR982053:DNS982057 DXN982053:DXO982057 EHJ982053:EHK982057 ERF982053:ERG982057 FBB982053:FBC982057 FKX982053:FKY982057 FUT982053:FUU982057 GEP982053:GEQ982057 GOL982053:GOM982057 GYH982053:GYI982057 HID982053:HIE982057 HRZ982053:HSA982057 IBV982053:IBW982057 ILR982053:ILS982057 IVN982053:IVO982057 JFJ982053:JFK982057 JPF982053:JPG982057 JZB982053:JZC982057 KIX982053:KIY982057 KST982053:KSU982057 LCP982053:LCQ982057 LML982053:LMM982057 LWH982053:LWI982057 MGD982053:MGE982057 MPZ982053:MQA982057 MZV982053:MZW982057 NJR982053:NJS982057 NTN982053:NTO982057 ODJ982053:ODK982057 ONF982053:ONG982057 OXB982053:OXC982057 PGX982053:PGY982057 PQT982053:PQU982057 QAP982053:QAQ982057 QKL982053:QKM982057 QUH982053:QUI982057 RED982053:REE982057 RNZ982053:ROA982057 RXV982053:RXW982057 SHR982053:SHS982057 SRN982053:SRO982057 TBJ982053:TBK982057 TLF982053:TLG982057 TVB982053:TVC982057 UEX982053:UEY982057 UOT982053:UOU982057 UYP982053:UYQ982057 VIL982053:VIM982057 VSH982053:VSI982057 WCD982053:WCE982057 WLZ982053:WMA982057 WVV982053:WVW982057 WLY982082:WLZ982090 M130114:M130122 JI64578:JJ64586 TE64578:TF64586 ADA64578:ADB64586 AMW64578:AMX64586 AWS64578:AWT64586 BGO64578:BGP64586 BQK64578:BQL64586 CAG64578:CAH64586 CKC64578:CKD64586 CTY64578:CTZ64586 DDU64578:DDV64586 DNQ64578:DNR64586 DXM64578:DXN64586 EHI64578:EHJ64586 ERE64578:ERF64586 FBA64578:FBB64586 FKW64578:FKX64586 FUS64578:FUT64586 GEO64578:GEP64586 GOK64578:GOL64586 GYG64578:GYH64586 HIC64578:HID64586 HRY64578:HRZ64586 IBU64578:IBV64586 ILQ64578:ILR64586 IVM64578:IVN64586 JFI64578:JFJ64586 JPE64578:JPF64586 JZA64578:JZB64586 KIW64578:KIX64586 KSS64578:KST64586 LCO64578:LCP64586 LMK64578:LML64586 LWG64578:LWH64586 MGC64578:MGD64586 MPY64578:MPZ64586 MZU64578:MZV64586 NJQ64578:NJR64586 NTM64578:NTN64586 ODI64578:ODJ64586 ONE64578:ONF64586 OXA64578:OXB64586 PGW64578:PGX64586 PQS64578:PQT64586 QAO64578:QAP64586 QKK64578:QKL64586 QUG64578:QUH64586 REC64578:RED64586 RNY64578:RNZ64586 RXU64578:RXV64586 SHQ64578:SHR64586 SRM64578:SRN64586 TBI64578:TBJ64586 TLE64578:TLF64586 TVA64578:TVB64586 UEW64578:UEX64586 UOS64578:UOT64586 UYO64578:UYP64586 VIK64578:VIL64586 VSG64578:VSH64586 WCC64578:WCD64586 WLY64578:WLZ64586 WVU64578:WVV64586 M195650:M195658 JI130114:JJ130122 TE130114:TF130122 ADA130114:ADB130122 AMW130114:AMX130122 AWS130114:AWT130122 BGO130114:BGP130122 BQK130114:BQL130122 CAG130114:CAH130122 CKC130114:CKD130122 CTY130114:CTZ130122 DDU130114:DDV130122 DNQ130114:DNR130122 DXM130114:DXN130122 EHI130114:EHJ130122 ERE130114:ERF130122 FBA130114:FBB130122 FKW130114:FKX130122 FUS130114:FUT130122 GEO130114:GEP130122 GOK130114:GOL130122 GYG130114:GYH130122 HIC130114:HID130122 HRY130114:HRZ130122 IBU130114:IBV130122 ILQ130114:ILR130122 IVM130114:IVN130122 JFI130114:JFJ130122 JPE130114:JPF130122 JZA130114:JZB130122 KIW130114:KIX130122 KSS130114:KST130122 LCO130114:LCP130122 LMK130114:LML130122 LWG130114:LWH130122 MGC130114:MGD130122 MPY130114:MPZ130122 MZU130114:MZV130122 NJQ130114:NJR130122 NTM130114:NTN130122 ODI130114:ODJ130122 ONE130114:ONF130122 OXA130114:OXB130122 PGW130114:PGX130122 PQS130114:PQT130122 QAO130114:QAP130122 QKK130114:QKL130122 QUG130114:QUH130122 REC130114:RED130122 RNY130114:RNZ130122 RXU130114:RXV130122 SHQ130114:SHR130122 SRM130114:SRN130122 TBI130114:TBJ130122 TLE130114:TLF130122 TVA130114:TVB130122 UEW130114:UEX130122 UOS130114:UOT130122 UYO130114:UYP130122 VIK130114:VIL130122 VSG130114:VSH130122 WCC130114:WCD130122 WLY130114:WLZ130122 WVU130114:WVV130122 M261186:M261194 JI195650:JJ195658 TE195650:TF195658 ADA195650:ADB195658 AMW195650:AMX195658 AWS195650:AWT195658 BGO195650:BGP195658 BQK195650:BQL195658 CAG195650:CAH195658 CKC195650:CKD195658 CTY195650:CTZ195658 DDU195650:DDV195658 DNQ195650:DNR195658 DXM195650:DXN195658 EHI195650:EHJ195658 ERE195650:ERF195658 FBA195650:FBB195658 FKW195650:FKX195658 FUS195650:FUT195658 GEO195650:GEP195658 GOK195650:GOL195658 GYG195650:GYH195658 HIC195650:HID195658 HRY195650:HRZ195658 IBU195650:IBV195658 ILQ195650:ILR195658 IVM195650:IVN195658 JFI195650:JFJ195658 JPE195650:JPF195658 JZA195650:JZB195658 KIW195650:KIX195658 KSS195650:KST195658 LCO195650:LCP195658 LMK195650:LML195658 LWG195650:LWH195658 MGC195650:MGD195658 MPY195650:MPZ195658 MZU195650:MZV195658 NJQ195650:NJR195658 NTM195650:NTN195658 ODI195650:ODJ195658 ONE195650:ONF195658 OXA195650:OXB195658 PGW195650:PGX195658 PQS195650:PQT195658 QAO195650:QAP195658 QKK195650:QKL195658 QUG195650:QUH195658 REC195650:RED195658 RNY195650:RNZ195658 RXU195650:RXV195658 SHQ195650:SHR195658 SRM195650:SRN195658 TBI195650:TBJ195658 TLE195650:TLF195658 TVA195650:TVB195658 UEW195650:UEX195658 UOS195650:UOT195658 UYO195650:UYP195658 VIK195650:VIL195658 VSG195650:VSH195658 WCC195650:WCD195658 WLY195650:WLZ195658 WVU195650:WVV195658 M326722:M326730 JI261186:JJ261194 TE261186:TF261194 ADA261186:ADB261194 AMW261186:AMX261194 AWS261186:AWT261194 BGO261186:BGP261194 BQK261186:BQL261194 CAG261186:CAH261194 CKC261186:CKD261194 CTY261186:CTZ261194 DDU261186:DDV261194 DNQ261186:DNR261194 DXM261186:DXN261194 EHI261186:EHJ261194 ERE261186:ERF261194 FBA261186:FBB261194 FKW261186:FKX261194 FUS261186:FUT261194 GEO261186:GEP261194 GOK261186:GOL261194 GYG261186:GYH261194 HIC261186:HID261194 HRY261186:HRZ261194 IBU261186:IBV261194 ILQ261186:ILR261194 IVM261186:IVN261194 JFI261186:JFJ261194 JPE261186:JPF261194 JZA261186:JZB261194 KIW261186:KIX261194 KSS261186:KST261194 LCO261186:LCP261194 LMK261186:LML261194 LWG261186:LWH261194 MGC261186:MGD261194 MPY261186:MPZ261194 MZU261186:MZV261194 NJQ261186:NJR261194 NTM261186:NTN261194 ODI261186:ODJ261194 ONE261186:ONF261194 OXA261186:OXB261194 PGW261186:PGX261194 PQS261186:PQT261194 QAO261186:QAP261194 QKK261186:QKL261194 QUG261186:QUH261194 REC261186:RED261194 RNY261186:RNZ261194 RXU261186:RXV261194 SHQ261186:SHR261194 SRM261186:SRN261194 TBI261186:TBJ261194 TLE261186:TLF261194 TVA261186:TVB261194 UEW261186:UEX261194 UOS261186:UOT261194 UYO261186:UYP261194 VIK261186:VIL261194 VSG261186:VSH261194 WCC261186:WCD261194 WLY261186:WLZ261194 WVU261186:WVV261194 M392258:M392266 JI326722:JJ326730 TE326722:TF326730 ADA326722:ADB326730 AMW326722:AMX326730 AWS326722:AWT326730 BGO326722:BGP326730 BQK326722:BQL326730 CAG326722:CAH326730 CKC326722:CKD326730 CTY326722:CTZ326730 DDU326722:DDV326730 DNQ326722:DNR326730 DXM326722:DXN326730 EHI326722:EHJ326730 ERE326722:ERF326730 FBA326722:FBB326730 FKW326722:FKX326730 FUS326722:FUT326730 GEO326722:GEP326730 GOK326722:GOL326730 GYG326722:GYH326730 HIC326722:HID326730 HRY326722:HRZ326730 IBU326722:IBV326730 ILQ326722:ILR326730 IVM326722:IVN326730 JFI326722:JFJ326730 JPE326722:JPF326730 JZA326722:JZB326730 KIW326722:KIX326730 KSS326722:KST326730 LCO326722:LCP326730 LMK326722:LML326730 LWG326722:LWH326730 MGC326722:MGD326730 MPY326722:MPZ326730 MZU326722:MZV326730 NJQ326722:NJR326730 NTM326722:NTN326730 ODI326722:ODJ326730 ONE326722:ONF326730 OXA326722:OXB326730 PGW326722:PGX326730 PQS326722:PQT326730 QAO326722:QAP326730 QKK326722:QKL326730 QUG326722:QUH326730 REC326722:RED326730 RNY326722:RNZ326730 RXU326722:RXV326730 SHQ326722:SHR326730 SRM326722:SRN326730 TBI326722:TBJ326730 TLE326722:TLF326730 TVA326722:TVB326730 UEW326722:UEX326730 UOS326722:UOT326730 UYO326722:UYP326730 VIK326722:VIL326730 VSG326722:VSH326730 WCC326722:WCD326730 WLY326722:WLZ326730 WVU326722:WVV326730 M457794:M457802 JI392258:JJ392266 TE392258:TF392266 ADA392258:ADB392266 AMW392258:AMX392266 AWS392258:AWT392266 BGO392258:BGP392266 BQK392258:BQL392266 CAG392258:CAH392266 CKC392258:CKD392266 CTY392258:CTZ392266 DDU392258:DDV392266 DNQ392258:DNR392266 DXM392258:DXN392266 EHI392258:EHJ392266 ERE392258:ERF392266 FBA392258:FBB392266 FKW392258:FKX392266 FUS392258:FUT392266 GEO392258:GEP392266 GOK392258:GOL392266 GYG392258:GYH392266 HIC392258:HID392266 HRY392258:HRZ392266 IBU392258:IBV392266 ILQ392258:ILR392266 IVM392258:IVN392266 JFI392258:JFJ392266 JPE392258:JPF392266 JZA392258:JZB392266 KIW392258:KIX392266 KSS392258:KST392266 LCO392258:LCP392266 LMK392258:LML392266 LWG392258:LWH392266 MGC392258:MGD392266 MPY392258:MPZ392266 MZU392258:MZV392266 NJQ392258:NJR392266 NTM392258:NTN392266 ODI392258:ODJ392266 ONE392258:ONF392266 OXA392258:OXB392266 PGW392258:PGX392266 PQS392258:PQT392266 QAO392258:QAP392266 QKK392258:QKL392266 QUG392258:QUH392266 REC392258:RED392266 RNY392258:RNZ392266 RXU392258:RXV392266 SHQ392258:SHR392266 SRM392258:SRN392266 TBI392258:TBJ392266 TLE392258:TLF392266 TVA392258:TVB392266 UEW392258:UEX392266 UOS392258:UOT392266 UYO392258:UYP392266 VIK392258:VIL392266 VSG392258:VSH392266 WCC392258:WCD392266 WLY392258:WLZ392266 WVU392258:WVV392266 M523330:M523338 JI457794:JJ457802 TE457794:TF457802 ADA457794:ADB457802 AMW457794:AMX457802 AWS457794:AWT457802 BGO457794:BGP457802 BQK457794:BQL457802 CAG457794:CAH457802 CKC457794:CKD457802 CTY457794:CTZ457802 DDU457794:DDV457802 DNQ457794:DNR457802 DXM457794:DXN457802 EHI457794:EHJ457802 ERE457794:ERF457802 FBA457794:FBB457802 FKW457794:FKX457802 FUS457794:FUT457802 GEO457794:GEP457802 GOK457794:GOL457802 GYG457794:GYH457802 HIC457794:HID457802 HRY457794:HRZ457802 IBU457794:IBV457802 ILQ457794:ILR457802 IVM457794:IVN457802 JFI457794:JFJ457802 JPE457794:JPF457802 JZA457794:JZB457802 KIW457794:KIX457802 KSS457794:KST457802 LCO457794:LCP457802 LMK457794:LML457802 LWG457794:LWH457802 MGC457794:MGD457802 MPY457794:MPZ457802 MZU457794:MZV457802 NJQ457794:NJR457802 NTM457794:NTN457802 ODI457794:ODJ457802 ONE457794:ONF457802 OXA457794:OXB457802 PGW457794:PGX457802 PQS457794:PQT457802 QAO457794:QAP457802 QKK457794:QKL457802 QUG457794:QUH457802 REC457794:RED457802 RNY457794:RNZ457802 RXU457794:RXV457802 SHQ457794:SHR457802 SRM457794:SRN457802 TBI457794:TBJ457802 TLE457794:TLF457802 TVA457794:TVB457802 UEW457794:UEX457802 UOS457794:UOT457802 UYO457794:UYP457802 VIK457794:VIL457802 VSG457794:VSH457802 WCC457794:WCD457802 WLY457794:WLZ457802 WVU457794:WVV457802 M588866:M588874 JI523330:JJ523338 TE523330:TF523338 ADA523330:ADB523338 AMW523330:AMX523338 AWS523330:AWT523338 BGO523330:BGP523338 BQK523330:BQL523338 CAG523330:CAH523338 CKC523330:CKD523338 CTY523330:CTZ523338 DDU523330:DDV523338 DNQ523330:DNR523338 DXM523330:DXN523338 EHI523330:EHJ523338 ERE523330:ERF523338 FBA523330:FBB523338 FKW523330:FKX523338 FUS523330:FUT523338 GEO523330:GEP523338 GOK523330:GOL523338 GYG523330:GYH523338 HIC523330:HID523338 HRY523330:HRZ523338 IBU523330:IBV523338 ILQ523330:ILR523338 IVM523330:IVN523338 JFI523330:JFJ523338 JPE523330:JPF523338 JZA523330:JZB523338 KIW523330:KIX523338 KSS523330:KST523338 LCO523330:LCP523338 LMK523330:LML523338 LWG523330:LWH523338 MGC523330:MGD523338 MPY523330:MPZ523338 MZU523330:MZV523338 NJQ523330:NJR523338 NTM523330:NTN523338 ODI523330:ODJ523338 ONE523330:ONF523338 OXA523330:OXB523338 PGW523330:PGX523338 PQS523330:PQT523338 QAO523330:QAP523338 QKK523330:QKL523338 QUG523330:QUH523338 REC523330:RED523338 RNY523330:RNZ523338 RXU523330:RXV523338 SHQ523330:SHR523338 SRM523330:SRN523338 TBI523330:TBJ523338 TLE523330:TLF523338 TVA523330:TVB523338 UEW523330:UEX523338 UOS523330:UOT523338 UYO523330:UYP523338 VIK523330:VIL523338 VSG523330:VSH523338 WCC523330:WCD523338 WLY523330:WLZ523338 WVU523330:WVV523338 M654402:M654410 JI588866:JJ588874 TE588866:TF588874 ADA588866:ADB588874 AMW588866:AMX588874 AWS588866:AWT588874 BGO588866:BGP588874 BQK588866:BQL588874 CAG588866:CAH588874 CKC588866:CKD588874 CTY588866:CTZ588874 DDU588866:DDV588874 DNQ588866:DNR588874 DXM588866:DXN588874 EHI588866:EHJ588874 ERE588866:ERF588874 FBA588866:FBB588874 FKW588866:FKX588874 FUS588866:FUT588874 GEO588866:GEP588874 GOK588866:GOL588874 GYG588866:GYH588874 HIC588866:HID588874 HRY588866:HRZ588874 IBU588866:IBV588874 ILQ588866:ILR588874 IVM588866:IVN588874 JFI588866:JFJ588874 JPE588866:JPF588874 JZA588866:JZB588874 KIW588866:KIX588874 KSS588866:KST588874 LCO588866:LCP588874 LMK588866:LML588874 LWG588866:LWH588874 MGC588866:MGD588874 MPY588866:MPZ588874 MZU588866:MZV588874 NJQ588866:NJR588874 NTM588866:NTN588874 ODI588866:ODJ588874 ONE588866:ONF588874 OXA588866:OXB588874 PGW588866:PGX588874 PQS588866:PQT588874 QAO588866:QAP588874 QKK588866:QKL588874 QUG588866:QUH588874 REC588866:RED588874 RNY588866:RNZ588874 RXU588866:RXV588874 SHQ588866:SHR588874 SRM588866:SRN588874 TBI588866:TBJ588874 TLE588866:TLF588874 TVA588866:TVB588874 UEW588866:UEX588874 UOS588866:UOT588874 UYO588866:UYP588874 VIK588866:VIL588874 VSG588866:VSH588874 WCC588866:WCD588874 WLY588866:WLZ588874 WVU588866:WVV588874 M719938:M719946 JI654402:JJ654410 TE654402:TF654410 ADA654402:ADB654410 AMW654402:AMX654410 AWS654402:AWT654410 BGO654402:BGP654410 BQK654402:BQL654410 CAG654402:CAH654410 CKC654402:CKD654410 CTY654402:CTZ654410 DDU654402:DDV654410 DNQ654402:DNR654410 DXM654402:DXN654410 EHI654402:EHJ654410 ERE654402:ERF654410 FBA654402:FBB654410 FKW654402:FKX654410 FUS654402:FUT654410 GEO654402:GEP654410 GOK654402:GOL654410 GYG654402:GYH654410 HIC654402:HID654410 HRY654402:HRZ654410 IBU654402:IBV654410 ILQ654402:ILR654410 IVM654402:IVN654410 JFI654402:JFJ654410 JPE654402:JPF654410 JZA654402:JZB654410 KIW654402:KIX654410 KSS654402:KST654410 LCO654402:LCP654410 LMK654402:LML654410 LWG654402:LWH654410 MGC654402:MGD654410 MPY654402:MPZ654410 MZU654402:MZV654410 NJQ654402:NJR654410 NTM654402:NTN654410 ODI654402:ODJ654410 ONE654402:ONF654410 OXA654402:OXB654410 PGW654402:PGX654410 PQS654402:PQT654410 QAO654402:QAP654410 QKK654402:QKL654410 QUG654402:QUH654410 REC654402:RED654410 RNY654402:RNZ654410 RXU654402:RXV654410 SHQ654402:SHR654410 SRM654402:SRN654410 TBI654402:TBJ654410 TLE654402:TLF654410 TVA654402:TVB654410 UEW654402:UEX654410 UOS654402:UOT654410 UYO654402:UYP654410 VIK654402:VIL654410 VSG654402:VSH654410 WCC654402:WCD654410 WLY654402:WLZ654410 WVU654402:WVV654410 M785474:M785482 JI719938:JJ719946 TE719938:TF719946 ADA719938:ADB719946 AMW719938:AMX719946 AWS719938:AWT719946 BGO719938:BGP719946 BQK719938:BQL719946 CAG719938:CAH719946 CKC719938:CKD719946 CTY719938:CTZ719946 DDU719938:DDV719946 DNQ719938:DNR719946 DXM719938:DXN719946 EHI719938:EHJ719946 ERE719938:ERF719946 FBA719938:FBB719946 FKW719938:FKX719946 FUS719938:FUT719946 GEO719938:GEP719946 GOK719938:GOL719946 GYG719938:GYH719946 HIC719938:HID719946 HRY719938:HRZ719946 IBU719938:IBV719946 ILQ719938:ILR719946 IVM719938:IVN719946 JFI719938:JFJ719946 JPE719938:JPF719946 JZA719938:JZB719946 KIW719938:KIX719946 KSS719938:KST719946 LCO719938:LCP719946 LMK719938:LML719946 LWG719938:LWH719946 MGC719938:MGD719946 MPY719938:MPZ719946 MZU719938:MZV719946 NJQ719938:NJR719946 NTM719938:NTN719946 ODI719938:ODJ719946 ONE719938:ONF719946 OXA719938:OXB719946 PGW719938:PGX719946 PQS719938:PQT719946 QAO719938:QAP719946 QKK719938:QKL719946 QUG719938:QUH719946 REC719938:RED719946 RNY719938:RNZ719946 RXU719938:RXV719946 SHQ719938:SHR719946 SRM719938:SRN719946 TBI719938:TBJ719946 TLE719938:TLF719946 TVA719938:TVB719946 UEW719938:UEX719946 UOS719938:UOT719946 UYO719938:UYP719946 VIK719938:VIL719946 VSG719938:VSH719946 WCC719938:WCD719946 WLY719938:WLZ719946 WVU719938:WVV719946 M851010:M851018 JI785474:JJ785482 TE785474:TF785482 ADA785474:ADB785482 AMW785474:AMX785482 AWS785474:AWT785482 BGO785474:BGP785482 BQK785474:BQL785482 CAG785474:CAH785482 CKC785474:CKD785482 CTY785474:CTZ785482 DDU785474:DDV785482 DNQ785474:DNR785482 DXM785474:DXN785482 EHI785474:EHJ785482 ERE785474:ERF785482 FBA785474:FBB785482 FKW785474:FKX785482 FUS785474:FUT785482 GEO785474:GEP785482 GOK785474:GOL785482 GYG785474:GYH785482 HIC785474:HID785482 HRY785474:HRZ785482 IBU785474:IBV785482 ILQ785474:ILR785482 IVM785474:IVN785482 JFI785474:JFJ785482 JPE785474:JPF785482 JZA785474:JZB785482 KIW785474:KIX785482 KSS785474:KST785482 LCO785474:LCP785482 LMK785474:LML785482 LWG785474:LWH785482 MGC785474:MGD785482 MPY785474:MPZ785482 MZU785474:MZV785482 NJQ785474:NJR785482 NTM785474:NTN785482 ODI785474:ODJ785482 ONE785474:ONF785482 OXA785474:OXB785482 PGW785474:PGX785482 PQS785474:PQT785482 QAO785474:QAP785482 QKK785474:QKL785482 QUG785474:QUH785482 REC785474:RED785482 RNY785474:RNZ785482 RXU785474:RXV785482 SHQ785474:SHR785482 SRM785474:SRN785482 TBI785474:TBJ785482 TLE785474:TLF785482 TVA785474:TVB785482 UEW785474:UEX785482 UOS785474:UOT785482 UYO785474:UYP785482 VIK785474:VIL785482 VSG785474:VSH785482 WCC785474:WCD785482 WLY785474:WLZ785482 WVU785474:WVV785482 M916546:M916554 JI851010:JJ851018 TE851010:TF851018 ADA851010:ADB851018 AMW851010:AMX851018 AWS851010:AWT851018 BGO851010:BGP851018 BQK851010:BQL851018 CAG851010:CAH851018 CKC851010:CKD851018 CTY851010:CTZ851018 DDU851010:DDV851018 DNQ851010:DNR851018 DXM851010:DXN851018 EHI851010:EHJ851018 ERE851010:ERF851018 FBA851010:FBB851018 FKW851010:FKX851018 FUS851010:FUT851018 GEO851010:GEP851018 GOK851010:GOL851018 GYG851010:GYH851018 HIC851010:HID851018 HRY851010:HRZ851018 IBU851010:IBV851018 ILQ851010:ILR851018 IVM851010:IVN851018 JFI851010:JFJ851018 JPE851010:JPF851018 JZA851010:JZB851018 KIW851010:KIX851018 KSS851010:KST851018 LCO851010:LCP851018 LMK851010:LML851018 LWG851010:LWH851018 MGC851010:MGD851018 MPY851010:MPZ851018 MZU851010:MZV851018 NJQ851010:NJR851018 NTM851010:NTN851018 ODI851010:ODJ851018 ONE851010:ONF851018 OXA851010:OXB851018 PGW851010:PGX851018 PQS851010:PQT851018 QAO851010:QAP851018 QKK851010:QKL851018 QUG851010:QUH851018 REC851010:RED851018 RNY851010:RNZ851018 RXU851010:RXV851018 SHQ851010:SHR851018 SRM851010:SRN851018 TBI851010:TBJ851018 TLE851010:TLF851018 TVA851010:TVB851018 UEW851010:UEX851018 UOS851010:UOT851018 UYO851010:UYP851018 VIK851010:VIL851018 VSG851010:VSH851018 WCC851010:WCD851018 WLY851010:WLZ851018 WVU851010:WVV851018 M982082:M982090 JI916546:JJ916554 TE916546:TF916554 ADA916546:ADB916554 AMW916546:AMX916554 AWS916546:AWT916554 BGO916546:BGP916554 BQK916546:BQL916554 CAG916546:CAH916554 CKC916546:CKD916554 CTY916546:CTZ916554 DDU916546:DDV916554 DNQ916546:DNR916554 DXM916546:DXN916554 EHI916546:EHJ916554 ERE916546:ERF916554 FBA916546:FBB916554 FKW916546:FKX916554 FUS916546:FUT916554 GEO916546:GEP916554 GOK916546:GOL916554 GYG916546:GYH916554 HIC916546:HID916554 HRY916546:HRZ916554 IBU916546:IBV916554 ILQ916546:ILR916554 IVM916546:IVN916554 JFI916546:JFJ916554 JPE916546:JPF916554 JZA916546:JZB916554 KIW916546:KIX916554 KSS916546:KST916554 LCO916546:LCP916554 LMK916546:LML916554 LWG916546:LWH916554 MGC916546:MGD916554 MPY916546:MPZ916554 MZU916546:MZV916554 NJQ916546:NJR916554 NTM916546:NTN916554 ODI916546:ODJ916554 ONE916546:ONF916554 OXA916546:OXB916554 PGW916546:PGX916554 PQS916546:PQT916554 QAO916546:QAP916554 QKK916546:QKL916554 QUG916546:QUH916554 REC916546:RED916554 RNY916546:RNZ916554 RXU916546:RXV916554 SHQ916546:SHR916554 SRM916546:SRN916554 TBI916546:TBJ916554 TLE916546:TLF916554 TVA916546:TVB916554 UEW916546:UEX916554 UOS916546:UOT916554 UYO916546:UYP916554 VIK916546:VIL916554 VSG916546:VSH916554 WCC916546:WCD916554 WLY916546:WLZ916554 WVU916546:WVV916554 IVI130114:IVI130122 JI982082:JJ982090 TE982082:TF982090 ADA982082:ADB982090 AMW982082:AMX982090 AWS982082:AWT982090 BGO982082:BGP982090 BQK982082:BQL982090 CAG982082:CAH982090 CKC982082:CKD982090 CTY982082:CTZ982090 DDU982082:DDV982090 DNQ982082:DNR982090 DXM982082:DXN982090 EHI982082:EHJ982090 ERE982082:ERF982090 FBA982082:FBB982090 FKW982082:FKX982090 FUS982082:FUT982090 GEO982082:GEP982090 GOK982082:GOL982090 GYG982082:GYH982090 HIC982082:HID982090 HRY982082:HRZ982090 IBU982082:IBV982090 ILQ982082:ILR982090 IVM982082:IVN982090 JFI982082:JFJ982090 JPE982082:JPF982090 JZA982082:JZB982090 KIW982082:KIX982090 KSS982082:KST982090 LCO982082:LCP982090 LMK982082:LML982090 LWG982082:LWH982090 MGC982082:MGD982090 MPY982082:MPZ982090 MZU982082:MZV982090 NJQ982082:NJR982090 NTM982082:NTN982090 ODI982082:ODJ982090 ONE982082:ONF982090 OXA982082:OXB982090 PGW982082:PGX982090 PQS982082:PQT982090 QAO982082:QAP982090 QKK982082:QKL982090 QUG982082:QUH982090 REC982082:RED982090 RNY982082:RNZ982090 RXU982082:RXV982090 SHQ982082:SHR982090 SRM982082:SRN982090 TBI982082:TBJ982090 TLE982082:TLF982090 TVA982082:TVB982090 UEW982082:UEX982090 UOS982082:UOT982090 WBW982053:WBW982057 VSA982053:VSA982057 VIE982053:VIE982057 UYI982053:UYI982057 UOM982053:UOM982057 UEQ982053:UEQ982057 TUU982053:TUU982057 TKY982053:TKY982057 TBC982053:TBC982057 SRG982053:SRG982057 SHK982053:SHK982057 RXO982053:RXO982057 RNS982053:RNS982057 RDW982053:RDW982057 QUA982053:QUA982057 QKE982053:QKE982057 QAI982053:QAI982057 PQM982053:PQM982057 PGQ982053:PGQ982057 OWU982053:OWU982057 OMY982053:OMY982057 ODC982053:ODC982057 NTG982053:NTG982057 NJK982053:NJK982057 MZO982053:MZO982057 MPS982053:MPS982057 MFW982053:MFW982057 LWA982053:LWA982057 LME982053:LME982057 LCI982053:LCI982057 KSM982053:KSM982057 KIQ982053:KIQ982057 JYU982053:JYU982057 JOY982053:JOY982057 JFC982053:JFC982057 IVG982053:IVG982057 ILK982053:ILK982057 IBO982053:IBO982057 HRS982053:HRS982057 HHW982053:HHW982057 GYA982053:GYA982057 GOE982053:GOE982057 GEI982053:GEI982057 FUM982053:FUM982057 FKQ982053:FKQ982057 FAU982053:FAU982057 EQY982053:EQY982057 EHC982053:EHC982057 DXG982053:DXG982057 DNK982053:DNK982057 DDO982053:DDO982057 CTS982053:CTS982057 CJW982053:CJW982057 CAA982053:CAA982057 BQE982053:BQE982057 BGI982053:BGI982057 AWM982053:AWM982057 AMQ982053:AMQ982057 ACU982053:ACU982057 SY982053:SY982057 JC982053:JC982057 CTU130114:CTU130122 WVO916517:WVO916521 WLS916517:WLS916521 WBW916517:WBW916521 VSA916517:VSA916521 VIE916517:VIE916521 UYI916517:UYI916521 UOM916517:UOM916521 UEQ916517:UEQ916521 TUU916517:TUU916521 TKY916517:TKY916521 TBC916517:TBC916521 SRG916517:SRG916521 SHK916517:SHK916521 RXO916517:RXO916521 RNS916517:RNS916521 RDW916517:RDW916521 QUA916517:QUA916521 QKE916517:QKE916521 QAI916517:QAI916521 PQM916517:PQM916521 PGQ916517:PGQ916521 OWU916517:OWU916521 OMY916517:OMY916521 ODC916517:ODC916521 NTG916517:NTG916521 NJK916517:NJK916521 MZO916517:MZO916521 MPS916517:MPS916521 MFW916517:MFW916521 LWA916517:LWA916521 LME916517:LME916521 LCI916517:LCI916521 KSM916517:KSM916521 KIQ916517:KIQ916521 JYU916517:JYU916521 JOY916517:JOY916521 JFC916517:JFC916521 IVG916517:IVG916521 ILK916517:ILK916521 IBO916517:IBO916521 HRS916517:HRS916521 HHW916517:HHW916521 GYA916517:GYA916521 GOE916517:GOE916521 GEI916517:GEI916521 FUM916517:FUM916521 FKQ916517:FKQ916521 FAU916517:FAU916521 EQY916517:EQY916521 EHC916517:EHC916521 DXG916517:DXG916521 DNK916517:DNK916521 DDO916517:DDO916521 CTS916517:CTS916521 CJW916517:CJW916521 CAA916517:CAA916521 BQE916517:BQE916521 BGI916517:BGI916521 AWM916517:AWM916521 AMQ916517:AMQ916521 ACU916517:ACU916521 SY916517:SY916521 JC916517:JC916521 CJY130114:CJY130122 WVO850981:WVO850985 WLS850981:WLS850985 WBW850981:WBW850985 VSA850981:VSA850985 VIE850981:VIE850985 UYI850981:UYI850985 UOM850981:UOM850985 UEQ850981:UEQ850985 TUU850981:TUU850985 TKY850981:TKY850985 TBC850981:TBC850985 SRG850981:SRG850985 SHK850981:SHK850985 RXO850981:RXO850985 RNS850981:RNS850985 RDW850981:RDW850985 QUA850981:QUA850985 QKE850981:QKE850985 QAI850981:QAI850985 PQM850981:PQM850985 PGQ850981:PGQ850985 OWU850981:OWU850985 OMY850981:OMY850985 ODC850981:ODC850985 NTG850981:NTG850985 NJK850981:NJK850985 MZO850981:MZO850985 MPS850981:MPS850985 MFW850981:MFW850985 LWA850981:LWA850985 LME850981:LME850985 LCI850981:LCI850985 KSM850981:KSM850985 KIQ850981:KIQ850985 JYU850981:JYU850985 JOY850981:JOY850985 JFC850981:JFC850985 IVG850981:IVG850985 ILK850981:ILK850985 IBO850981:IBO850985 HRS850981:HRS850985 HHW850981:HHW850985 GYA850981:GYA850985 GOE850981:GOE850985 GEI850981:GEI850985 FUM850981:FUM850985 FKQ850981:FKQ850985 FAU850981:FAU850985 EQY850981:EQY850985 EHC850981:EHC850985 DXG850981:DXG850985 DNK850981:DNK850985 DDO850981:DDO850985 CTS850981:CTS850985 CJW850981:CJW850985 CAA850981:CAA850985 BQE850981:BQE850985 BGI850981:BGI850985 AWM850981:AWM850985 AMQ850981:AMQ850985 ACU850981:ACU850985 SY850981:SY850985 JC850981:JC850985 CAC130114:CAC130122 WVO785445:WVO785449 WLS785445:WLS785449 WBW785445:WBW785449 VSA785445:VSA785449 VIE785445:VIE785449 UYI785445:UYI785449 UOM785445:UOM785449 UEQ785445:UEQ785449 TUU785445:TUU785449 TKY785445:TKY785449 TBC785445:TBC785449 SRG785445:SRG785449 SHK785445:SHK785449 RXO785445:RXO785449 RNS785445:RNS785449 RDW785445:RDW785449 QUA785445:QUA785449 QKE785445:QKE785449 QAI785445:QAI785449 PQM785445:PQM785449 PGQ785445:PGQ785449 OWU785445:OWU785449 OMY785445:OMY785449 ODC785445:ODC785449 NTG785445:NTG785449 NJK785445:NJK785449 MZO785445:MZO785449 MPS785445:MPS785449 MFW785445:MFW785449 LWA785445:LWA785449 LME785445:LME785449 LCI785445:LCI785449 KSM785445:KSM785449 KIQ785445:KIQ785449 JYU785445:JYU785449 JOY785445:JOY785449 JFC785445:JFC785449 IVG785445:IVG785449 ILK785445:ILK785449 IBO785445:IBO785449 HRS785445:HRS785449 HHW785445:HHW785449 GYA785445:GYA785449 GOE785445:GOE785449 GEI785445:GEI785449 FUM785445:FUM785449 FKQ785445:FKQ785449 FAU785445:FAU785449 EQY785445:EQY785449 EHC785445:EHC785449 DXG785445:DXG785449 DNK785445:DNK785449 DDO785445:DDO785449 CTS785445:CTS785449 CJW785445:CJW785449 CAA785445:CAA785449 BQE785445:BQE785449 BGI785445:BGI785449 AWM785445:AWM785449 AMQ785445:AMQ785449 ACU785445:ACU785449 SY785445:SY785449 JC785445:JC785449 BQG130114:BQG130122 WVO719909:WVO719913 WLS719909:WLS719913 WBW719909:WBW719913 VSA719909:VSA719913 VIE719909:VIE719913 UYI719909:UYI719913 UOM719909:UOM719913 UEQ719909:UEQ719913 TUU719909:TUU719913 TKY719909:TKY719913 TBC719909:TBC719913 SRG719909:SRG719913 SHK719909:SHK719913 RXO719909:RXO719913 RNS719909:RNS719913 RDW719909:RDW719913 QUA719909:QUA719913 QKE719909:QKE719913 QAI719909:QAI719913 PQM719909:PQM719913 PGQ719909:PGQ719913 OWU719909:OWU719913 OMY719909:OMY719913 ODC719909:ODC719913 NTG719909:NTG719913 NJK719909:NJK719913 MZO719909:MZO719913 MPS719909:MPS719913 MFW719909:MFW719913 LWA719909:LWA719913 LME719909:LME719913 LCI719909:LCI719913 KSM719909:KSM719913 KIQ719909:KIQ719913 JYU719909:JYU719913 JOY719909:JOY719913 JFC719909:JFC719913 IVG719909:IVG719913 ILK719909:ILK719913 IBO719909:IBO719913 HRS719909:HRS719913 HHW719909:HHW719913 GYA719909:GYA719913 GOE719909:GOE719913 GEI719909:GEI719913 FUM719909:FUM719913 FKQ719909:FKQ719913 FAU719909:FAU719913 EQY719909:EQY719913 EHC719909:EHC719913 DXG719909:DXG719913 DNK719909:DNK719913 DDO719909:DDO719913 CTS719909:CTS719913 CJW719909:CJW719913 CAA719909:CAA719913 BQE719909:BQE719913 BGI719909:BGI719913 AWM719909:AWM719913 AMQ719909:AMQ719913 ACU719909:ACU719913 SY719909:SY719913 JC719909:JC719913 BGK130114:BGK130122 WVO654373:WVO654377 WLS654373:WLS654377 WBW654373:WBW654377 VSA654373:VSA654377 VIE654373:VIE654377 UYI654373:UYI654377 UOM654373:UOM654377 UEQ654373:UEQ654377 TUU654373:TUU654377 TKY654373:TKY654377 TBC654373:TBC654377 SRG654373:SRG654377 SHK654373:SHK654377 RXO654373:RXO654377 RNS654373:RNS654377 RDW654373:RDW654377 QUA654373:QUA654377 QKE654373:QKE654377 QAI654373:QAI654377 PQM654373:PQM654377 PGQ654373:PGQ654377 OWU654373:OWU654377 OMY654373:OMY654377 ODC654373:ODC654377 NTG654373:NTG654377 NJK654373:NJK654377 MZO654373:MZO654377 MPS654373:MPS654377 MFW654373:MFW654377 LWA654373:LWA654377 LME654373:LME654377 LCI654373:LCI654377 KSM654373:KSM654377 KIQ654373:KIQ654377 JYU654373:JYU654377 JOY654373:JOY654377 JFC654373:JFC654377 IVG654373:IVG654377 ILK654373:ILK654377 IBO654373:IBO654377 HRS654373:HRS654377 HHW654373:HHW654377 GYA654373:GYA654377 GOE654373:GOE654377 GEI654373:GEI654377 FUM654373:FUM654377 FKQ654373:FKQ654377 FAU654373:FAU654377 EQY654373:EQY654377 EHC654373:EHC654377 DXG654373:DXG654377 DNK654373:DNK654377 DDO654373:DDO654377 CTS654373:CTS654377 CJW654373:CJW654377 CAA654373:CAA654377 BQE654373:BQE654377 BGI654373:BGI654377 AWM654373:AWM654377 AMQ654373:AMQ654377 ACU654373:ACU654377 SY654373:SY654377 JC654373:JC654377 AWO130114:AWO130122 WVO588837:WVO588841 WLS588837:WLS588841 WBW588837:WBW588841 VSA588837:VSA588841 VIE588837:VIE588841 UYI588837:UYI588841 UOM588837:UOM588841 UEQ588837:UEQ588841 TUU588837:TUU588841 TKY588837:TKY588841 TBC588837:TBC588841 SRG588837:SRG588841 SHK588837:SHK588841 RXO588837:RXO588841 RNS588837:RNS588841 RDW588837:RDW588841 QUA588837:QUA588841 QKE588837:QKE588841 QAI588837:QAI588841 PQM588837:PQM588841 PGQ588837:PGQ588841 OWU588837:OWU588841 OMY588837:OMY588841 ODC588837:ODC588841 NTG588837:NTG588841 NJK588837:NJK588841 MZO588837:MZO588841 MPS588837:MPS588841 MFW588837:MFW588841 LWA588837:LWA588841 LME588837:LME588841 LCI588837:LCI588841 KSM588837:KSM588841 KIQ588837:KIQ588841 JYU588837:JYU588841 JOY588837:JOY588841 JFC588837:JFC588841 IVG588837:IVG588841 ILK588837:ILK588841 IBO588837:IBO588841 HRS588837:HRS588841 HHW588837:HHW588841 GYA588837:GYA588841 GOE588837:GOE588841 GEI588837:GEI588841 FUM588837:FUM588841 FKQ588837:FKQ588841 FAU588837:FAU588841 EQY588837:EQY588841 EHC588837:EHC588841 DXG588837:DXG588841 DNK588837:DNK588841 DDO588837:DDO588841 CTS588837:CTS588841 CJW588837:CJW588841 CAA588837:CAA588841 BQE588837:BQE588841 BGI588837:BGI588841 AWM588837:AWM588841 AMQ588837:AMQ588841 ACU588837:ACU588841 SY588837:SY588841 JC588837:JC588841 AMS130114:AMS130122 WVO523301:WVO523305 WLS523301:WLS523305 WBW523301:WBW523305 VSA523301:VSA523305 VIE523301:VIE523305 UYI523301:UYI523305 UOM523301:UOM523305 UEQ523301:UEQ523305 TUU523301:TUU523305 TKY523301:TKY523305 TBC523301:TBC523305 SRG523301:SRG523305 SHK523301:SHK523305 RXO523301:RXO523305 RNS523301:RNS523305 RDW523301:RDW523305 QUA523301:QUA523305 QKE523301:QKE523305 QAI523301:QAI523305 PQM523301:PQM523305 PGQ523301:PGQ523305 OWU523301:OWU523305 OMY523301:OMY523305 ODC523301:ODC523305 NTG523301:NTG523305 NJK523301:NJK523305 MZO523301:MZO523305 MPS523301:MPS523305 MFW523301:MFW523305 LWA523301:LWA523305 LME523301:LME523305 LCI523301:LCI523305 KSM523301:KSM523305 KIQ523301:KIQ523305 JYU523301:JYU523305 JOY523301:JOY523305 JFC523301:JFC523305 IVG523301:IVG523305 ILK523301:ILK523305 IBO523301:IBO523305 HRS523301:HRS523305 HHW523301:HHW523305 GYA523301:GYA523305 GOE523301:GOE523305 GEI523301:GEI523305 FUM523301:FUM523305 FKQ523301:FKQ523305 FAU523301:FAU523305 EQY523301:EQY523305 EHC523301:EHC523305 DXG523301:DXG523305 DNK523301:DNK523305 DDO523301:DDO523305 CTS523301:CTS523305 CJW523301:CJW523305 CAA523301:CAA523305 BQE523301:BQE523305 BGI523301:BGI523305 AWM523301:AWM523305 AMQ523301:AMQ523305 ACU523301:ACU523305 SY523301:SY523305 JC523301:JC523305 ACW130114:ACW130122 WVO457765:WVO457769 WLS457765:WLS457769 WBW457765:WBW457769 VSA457765:VSA457769 VIE457765:VIE457769 UYI457765:UYI457769 UOM457765:UOM457769 UEQ457765:UEQ457769 TUU457765:TUU457769 TKY457765:TKY457769 TBC457765:TBC457769 SRG457765:SRG457769 SHK457765:SHK457769 RXO457765:RXO457769 RNS457765:RNS457769 RDW457765:RDW457769 QUA457765:QUA457769 QKE457765:QKE457769 QAI457765:QAI457769 PQM457765:PQM457769 PGQ457765:PGQ457769 OWU457765:OWU457769 OMY457765:OMY457769 ODC457765:ODC457769 NTG457765:NTG457769 NJK457765:NJK457769 MZO457765:MZO457769 MPS457765:MPS457769 MFW457765:MFW457769 LWA457765:LWA457769 LME457765:LME457769 LCI457765:LCI457769 KSM457765:KSM457769 KIQ457765:KIQ457769 JYU457765:JYU457769 JOY457765:JOY457769 JFC457765:JFC457769 IVG457765:IVG457769 ILK457765:ILK457769 IBO457765:IBO457769 HRS457765:HRS457769 HHW457765:HHW457769 GYA457765:GYA457769 GOE457765:GOE457769 GEI457765:GEI457769 FUM457765:FUM457769 FKQ457765:FKQ457769 FAU457765:FAU457769 EQY457765:EQY457769 EHC457765:EHC457769 DXG457765:DXG457769 DNK457765:DNK457769 DDO457765:DDO457769 CTS457765:CTS457769 CJW457765:CJW457769 CAA457765:CAA457769 BQE457765:BQE457769 BGI457765:BGI457769 AWM457765:AWM457769 AMQ457765:AMQ457769 ACU457765:ACU457769 SY457765:SY457769 JC457765:JC457769 TA130114:TA130122 WVO392229:WVO392233 WLS392229:WLS392233 WBW392229:WBW392233 VSA392229:VSA392233 VIE392229:VIE392233 UYI392229:UYI392233 UOM392229:UOM392233 UEQ392229:UEQ392233 TUU392229:TUU392233 TKY392229:TKY392233 TBC392229:TBC392233 SRG392229:SRG392233 SHK392229:SHK392233 RXO392229:RXO392233 RNS392229:RNS392233 RDW392229:RDW392233 QUA392229:QUA392233 QKE392229:QKE392233 QAI392229:QAI392233 PQM392229:PQM392233 PGQ392229:PGQ392233 OWU392229:OWU392233 OMY392229:OMY392233 ODC392229:ODC392233 NTG392229:NTG392233 NJK392229:NJK392233 MZO392229:MZO392233 MPS392229:MPS392233 MFW392229:MFW392233 LWA392229:LWA392233 LME392229:LME392233 LCI392229:LCI392233 KSM392229:KSM392233 KIQ392229:KIQ392233 JYU392229:JYU392233 JOY392229:JOY392233 JFC392229:JFC392233 IVG392229:IVG392233 ILK392229:ILK392233 IBO392229:IBO392233 HRS392229:HRS392233 HHW392229:HHW392233 GYA392229:GYA392233 GOE392229:GOE392233 GEI392229:GEI392233 FUM392229:FUM392233 FKQ392229:FKQ392233 FAU392229:FAU392233 EQY392229:EQY392233 EHC392229:EHC392233 DXG392229:DXG392233 DNK392229:DNK392233 DDO392229:DDO392233 CTS392229:CTS392233 CJW392229:CJW392233 CAA392229:CAA392233 BQE392229:BQE392233 BGI392229:BGI392233 AWM392229:AWM392233 AMQ392229:AMQ392233 ACU392229:ACU392233 SY392229:SY392233 JC392229:JC392233 JE130114:JE130122 WVO326693:WVO326697 WLS326693:WLS326697 WBW326693:WBW326697 VSA326693:VSA326697 VIE326693:VIE326697 UYI326693:UYI326697 UOM326693:UOM326697 UEQ326693:UEQ326697 TUU326693:TUU326697 TKY326693:TKY326697 TBC326693:TBC326697 SRG326693:SRG326697 SHK326693:SHK326697 RXO326693:RXO326697 RNS326693:RNS326697 RDW326693:RDW326697 QUA326693:QUA326697 QKE326693:QKE326697 QAI326693:QAI326697 PQM326693:PQM326697 PGQ326693:PGQ326697 OWU326693:OWU326697 OMY326693:OMY326697 ODC326693:ODC326697 NTG326693:NTG326697 NJK326693:NJK326697 MZO326693:MZO326697 MPS326693:MPS326697 MFW326693:MFW326697 LWA326693:LWA326697 LME326693:LME326697 LCI326693:LCI326697 KSM326693:KSM326697 KIQ326693:KIQ326697 JYU326693:JYU326697 JOY326693:JOY326697 JFC326693:JFC326697 IVG326693:IVG326697 ILK326693:ILK326697 IBO326693:IBO326697 HRS326693:HRS326697 HHW326693:HHW326697 GYA326693:GYA326697 GOE326693:GOE326697 GEI326693:GEI326697 FUM326693:FUM326697 FKQ326693:FKQ326697 FAU326693:FAU326697 EQY326693:EQY326697 EHC326693:EHC326697 DXG326693:DXG326697 DNK326693:DNK326697 DDO326693:DDO326697 CTS326693:CTS326697 CJW326693:CJW326697 CAA326693:CAA326697 BQE326693:BQE326697 BGI326693:BGI326697 AWM326693:AWM326697 AMQ326693:AMQ326697 ACU326693:ACU326697 SY326693:SY326697 JC326693:JC326697 I130114:I130122 WVO261157:WVO261161 WLS261157:WLS261161 WBW261157:WBW261161 VSA261157:VSA261161 VIE261157:VIE261161 UYI261157:UYI261161 UOM261157:UOM261161 UEQ261157:UEQ261161 TUU261157:TUU261161 TKY261157:TKY261161 TBC261157:TBC261161 SRG261157:SRG261161 SHK261157:SHK261161 RXO261157:RXO261161 RNS261157:RNS261161 RDW261157:RDW261161 QUA261157:QUA261161 QKE261157:QKE261161 QAI261157:QAI261161 PQM261157:PQM261161 PGQ261157:PGQ261161 OWU261157:OWU261161 OMY261157:OMY261161 ODC261157:ODC261161 NTG261157:NTG261161 NJK261157:NJK261161 MZO261157:MZO261161 MPS261157:MPS261161 MFW261157:MFW261161 LWA261157:LWA261161 LME261157:LME261161 LCI261157:LCI261161 KSM261157:KSM261161 KIQ261157:KIQ261161 JYU261157:JYU261161 JOY261157:JOY261161 JFC261157:JFC261161 IVG261157:IVG261161 ILK261157:ILK261161 IBO261157:IBO261161 HRS261157:HRS261161 HHW261157:HHW261161 GYA261157:GYA261161 GOE261157:GOE261161 GEI261157:GEI261161 FUM261157:FUM261161 FKQ261157:FKQ261161 FAU261157:FAU261161 EQY261157:EQY261161 EHC261157:EHC261161 DXG261157:DXG261161 DNK261157:DNK261161 DDO261157:DDO261161 CTS261157:CTS261161 CJW261157:CJW261161 CAA261157:CAA261161 BQE261157:BQE261161 BGI261157:BGI261161 AWM261157:AWM261161 AMQ261157:AMQ261161 ACU261157:ACU261161 SY261157:SY261161 JC261157:JC261161 WVQ64578:WVQ64586 WVO195621:WVO195625 WLS195621:WLS195625 WBW195621:WBW195625 VSA195621:VSA195625 VIE195621:VIE195625 UYI195621:UYI195625 UOM195621:UOM195625 UEQ195621:UEQ195625 TUU195621:TUU195625 TKY195621:TKY195625 TBC195621:TBC195625 SRG195621:SRG195625 SHK195621:SHK195625 RXO195621:RXO195625 RNS195621:RNS195625 RDW195621:RDW195625 QUA195621:QUA195625 QKE195621:QKE195625 QAI195621:QAI195625 PQM195621:PQM195625 PGQ195621:PGQ195625 OWU195621:OWU195625 OMY195621:OMY195625 ODC195621:ODC195625 NTG195621:NTG195625 NJK195621:NJK195625 MZO195621:MZO195625 MPS195621:MPS195625 MFW195621:MFW195625 LWA195621:LWA195625 LME195621:LME195625 LCI195621:LCI195625 KSM195621:KSM195625 KIQ195621:KIQ195625 JYU195621:JYU195625 JOY195621:JOY195625 JFC195621:JFC195625 IVG195621:IVG195625 ILK195621:ILK195625 IBO195621:IBO195625 HRS195621:HRS195625 HHW195621:HHW195625 GYA195621:GYA195625 GOE195621:GOE195625 GEI195621:GEI195625 FUM195621:FUM195625 FKQ195621:FKQ195625 FAU195621:FAU195625 EQY195621:EQY195625 EHC195621:EHC195625 DXG195621:DXG195625 DNK195621:DNK195625 DDO195621:DDO195625 CTS195621:CTS195625 CJW195621:CJW195625 CAA195621:CAA195625 BQE195621:BQE195625 BGI195621:BGI195625 AWM195621:AWM195625 AMQ195621:AMQ195625 ACU195621:ACU195625 SY195621:SY195625 JC195621:JC195625 WLU64578:WLU64586 WVO130085:WVO130089 WLS130085:WLS130089 WBW130085:WBW130089 VSA130085:VSA130089 VIE130085:VIE130089 UYI130085:UYI130089 UOM130085:UOM130089 UEQ130085:UEQ130089 TUU130085:TUU130089 TKY130085:TKY130089 TBC130085:TBC130089 SRG130085:SRG130089 SHK130085:SHK130089 RXO130085:RXO130089 RNS130085:RNS130089 RDW130085:RDW130089 QUA130085:QUA130089 QKE130085:QKE130089 QAI130085:QAI130089 PQM130085:PQM130089 PGQ130085:PGQ130089 OWU130085:OWU130089 OMY130085:OMY130089 ODC130085:ODC130089 NTG130085:NTG130089 NJK130085:NJK130089 MZO130085:MZO130089 MPS130085:MPS130089 MFW130085:MFW130089 LWA130085:LWA130089 LME130085:LME130089 LCI130085:LCI130089 KSM130085:KSM130089 KIQ130085:KIQ130089 JYU130085:JYU130089 JOY130085:JOY130089 JFC130085:JFC130089 IVG130085:IVG130089 ILK130085:ILK130089 IBO130085:IBO130089 HRS130085:HRS130089 HHW130085:HHW130089 GYA130085:GYA130089 GOE130085:GOE130089 GEI130085:GEI130089 FUM130085:FUM130089 FKQ130085:FKQ130089 FAU130085:FAU130089 EQY130085:EQY130089 EHC130085:EHC130089 DXG130085:DXG130089 DNK130085:DNK130089 DDO130085:DDO130089 CTS130085:CTS130089 CJW130085:CJW130089 CAA130085:CAA130089 BQE130085:BQE130089 BGI130085:BGI130089 AWM130085:AWM130089 AMQ130085:AMQ130089 ACU130085:ACU130089 SY130085:SY130089 JC130085:JC130089 WBY64578:WBY64586 WVO64549:WVO64553 WLS64549:WLS64553 WBW64549:WBW64553 VSA64549:VSA64553 VIE64549:VIE64553 UYI64549:UYI64553 UOM64549:UOM64553 UEQ64549:UEQ64553 TUU64549:TUU64553 TKY64549:TKY64553 TBC64549:TBC64553 SRG64549:SRG64553 SHK64549:SHK64553 RXO64549:RXO64553 RNS64549:RNS64553 RDW64549:RDW64553 QUA64549:QUA64553 QKE64549:QKE64553 QAI64549:QAI64553 PQM64549:PQM64553 PGQ64549:PGQ64553 OWU64549:OWU64553 OMY64549:OMY64553 ODC64549:ODC64553 NTG64549:NTG64553 NJK64549:NJK64553 MZO64549:MZO64553 MPS64549:MPS64553 MFW64549:MFW64553 LWA64549:LWA64553 LME64549:LME64553 LCI64549:LCI64553 KSM64549:KSM64553 KIQ64549:KIQ64553 JYU64549:JYU64553 JOY64549:JOY64553 JFC64549:JFC64553 IVG64549:IVG64553 ILK64549:ILK64553 IBO64549:IBO64553 HRS64549:HRS64553 HHW64549:HHW64553 GYA64549:GYA64553 GOE64549:GOE64553 GEI64549:GEI64553 FUM64549:FUM64553 FKQ64549:FKQ64553 FAU64549:FAU64553 EQY64549:EQY64553 EHC64549:EHC64553 DXG64549:DXG64553 DNK64549:DNK64553 DDO64549:DDO64553 CTS64549:CTS64553 CJW64549:CJW64553 CAA64549:CAA64553 BQE64549:BQE64553 BGI64549:BGI64553 AWM64549:AWM64553 AMQ64549:AMQ64553 ACU64549:ACU64553 SY64549:SY64553 JC64549:JC64553 VSC64578:VSC64586 WVO982053:WVO982057 WVO982043:WVO982047 WLS982043:WLS982047 WBW982043:WBW982047 VSA982043:VSA982047 VIE982043:VIE982047 UYI982043:UYI982047 UOM982043:UOM982047 UEQ982043:UEQ982047 TUU982043:TUU982047 TKY982043:TKY982047 TBC982043:TBC982047 SRG982043:SRG982047 SHK982043:SHK982047 RXO982043:RXO982047 RNS982043:RNS982047 RDW982043:RDW982047 QUA982043:QUA982047 QKE982043:QKE982047 QAI982043:QAI982047 PQM982043:PQM982047 PGQ982043:PGQ982047 OWU982043:OWU982047 OMY982043:OMY982047 ODC982043:ODC982047 NTG982043:NTG982047 NJK982043:NJK982047 MZO982043:MZO982047 MPS982043:MPS982047 MFW982043:MFW982047 LWA982043:LWA982047 LME982043:LME982047 LCI982043:LCI982047 KSM982043:KSM982047 KIQ982043:KIQ982047 JYU982043:JYU982047 JOY982043:JOY982047 JFC982043:JFC982047 IVG982043:IVG982047 ILK982043:ILK982047 IBO982043:IBO982047 HRS982043:HRS982047 HHW982043:HHW982047 GYA982043:GYA982047 GOE982043:GOE982047 GEI982043:GEI982047 FUM982043:FUM982047 FKQ982043:FKQ982047 FAU982043:FAU982047 EQY982043:EQY982047 EHC982043:EHC982047 DXG982043:DXG982047 DNK982043:DNK982047 DDO982043:DDO982047 CTS982043:CTS982047 CJW982043:CJW982047 CAA982043:CAA982047 BQE982043:BQE982047 BGI982043:BGI982047 AWM982043:AWM982047 AMQ982043:AMQ982047 ACU982043:ACU982047 SY982043:SY982047 JC982043:JC982047 VIG64578:VIG64586 WVO916507:WVO916511 WLS916507:WLS916511 WBW916507:WBW916511 VSA916507:VSA916511 VIE916507:VIE916511 UYI916507:UYI916511 UOM916507:UOM916511 UEQ916507:UEQ916511 TUU916507:TUU916511 TKY916507:TKY916511 TBC916507:TBC916511 SRG916507:SRG916511 SHK916507:SHK916511 RXO916507:RXO916511 RNS916507:RNS916511 RDW916507:RDW916511 QUA916507:QUA916511 QKE916507:QKE916511 QAI916507:QAI916511 PQM916507:PQM916511 PGQ916507:PGQ916511 OWU916507:OWU916511 OMY916507:OMY916511 ODC916507:ODC916511 NTG916507:NTG916511 NJK916507:NJK916511 MZO916507:MZO916511 MPS916507:MPS916511 MFW916507:MFW916511 LWA916507:LWA916511 LME916507:LME916511 LCI916507:LCI916511 KSM916507:KSM916511 KIQ916507:KIQ916511 JYU916507:JYU916511 JOY916507:JOY916511 JFC916507:JFC916511 IVG916507:IVG916511 ILK916507:ILK916511 IBO916507:IBO916511 HRS916507:HRS916511 HHW916507:HHW916511 GYA916507:GYA916511 GOE916507:GOE916511 GEI916507:GEI916511 FUM916507:FUM916511 FKQ916507:FKQ916511 FAU916507:FAU916511 EQY916507:EQY916511 EHC916507:EHC916511 DXG916507:DXG916511 DNK916507:DNK916511 DDO916507:DDO916511 CTS916507:CTS916511 CJW916507:CJW916511 CAA916507:CAA916511 BQE916507:BQE916511 BGI916507:BGI916511 AWM916507:AWM916511 AMQ916507:AMQ916511 ACU916507:ACU916511 SY916507:SY916511 JC916507:JC916511 UYK64578:UYK64586 WVO850971:WVO850975 WLS850971:WLS850975 WBW850971:WBW850975 VSA850971:VSA850975 VIE850971:VIE850975 UYI850971:UYI850975 UOM850971:UOM850975 UEQ850971:UEQ850975 TUU850971:TUU850975 TKY850971:TKY850975 TBC850971:TBC850975 SRG850971:SRG850975 SHK850971:SHK850975 RXO850971:RXO850975 RNS850971:RNS850975 RDW850971:RDW850975 QUA850971:QUA850975 QKE850971:QKE850975 QAI850971:QAI850975 PQM850971:PQM850975 PGQ850971:PGQ850975 OWU850971:OWU850975 OMY850971:OMY850975 ODC850971:ODC850975 NTG850971:NTG850975 NJK850971:NJK850975 MZO850971:MZO850975 MPS850971:MPS850975 MFW850971:MFW850975 LWA850971:LWA850975 LME850971:LME850975 LCI850971:LCI850975 KSM850971:KSM850975 KIQ850971:KIQ850975 JYU850971:JYU850975 JOY850971:JOY850975 JFC850971:JFC850975 IVG850971:IVG850975 ILK850971:ILK850975 IBO850971:IBO850975 HRS850971:HRS850975 HHW850971:HHW850975 GYA850971:GYA850975 GOE850971:GOE850975 GEI850971:GEI850975 FUM850971:FUM850975 FKQ850971:FKQ850975 FAU850971:FAU850975 EQY850971:EQY850975 EHC850971:EHC850975 DXG850971:DXG850975 DNK850971:DNK850975 DDO850971:DDO850975 CTS850971:CTS850975 CJW850971:CJW850975 CAA850971:CAA850975 BQE850971:BQE850975 BGI850971:BGI850975 AWM850971:AWM850975 AMQ850971:AMQ850975 ACU850971:ACU850975 SY850971:SY850975 JC850971:JC850975 UOO64578:UOO64586 WVO785435:WVO785439 WLS785435:WLS785439 WBW785435:WBW785439 VSA785435:VSA785439 VIE785435:VIE785439 UYI785435:UYI785439 UOM785435:UOM785439 UEQ785435:UEQ785439 TUU785435:TUU785439 TKY785435:TKY785439 TBC785435:TBC785439 SRG785435:SRG785439 SHK785435:SHK785439 RXO785435:RXO785439 RNS785435:RNS785439 RDW785435:RDW785439 QUA785435:QUA785439 QKE785435:QKE785439 QAI785435:QAI785439 PQM785435:PQM785439 PGQ785435:PGQ785439 OWU785435:OWU785439 OMY785435:OMY785439 ODC785435:ODC785439 NTG785435:NTG785439 NJK785435:NJK785439 MZO785435:MZO785439 MPS785435:MPS785439 MFW785435:MFW785439 LWA785435:LWA785439 LME785435:LME785439 LCI785435:LCI785439 KSM785435:KSM785439 KIQ785435:KIQ785439 JYU785435:JYU785439 JOY785435:JOY785439 JFC785435:JFC785439 IVG785435:IVG785439 ILK785435:ILK785439 IBO785435:IBO785439 HRS785435:HRS785439 HHW785435:HHW785439 GYA785435:GYA785439 GOE785435:GOE785439 GEI785435:GEI785439 FUM785435:FUM785439 FKQ785435:FKQ785439 FAU785435:FAU785439 EQY785435:EQY785439 EHC785435:EHC785439 DXG785435:DXG785439 DNK785435:DNK785439 DDO785435:DDO785439 CTS785435:CTS785439 CJW785435:CJW785439 CAA785435:CAA785439 BQE785435:BQE785439 BGI785435:BGI785439 AWM785435:AWM785439 AMQ785435:AMQ785439 ACU785435:ACU785439 SY785435:SY785439 JC785435:JC785439 UES64578:UES64586 WVO719899:WVO719903 WLS719899:WLS719903 WBW719899:WBW719903 VSA719899:VSA719903 VIE719899:VIE719903 UYI719899:UYI719903 UOM719899:UOM719903 UEQ719899:UEQ719903 TUU719899:TUU719903 TKY719899:TKY719903 TBC719899:TBC719903 SRG719899:SRG719903 SHK719899:SHK719903 RXO719899:RXO719903 RNS719899:RNS719903 RDW719899:RDW719903 QUA719899:QUA719903 QKE719899:QKE719903 QAI719899:QAI719903 PQM719899:PQM719903 PGQ719899:PGQ719903 OWU719899:OWU719903 OMY719899:OMY719903 ODC719899:ODC719903 NTG719899:NTG719903 NJK719899:NJK719903 MZO719899:MZO719903 MPS719899:MPS719903 MFW719899:MFW719903 LWA719899:LWA719903 LME719899:LME719903 LCI719899:LCI719903 KSM719899:KSM719903 KIQ719899:KIQ719903 JYU719899:JYU719903 JOY719899:JOY719903 JFC719899:JFC719903 IVG719899:IVG719903 ILK719899:ILK719903 IBO719899:IBO719903 HRS719899:HRS719903 HHW719899:HHW719903 GYA719899:GYA719903 GOE719899:GOE719903 GEI719899:GEI719903 FUM719899:FUM719903 FKQ719899:FKQ719903 FAU719899:FAU719903 EQY719899:EQY719903 EHC719899:EHC719903 DXG719899:DXG719903 DNK719899:DNK719903 DDO719899:DDO719903 CTS719899:CTS719903 CJW719899:CJW719903 CAA719899:CAA719903 BQE719899:BQE719903 BGI719899:BGI719903 AWM719899:AWM719903 AMQ719899:AMQ719903 ACU719899:ACU719903 SY719899:SY719903 JC719899:JC719903 TUW64578:TUW64586 WVO654363:WVO654367 WLS654363:WLS654367 WBW654363:WBW654367 VSA654363:VSA654367 VIE654363:VIE654367 UYI654363:UYI654367 UOM654363:UOM654367 UEQ654363:UEQ654367 TUU654363:TUU654367 TKY654363:TKY654367 TBC654363:TBC654367 SRG654363:SRG654367 SHK654363:SHK654367 RXO654363:RXO654367 RNS654363:RNS654367 RDW654363:RDW654367 QUA654363:QUA654367 QKE654363:QKE654367 QAI654363:QAI654367 PQM654363:PQM654367 PGQ654363:PGQ654367 OWU654363:OWU654367 OMY654363:OMY654367 ODC654363:ODC654367 NTG654363:NTG654367 NJK654363:NJK654367 MZO654363:MZO654367 MPS654363:MPS654367 MFW654363:MFW654367 LWA654363:LWA654367 LME654363:LME654367 LCI654363:LCI654367 KSM654363:KSM654367 KIQ654363:KIQ654367 JYU654363:JYU654367 JOY654363:JOY654367 JFC654363:JFC654367 IVG654363:IVG654367 ILK654363:ILK654367 IBO654363:IBO654367 HRS654363:HRS654367 HHW654363:HHW654367 GYA654363:GYA654367 GOE654363:GOE654367 GEI654363:GEI654367 FUM654363:FUM654367 FKQ654363:FKQ654367 FAU654363:FAU654367 EQY654363:EQY654367 EHC654363:EHC654367 DXG654363:DXG654367 DNK654363:DNK654367 DDO654363:DDO654367 CTS654363:CTS654367 CJW654363:CJW654367 CAA654363:CAA654367 BQE654363:BQE654367 BGI654363:BGI654367 AWM654363:AWM654367 AMQ654363:AMQ654367 ACU654363:ACU654367 SY654363:SY654367 JC654363:JC654367 TLA64578:TLA64586 WVO588827:WVO588831 WLS588827:WLS588831 WBW588827:WBW588831 VSA588827:VSA588831 VIE588827:VIE588831 UYI588827:UYI588831 UOM588827:UOM588831 UEQ588827:UEQ588831 TUU588827:TUU588831 TKY588827:TKY588831 TBC588827:TBC588831 SRG588827:SRG588831 SHK588827:SHK588831 RXO588827:RXO588831 RNS588827:RNS588831 RDW588827:RDW588831 QUA588827:QUA588831 QKE588827:QKE588831 QAI588827:QAI588831 PQM588827:PQM588831 PGQ588827:PGQ588831 OWU588827:OWU588831 OMY588827:OMY588831 ODC588827:ODC588831 NTG588827:NTG588831 NJK588827:NJK588831 MZO588827:MZO588831 MPS588827:MPS588831 MFW588827:MFW588831 LWA588827:LWA588831 LME588827:LME588831 LCI588827:LCI588831 KSM588827:KSM588831 KIQ588827:KIQ588831 JYU588827:JYU588831 JOY588827:JOY588831 JFC588827:JFC588831 IVG588827:IVG588831 ILK588827:ILK588831 IBO588827:IBO588831 HRS588827:HRS588831 HHW588827:HHW588831 GYA588827:GYA588831 GOE588827:GOE588831 GEI588827:GEI588831 FUM588827:FUM588831 FKQ588827:FKQ588831 FAU588827:FAU588831 EQY588827:EQY588831 EHC588827:EHC588831 DXG588827:DXG588831 DNK588827:DNK588831 DDO588827:DDO588831 CTS588827:CTS588831 CJW588827:CJW588831 CAA588827:CAA588831 BQE588827:BQE588831 BGI588827:BGI588831 AWM588827:AWM588831 AMQ588827:AMQ588831 ACU588827:ACU588831 SY588827:SY588831 JC588827:JC588831 TBE64578:TBE64586 WVO523291:WVO523295 WLS523291:WLS523295 WBW523291:WBW523295 VSA523291:VSA523295 VIE523291:VIE523295 UYI523291:UYI523295 UOM523291:UOM523295 UEQ523291:UEQ523295 TUU523291:TUU523295 TKY523291:TKY523295 TBC523291:TBC523295 SRG523291:SRG523295 SHK523291:SHK523295 RXO523291:RXO523295 RNS523291:RNS523295 RDW523291:RDW523295 QUA523291:QUA523295 QKE523291:QKE523295 QAI523291:QAI523295 PQM523291:PQM523295 PGQ523291:PGQ523295 OWU523291:OWU523295 OMY523291:OMY523295 ODC523291:ODC523295 NTG523291:NTG523295 NJK523291:NJK523295 MZO523291:MZO523295 MPS523291:MPS523295 MFW523291:MFW523295 LWA523291:LWA523295 LME523291:LME523295 LCI523291:LCI523295 KSM523291:KSM523295 KIQ523291:KIQ523295 JYU523291:JYU523295 JOY523291:JOY523295 JFC523291:JFC523295 IVG523291:IVG523295 ILK523291:ILK523295 IBO523291:IBO523295 HRS523291:HRS523295 HHW523291:HHW523295 GYA523291:GYA523295 GOE523291:GOE523295 GEI523291:GEI523295 FUM523291:FUM523295 FKQ523291:FKQ523295 FAU523291:FAU523295 EQY523291:EQY523295 EHC523291:EHC523295 DXG523291:DXG523295 DNK523291:DNK523295 DDO523291:DDO523295 CTS523291:CTS523295 CJW523291:CJW523295 CAA523291:CAA523295 BQE523291:BQE523295 BGI523291:BGI523295 AWM523291:AWM523295 AMQ523291:AMQ523295 ACU523291:ACU523295 SY523291:SY523295 JC523291:JC523295 SRI64578:SRI64586 WVO457755:WVO457759 WLS457755:WLS457759 WBW457755:WBW457759 VSA457755:VSA457759 VIE457755:VIE457759 UYI457755:UYI457759 UOM457755:UOM457759 UEQ457755:UEQ457759 TUU457755:TUU457759 TKY457755:TKY457759 TBC457755:TBC457759 SRG457755:SRG457759 SHK457755:SHK457759 RXO457755:RXO457759 RNS457755:RNS457759 RDW457755:RDW457759 QUA457755:QUA457759 QKE457755:QKE457759 QAI457755:QAI457759 PQM457755:PQM457759 PGQ457755:PGQ457759 OWU457755:OWU457759 OMY457755:OMY457759 ODC457755:ODC457759 NTG457755:NTG457759 NJK457755:NJK457759 MZO457755:MZO457759 MPS457755:MPS457759 MFW457755:MFW457759 LWA457755:LWA457759 LME457755:LME457759 LCI457755:LCI457759 KSM457755:KSM457759 KIQ457755:KIQ457759 JYU457755:JYU457759 JOY457755:JOY457759 JFC457755:JFC457759 IVG457755:IVG457759 ILK457755:ILK457759 IBO457755:IBO457759 HRS457755:HRS457759 HHW457755:HHW457759 GYA457755:GYA457759 GOE457755:GOE457759 GEI457755:GEI457759 FUM457755:FUM457759 FKQ457755:FKQ457759 FAU457755:FAU457759 EQY457755:EQY457759 EHC457755:EHC457759 DXG457755:DXG457759 DNK457755:DNK457759 DDO457755:DDO457759 CTS457755:CTS457759 CJW457755:CJW457759 CAA457755:CAA457759 BQE457755:BQE457759 BGI457755:BGI457759 AWM457755:AWM457759 AMQ457755:AMQ457759 ACU457755:ACU457759 SY457755:SY457759 JC457755:JC457759 SHM64578:SHM64586 WVO392219:WVO392223 WLS392219:WLS392223 WBW392219:WBW392223 VSA392219:VSA392223 VIE392219:VIE392223 UYI392219:UYI392223 UOM392219:UOM392223 UEQ392219:UEQ392223 TUU392219:TUU392223 TKY392219:TKY392223 TBC392219:TBC392223 SRG392219:SRG392223 SHK392219:SHK392223 RXO392219:RXO392223 RNS392219:RNS392223 RDW392219:RDW392223 QUA392219:QUA392223 QKE392219:QKE392223 QAI392219:QAI392223 PQM392219:PQM392223 PGQ392219:PGQ392223 OWU392219:OWU392223 OMY392219:OMY392223 ODC392219:ODC392223 NTG392219:NTG392223 NJK392219:NJK392223 MZO392219:MZO392223 MPS392219:MPS392223 MFW392219:MFW392223 LWA392219:LWA392223 LME392219:LME392223 LCI392219:LCI392223 KSM392219:KSM392223 KIQ392219:KIQ392223 JYU392219:JYU392223 JOY392219:JOY392223 JFC392219:JFC392223 IVG392219:IVG392223 ILK392219:ILK392223 IBO392219:IBO392223 HRS392219:HRS392223 HHW392219:HHW392223 GYA392219:GYA392223 GOE392219:GOE392223 GEI392219:GEI392223 FUM392219:FUM392223 FKQ392219:FKQ392223 FAU392219:FAU392223 EQY392219:EQY392223 EHC392219:EHC392223 DXG392219:DXG392223 DNK392219:DNK392223 DDO392219:DDO392223 CTS392219:CTS392223 CJW392219:CJW392223 CAA392219:CAA392223 BQE392219:BQE392223 BGI392219:BGI392223 AWM392219:AWM392223 AMQ392219:AMQ392223 ACU392219:ACU392223 SY392219:SY392223 JC392219:JC392223 RXQ64578:RXQ64586 WVO326683:WVO326687 WLS326683:WLS326687 WBW326683:WBW326687 VSA326683:VSA326687 VIE326683:VIE326687 UYI326683:UYI326687 UOM326683:UOM326687 UEQ326683:UEQ326687 TUU326683:TUU326687 TKY326683:TKY326687 TBC326683:TBC326687 SRG326683:SRG326687 SHK326683:SHK326687 RXO326683:RXO326687 RNS326683:RNS326687 RDW326683:RDW326687 QUA326683:QUA326687 QKE326683:QKE326687 QAI326683:QAI326687 PQM326683:PQM326687 PGQ326683:PGQ326687 OWU326683:OWU326687 OMY326683:OMY326687 ODC326683:ODC326687 NTG326683:NTG326687 NJK326683:NJK326687 MZO326683:MZO326687 MPS326683:MPS326687 MFW326683:MFW326687 LWA326683:LWA326687 LME326683:LME326687 LCI326683:LCI326687 KSM326683:KSM326687 KIQ326683:KIQ326687 JYU326683:JYU326687 JOY326683:JOY326687 JFC326683:JFC326687 IVG326683:IVG326687 ILK326683:ILK326687 IBO326683:IBO326687 HRS326683:HRS326687 HHW326683:HHW326687 GYA326683:GYA326687 GOE326683:GOE326687 GEI326683:GEI326687 FUM326683:FUM326687 FKQ326683:FKQ326687 FAU326683:FAU326687 EQY326683:EQY326687 EHC326683:EHC326687 DXG326683:DXG326687 DNK326683:DNK326687 DDO326683:DDO326687 CTS326683:CTS326687 CJW326683:CJW326687 CAA326683:CAA326687 BQE326683:BQE326687 BGI326683:BGI326687 AWM326683:AWM326687 AMQ326683:AMQ326687 ACU326683:ACU326687 SY326683:SY326687 JC326683:JC326687 RNU64578:RNU64586 WVO261147:WVO261151 WLS261147:WLS261151 WBW261147:WBW261151 VSA261147:VSA261151 VIE261147:VIE261151 UYI261147:UYI261151 UOM261147:UOM261151 UEQ261147:UEQ261151 TUU261147:TUU261151 TKY261147:TKY261151 TBC261147:TBC261151 SRG261147:SRG261151 SHK261147:SHK261151 RXO261147:RXO261151 RNS261147:RNS261151 RDW261147:RDW261151 QUA261147:QUA261151 QKE261147:QKE261151 QAI261147:QAI261151 PQM261147:PQM261151 PGQ261147:PGQ261151 OWU261147:OWU261151 OMY261147:OMY261151 ODC261147:ODC261151 NTG261147:NTG261151 NJK261147:NJK261151 MZO261147:MZO261151 MPS261147:MPS261151 MFW261147:MFW261151 LWA261147:LWA261151 LME261147:LME261151 LCI261147:LCI261151 KSM261147:KSM261151 KIQ261147:KIQ261151 JYU261147:JYU261151 JOY261147:JOY261151 JFC261147:JFC261151 IVG261147:IVG261151 ILK261147:ILK261151 IBO261147:IBO261151 HRS261147:HRS261151 HHW261147:HHW261151 GYA261147:GYA261151 GOE261147:GOE261151 GEI261147:GEI261151 FUM261147:FUM261151 FKQ261147:FKQ261151 FAU261147:FAU261151 EQY261147:EQY261151 EHC261147:EHC261151 DXG261147:DXG261151 DNK261147:DNK261151 DDO261147:DDO261151 CTS261147:CTS261151 CJW261147:CJW261151 CAA261147:CAA261151 BQE261147:BQE261151 BGI261147:BGI261151 AWM261147:AWM261151 AMQ261147:AMQ261151 ACU261147:ACU261151 SY261147:SY261151 JC261147:JC261151 RDY64578:RDY64586 WVO195611:WVO195615 WLS195611:WLS195615 WBW195611:WBW195615 VSA195611:VSA195615 VIE195611:VIE195615 UYI195611:UYI195615 UOM195611:UOM195615 UEQ195611:UEQ195615 TUU195611:TUU195615 TKY195611:TKY195615 TBC195611:TBC195615 SRG195611:SRG195615 SHK195611:SHK195615 RXO195611:RXO195615 RNS195611:RNS195615 RDW195611:RDW195615 QUA195611:QUA195615 QKE195611:QKE195615 QAI195611:QAI195615 PQM195611:PQM195615 PGQ195611:PGQ195615 OWU195611:OWU195615 OMY195611:OMY195615 ODC195611:ODC195615 NTG195611:NTG195615 NJK195611:NJK195615 MZO195611:MZO195615 MPS195611:MPS195615 MFW195611:MFW195615 LWA195611:LWA195615 LME195611:LME195615 LCI195611:LCI195615 KSM195611:KSM195615 KIQ195611:KIQ195615 JYU195611:JYU195615 JOY195611:JOY195615 JFC195611:JFC195615 IVG195611:IVG195615 ILK195611:ILK195615 IBO195611:IBO195615 HRS195611:HRS195615 HHW195611:HHW195615 GYA195611:GYA195615 GOE195611:GOE195615 GEI195611:GEI195615 FUM195611:FUM195615 FKQ195611:FKQ195615 FAU195611:FAU195615 EQY195611:EQY195615 EHC195611:EHC195615 DXG195611:DXG195615 DNK195611:DNK195615 DDO195611:DDO195615 CTS195611:CTS195615 CJW195611:CJW195615 CAA195611:CAA195615 BQE195611:BQE195615 BGI195611:BGI195615 AWM195611:AWM195615 AMQ195611:AMQ195615 ACU195611:ACU195615 SY195611:SY195615 JC195611:JC195615 QUC64578:QUC64586 WVO130075:WVO130079 WLS130075:WLS130079 WBW130075:WBW130079 VSA130075:VSA130079 VIE130075:VIE130079 UYI130075:UYI130079 UOM130075:UOM130079 UEQ130075:UEQ130079 TUU130075:TUU130079 TKY130075:TKY130079 TBC130075:TBC130079 SRG130075:SRG130079 SHK130075:SHK130079 RXO130075:RXO130079 RNS130075:RNS130079 RDW130075:RDW130079 QUA130075:QUA130079 QKE130075:QKE130079 QAI130075:QAI130079 PQM130075:PQM130079 PGQ130075:PGQ130079 OWU130075:OWU130079 OMY130075:OMY130079 ODC130075:ODC130079 NTG130075:NTG130079 NJK130075:NJK130079 MZO130075:MZO130079 MPS130075:MPS130079 MFW130075:MFW130079 LWA130075:LWA130079 LME130075:LME130079 LCI130075:LCI130079 KSM130075:KSM130079 KIQ130075:KIQ130079 JYU130075:JYU130079 JOY130075:JOY130079 JFC130075:JFC130079 IVG130075:IVG130079 ILK130075:ILK130079 IBO130075:IBO130079 HRS130075:HRS130079 HHW130075:HHW130079 GYA130075:GYA130079 GOE130075:GOE130079 GEI130075:GEI130079 FUM130075:FUM130079 FKQ130075:FKQ130079 FAU130075:FAU130079 EQY130075:EQY130079 EHC130075:EHC130079 DXG130075:DXG130079 DNK130075:DNK130079 DDO130075:DDO130079 CTS130075:CTS130079 CJW130075:CJW130079 CAA130075:CAA130079 BQE130075:BQE130079 BGI130075:BGI130079 AWM130075:AWM130079 AMQ130075:AMQ130079 ACU130075:ACU130079 SY130075:SY130079 JC130075:JC130079 QKG64578:QKG64586 WVO64539:WVO64543 WLS64539:WLS64543 WBW64539:WBW64543 VSA64539:VSA64543 VIE64539:VIE64543 UYI64539:UYI64543 UOM64539:UOM64543 UEQ64539:UEQ64543 TUU64539:TUU64543 TKY64539:TKY64543 TBC64539:TBC64543 SRG64539:SRG64543 SHK64539:SHK64543 RXO64539:RXO64543 RNS64539:RNS64543 RDW64539:RDW64543 QUA64539:QUA64543 QKE64539:QKE64543 QAI64539:QAI64543 PQM64539:PQM64543 PGQ64539:PGQ64543 OWU64539:OWU64543 OMY64539:OMY64543 ODC64539:ODC64543 NTG64539:NTG64543 NJK64539:NJK64543 MZO64539:MZO64543 MPS64539:MPS64543 MFW64539:MFW64543 LWA64539:LWA64543 LME64539:LME64543 LCI64539:LCI64543 KSM64539:KSM64543 KIQ64539:KIQ64543 JYU64539:JYU64543 JOY64539:JOY64543 JFC64539:JFC64543 IVG64539:IVG64543 ILK64539:ILK64543 IBO64539:IBO64543 HRS64539:HRS64543 HHW64539:HHW64543 GYA64539:GYA64543 GOE64539:GOE64543 GEI64539:GEI64543 FUM64539:FUM64543 FKQ64539:FKQ64543 FAU64539:FAU64543 EQY64539:EQY64543 EHC64539:EHC64543 DXG64539:DXG64543 DNK64539:DNK64543 DDO64539:DDO64543 CTS64539:CTS64543 CJW64539:CJW64543 CAA64539:CAA64543 BQE64539:BQE64543 BGI64539:BGI64543 AWM64539:AWM64543 AMQ64539:AMQ64543 ACU64539:ACU64543 SY64539:SY64543 JC64539:JC64543 QAK64578:QAK64586 WLS982053:WLS982057 WVO982033:WVO982037 WLS982033:WLS982037 WBW982033:WBW982037 VSA982033:VSA982037 VIE982033:VIE982037 UYI982033:UYI982037 UOM982033:UOM982037 UEQ982033:UEQ982037 TUU982033:TUU982037 TKY982033:TKY982037 TBC982033:TBC982037 SRG982033:SRG982037 SHK982033:SHK982037 RXO982033:RXO982037 RNS982033:RNS982037 RDW982033:RDW982037 QUA982033:QUA982037 QKE982033:QKE982037 QAI982033:QAI982037 PQM982033:PQM982037 PGQ982033:PGQ982037 OWU982033:OWU982037 OMY982033:OMY982037 ODC982033:ODC982037 NTG982033:NTG982037 NJK982033:NJK982037 MZO982033:MZO982037 MPS982033:MPS982037 MFW982033:MFW982037 LWA982033:LWA982037 LME982033:LME982037 LCI982033:LCI982037 KSM982033:KSM982037 KIQ982033:KIQ982037 JYU982033:JYU982037 JOY982033:JOY982037 JFC982033:JFC982037 IVG982033:IVG982037 ILK982033:ILK982037 IBO982033:IBO982037 HRS982033:HRS982037 HHW982033:HHW982037 GYA982033:GYA982037 GOE982033:GOE982037 GEI982033:GEI982037 FUM982033:FUM982037 FKQ982033:FKQ982037 FAU982033:FAU982037 EQY982033:EQY982037 EHC982033:EHC982037 DXG982033:DXG982037 DNK982033:DNK982037 DDO982033:DDO982037 CTS982033:CTS982037 CJW982033:CJW982037 CAA982033:CAA982037 BQE982033:BQE982037 BGI982033:BGI982037 AWM982033:AWM982037 AMQ982033:AMQ982037 ACU982033:ACU982037 SY982033:SY982037 JC982033:JC982037 PQO64578:PQO64586 WVO916497:WVO916501 WLS916497:WLS916501 WBW916497:WBW916501 VSA916497:VSA916501 VIE916497:VIE916501 UYI916497:UYI916501 UOM916497:UOM916501 UEQ916497:UEQ916501 TUU916497:TUU916501 TKY916497:TKY916501 TBC916497:TBC916501 SRG916497:SRG916501 SHK916497:SHK916501 RXO916497:RXO916501 RNS916497:RNS916501 RDW916497:RDW916501 QUA916497:QUA916501 QKE916497:QKE916501 QAI916497:QAI916501 PQM916497:PQM916501 PGQ916497:PGQ916501 OWU916497:OWU916501 OMY916497:OMY916501 ODC916497:ODC916501 NTG916497:NTG916501 NJK916497:NJK916501 MZO916497:MZO916501 MPS916497:MPS916501 MFW916497:MFW916501 LWA916497:LWA916501 LME916497:LME916501 LCI916497:LCI916501 KSM916497:KSM916501 KIQ916497:KIQ916501 JYU916497:JYU916501 JOY916497:JOY916501 JFC916497:JFC916501 IVG916497:IVG916501 ILK916497:ILK916501 IBO916497:IBO916501 HRS916497:HRS916501 HHW916497:HHW916501 GYA916497:GYA916501 GOE916497:GOE916501 GEI916497:GEI916501 FUM916497:FUM916501 FKQ916497:FKQ916501 FAU916497:FAU916501 EQY916497:EQY916501 EHC916497:EHC916501 DXG916497:DXG916501 DNK916497:DNK916501 DDO916497:DDO916501 CTS916497:CTS916501 CJW916497:CJW916501 CAA916497:CAA916501 BQE916497:BQE916501 BGI916497:BGI916501 AWM916497:AWM916501 AMQ916497:AMQ916501 ACU916497:ACU916501 SY916497:SY916501 JC916497:JC916501 PGS64578:PGS64586 WVO850961:WVO850965 WLS850961:WLS850965 WBW850961:WBW850965 VSA850961:VSA850965 VIE850961:VIE850965 UYI850961:UYI850965 UOM850961:UOM850965 UEQ850961:UEQ850965 TUU850961:TUU850965 TKY850961:TKY850965 TBC850961:TBC850965 SRG850961:SRG850965 SHK850961:SHK850965 RXO850961:RXO850965 RNS850961:RNS850965 RDW850961:RDW850965 QUA850961:QUA850965 QKE850961:QKE850965 QAI850961:QAI850965 PQM850961:PQM850965 PGQ850961:PGQ850965 OWU850961:OWU850965 OMY850961:OMY850965 ODC850961:ODC850965 NTG850961:NTG850965 NJK850961:NJK850965 MZO850961:MZO850965 MPS850961:MPS850965 MFW850961:MFW850965 LWA850961:LWA850965 LME850961:LME850965 LCI850961:LCI850965 KSM850961:KSM850965 KIQ850961:KIQ850965 JYU850961:JYU850965 JOY850961:JOY850965 JFC850961:JFC850965 IVG850961:IVG850965 ILK850961:ILK850965 IBO850961:IBO850965 HRS850961:HRS850965 HHW850961:HHW850965 GYA850961:GYA850965 GOE850961:GOE850965 GEI850961:GEI850965 FUM850961:FUM850965 FKQ850961:FKQ850965 FAU850961:FAU850965 EQY850961:EQY850965 EHC850961:EHC850965 DXG850961:DXG850965 DNK850961:DNK850965 DDO850961:DDO850965 CTS850961:CTS850965 CJW850961:CJW850965 CAA850961:CAA850965 BQE850961:BQE850965 BGI850961:BGI850965 AWM850961:AWM850965 AMQ850961:AMQ850965 ACU850961:ACU850965 SY850961:SY850965 JC850961:JC850965 OWW64578:OWW64586 WVO785425:WVO785429 WLS785425:WLS785429 WBW785425:WBW785429 VSA785425:VSA785429 VIE785425:VIE785429 UYI785425:UYI785429 UOM785425:UOM785429 UEQ785425:UEQ785429 TUU785425:TUU785429 TKY785425:TKY785429 TBC785425:TBC785429 SRG785425:SRG785429 SHK785425:SHK785429 RXO785425:RXO785429 RNS785425:RNS785429 RDW785425:RDW785429 QUA785425:QUA785429 QKE785425:QKE785429 QAI785425:QAI785429 PQM785425:PQM785429 PGQ785425:PGQ785429 OWU785425:OWU785429 OMY785425:OMY785429 ODC785425:ODC785429 NTG785425:NTG785429 NJK785425:NJK785429 MZO785425:MZO785429 MPS785425:MPS785429 MFW785425:MFW785429 LWA785425:LWA785429 LME785425:LME785429 LCI785425:LCI785429 KSM785425:KSM785429 KIQ785425:KIQ785429 JYU785425:JYU785429 JOY785425:JOY785429 JFC785425:JFC785429 IVG785425:IVG785429 ILK785425:ILK785429 IBO785425:IBO785429 HRS785425:HRS785429 HHW785425:HHW785429 GYA785425:GYA785429 GOE785425:GOE785429 GEI785425:GEI785429 FUM785425:FUM785429 FKQ785425:FKQ785429 FAU785425:FAU785429 EQY785425:EQY785429 EHC785425:EHC785429 DXG785425:DXG785429 DNK785425:DNK785429 DDO785425:DDO785429 CTS785425:CTS785429 CJW785425:CJW785429 CAA785425:CAA785429 BQE785425:BQE785429 BGI785425:BGI785429 AWM785425:AWM785429 AMQ785425:AMQ785429 ACU785425:ACU785429 SY785425:SY785429 JC785425:JC785429 ONA64578:ONA64586 WVO719889:WVO719893 WLS719889:WLS719893 WBW719889:WBW719893 VSA719889:VSA719893 VIE719889:VIE719893 UYI719889:UYI719893 UOM719889:UOM719893 UEQ719889:UEQ719893 TUU719889:TUU719893 TKY719889:TKY719893 TBC719889:TBC719893 SRG719889:SRG719893 SHK719889:SHK719893 RXO719889:RXO719893 RNS719889:RNS719893 RDW719889:RDW719893 QUA719889:QUA719893 QKE719889:QKE719893 QAI719889:QAI719893 PQM719889:PQM719893 PGQ719889:PGQ719893 OWU719889:OWU719893 OMY719889:OMY719893 ODC719889:ODC719893 NTG719889:NTG719893 NJK719889:NJK719893 MZO719889:MZO719893 MPS719889:MPS719893 MFW719889:MFW719893 LWA719889:LWA719893 LME719889:LME719893 LCI719889:LCI719893 KSM719889:KSM719893 KIQ719889:KIQ719893 JYU719889:JYU719893 JOY719889:JOY719893 JFC719889:JFC719893 IVG719889:IVG719893 ILK719889:ILK719893 IBO719889:IBO719893 HRS719889:HRS719893 HHW719889:HHW719893 GYA719889:GYA719893 GOE719889:GOE719893 GEI719889:GEI719893 FUM719889:FUM719893 FKQ719889:FKQ719893 FAU719889:FAU719893 EQY719889:EQY719893 EHC719889:EHC719893 DXG719889:DXG719893 DNK719889:DNK719893 DDO719889:DDO719893 CTS719889:CTS719893 CJW719889:CJW719893 CAA719889:CAA719893 BQE719889:BQE719893 BGI719889:BGI719893 AWM719889:AWM719893 AMQ719889:AMQ719893 ACU719889:ACU719893 SY719889:SY719893 JC719889:JC719893 ODE64578:ODE64586 WVO654353:WVO654357 WLS654353:WLS654357 WBW654353:WBW654357 VSA654353:VSA654357 VIE654353:VIE654357 UYI654353:UYI654357 UOM654353:UOM654357 UEQ654353:UEQ654357 TUU654353:TUU654357 TKY654353:TKY654357 TBC654353:TBC654357 SRG654353:SRG654357 SHK654353:SHK654357 RXO654353:RXO654357 RNS654353:RNS654357 RDW654353:RDW654357 QUA654353:QUA654357 QKE654353:QKE654357 QAI654353:QAI654357 PQM654353:PQM654357 PGQ654353:PGQ654357 OWU654353:OWU654357 OMY654353:OMY654357 ODC654353:ODC654357 NTG654353:NTG654357 NJK654353:NJK654357 MZO654353:MZO654357 MPS654353:MPS654357 MFW654353:MFW654357 LWA654353:LWA654357 LME654353:LME654357 LCI654353:LCI654357 KSM654353:KSM654357 KIQ654353:KIQ654357 JYU654353:JYU654357 JOY654353:JOY654357 JFC654353:JFC654357 IVG654353:IVG654357 ILK654353:ILK654357 IBO654353:IBO654357 HRS654353:HRS654357 HHW654353:HHW654357 GYA654353:GYA654357 GOE654353:GOE654357 GEI654353:GEI654357 FUM654353:FUM654357 FKQ654353:FKQ654357 FAU654353:FAU654357 EQY654353:EQY654357 EHC654353:EHC654357 DXG654353:DXG654357 DNK654353:DNK654357 DDO654353:DDO654357 CTS654353:CTS654357 CJW654353:CJW654357 CAA654353:CAA654357 BQE654353:BQE654357 BGI654353:BGI654357 AWM654353:AWM654357 AMQ654353:AMQ654357 ACU654353:ACU654357 SY654353:SY654357 JC654353:JC654357 NTI64578:NTI64586 WVO588817:WVO588821 WLS588817:WLS588821 WBW588817:WBW588821 VSA588817:VSA588821 VIE588817:VIE588821 UYI588817:UYI588821 UOM588817:UOM588821 UEQ588817:UEQ588821 TUU588817:TUU588821 TKY588817:TKY588821 TBC588817:TBC588821 SRG588817:SRG588821 SHK588817:SHK588821 RXO588817:RXO588821 RNS588817:RNS588821 RDW588817:RDW588821 QUA588817:QUA588821 QKE588817:QKE588821 QAI588817:QAI588821 PQM588817:PQM588821 PGQ588817:PGQ588821 OWU588817:OWU588821 OMY588817:OMY588821 ODC588817:ODC588821 NTG588817:NTG588821 NJK588817:NJK588821 MZO588817:MZO588821 MPS588817:MPS588821 MFW588817:MFW588821 LWA588817:LWA588821 LME588817:LME588821 LCI588817:LCI588821 KSM588817:KSM588821 KIQ588817:KIQ588821 JYU588817:JYU588821 JOY588817:JOY588821 JFC588817:JFC588821 IVG588817:IVG588821 ILK588817:ILK588821 IBO588817:IBO588821 HRS588817:HRS588821 HHW588817:HHW588821 GYA588817:GYA588821 GOE588817:GOE588821 GEI588817:GEI588821 FUM588817:FUM588821 FKQ588817:FKQ588821 FAU588817:FAU588821 EQY588817:EQY588821 EHC588817:EHC588821 DXG588817:DXG588821 DNK588817:DNK588821 DDO588817:DDO588821 CTS588817:CTS588821 CJW588817:CJW588821 CAA588817:CAA588821 BQE588817:BQE588821 BGI588817:BGI588821 AWM588817:AWM588821 AMQ588817:AMQ588821 ACU588817:ACU588821 SY588817:SY588821 JC588817:JC588821 NJM64578:NJM64586 WVO523281:WVO523285 WLS523281:WLS523285 WBW523281:WBW523285 VSA523281:VSA523285 VIE523281:VIE523285 UYI523281:UYI523285 UOM523281:UOM523285 UEQ523281:UEQ523285 TUU523281:TUU523285 TKY523281:TKY523285 TBC523281:TBC523285 SRG523281:SRG523285 SHK523281:SHK523285 RXO523281:RXO523285 RNS523281:RNS523285 RDW523281:RDW523285 QUA523281:QUA523285 QKE523281:QKE523285 QAI523281:QAI523285 PQM523281:PQM523285 PGQ523281:PGQ523285 OWU523281:OWU523285 OMY523281:OMY523285 ODC523281:ODC523285 NTG523281:NTG523285 NJK523281:NJK523285 MZO523281:MZO523285 MPS523281:MPS523285 MFW523281:MFW523285 LWA523281:LWA523285 LME523281:LME523285 LCI523281:LCI523285 KSM523281:KSM523285 KIQ523281:KIQ523285 JYU523281:JYU523285 JOY523281:JOY523285 JFC523281:JFC523285 IVG523281:IVG523285 ILK523281:ILK523285 IBO523281:IBO523285 HRS523281:HRS523285 HHW523281:HHW523285 GYA523281:GYA523285 GOE523281:GOE523285 GEI523281:GEI523285 FUM523281:FUM523285 FKQ523281:FKQ523285 FAU523281:FAU523285 EQY523281:EQY523285 EHC523281:EHC523285 DXG523281:DXG523285 DNK523281:DNK523285 DDO523281:DDO523285 CTS523281:CTS523285 CJW523281:CJW523285 CAA523281:CAA523285 BQE523281:BQE523285 BGI523281:BGI523285 AWM523281:AWM523285 AMQ523281:AMQ523285 ACU523281:ACU523285 SY523281:SY523285 JC523281:JC523285 MZQ64578:MZQ64586 WVO457745:WVO457749 WLS457745:WLS457749 WBW457745:WBW457749 VSA457745:VSA457749 VIE457745:VIE457749 UYI457745:UYI457749 UOM457745:UOM457749 UEQ457745:UEQ457749 TUU457745:TUU457749 TKY457745:TKY457749 TBC457745:TBC457749 SRG457745:SRG457749 SHK457745:SHK457749 RXO457745:RXO457749 RNS457745:RNS457749 RDW457745:RDW457749 QUA457745:QUA457749 QKE457745:QKE457749 QAI457745:QAI457749 PQM457745:PQM457749 PGQ457745:PGQ457749 OWU457745:OWU457749 OMY457745:OMY457749 ODC457745:ODC457749 NTG457745:NTG457749 NJK457745:NJK457749 MZO457745:MZO457749 MPS457745:MPS457749 MFW457745:MFW457749 LWA457745:LWA457749 LME457745:LME457749 LCI457745:LCI457749 KSM457745:KSM457749 KIQ457745:KIQ457749 JYU457745:JYU457749 JOY457745:JOY457749 JFC457745:JFC457749 IVG457745:IVG457749 ILK457745:ILK457749 IBO457745:IBO457749 HRS457745:HRS457749 HHW457745:HHW457749 GYA457745:GYA457749 GOE457745:GOE457749 GEI457745:GEI457749 FUM457745:FUM457749 FKQ457745:FKQ457749 FAU457745:FAU457749 EQY457745:EQY457749 EHC457745:EHC457749 DXG457745:DXG457749 DNK457745:DNK457749 DDO457745:DDO457749 CTS457745:CTS457749 CJW457745:CJW457749 CAA457745:CAA457749 BQE457745:BQE457749 BGI457745:BGI457749 AWM457745:AWM457749 AMQ457745:AMQ457749 ACU457745:ACU457749 SY457745:SY457749 JC457745:JC457749 MPU64578:MPU64586 WVO392209:WVO392213 WLS392209:WLS392213 WBW392209:WBW392213 VSA392209:VSA392213 VIE392209:VIE392213 UYI392209:UYI392213 UOM392209:UOM392213 UEQ392209:UEQ392213 TUU392209:TUU392213 TKY392209:TKY392213 TBC392209:TBC392213 SRG392209:SRG392213 SHK392209:SHK392213 RXO392209:RXO392213 RNS392209:RNS392213 RDW392209:RDW392213 QUA392209:QUA392213 QKE392209:QKE392213 QAI392209:QAI392213 PQM392209:PQM392213 PGQ392209:PGQ392213 OWU392209:OWU392213 OMY392209:OMY392213 ODC392209:ODC392213 NTG392209:NTG392213 NJK392209:NJK392213 MZO392209:MZO392213 MPS392209:MPS392213 MFW392209:MFW392213 LWA392209:LWA392213 LME392209:LME392213 LCI392209:LCI392213 KSM392209:KSM392213 KIQ392209:KIQ392213 JYU392209:JYU392213 JOY392209:JOY392213 JFC392209:JFC392213 IVG392209:IVG392213 ILK392209:ILK392213 IBO392209:IBO392213 HRS392209:HRS392213 HHW392209:HHW392213 GYA392209:GYA392213 GOE392209:GOE392213 GEI392209:GEI392213 FUM392209:FUM392213 FKQ392209:FKQ392213 FAU392209:FAU392213 EQY392209:EQY392213 EHC392209:EHC392213 DXG392209:DXG392213 DNK392209:DNK392213 DDO392209:DDO392213 CTS392209:CTS392213 CJW392209:CJW392213 CAA392209:CAA392213 BQE392209:BQE392213 BGI392209:BGI392213 AWM392209:AWM392213 AMQ392209:AMQ392213 ACU392209:ACU392213 SY392209:SY392213 JC392209:JC392213 MFY64578:MFY64586 WVO326673:WVO326677 WLS326673:WLS326677 WBW326673:WBW326677 VSA326673:VSA326677 VIE326673:VIE326677 UYI326673:UYI326677 UOM326673:UOM326677 UEQ326673:UEQ326677 TUU326673:TUU326677 TKY326673:TKY326677 TBC326673:TBC326677 SRG326673:SRG326677 SHK326673:SHK326677 RXO326673:RXO326677 RNS326673:RNS326677 RDW326673:RDW326677 QUA326673:QUA326677 QKE326673:QKE326677 QAI326673:QAI326677 PQM326673:PQM326677 PGQ326673:PGQ326677 OWU326673:OWU326677 OMY326673:OMY326677 ODC326673:ODC326677 NTG326673:NTG326677 NJK326673:NJK326677 MZO326673:MZO326677 MPS326673:MPS326677 MFW326673:MFW326677 LWA326673:LWA326677 LME326673:LME326677 LCI326673:LCI326677 KSM326673:KSM326677 KIQ326673:KIQ326677 JYU326673:JYU326677 JOY326673:JOY326677 JFC326673:JFC326677 IVG326673:IVG326677 ILK326673:ILK326677 IBO326673:IBO326677 HRS326673:HRS326677 HHW326673:HHW326677 GYA326673:GYA326677 GOE326673:GOE326677 GEI326673:GEI326677 FUM326673:FUM326677 FKQ326673:FKQ326677 FAU326673:FAU326677 EQY326673:EQY326677 EHC326673:EHC326677 DXG326673:DXG326677 DNK326673:DNK326677 DDO326673:DDO326677 CTS326673:CTS326677 CJW326673:CJW326677 CAA326673:CAA326677 BQE326673:BQE326677 BGI326673:BGI326677 AWM326673:AWM326677 AMQ326673:AMQ326677 ACU326673:ACU326677 SY326673:SY326677 JC326673:JC326677 LWC64578:LWC64586 WVO261137:WVO261141 WLS261137:WLS261141 WBW261137:WBW261141 VSA261137:VSA261141 VIE261137:VIE261141 UYI261137:UYI261141 UOM261137:UOM261141 UEQ261137:UEQ261141 TUU261137:TUU261141 TKY261137:TKY261141 TBC261137:TBC261141 SRG261137:SRG261141 SHK261137:SHK261141 RXO261137:RXO261141 RNS261137:RNS261141 RDW261137:RDW261141 QUA261137:QUA261141 QKE261137:QKE261141 QAI261137:QAI261141 PQM261137:PQM261141 PGQ261137:PGQ261141 OWU261137:OWU261141 OMY261137:OMY261141 ODC261137:ODC261141 NTG261137:NTG261141 NJK261137:NJK261141 MZO261137:MZO261141 MPS261137:MPS261141 MFW261137:MFW261141 LWA261137:LWA261141 LME261137:LME261141 LCI261137:LCI261141 KSM261137:KSM261141 KIQ261137:KIQ261141 JYU261137:JYU261141 JOY261137:JOY261141 JFC261137:JFC261141 IVG261137:IVG261141 ILK261137:ILK261141 IBO261137:IBO261141 HRS261137:HRS261141 HHW261137:HHW261141 GYA261137:GYA261141 GOE261137:GOE261141 GEI261137:GEI261141 FUM261137:FUM261141 FKQ261137:FKQ261141 FAU261137:FAU261141 EQY261137:EQY261141 EHC261137:EHC261141 DXG261137:DXG261141 DNK261137:DNK261141 DDO261137:DDO261141 CTS261137:CTS261141 CJW261137:CJW261141 CAA261137:CAA261141 BQE261137:BQE261141 BGI261137:BGI261141 AWM261137:AWM261141 AMQ261137:AMQ261141 ACU261137:ACU261141 SY261137:SY261141 JC261137:JC261141 LMG64578:LMG64586 WVO195601:WVO195605 WLS195601:WLS195605 WBW195601:WBW195605 VSA195601:VSA195605 VIE195601:VIE195605 UYI195601:UYI195605 UOM195601:UOM195605 UEQ195601:UEQ195605 TUU195601:TUU195605 TKY195601:TKY195605 TBC195601:TBC195605 SRG195601:SRG195605 SHK195601:SHK195605 RXO195601:RXO195605 RNS195601:RNS195605 RDW195601:RDW195605 QUA195601:QUA195605 QKE195601:QKE195605 QAI195601:QAI195605 PQM195601:PQM195605 PGQ195601:PGQ195605 OWU195601:OWU195605 OMY195601:OMY195605 ODC195601:ODC195605 NTG195601:NTG195605 NJK195601:NJK195605 MZO195601:MZO195605 MPS195601:MPS195605 MFW195601:MFW195605 LWA195601:LWA195605 LME195601:LME195605 LCI195601:LCI195605 KSM195601:KSM195605 KIQ195601:KIQ195605 JYU195601:JYU195605 JOY195601:JOY195605 JFC195601:JFC195605 IVG195601:IVG195605 ILK195601:ILK195605 IBO195601:IBO195605 HRS195601:HRS195605 HHW195601:HHW195605 GYA195601:GYA195605 GOE195601:GOE195605 GEI195601:GEI195605 FUM195601:FUM195605 FKQ195601:FKQ195605 FAU195601:FAU195605 EQY195601:EQY195605 EHC195601:EHC195605 DXG195601:DXG195605 DNK195601:DNK195605 DDO195601:DDO195605 CTS195601:CTS195605 CJW195601:CJW195605 CAA195601:CAA195605 BQE195601:BQE195605 BGI195601:BGI195605 AWM195601:AWM195605 AMQ195601:AMQ195605 ACU195601:ACU195605 SY195601:SY195605 JC195601:JC195605 LCK64578:LCK64586 WVO130065:WVO130069 WLS130065:WLS130069 WBW130065:WBW130069 VSA130065:VSA130069 VIE130065:VIE130069 UYI130065:UYI130069 UOM130065:UOM130069 UEQ130065:UEQ130069 TUU130065:TUU130069 TKY130065:TKY130069 TBC130065:TBC130069 SRG130065:SRG130069 SHK130065:SHK130069 RXO130065:RXO130069 RNS130065:RNS130069 RDW130065:RDW130069 QUA130065:QUA130069 QKE130065:QKE130069 QAI130065:QAI130069 PQM130065:PQM130069 PGQ130065:PGQ130069 OWU130065:OWU130069 OMY130065:OMY130069 ODC130065:ODC130069 NTG130065:NTG130069 NJK130065:NJK130069 MZO130065:MZO130069 MPS130065:MPS130069 MFW130065:MFW130069 LWA130065:LWA130069 LME130065:LME130069 LCI130065:LCI130069 KSM130065:KSM130069 KIQ130065:KIQ130069 JYU130065:JYU130069 JOY130065:JOY130069 JFC130065:JFC130069 IVG130065:IVG130069 ILK130065:ILK130069 IBO130065:IBO130069 HRS130065:HRS130069 HHW130065:HHW130069 GYA130065:GYA130069 GOE130065:GOE130069 GEI130065:GEI130069 FUM130065:FUM130069 FKQ130065:FKQ130069 FAU130065:FAU130069 EQY130065:EQY130069 EHC130065:EHC130069 DXG130065:DXG130069 DNK130065:DNK130069 DDO130065:DDO130069 CTS130065:CTS130069 CJW130065:CJW130069 CAA130065:CAA130069 BQE130065:BQE130069 BGI130065:BGI130069 AWM130065:AWM130069 AMQ130065:AMQ130069 ACU130065:ACU130069 SY130065:SY130069 JC130065:JC130069 KSO64578:KSO64586 WVO64529:WVO64533 WLS64529:WLS64533 WBW64529:WBW64533 VSA64529:VSA64533 VIE64529:VIE64533 UYI64529:UYI64533 UOM64529:UOM64533 UEQ64529:UEQ64533 TUU64529:TUU64533 TKY64529:TKY64533 TBC64529:TBC64533 SRG64529:SRG64533 SHK64529:SHK64533 RXO64529:RXO64533 RNS64529:RNS64533 RDW64529:RDW64533 QUA64529:QUA64533 QKE64529:QKE64533 QAI64529:QAI64533 PQM64529:PQM64533 PGQ64529:PGQ64533 OWU64529:OWU64533 OMY64529:OMY64533 ODC64529:ODC64533 NTG64529:NTG64533 NJK64529:NJK64533 MZO64529:MZO64533 MPS64529:MPS64533 MFW64529:MFW64533 LWA64529:LWA64533 LME64529:LME64533 LCI64529:LCI64533 KSM64529:KSM64533 KIQ64529:KIQ64533 JYU64529:JYU64533 JOY64529:JOY64533 JFC64529:JFC64533 IVG64529:IVG64533 ILK64529:ILK64533 IBO64529:IBO64533 HRS64529:HRS64533 HHW64529:HHW64533 GYA64529:GYA64533 GOE64529:GOE64533 GEI64529:GEI64533 FUM64529:FUM64533 FKQ64529:FKQ64533 FAU64529:FAU64533 EQY64529:EQY64533 EHC64529:EHC64533 DXG64529:DXG64533 DNK64529:DNK64533 DDO64529:DDO64533 CTS64529:CTS64533 CJW64529:CJW64533 CAA64529:CAA64533 BQE64529:BQE64533 BGI64529:BGI64533 AWM64529:AWM64533 AMQ64529:AMQ64533 ACU64529:ACU64533 SY64529:SY64533 JC64529:JC64533 KIS64578:KIS64586 WVO982063:WVO982077 WLS982063:WLS982077 WBW982063:WBW982077 VSA982063:VSA982077 VIE982063:VIE982077 UYI982063:UYI982077 UOM982063:UOM982077 UEQ982063:UEQ982077 TUU982063:TUU982077 TKY982063:TKY982077 TBC982063:TBC982077 SRG982063:SRG982077 SHK982063:SHK982077 RXO982063:RXO982077 RNS982063:RNS982077 RDW982063:RDW982077 QUA982063:QUA982077 QKE982063:QKE982077 QAI982063:QAI982077 PQM982063:PQM982077 PGQ982063:PGQ982077 OWU982063:OWU982077 OMY982063:OMY982077 ODC982063:ODC982077 NTG982063:NTG982077 NJK982063:NJK982077 MZO982063:MZO982077 MPS982063:MPS982077 MFW982063:MFW982077 LWA982063:LWA982077 LME982063:LME982077 LCI982063:LCI982077 KSM982063:KSM982077 KIQ982063:KIQ982077 JYU982063:JYU982077 JOY982063:JOY982077 JFC982063:JFC982077 IVG982063:IVG982077 ILK982063:ILK982077 IBO982063:IBO982077 HRS982063:HRS982077 HHW982063:HHW982077 GYA982063:GYA982077 GOE982063:GOE982077 GEI982063:GEI982077 FUM982063:FUM982077 FKQ982063:FKQ982077 FAU982063:FAU982077 EQY982063:EQY982077 EHC982063:EHC982077 DXG982063:DXG982077 DNK982063:DNK982077 DDO982063:DDO982077 CTS982063:CTS982077 CJW982063:CJW982077 CAA982063:CAA982077 BQE982063:BQE982077 BGI982063:BGI982077 AWM982063:AWM982077 AMQ982063:AMQ982077 ACU982063:ACU982077 SY982063:SY982077 JC982063:JC982077 JYW64578:JYW64586 WVO916527:WVO916541 WLS916527:WLS916541 WBW916527:WBW916541 VSA916527:VSA916541 VIE916527:VIE916541 UYI916527:UYI916541 UOM916527:UOM916541 UEQ916527:UEQ916541 TUU916527:TUU916541 TKY916527:TKY916541 TBC916527:TBC916541 SRG916527:SRG916541 SHK916527:SHK916541 RXO916527:RXO916541 RNS916527:RNS916541 RDW916527:RDW916541 QUA916527:QUA916541 QKE916527:QKE916541 QAI916527:QAI916541 PQM916527:PQM916541 PGQ916527:PGQ916541 OWU916527:OWU916541 OMY916527:OMY916541 ODC916527:ODC916541 NTG916527:NTG916541 NJK916527:NJK916541 MZO916527:MZO916541 MPS916527:MPS916541 MFW916527:MFW916541 LWA916527:LWA916541 LME916527:LME916541 LCI916527:LCI916541 KSM916527:KSM916541 KIQ916527:KIQ916541 JYU916527:JYU916541 JOY916527:JOY916541 JFC916527:JFC916541 IVG916527:IVG916541 ILK916527:ILK916541 IBO916527:IBO916541 HRS916527:HRS916541 HHW916527:HHW916541 GYA916527:GYA916541 GOE916527:GOE916541 GEI916527:GEI916541 FUM916527:FUM916541 FKQ916527:FKQ916541 FAU916527:FAU916541 EQY916527:EQY916541 EHC916527:EHC916541 DXG916527:DXG916541 DNK916527:DNK916541 DDO916527:DDO916541 CTS916527:CTS916541 CJW916527:CJW916541 CAA916527:CAA916541 BQE916527:BQE916541 BGI916527:BGI916541 AWM916527:AWM916541 AMQ916527:AMQ916541 ACU916527:ACU916541 SY916527:SY916541 JC916527:JC916541 JPA64578:JPA64586 WVO850991:WVO851005 WLS850991:WLS851005 WBW850991:WBW851005 VSA850991:VSA851005 VIE850991:VIE851005 UYI850991:UYI851005 UOM850991:UOM851005 UEQ850991:UEQ851005 TUU850991:TUU851005 TKY850991:TKY851005 TBC850991:TBC851005 SRG850991:SRG851005 SHK850991:SHK851005 RXO850991:RXO851005 RNS850991:RNS851005 RDW850991:RDW851005 QUA850991:QUA851005 QKE850991:QKE851005 QAI850991:QAI851005 PQM850991:PQM851005 PGQ850991:PGQ851005 OWU850991:OWU851005 OMY850991:OMY851005 ODC850991:ODC851005 NTG850991:NTG851005 NJK850991:NJK851005 MZO850991:MZO851005 MPS850991:MPS851005 MFW850991:MFW851005 LWA850991:LWA851005 LME850991:LME851005 LCI850991:LCI851005 KSM850991:KSM851005 KIQ850991:KIQ851005 JYU850991:JYU851005 JOY850991:JOY851005 JFC850991:JFC851005 IVG850991:IVG851005 ILK850991:ILK851005 IBO850991:IBO851005 HRS850991:HRS851005 HHW850991:HHW851005 GYA850991:GYA851005 GOE850991:GOE851005 GEI850991:GEI851005 FUM850991:FUM851005 FKQ850991:FKQ851005 FAU850991:FAU851005 EQY850991:EQY851005 EHC850991:EHC851005 DXG850991:DXG851005 DNK850991:DNK851005 DDO850991:DDO851005 CTS850991:CTS851005 CJW850991:CJW851005 CAA850991:CAA851005 BQE850991:BQE851005 BGI850991:BGI851005 AWM850991:AWM851005 AMQ850991:AMQ851005 ACU850991:ACU851005 SY850991:SY851005 JC850991:JC851005 JFE64578:JFE64586 WVO785455:WVO785469 WLS785455:WLS785469 WBW785455:WBW785469 VSA785455:VSA785469 VIE785455:VIE785469 UYI785455:UYI785469 UOM785455:UOM785469 UEQ785455:UEQ785469 TUU785455:TUU785469 TKY785455:TKY785469 TBC785455:TBC785469 SRG785455:SRG785469 SHK785455:SHK785469 RXO785455:RXO785469 RNS785455:RNS785469 RDW785455:RDW785469 QUA785455:QUA785469 QKE785455:QKE785469 QAI785455:QAI785469 PQM785455:PQM785469 PGQ785455:PGQ785469 OWU785455:OWU785469 OMY785455:OMY785469 ODC785455:ODC785469 NTG785455:NTG785469 NJK785455:NJK785469 MZO785455:MZO785469 MPS785455:MPS785469 MFW785455:MFW785469 LWA785455:LWA785469 LME785455:LME785469 LCI785455:LCI785469 KSM785455:KSM785469 KIQ785455:KIQ785469 JYU785455:JYU785469 JOY785455:JOY785469 JFC785455:JFC785469 IVG785455:IVG785469 ILK785455:ILK785469 IBO785455:IBO785469 HRS785455:HRS785469 HHW785455:HHW785469 GYA785455:GYA785469 GOE785455:GOE785469 GEI785455:GEI785469 FUM785455:FUM785469 FKQ785455:FKQ785469 FAU785455:FAU785469 EQY785455:EQY785469 EHC785455:EHC785469 DXG785455:DXG785469 DNK785455:DNK785469 DDO785455:DDO785469 CTS785455:CTS785469 CJW785455:CJW785469 CAA785455:CAA785469 BQE785455:BQE785469 BGI785455:BGI785469 AWM785455:AWM785469 AMQ785455:AMQ785469 ACU785455:ACU785469 SY785455:SY785469 JC785455:JC785469 IVI64578:IVI64586 WVO719919:WVO719933 WLS719919:WLS719933 WBW719919:WBW719933 VSA719919:VSA719933 VIE719919:VIE719933 UYI719919:UYI719933 UOM719919:UOM719933 UEQ719919:UEQ719933 TUU719919:TUU719933 TKY719919:TKY719933 TBC719919:TBC719933 SRG719919:SRG719933 SHK719919:SHK719933 RXO719919:RXO719933 RNS719919:RNS719933 RDW719919:RDW719933 QUA719919:QUA719933 QKE719919:QKE719933 QAI719919:QAI719933 PQM719919:PQM719933 PGQ719919:PGQ719933 OWU719919:OWU719933 OMY719919:OMY719933 ODC719919:ODC719933 NTG719919:NTG719933 NJK719919:NJK719933 MZO719919:MZO719933 MPS719919:MPS719933 MFW719919:MFW719933 LWA719919:LWA719933 LME719919:LME719933 LCI719919:LCI719933 KSM719919:KSM719933 KIQ719919:KIQ719933 JYU719919:JYU719933 JOY719919:JOY719933 JFC719919:JFC719933 IVG719919:IVG719933 ILK719919:ILK719933 IBO719919:IBO719933 HRS719919:HRS719933 HHW719919:HHW719933 GYA719919:GYA719933 GOE719919:GOE719933 GEI719919:GEI719933 FUM719919:FUM719933 FKQ719919:FKQ719933 FAU719919:FAU719933 EQY719919:EQY719933 EHC719919:EHC719933 DXG719919:DXG719933 DNK719919:DNK719933 DDO719919:DDO719933 CTS719919:CTS719933 CJW719919:CJW719933 CAA719919:CAA719933 BQE719919:BQE719933 BGI719919:BGI719933 AWM719919:AWM719933 AMQ719919:AMQ719933 ACU719919:ACU719933 SY719919:SY719933 JC719919:JC719933 ILM64578:ILM64586 WVO654383:WVO654397 WLS654383:WLS654397 WBW654383:WBW654397 VSA654383:VSA654397 VIE654383:VIE654397 UYI654383:UYI654397 UOM654383:UOM654397 UEQ654383:UEQ654397 TUU654383:TUU654397 TKY654383:TKY654397 TBC654383:TBC654397 SRG654383:SRG654397 SHK654383:SHK654397 RXO654383:RXO654397 RNS654383:RNS654397 RDW654383:RDW654397 QUA654383:QUA654397 QKE654383:QKE654397 QAI654383:QAI654397 PQM654383:PQM654397 PGQ654383:PGQ654397 OWU654383:OWU654397 OMY654383:OMY654397 ODC654383:ODC654397 NTG654383:NTG654397 NJK654383:NJK654397 MZO654383:MZO654397 MPS654383:MPS654397 MFW654383:MFW654397 LWA654383:LWA654397 LME654383:LME654397 LCI654383:LCI654397 KSM654383:KSM654397 KIQ654383:KIQ654397 JYU654383:JYU654397 JOY654383:JOY654397 JFC654383:JFC654397 IVG654383:IVG654397 ILK654383:ILK654397 IBO654383:IBO654397 HRS654383:HRS654397 HHW654383:HHW654397 GYA654383:GYA654397 GOE654383:GOE654397 GEI654383:GEI654397 FUM654383:FUM654397 FKQ654383:FKQ654397 FAU654383:FAU654397 EQY654383:EQY654397 EHC654383:EHC654397 DXG654383:DXG654397 DNK654383:DNK654397 DDO654383:DDO654397 CTS654383:CTS654397 CJW654383:CJW654397 CAA654383:CAA654397 BQE654383:BQE654397 BGI654383:BGI654397 AWM654383:AWM654397 AMQ654383:AMQ654397 ACU654383:ACU654397 SY654383:SY654397 JC654383:JC654397 IBQ64578:IBQ64586 WVO588847:WVO588861 WLS588847:WLS588861 WBW588847:WBW588861 VSA588847:VSA588861 VIE588847:VIE588861 UYI588847:UYI588861 UOM588847:UOM588861 UEQ588847:UEQ588861 TUU588847:TUU588861 TKY588847:TKY588861 TBC588847:TBC588861 SRG588847:SRG588861 SHK588847:SHK588861 RXO588847:RXO588861 RNS588847:RNS588861 RDW588847:RDW588861 QUA588847:QUA588861 QKE588847:QKE588861 QAI588847:QAI588861 PQM588847:PQM588861 PGQ588847:PGQ588861 OWU588847:OWU588861 OMY588847:OMY588861 ODC588847:ODC588861 NTG588847:NTG588861 NJK588847:NJK588861 MZO588847:MZO588861 MPS588847:MPS588861 MFW588847:MFW588861 LWA588847:LWA588861 LME588847:LME588861 LCI588847:LCI588861 KSM588847:KSM588861 KIQ588847:KIQ588861 JYU588847:JYU588861 JOY588847:JOY588861 JFC588847:JFC588861 IVG588847:IVG588861 ILK588847:ILK588861 IBO588847:IBO588861 HRS588847:HRS588861 HHW588847:HHW588861 GYA588847:GYA588861 GOE588847:GOE588861 GEI588847:GEI588861 FUM588847:FUM588861 FKQ588847:FKQ588861 FAU588847:FAU588861 EQY588847:EQY588861 EHC588847:EHC588861 DXG588847:DXG588861 DNK588847:DNK588861 DDO588847:DDO588861 CTS588847:CTS588861 CJW588847:CJW588861 CAA588847:CAA588861 BQE588847:BQE588861 BGI588847:BGI588861 AWM588847:AWM588861 AMQ588847:AMQ588861 ACU588847:ACU588861 SY588847:SY588861 JC588847:JC588861 HRU64578:HRU64586 WVO523311:WVO523325 WLS523311:WLS523325 WBW523311:WBW523325 VSA523311:VSA523325 VIE523311:VIE523325 UYI523311:UYI523325 UOM523311:UOM523325 UEQ523311:UEQ523325 TUU523311:TUU523325 TKY523311:TKY523325 TBC523311:TBC523325 SRG523311:SRG523325 SHK523311:SHK523325 RXO523311:RXO523325 RNS523311:RNS523325 RDW523311:RDW523325 QUA523311:QUA523325 QKE523311:QKE523325 QAI523311:QAI523325 PQM523311:PQM523325 PGQ523311:PGQ523325 OWU523311:OWU523325 OMY523311:OMY523325 ODC523311:ODC523325 NTG523311:NTG523325 NJK523311:NJK523325 MZO523311:MZO523325 MPS523311:MPS523325 MFW523311:MFW523325 LWA523311:LWA523325 LME523311:LME523325 LCI523311:LCI523325 KSM523311:KSM523325 KIQ523311:KIQ523325 JYU523311:JYU523325 JOY523311:JOY523325 JFC523311:JFC523325 IVG523311:IVG523325 ILK523311:ILK523325 IBO523311:IBO523325 HRS523311:HRS523325 HHW523311:HHW523325 GYA523311:GYA523325 GOE523311:GOE523325 GEI523311:GEI523325 FUM523311:FUM523325 FKQ523311:FKQ523325 FAU523311:FAU523325 EQY523311:EQY523325 EHC523311:EHC523325 DXG523311:DXG523325 DNK523311:DNK523325 DDO523311:DDO523325 CTS523311:CTS523325 CJW523311:CJW523325 CAA523311:CAA523325 BQE523311:BQE523325 BGI523311:BGI523325 AWM523311:AWM523325 AMQ523311:AMQ523325 ACU523311:ACU523325 SY523311:SY523325 JC523311:JC523325 HHY64578:HHY64586 WVO457775:WVO457789 WLS457775:WLS457789 WBW457775:WBW457789 VSA457775:VSA457789 VIE457775:VIE457789 UYI457775:UYI457789 UOM457775:UOM457789 UEQ457775:UEQ457789 TUU457775:TUU457789 TKY457775:TKY457789 TBC457775:TBC457789 SRG457775:SRG457789 SHK457775:SHK457789 RXO457775:RXO457789 RNS457775:RNS457789 RDW457775:RDW457789 QUA457775:QUA457789 QKE457775:QKE457789 QAI457775:QAI457789 PQM457775:PQM457789 PGQ457775:PGQ457789 OWU457775:OWU457789 OMY457775:OMY457789 ODC457775:ODC457789 NTG457775:NTG457789 NJK457775:NJK457789 MZO457775:MZO457789 MPS457775:MPS457789 MFW457775:MFW457789 LWA457775:LWA457789 LME457775:LME457789 LCI457775:LCI457789 KSM457775:KSM457789 KIQ457775:KIQ457789 JYU457775:JYU457789 JOY457775:JOY457789 JFC457775:JFC457789 IVG457775:IVG457789 ILK457775:ILK457789 IBO457775:IBO457789 HRS457775:HRS457789 HHW457775:HHW457789 GYA457775:GYA457789 GOE457775:GOE457789 GEI457775:GEI457789 FUM457775:FUM457789 FKQ457775:FKQ457789 FAU457775:FAU457789 EQY457775:EQY457789 EHC457775:EHC457789 DXG457775:DXG457789 DNK457775:DNK457789 DDO457775:DDO457789 CTS457775:CTS457789 CJW457775:CJW457789 CAA457775:CAA457789 BQE457775:BQE457789 BGI457775:BGI457789 AWM457775:AWM457789 AMQ457775:AMQ457789 ACU457775:ACU457789 SY457775:SY457789 JC457775:JC457789 GYC64578:GYC64586 WVO392239:WVO392253 WLS392239:WLS392253 WBW392239:WBW392253 VSA392239:VSA392253 VIE392239:VIE392253 UYI392239:UYI392253 UOM392239:UOM392253 UEQ392239:UEQ392253 TUU392239:TUU392253 TKY392239:TKY392253 TBC392239:TBC392253 SRG392239:SRG392253 SHK392239:SHK392253 RXO392239:RXO392253 RNS392239:RNS392253 RDW392239:RDW392253 QUA392239:QUA392253 QKE392239:QKE392253 QAI392239:QAI392253 PQM392239:PQM392253 PGQ392239:PGQ392253 OWU392239:OWU392253 OMY392239:OMY392253 ODC392239:ODC392253 NTG392239:NTG392253 NJK392239:NJK392253 MZO392239:MZO392253 MPS392239:MPS392253 MFW392239:MFW392253 LWA392239:LWA392253 LME392239:LME392253 LCI392239:LCI392253 KSM392239:KSM392253 KIQ392239:KIQ392253 JYU392239:JYU392253 JOY392239:JOY392253 JFC392239:JFC392253 IVG392239:IVG392253 ILK392239:ILK392253 IBO392239:IBO392253 HRS392239:HRS392253 HHW392239:HHW392253 GYA392239:GYA392253 GOE392239:GOE392253 GEI392239:GEI392253 FUM392239:FUM392253 FKQ392239:FKQ392253 FAU392239:FAU392253 EQY392239:EQY392253 EHC392239:EHC392253 DXG392239:DXG392253 DNK392239:DNK392253 DDO392239:DDO392253 CTS392239:CTS392253 CJW392239:CJW392253 CAA392239:CAA392253 BQE392239:BQE392253 BGI392239:BGI392253 AWM392239:AWM392253 AMQ392239:AMQ392253 ACU392239:ACU392253 SY392239:SY392253 JC392239:JC392253 GOG64578:GOG64586 WVO326703:WVO326717 WLS326703:WLS326717 WBW326703:WBW326717 VSA326703:VSA326717 VIE326703:VIE326717 UYI326703:UYI326717 UOM326703:UOM326717 UEQ326703:UEQ326717 TUU326703:TUU326717 TKY326703:TKY326717 TBC326703:TBC326717 SRG326703:SRG326717 SHK326703:SHK326717 RXO326703:RXO326717 RNS326703:RNS326717 RDW326703:RDW326717 QUA326703:QUA326717 QKE326703:QKE326717 QAI326703:QAI326717 PQM326703:PQM326717 PGQ326703:PGQ326717 OWU326703:OWU326717 OMY326703:OMY326717 ODC326703:ODC326717 NTG326703:NTG326717 NJK326703:NJK326717 MZO326703:MZO326717 MPS326703:MPS326717 MFW326703:MFW326717 LWA326703:LWA326717 LME326703:LME326717 LCI326703:LCI326717 KSM326703:KSM326717 KIQ326703:KIQ326717 JYU326703:JYU326717 JOY326703:JOY326717 JFC326703:JFC326717 IVG326703:IVG326717 ILK326703:ILK326717 IBO326703:IBO326717 HRS326703:HRS326717 HHW326703:HHW326717 GYA326703:GYA326717 GOE326703:GOE326717 GEI326703:GEI326717 FUM326703:FUM326717 FKQ326703:FKQ326717 FAU326703:FAU326717 EQY326703:EQY326717 EHC326703:EHC326717 DXG326703:DXG326717 DNK326703:DNK326717 DDO326703:DDO326717 CTS326703:CTS326717 CJW326703:CJW326717 CAA326703:CAA326717 BQE326703:BQE326717 BGI326703:BGI326717 AWM326703:AWM326717 AMQ326703:AMQ326717 ACU326703:ACU326717 SY326703:SY326717 JC326703:JC326717 GEK64578:GEK64586 WVO261167:WVO261181 WLS261167:WLS261181 WBW261167:WBW261181 VSA261167:VSA261181 VIE261167:VIE261181 UYI261167:UYI261181 UOM261167:UOM261181 UEQ261167:UEQ261181 TUU261167:TUU261181 TKY261167:TKY261181 TBC261167:TBC261181 SRG261167:SRG261181 SHK261167:SHK261181 RXO261167:RXO261181 RNS261167:RNS261181 RDW261167:RDW261181 QUA261167:QUA261181 QKE261167:QKE261181 QAI261167:QAI261181 PQM261167:PQM261181 PGQ261167:PGQ261181 OWU261167:OWU261181 OMY261167:OMY261181 ODC261167:ODC261181 NTG261167:NTG261181 NJK261167:NJK261181 MZO261167:MZO261181 MPS261167:MPS261181 MFW261167:MFW261181 LWA261167:LWA261181 LME261167:LME261181 LCI261167:LCI261181 KSM261167:KSM261181 KIQ261167:KIQ261181 JYU261167:JYU261181 JOY261167:JOY261181 JFC261167:JFC261181 IVG261167:IVG261181 ILK261167:ILK261181 IBO261167:IBO261181 HRS261167:HRS261181 HHW261167:HHW261181 GYA261167:GYA261181 GOE261167:GOE261181 GEI261167:GEI261181 FUM261167:FUM261181 FKQ261167:FKQ261181 FAU261167:FAU261181 EQY261167:EQY261181 EHC261167:EHC261181 DXG261167:DXG261181 DNK261167:DNK261181 DDO261167:DDO261181 CTS261167:CTS261181 CJW261167:CJW261181 CAA261167:CAA261181 BQE261167:BQE261181 BGI261167:BGI261181 AWM261167:AWM261181 AMQ261167:AMQ261181 ACU261167:ACU261181 SY261167:SY261181 JC261167:JC261181 FUO64578:FUO64586 WVO195631:WVO195645 WLS195631:WLS195645 WBW195631:WBW195645 VSA195631:VSA195645 VIE195631:VIE195645 UYI195631:UYI195645 UOM195631:UOM195645 UEQ195631:UEQ195645 TUU195631:TUU195645 TKY195631:TKY195645 TBC195631:TBC195645 SRG195631:SRG195645 SHK195631:SHK195645 RXO195631:RXO195645 RNS195631:RNS195645 RDW195631:RDW195645 QUA195631:QUA195645 QKE195631:QKE195645 QAI195631:QAI195645 PQM195631:PQM195645 PGQ195631:PGQ195645 OWU195631:OWU195645 OMY195631:OMY195645 ODC195631:ODC195645 NTG195631:NTG195645 NJK195631:NJK195645 MZO195631:MZO195645 MPS195631:MPS195645 MFW195631:MFW195645 LWA195631:LWA195645 LME195631:LME195645 LCI195631:LCI195645 KSM195631:KSM195645 KIQ195631:KIQ195645 JYU195631:JYU195645 JOY195631:JOY195645 JFC195631:JFC195645 IVG195631:IVG195645 ILK195631:ILK195645 IBO195631:IBO195645 HRS195631:HRS195645 HHW195631:HHW195645 GYA195631:GYA195645 GOE195631:GOE195645 GEI195631:GEI195645 FUM195631:FUM195645 FKQ195631:FKQ195645 FAU195631:FAU195645 EQY195631:EQY195645 EHC195631:EHC195645 DXG195631:DXG195645 DNK195631:DNK195645 DDO195631:DDO195645 CTS195631:CTS195645 CJW195631:CJW195645 CAA195631:CAA195645 BQE195631:BQE195645 BGI195631:BGI195645 AWM195631:AWM195645 AMQ195631:AMQ195645 ACU195631:ACU195645 SY195631:SY195645 JC195631:JC195645 FKS64578:FKS64586 WVO130095:WVO130109 WLS130095:WLS130109 WBW130095:WBW130109 VSA130095:VSA130109 VIE130095:VIE130109 UYI130095:UYI130109 UOM130095:UOM130109 UEQ130095:UEQ130109 TUU130095:TUU130109 TKY130095:TKY130109 TBC130095:TBC130109 SRG130095:SRG130109 SHK130095:SHK130109 RXO130095:RXO130109 RNS130095:RNS130109 RDW130095:RDW130109 QUA130095:QUA130109 QKE130095:QKE130109 QAI130095:QAI130109 PQM130095:PQM130109 PGQ130095:PGQ130109 OWU130095:OWU130109 OMY130095:OMY130109 ODC130095:ODC130109 NTG130095:NTG130109 NJK130095:NJK130109 MZO130095:MZO130109 MPS130095:MPS130109 MFW130095:MFW130109 LWA130095:LWA130109 LME130095:LME130109 LCI130095:LCI130109 KSM130095:KSM130109 KIQ130095:KIQ130109 JYU130095:JYU130109 JOY130095:JOY130109 JFC130095:JFC130109 IVG130095:IVG130109 ILK130095:ILK130109 IBO130095:IBO130109 HRS130095:HRS130109 HHW130095:HHW130109 GYA130095:GYA130109 GOE130095:GOE130109 GEI130095:GEI130109 FUM130095:FUM130109 FKQ130095:FKQ130109 FAU130095:FAU130109 EQY130095:EQY130109 EHC130095:EHC130109 DXG130095:DXG130109 DNK130095:DNK130109 DDO130095:DDO130109 CTS130095:CTS130109 CJW130095:CJW130109 CAA130095:CAA130109 BQE130095:BQE130109 BGI130095:BGI130109 AWM130095:AWM130109 AMQ130095:AMQ130109 ACU130095:ACU130109 SY130095:SY130109 JC130095:JC130109 FAW64578:FAW64586 WVO64559:WVO64573 WLS64559:WLS64573 WBW64559:WBW64573 VSA64559:VSA64573 VIE64559:VIE64573 UYI64559:UYI64573 UOM64559:UOM64573 UEQ64559:UEQ64573 TUU64559:TUU64573 TKY64559:TKY64573 TBC64559:TBC64573 SRG64559:SRG64573 SHK64559:SHK64573 RXO64559:RXO64573 RNS64559:RNS64573 RDW64559:RDW64573 QUA64559:QUA64573 QKE64559:QKE64573 QAI64559:QAI64573 PQM64559:PQM64573 PGQ64559:PGQ64573 OWU64559:OWU64573 OMY64559:OMY64573 ODC64559:ODC64573 NTG64559:NTG64573 NJK64559:NJK64573 MZO64559:MZO64573 MPS64559:MPS64573 MFW64559:MFW64573 LWA64559:LWA64573 LME64559:LME64573 LCI64559:LCI64573 KSM64559:KSM64573 KIQ64559:KIQ64573 JYU64559:JYU64573 JOY64559:JOY64573 JFC64559:JFC64573 IVG64559:IVG64573 ILK64559:ILK64573 IBO64559:IBO64573 HRS64559:HRS64573 HHW64559:HHW64573 GYA64559:GYA64573 GOE64559:GOE64573 GEI64559:GEI64573 FUM64559:FUM64573 FKQ64559:FKQ64573 FAU64559:FAU64573 EQY64559:EQY64573 EHC64559:EHC64573 DXG64559:DXG64573 DNK64559:DNK64573 DDO64559:DDO64573 CTS64559:CTS64573 CJW64559:CJW64573 CAA64559:CAA64573 BQE64559:BQE64573 BGI64559:BGI64573 AWM64559:AWM64573 AMQ64559:AMQ64573 ACU64559:ACU64573 SY64559:SY64573 JC64559:JC64573 ERA64578:ERA64586 K130075:K130079 JF64539:JG64543 TB64539:TC64543 ACX64539:ACY64543 AMT64539:AMU64543 AWP64539:AWQ64543 BGL64539:BGM64543 BQH64539:BQI64543 CAD64539:CAE64543 CJZ64539:CKA64543 CTV64539:CTW64543 DDR64539:DDS64543 DNN64539:DNO64543 DXJ64539:DXK64543 EHF64539:EHG64543 ERB64539:ERC64543 FAX64539:FAY64543 FKT64539:FKU64543 FUP64539:FUQ64543 GEL64539:GEM64543 GOH64539:GOI64543 GYD64539:GYE64543 HHZ64539:HIA64543 HRV64539:HRW64543 IBR64539:IBS64543 ILN64539:ILO64543 IVJ64539:IVK64543 JFF64539:JFG64543 JPB64539:JPC64543 JYX64539:JYY64543 KIT64539:KIU64543 KSP64539:KSQ64543 LCL64539:LCM64543 LMH64539:LMI64543 LWD64539:LWE64543 MFZ64539:MGA64543 MPV64539:MPW64543 MZR64539:MZS64543 NJN64539:NJO64543 NTJ64539:NTK64543 ODF64539:ODG64543 ONB64539:ONC64543 OWX64539:OWY64543 PGT64539:PGU64543 PQP64539:PQQ64543 QAL64539:QAM64543 QKH64539:QKI64543 QUD64539:QUE64543 RDZ64539:REA64543 RNV64539:RNW64543 RXR64539:RXS64543 SHN64539:SHO64543 SRJ64539:SRK64543 TBF64539:TBG64543 TLB64539:TLC64543 TUX64539:TUY64543 UET64539:UEU64543 UOP64539:UOQ64543 UYL64539:UYM64543 VIH64539:VII64543 VSD64539:VSE64543 WBZ64539:WCA64543 WLV64539:WLW64543 WVR64539:WVS64543 K195611:K195615 JF130075:JG130079 TB130075:TC130079 ACX130075:ACY130079 AMT130075:AMU130079 AWP130075:AWQ130079 BGL130075:BGM130079 BQH130075:BQI130079 CAD130075:CAE130079 CJZ130075:CKA130079 CTV130075:CTW130079 DDR130075:DDS130079 DNN130075:DNO130079 DXJ130075:DXK130079 EHF130075:EHG130079 ERB130075:ERC130079 FAX130075:FAY130079 FKT130075:FKU130079 FUP130075:FUQ130079 GEL130075:GEM130079 GOH130075:GOI130079 GYD130075:GYE130079 HHZ130075:HIA130079 HRV130075:HRW130079 IBR130075:IBS130079 ILN130075:ILO130079 IVJ130075:IVK130079 JFF130075:JFG130079 JPB130075:JPC130079 JYX130075:JYY130079 KIT130075:KIU130079 KSP130075:KSQ130079 LCL130075:LCM130079 LMH130075:LMI130079 LWD130075:LWE130079 MFZ130075:MGA130079 MPV130075:MPW130079 MZR130075:MZS130079 NJN130075:NJO130079 NTJ130075:NTK130079 ODF130075:ODG130079 ONB130075:ONC130079 OWX130075:OWY130079 PGT130075:PGU130079 PQP130075:PQQ130079 QAL130075:QAM130079 QKH130075:QKI130079 QUD130075:QUE130079 RDZ130075:REA130079 RNV130075:RNW130079 RXR130075:RXS130079 SHN130075:SHO130079 SRJ130075:SRK130079 TBF130075:TBG130079 TLB130075:TLC130079 TUX130075:TUY130079 UET130075:UEU130079 UOP130075:UOQ130079 UYL130075:UYM130079 VIH130075:VII130079 VSD130075:VSE130079 WBZ130075:WCA130079 WLV130075:WLW130079 WVR130075:WVS130079 K261147:K261151 JF195611:JG195615 TB195611:TC195615 ACX195611:ACY195615 AMT195611:AMU195615 AWP195611:AWQ195615 BGL195611:BGM195615 BQH195611:BQI195615 CAD195611:CAE195615 CJZ195611:CKA195615 CTV195611:CTW195615 DDR195611:DDS195615 DNN195611:DNO195615 DXJ195611:DXK195615 EHF195611:EHG195615 ERB195611:ERC195615 FAX195611:FAY195615 FKT195611:FKU195615 FUP195611:FUQ195615 GEL195611:GEM195615 GOH195611:GOI195615 GYD195611:GYE195615 HHZ195611:HIA195615 HRV195611:HRW195615 IBR195611:IBS195615 ILN195611:ILO195615 IVJ195611:IVK195615 JFF195611:JFG195615 JPB195611:JPC195615 JYX195611:JYY195615 KIT195611:KIU195615 KSP195611:KSQ195615 LCL195611:LCM195615 LMH195611:LMI195615 LWD195611:LWE195615 MFZ195611:MGA195615 MPV195611:MPW195615 MZR195611:MZS195615 NJN195611:NJO195615 NTJ195611:NTK195615 ODF195611:ODG195615 ONB195611:ONC195615 OWX195611:OWY195615 PGT195611:PGU195615 PQP195611:PQQ195615 QAL195611:QAM195615 QKH195611:QKI195615 QUD195611:QUE195615 RDZ195611:REA195615 RNV195611:RNW195615 RXR195611:RXS195615 SHN195611:SHO195615 SRJ195611:SRK195615 TBF195611:TBG195615 TLB195611:TLC195615 TUX195611:TUY195615 UET195611:UEU195615 UOP195611:UOQ195615 UYL195611:UYM195615 VIH195611:VII195615 VSD195611:VSE195615 WBZ195611:WCA195615 WLV195611:WLW195615 WVR195611:WVS195615 K326683:K326687 JF261147:JG261151 TB261147:TC261151 ACX261147:ACY261151 AMT261147:AMU261151 AWP261147:AWQ261151 BGL261147:BGM261151 BQH261147:BQI261151 CAD261147:CAE261151 CJZ261147:CKA261151 CTV261147:CTW261151 DDR261147:DDS261151 DNN261147:DNO261151 DXJ261147:DXK261151 EHF261147:EHG261151 ERB261147:ERC261151 FAX261147:FAY261151 FKT261147:FKU261151 FUP261147:FUQ261151 GEL261147:GEM261151 GOH261147:GOI261151 GYD261147:GYE261151 HHZ261147:HIA261151 HRV261147:HRW261151 IBR261147:IBS261151 ILN261147:ILO261151 IVJ261147:IVK261151 JFF261147:JFG261151 JPB261147:JPC261151 JYX261147:JYY261151 KIT261147:KIU261151 KSP261147:KSQ261151 LCL261147:LCM261151 LMH261147:LMI261151 LWD261147:LWE261151 MFZ261147:MGA261151 MPV261147:MPW261151 MZR261147:MZS261151 NJN261147:NJO261151 NTJ261147:NTK261151 ODF261147:ODG261151 ONB261147:ONC261151 OWX261147:OWY261151 PGT261147:PGU261151 PQP261147:PQQ261151 QAL261147:QAM261151 QKH261147:QKI261151 QUD261147:QUE261151 RDZ261147:REA261151 RNV261147:RNW261151 RXR261147:RXS261151 SHN261147:SHO261151 SRJ261147:SRK261151 TBF261147:TBG261151 TLB261147:TLC261151 TUX261147:TUY261151 UET261147:UEU261151 UOP261147:UOQ261151 UYL261147:UYM261151 VIH261147:VII261151 VSD261147:VSE261151 WBZ261147:WCA261151 WLV261147:WLW261151 WVR261147:WVS261151 K392219:K392223 JF326683:JG326687 TB326683:TC326687 ACX326683:ACY326687 AMT326683:AMU326687 AWP326683:AWQ326687 BGL326683:BGM326687 BQH326683:BQI326687 CAD326683:CAE326687 CJZ326683:CKA326687 CTV326683:CTW326687 DDR326683:DDS326687 DNN326683:DNO326687 DXJ326683:DXK326687 EHF326683:EHG326687 ERB326683:ERC326687 FAX326683:FAY326687 FKT326683:FKU326687 FUP326683:FUQ326687 GEL326683:GEM326687 GOH326683:GOI326687 GYD326683:GYE326687 HHZ326683:HIA326687 HRV326683:HRW326687 IBR326683:IBS326687 ILN326683:ILO326687 IVJ326683:IVK326687 JFF326683:JFG326687 JPB326683:JPC326687 JYX326683:JYY326687 KIT326683:KIU326687 KSP326683:KSQ326687 LCL326683:LCM326687 LMH326683:LMI326687 LWD326683:LWE326687 MFZ326683:MGA326687 MPV326683:MPW326687 MZR326683:MZS326687 NJN326683:NJO326687 NTJ326683:NTK326687 ODF326683:ODG326687 ONB326683:ONC326687 OWX326683:OWY326687 PGT326683:PGU326687 PQP326683:PQQ326687 QAL326683:QAM326687 QKH326683:QKI326687 QUD326683:QUE326687 RDZ326683:REA326687 RNV326683:RNW326687 RXR326683:RXS326687 SHN326683:SHO326687 SRJ326683:SRK326687 TBF326683:TBG326687 TLB326683:TLC326687 TUX326683:TUY326687 UET326683:UEU326687 UOP326683:UOQ326687 UYL326683:UYM326687 VIH326683:VII326687 VSD326683:VSE326687 WBZ326683:WCA326687 WLV326683:WLW326687 WVR326683:WVS326687 K457755:K457759 JF392219:JG392223 TB392219:TC392223 ACX392219:ACY392223 AMT392219:AMU392223 AWP392219:AWQ392223 BGL392219:BGM392223 BQH392219:BQI392223 CAD392219:CAE392223 CJZ392219:CKA392223 CTV392219:CTW392223 DDR392219:DDS392223 DNN392219:DNO392223 DXJ392219:DXK392223 EHF392219:EHG392223 ERB392219:ERC392223 FAX392219:FAY392223 FKT392219:FKU392223 FUP392219:FUQ392223 GEL392219:GEM392223 GOH392219:GOI392223 GYD392219:GYE392223 HHZ392219:HIA392223 HRV392219:HRW392223 IBR392219:IBS392223 ILN392219:ILO392223 IVJ392219:IVK392223 JFF392219:JFG392223 JPB392219:JPC392223 JYX392219:JYY392223 KIT392219:KIU392223 KSP392219:KSQ392223 LCL392219:LCM392223 LMH392219:LMI392223 LWD392219:LWE392223 MFZ392219:MGA392223 MPV392219:MPW392223 MZR392219:MZS392223 NJN392219:NJO392223 NTJ392219:NTK392223 ODF392219:ODG392223 ONB392219:ONC392223 OWX392219:OWY392223 PGT392219:PGU392223 PQP392219:PQQ392223 QAL392219:QAM392223 QKH392219:QKI392223 QUD392219:QUE392223 RDZ392219:REA392223 RNV392219:RNW392223 RXR392219:RXS392223 SHN392219:SHO392223 SRJ392219:SRK392223 TBF392219:TBG392223 TLB392219:TLC392223 TUX392219:TUY392223 UET392219:UEU392223 UOP392219:UOQ392223 UYL392219:UYM392223 VIH392219:VII392223 VSD392219:VSE392223 WBZ392219:WCA392223 WLV392219:WLW392223 WVR392219:WVS392223 K523291:K523295 JF457755:JG457759 TB457755:TC457759 ACX457755:ACY457759 AMT457755:AMU457759 AWP457755:AWQ457759 BGL457755:BGM457759 BQH457755:BQI457759 CAD457755:CAE457759 CJZ457755:CKA457759 CTV457755:CTW457759 DDR457755:DDS457759 DNN457755:DNO457759 DXJ457755:DXK457759 EHF457755:EHG457759 ERB457755:ERC457759 FAX457755:FAY457759 FKT457755:FKU457759 FUP457755:FUQ457759 GEL457755:GEM457759 GOH457755:GOI457759 GYD457755:GYE457759 HHZ457755:HIA457759 HRV457755:HRW457759 IBR457755:IBS457759 ILN457755:ILO457759 IVJ457755:IVK457759 JFF457755:JFG457759 JPB457755:JPC457759 JYX457755:JYY457759 KIT457755:KIU457759 KSP457755:KSQ457759 LCL457755:LCM457759 LMH457755:LMI457759 LWD457755:LWE457759 MFZ457755:MGA457759 MPV457755:MPW457759 MZR457755:MZS457759 NJN457755:NJO457759 NTJ457755:NTK457759 ODF457755:ODG457759 ONB457755:ONC457759 OWX457755:OWY457759 PGT457755:PGU457759 PQP457755:PQQ457759 QAL457755:QAM457759 QKH457755:QKI457759 QUD457755:QUE457759 RDZ457755:REA457759 RNV457755:RNW457759 RXR457755:RXS457759 SHN457755:SHO457759 SRJ457755:SRK457759 TBF457755:TBG457759 TLB457755:TLC457759 TUX457755:TUY457759 UET457755:UEU457759 UOP457755:UOQ457759 UYL457755:UYM457759 VIH457755:VII457759 VSD457755:VSE457759 WBZ457755:WCA457759 WLV457755:WLW457759 WVR457755:WVS457759 K588827:K588831 JF523291:JG523295 TB523291:TC523295 ACX523291:ACY523295 AMT523291:AMU523295 AWP523291:AWQ523295 BGL523291:BGM523295 BQH523291:BQI523295 CAD523291:CAE523295 CJZ523291:CKA523295 CTV523291:CTW523295 DDR523291:DDS523295 DNN523291:DNO523295 DXJ523291:DXK523295 EHF523291:EHG523295 ERB523291:ERC523295 FAX523291:FAY523295 FKT523291:FKU523295 FUP523291:FUQ523295 GEL523291:GEM523295 GOH523291:GOI523295 GYD523291:GYE523295 HHZ523291:HIA523295 HRV523291:HRW523295 IBR523291:IBS523295 ILN523291:ILO523295 IVJ523291:IVK523295 JFF523291:JFG523295 JPB523291:JPC523295 JYX523291:JYY523295 KIT523291:KIU523295 KSP523291:KSQ523295 LCL523291:LCM523295 LMH523291:LMI523295 LWD523291:LWE523295 MFZ523291:MGA523295 MPV523291:MPW523295 MZR523291:MZS523295 NJN523291:NJO523295 NTJ523291:NTK523295 ODF523291:ODG523295 ONB523291:ONC523295 OWX523291:OWY523295 PGT523291:PGU523295 PQP523291:PQQ523295 QAL523291:QAM523295 QKH523291:QKI523295 QUD523291:QUE523295 RDZ523291:REA523295 RNV523291:RNW523295 RXR523291:RXS523295 SHN523291:SHO523295 SRJ523291:SRK523295 TBF523291:TBG523295 TLB523291:TLC523295 TUX523291:TUY523295 UET523291:UEU523295 UOP523291:UOQ523295 UYL523291:UYM523295 VIH523291:VII523295 VSD523291:VSE523295 WBZ523291:WCA523295 WLV523291:WLW523295 WVR523291:WVS523295 K654363:K654367 JF588827:JG588831 TB588827:TC588831 ACX588827:ACY588831 AMT588827:AMU588831 AWP588827:AWQ588831 BGL588827:BGM588831 BQH588827:BQI588831 CAD588827:CAE588831 CJZ588827:CKA588831 CTV588827:CTW588831 DDR588827:DDS588831 DNN588827:DNO588831 DXJ588827:DXK588831 EHF588827:EHG588831 ERB588827:ERC588831 FAX588827:FAY588831 FKT588827:FKU588831 FUP588827:FUQ588831 GEL588827:GEM588831 GOH588827:GOI588831 GYD588827:GYE588831 HHZ588827:HIA588831 HRV588827:HRW588831 IBR588827:IBS588831 ILN588827:ILO588831 IVJ588827:IVK588831 JFF588827:JFG588831 JPB588827:JPC588831 JYX588827:JYY588831 KIT588827:KIU588831 KSP588827:KSQ588831 LCL588827:LCM588831 LMH588827:LMI588831 LWD588827:LWE588831 MFZ588827:MGA588831 MPV588827:MPW588831 MZR588827:MZS588831 NJN588827:NJO588831 NTJ588827:NTK588831 ODF588827:ODG588831 ONB588827:ONC588831 OWX588827:OWY588831 PGT588827:PGU588831 PQP588827:PQQ588831 QAL588827:QAM588831 QKH588827:QKI588831 QUD588827:QUE588831 RDZ588827:REA588831 RNV588827:RNW588831 RXR588827:RXS588831 SHN588827:SHO588831 SRJ588827:SRK588831 TBF588827:TBG588831 TLB588827:TLC588831 TUX588827:TUY588831 UET588827:UEU588831 UOP588827:UOQ588831 UYL588827:UYM588831 VIH588827:VII588831 VSD588827:VSE588831 WBZ588827:WCA588831 WLV588827:WLW588831 WVR588827:WVS588831 K719899:K719903 JF654363:JG654367 TB654363:TC654367 ACX654363:ACY654367 AMT654363:AMU654367 AWP654363:AWQ654367 BGL654363:BGM654367 BQH654363:BQI654367 CAD654363:CAE654367 CJZ654363:CKA654367 CTV654363:CTW654367 DDR654363:DDS654367 DNN654363:DNO654367 DXJ654363:DXK654367 EHF654363:EHG654367 ERB654363:ERC654367 FAX654363:FAY654367 FKT654363:FKU654367 FUP654363:FUQ654367 GEL654363:GEM654367 GOH654363:GOI654367 GYD654363:GYE654367 HHZ654363:HIA654367 HRV654363:HRW654367 IBR654363:IBS654367 ILN654363:ILO654367 IVJ654363:IVK654367 JFF654363:JFG654367 JPB654363:JPC654367 JYX654363:JYY654367 KIT654363:KIU654367 KSP654363:KSQ654367 LCL654363:LCM654367 LMH654363:LMI654367 LWD654363:LWE654367 MFZ654363:MGA654367 MPV654363:MPW654367 MZR654363:MZS654367 NJN654363:NJO654367 NTJ654363:NTK654367 ODF654363:ODG654367 ONB654363:ONC654367 OWX654363:OWY654367 PGT654363:PGU654367 PQP654363:PQQ654367 QAL654363:QAM654367 QKH654363:QKI654367 QUD654363:QUE654367 RDZ654363:REA654367 RNV654363:RNW654367 RXR654363:RXS654367 SHN654363:SHO654367 SRJ654363:SRK654367 TBF654363:TBG654367 TLB654363:TLC654367 TUX654363:TUY654367 UET654363:UEU654367 UOP654363:UOQ654367 UYL654363:UYM654367 VIH654363:VII654367 VSD654363:VSE654367 WBZ654363:WCA654367 WLV654363:WLW654367 WVR654363:WVS654367 K785435:K785439 JF719899:JG719903 TB719899:TC719903 ACX719899:ACY719903 AMT719899:AMU719903 AWP719899:AWQ719903 BGL719899:BGM719903 BQH719899:BQI719903 CAD719899:CAE719903 CJZ719899:CKA719903 CTV719899:CTW719903 DDR719899:DDS719903 DNN719899:DNO719903 DXJ719899:DXK719903 EHF719899:EHG719903 ERB719899:ERC719903 FAX719899:FAY719903 FKT719899:FKU719903 FUP719899:FUQ719903 GEL719899:GEM719903 GOH719899:GOI719903 GYD719899:GYE719903 HHZ719899:HIA719903 HRV719899:HRW719903 IBR719899:IBS719903 ILN719899:ILO719903 IVJ719899:IVK719903 JFF719899:JFG719903 JPB719899:JPC719903 JYX719899:JYY719903 KIT719899:KIU719903 KSP719899:KSQ719903 LCL719899:LCM719903 LMH719899:LMI719903 LWD719899:LWE719903 MFZ719899:MGA719903 MPV719899:MPW719903 MZR719899:MZS719903 NJN719899:NJO719903 NTJ719899:NTK719903 ODF719899:ODG719903 ONB719899:ONC719903 OWX719899:OWY719903 PGT719899:PGU719903 PQP719899:PQQ719903 QAL719899:QAM719903 QKH719899:QKI719903 QUD719899:QUE719903 RDZ719899:REA719903 RNV719899:RNW719903 RXR719899:RXS719903 SHN719899:SHO719903 SRJ719899:SRK719903 TBF719899:TBG719903 TLB719899:TLC719903 TUX719899:TUY719903 UET719899:UEU719903 UOP719899:UOQ719903 UYL719899:UYM719903 VIH719899:VII719903 VSD719899:VSE719903 WBZ719899:WCA719903 WLV719899:WLW719903 WVR719899:WVS719903 K850971:K850975 JF785435:JG785439 TB785435:TC785439 ACX785435:ACY785439 AMT785435:AMU785439 AWP785435:AWQ785439 BGL785435:BGM785439 BQH785435:BQI785439 CAD785435:CAE785439 CJZ785435:CKA785439 CTV785435:CTW785439 DDR785435:DDS785439 DNN785435:DNO785439 DXJ785435:DXK785439 EHF785435:EHG785439 ERB785435:ERC785439 FAX785435:FAY785439 FKT785435:FKU785439 FUP785435:FUQ785439 GEL785435:GEM785439 GOH785435:GOI785439 GYD785435:GYE785439 HHZ785435:HIA785439 HRV785435:HRW785439 IBR785435:IBS785439 ILN785435:ILO785439 IVJ785435:IVK785439 JFF785435:JFG785439 JPB785435:JPC785439 JYX785435:JYY785439 KIT785435:KIU785439 KSP785435:KSQ785439 LCL785435:LCM785439 LMH785435:LMI785439 LWD785435:LWE785439 MFZ785435:MGA785439 MPV785435:MPW785439 MZR785435:MZS785439 NJN785435:NJO785439 NTJ785435:NTK785439 ODF785435:ODG785439 ONB785435:ONC785439 OWX785435:OWY785439 PGT785435:PGU785439 PQP785435:PQQ785439 QAL785435:QAM785439 QKH785435:QKI785439 QUD785435:QUE785439 RDZ785435:REA785439 RNV785435:RNW785439 RXR785435:RXS785439 SHN785435:SHO785439 SRJ785435:SRK785439 TBF785435:TBG785439 TLB785435:TLC785439 TUX785435:TUY785439 UET785435:UEU785439 UOP785435:UOQ785439 UYL785435:UYM785439 VIH785435:VII785439 VSD785435:VSE785439 WBZ785435:WCA785439 WLV785435:WLW785439 WVR785435:WVS785439 K916507:K916511 JF850971:JG850975 TB850971:TC850975 ACX850971:ACY850975 AMT850971:AMU850975 AWP850971:AWQ850975 BGL850971:BGM850975 BQH850971:BQI850975 CAD850971:CAE850975 CJZ850971:CKA850975 CTV850971:CTW850975 DDR850971:DDS850975 DNN850971:DNO850975 DXJ850971:DXK850975 EHF850971:EHG850975 ERB850971:ERC850975 FAX850971:FAY850975 FKT850971:FKU850975 FUP850971:FUQ850975 GEL850971:GEM850975 GOH850971:GOI850975 GYD850971:GYE850975 HHZ850971:HIA850975 HRV850971:HRW850975 IBR850971:IBS850975 ILN850971:ILO850975 IVJ850971:IVK850975 JFF850971:JFG850975 JPB850971:JPC850975 JYX850971:JYY850975 KIT850971:KIU850975 KSP850971:KSQ850975 LCL850971:LCM850975 LMH850971:LMI850975 LWD850971:LWE850975 MFZ850971:MGA850975 MPV850971:MPW850975 MZR850971:MZS850975 NJN850971:NJO850975 NTJ850971:NTK850975 ODF850971:ODG850975 ONB850971:ONC850975 OWX850971:OWY850975 PGT850971:PGU850975 PQP850971:PQQ850975 QAL850971:QAM850975 QKH850971:QKI850975 QUD850971:QUE850975 RDZ850971:REA850975 RNV850971:RNW850975 RXR850971:RXS850975 SHN850971:SHO850975 SRJ850971:SRK850975 TBF850971:TBG850975 TLB850971:TLC850975 TUX850971:TUY850975 UET850971:UEU850975 UOP850971:UOQ850975 UYL850971:UYM850975 VIH850971:VII850975 VSD850971:VSE850975 WBZ850971:WCA850975 WLV850971:WLW850975 WVR850971:WVS850975 K982043:K982047 JF916507:JG916511 TB916507:TC916511 ACX916507:ACY916511 AMT916507:AMU916511 AWP916507:AWQ916511 BGL916507:BGM916511 BQH916507:BQI916511 CAD916507:CAE916511 CJZ916507:CKA916511 CTV916507:CTW916511 DDR916507:DDS916511 DNN916507:DNO916511 DXJ916507:DXK916511 EHF916507:EHG916511 ERB916507:ERC916511 FAX916507:FAY916511 FKT916507:FKU916511 FUP916507:FUQ916511 GEL916507:GEM916511 GOH916507:GOI916511 GYD916507:GYE916511 HHZ916507:HIA916511 HRV916507:HRW916511 IBR916507:IBS916511 ILN916507:ILO916511 IVJ916507:IVK916511 JFF916507:JFG916511 JPB916507:JPC916511 JYX916507:JYY916511 KIT916507:KIU916511 KSP916507:KSQ916511 LCL916507:LCM916511 LMH916507:LMI916511 LWD916507:LWE916511 MFZ916507:MGA916511 MPV916507:MPW916511 MZR916507:MZS916511 NJN916507:NJO916511 NTJ916507:NTK916511 ODF916507:ODG916511 ONB916507:ONC916511 OWX916507:OWY916511 PGT916507:PGU916511 PQP916507:PQQ916511 QAL916507:QAM916511 QKH916507:QKI916511 QUD916507:QUE916511 RDZ916507:REA916511 RNV916507:RNW916511 RXR916507:RXS916511 SHN916507:SHO916511 SRJ916507:SRK916511 TBF916507:TBG916511 TLB916507:TLC916511 TUX916507:TUY916511 UET916507:UEU916511 UOP916507:UOQ916511 UYL916507:UYM916511 VIH916507:VII916511 VSD916507:VSE916511 WBZ916507:WCA916511 WLV916507:WLW916511 WVR916507:WVS916511 I982095:I982099 JF982043:JG982047 TB982043:TC982047 ACX982043:ACY982047 AMT982043:AMU982047 AWP982043:AWQ982047 BGL982043:BGM982047 BQH982043:BQI982047 CAD982043:CAE982047 CJZ982043:CKA982047 CTV982043:CTW982047 DDR982043:DDS982047 DNN982043:DNO982047 DXJ982043:DXK982047 EHF982043:EHG982047 ERB982043:ERC982047 FAX982043:FAY982047 FKT982043:FKU982047 FUP982043:FUQ982047 GEL982043:GEM982047 GOH982043:GOI982047 GYD982043:GYE982047 HHZ982043:HIA982047 HRV982043:HRW982047 IBR982043:IBS982047 ILN982043:ILO982047 IVJ982043:IVK982047 JFF982043:JFG982047 JPB982043:JPC982047 JYX982043:JYY982047 KIT982043:KIU982047 KSP982043:KSQ982047 LCL982043:LCM982047 LMH982043:LMI982047 LWD982043:LWE982047 MFZ982043:MGA982047 MPV982043:MPW982047 MZR982043:MZS982047 NJN982043:NJO982047 NTJ982043:NTK982047 ODF982043:ODG982047 ONB982043:ONC982047 OWX982043:OWY982047 PGT982043:PGU982047 PQP982043:PQQ982047 QAL982043:QAM982047 QKH982043:QKI982047 QUD982043:QUE982047 RDZ982043:REA982047 RNV982043:RNW982047 RXR982043:RXS982047 SHN982043:SHO982047 SRJ982043:SRK982047 TBF982043:TBG982047 TLB982043:TLC982047 TUX982043:TUY982047 UET982043:UEU982047 UOP982043:UOQ982047 UYL982043:UYM982047 VIH982043:VII982047 VSD982043:VSE982047 WBZ982043:WCA982047 WLV982043:WLW982047 WVR982043:WVS982047 WVQ982095:WVR982099 WBY982095:WBZ982099 VSC982095:VSD982099 VIG982095:VIH982099 UYK982095:UYL982099 UOO982095:UOP982099 UES982095:UET982099 TUW982095:TUX982099 TLA982095:TLB982099 TBE982095:TBF982099 SRI982095:SRJ982099 SHM982095:SHN982099 RXQ982095:RXR982099 RNU982095:RNV982099 RDY982095:RDZ982099 QUC982095:QUD982099 QKG982095:QKH982099 QAK982095:QAL982099 PQO982095:PQP982099 PGS982095:PGT982099 OWW982095:OWX982099 ONA982095:ONB982099 ODE982095:ODF982099 NTI982095:NTJ982099 NJM982095:NJN982099 MZQ982095:MZR982099 MPU982095:MPV982099 MFY982095:MFZ982099 LWC982095:LWD982099 LMG982095:LMH982099 LCK982095:LCL982099 KSO982095:KSP982099 KIS982095:KIT982099 JYW982095:JYX982099 JPA982095:JPB982099 JFE982095:JFF982099 IVI982095:IVJ982099 ILM982095:ILN982099 IBQ982095:IBR982099 HRU982095:HRV982099 HHY982095:HHZ982099 GYC982095:GYD982099 GOG982095:GOH982099 GEK982095:GEL982099 FUO982095:FUP982099 FKS982095:FKT982099 FAW982095:FAX982099 ERA982095:ERB982099 EHE982095:EHF982099 DXI982095:DXJ982099 DNM982095:DNN982099 DDQ982095:DDR982099 CTU982095:CTV982099 CJY982095:CJZ982099 CAC982095:CAD982099 BQG982095:BQH982099 BGK982095:BGL982099 AWO982095:AWP982099 AMS982095:AMT982099 ACW982095:ACX982099 TA982095:TB982099 JE982095:JF982099 I916559:I916563 WVQ916559:WVR916563 WLU916559:WLV916563 WBY916559:WBZ916563 VSC916559:VSD916563 VIG916559:VIH916563 UYK916559:UYL916563 UOO916559:UOP916563 UES916559:UET916563 TUW916559:TUX916563 TLA916559:TLB916563 TBE916559:TBF916563 SRI916559:SRJ916563 SHM916559:SHN916563 RXQ916559:RXR916563 RNU916559:RNV916563 RDY916559:RDZ916563 QUC916559:QUD916563 QKG916559:QKH916563 QAK916559:QAL916563 PQO916559:PQP916563 PGS916559:PGT916563 OWW916559:OWX916563 ONA916559:ONB916563 ODE916559:ODF916563 NTI916559:NTJ916563 NJM916559:NJN916563 MZQ916559:MZR916563 MPU916559:MPV916563 MFY916559:MFZ916563 LWC916559:LWD916563 LMG916559:LMH916563 LCK916559:LCL916563 KSO916559:KSP916563 KIS916559:KIT916563 JYW916559:JYX916563 JPA916559:JPB916563 JFE916559:JFF916563 IVI916559:IVJ916563 ILM916559:ILN916563 IBQ916559:IBR916563 HRU916559:HRV916563 HHY916559:HHZ916563 GYC916559:GYD916563 GOG916559:GOH916563 GEK916559:GEL916563 FUO916559:FUP916563 FKS916559:FKT916563 FAW916559:FAX916563 ERA916559:ERB916563 EHE916559:EHF916563 DXI916559:DXJ916563 DNM916559:DNN916563 DDQ916559:DDR916563 CTU916559:CTV916563 CJY916559:CJZ916563 CAC916559:CAD916563 BQG916559:BQH916563 BGK916559:BGL916563 AWO916559:AWP916563 AMS916559:AMT916563 ACW916559:ACX916563 TA916559:TB916563 JE916559:JF916563 I851023:I851027 WVQ851023:WVR851027 WLU851023:WLV851027 WBY851023:WBZ851027 VSC851023:VSD851027 VIG851023:VIH851027 UYK851023:UYL851027 UOO851023:UOP851027 UES851023:UET851027 TUW851023:TUX851027 TLA851023:TLB851027 TBE851023:TBF851027 SRI851023:SRJ851027 SHM851023:SHN851027 RXQ851023:RXR851027 RNU851023:RNV851027 RDY851023:RDZ851027 QUC851023:QUD851027 QKG851023:QKH851027 QAK851023:QAL851027 PQO851023:PQP851027 PGS851023:PGT851027 OWW851023:OWX851027 ONA851023:ONB851027 ODE851023:ODF851027 NTI851023:NTJ851027 NJM851023:NJN851027 MZQ851023:MZR851027 MPU851023:MPV851027 MFY851023:MFZ851027 LWC851023:LWD851027 LMG851023:LMH851027 LCK851023:LCL851027 KSO851023:KSP851027 KIS851023:KIT851027 JYW851023:JYX851027 JPA851023:JPB851027 JFE851023:JFF851027 IVI851023:IVJ851027 ILM851023:ILN851027 IBQ851023:IBR851027 HRU851023:HRV851027 HHY851023:HHZ851027 GYC851023:GYD851027 GOG851023:GOH851027 GEK851023:GEL851027 FUO851023:FUP851027 FKS851023:FKT851027 FAW851023:FAX851027 ERA851023:ERB851027 EHE851023:EHF851027 DXI851023:DXJ851027 DNM851023:DNN851027 DDQ851023:DDR851027 CTU851023:CTV851027 CJY851023:CJZ851027 CAC851023:CAD851027 BQG851023:BQH851027 BGK851023:BGL851027 AWO851023:AWP851027 AMS851023:AMT851027 ACW851023:ACX851027 TA851023:TB851027 JE851023:JF851027 I785487:I785491 WVQ785487:WVR785491 WLU785487:WLV785491 WBY785487:WBZ785491 VSC785487:VSD785491 VIG785487:VIH785491 UYK785487:UYL785491 UOO785487:UOP785491 UES785487:UET785491 TUW785487:TUX785491 TLA785487:TLB785491 TBE785487:TBF785491 SRI785487:SRJ785491 SHM785487:SHN785491 RXQ785487:RXR785491 RNU785487:RNV785491 RDY785487:RDZ785491 QUC785487:QUD785491 QKG785487:QKH785491 QAK785487:QAL785491 PQO785487:PQP785491 PGS785487:PGT785491 OWW785487:OWX785491 ONA785487:ONB785491 ODE785487:ODF785491 NTI785487:NTJ785491 NJM785487:NJN785491 MZQ785487:MZR785491 MPU785487:MPV785491 MFY785487:MFZ785491 LWC785487:LWD785491 LMG785487:LMH785491 LCK785487:LCL785491 KSO785487:KSP785491 KIS785487:KIT785491 JYW785487:JYX785491 JPA785487:JPB785491 JFE785487:JFF785491 IVI785487:IVJ785491 ILM785487:ILN785491 IBQ785487:IBR785491 HRU785487:HRV785491 HHY785487:HHZ785491 GYC785487:GYD785491 GOG785487:GOH785491 GEK785487:GEL785491 FUO785487:FUP785491 FKS785487:FKT785491 FAW785487:FAX785491 ERA785487:ERB785491 EHE785487:EHF785491 DXI785487:DXJ785491 DNM785487:DNN785491 DDQ785487:DDR785491 CTU785487:CTV785491 CJY785487:CJZ785491 CAC785487:CAD785491 BQG785487:BQH785491 BGK785487:BGL785491 AWO785487:AWP785491 AMS785487:AMT785491 ACW785487:ACX785491 TA785487:TB785491 JE785487:JF785491 I719951:I719955 WVQ719951:WVR719955 WLU719951:WLV719955 WBY719951:WBZ719955 VSC719951:VSD719955 VIG719951:VIH719955 UYK719951:UYL719955 UOO719951:UOP719955 UES719951:UET719955 TUW719951:TUX719955 TLA719951:TLB719955 TBE719951:TBF719955 SRI719951:SRJ719955 SHM719951:SHN719955 RXQ719951:RXR719955 RNU719951:RNV719955 RDY719951:RDZ719955 QUC719951:QUD719955 QKG719951:QKH719955 QAK719951:QAL719955 PQO719951:PQP719955 PGS719951:PGT719955 OWW719951:OWX719955 ONA719951:ONB719955 ODE719951:ODF719955 NTI719951:NTJ719955 NJM719951:NJN719955 MZQ719951:MZR719955 MPU719951:MPV719955 MFY719951:MFZ719955 LWC719951:LWD719955 LMG719951:LMH719955 LCK719951:LCL719955 KSO719951:KSP719955 KIS719951:KIT719955 JYW719951:JYX719955 JPA719951:JPB719955 JFE719951:JFF719955 IVI719951:IVJ719955 ILM719951:ILN719955 IBQ719951:IBR719955 HRU719951:HRV719955 HHY719951:HHZ719955 GYC719951:GYD719955 GOG719951:GOH719955 GEK719951:GEL719955 FUO719951:FUP719955 FKS719951:FKT719955 FAW719951:FAX719955 ERA719951:ERB719955 EHE719951:EHF719955 DXI719951:DXJ719955 DNM719951:DNN719955 DDQ719951:DDR719955 CTU719951:CTV719955 CJY719951:CJZ719955 CAC719951:CAD719955 BQG719951:BQH719955 BGK719951:BGL719955 AWO719951:AWP719955 AMS719951:AMT719955 ACW719951:ACX719955 TA719951:TB719955 JE719951:JF719955 I654415:I654419 WVQ654415:WVR654419 WLU654415:WLV654419 WBY654415:WBZ654419 VSC654415:VSD654419 VIG654415:VIH654419 UYK654415:UYL654419 UOO654415:UOP654419 UES654415:UET654419 TUW654415:TUX654419 TLA654415:TLB654419 TBE654415:TBF654419 SRI654415:SRJ654419 SHM654415:SHN654419 RXQ654415:RXR654419 RNU654415:RNV654419 RDY654415:RDZ654419 QUC654415:QUD654419 QKG654415:QKH654419 QAK654415:QAL654419 PQO654415:PQP654419 PGS654415:PGT654419 OWW654415:OWX654419 ONA654415:ONB654419 ODE654415:ODF654419 NTI654415:NTJ654419 NJM654415:NJN654419 MZQ654415:MZR654419 MPU654415:MPV654419 MFY654415:MFZ654419 LWC654415:LWD654419 LMG654415:LMH654419 LCK654415:LCL654419 KSO654415:KSP654419 KIS654415:KIT654419 JYW654415:JYX654419 JPA654415:JPB654419 JFE654415:JFF654419 IVI654415:IVJ654419 ILM654415:ILN654419 IBQ654415:IBR654419 HRU654415:HRV654419 HHY654415:HHZ654419 GYC654415:GYD654419 GOG654415:GOH654419 GEK654415:GEL654419 FUO654415:FUP654419 FKS654415:FKT654419 FAW654415:FAX654419 ERA654415:ERB654419 EHE654415:EHF654419 DXI654415:DXJ654419 DNM654415:DNN654419 DDQ654415:DDR654419 CTU654415:CTV654419 CJY654415:CJZ654419 CAC654415:CAD654419 BQG654415:BQH654419 BGK654415:BGL654419 AWO654415:AWP654419 AMS654415:AMT654419 ACW654415:ACX654419 TA654415:TB654419 JE654415:JF654419 I588879:I588883 WVQ588879:WVR588883 WLU588879:WLV588883 WBY588879:WBZ588883 VSC588879:VSD588883 VIG588879:VIH588883 UYK588879:UYL588883 UOO588879:UOP588883 UES588879:UET588883 TUW588879:TUX588883 TLA588879:TLB588883 TBE588879:TBF588883 SRI588879:SRJ588883 SHM588879:SHN588883 RXQ588879:RXR588883 RNU588879:RNV588883 RDY588879:RDZ588883 QUC588879:QUD588883 QKG588879:QKH588883 QAK588879:QAL588883 PQO588879:PQP588883 PGS588879:PGT588883 OWW588879:OWX588883 ONA588879:ONB588883 ODE588879:ODF588883 NTI588879:NTJ588883 NJM588879:NJN588883 MZQ588879:MZR588883 MPU588879:MPV588883 MFY588879:MFZ588883 LWC588879:LWD588883 LMG588879:LMH588883 LCK588879:LCL588883 KSO588879:KSP588883 KIS588879:KIT588883 JYW588879:JYX588883 JPA588879:JPB588883 JFE588879:JFF588883 IVI588879:IVJ588883 ILM588879:ILN588883 IBQ588879:IBR588883 HRU588879:HRV588883 HHY588879:HHZ588883 GYC588879:GYD588883 GOG588879:GOH588883 GEK588879:GEL588883 FUO588879:FUP588883 FKS588879:FKT588883 FAW588879:FAX588883 ERA588879:ERB588883 EHE588879:EHF588883 DXI588879:DXJ588883 DNM588879:DNN588883 DDQ588879:DDR588883 CTU588879:CTV588883 CJY588879:CJZ588883 CAC588879:CAD588883 BQG588879:BQH588883 BGK588879:BGL588883 AWO588879:AWP588883 AMS588879:AMT588883 ACW588879:ACX588883 TA588879:TB588883 JE588879:JF588883 I523343:I523347 WVQ523343:WVR523347 WLU523343:WLV523347 WBY523343:WBZ523347 VSC523343:VSD523347 VIG523343:VIH523347 UYK523343:UYL523347 UOO523343:UOP523347 UES523343:UET523347 TUW523343:TUX523347 TLA523343:TLB523347 TBE523343:TBF523347 SRI523343:SRJ523347 SHM523343:SHN523347 RXQ523343:RXR523347 RNU523343:RNV523347 RDY523343:RDZ523347 QUC523343:QUD523347 QKG523343:QKH523347 QAK523343:QAL523347 PQO523343:PQP523347 PGS523343:PGT523347 OWW523343:OWX523347 ONA523343:ONB523347 ODE523343:ODF523347 NTI523343:NTJ523347 NJM523343:NJN523347 MZQ523343:MZR523347 MPU523343:MPV523347 MFY523343:MFZ523347 LWC523343:LWD523347 LMG523343:LMH523347 LCK523343:LCL523347 KSO523343:KSP523347 KIS523343:KIT523347 JYW523343:JYX523347 JPA523343:JPB523347 JFE523343:JFF523347 IVI523343:IVJ523347 ILM523343:ILN523347 IBQ523343:IBR523347 HRU523343:HRV523347 HHY523343:HHZ523347 GYC523343:GYD523347 GOG523343:GOH523347 GEK523343:GEL523347 FUO523343:FUP523347 FKS523343:FKT523347 FAW523343:FAX523347 ERA523343:ERB523347 EHE523343:EHF523347 DXI523343:DXJ523347 DNM523343:DNN523347 DDQ523343:DDR523347 CTU523343:CTV523347 CJY523343:CJZ523347 CAC523343:CAD523347 BQG523343:BQH523347 BGK523343:BGL523347 AWO523343:AWP523347 AMS523343:AMT523347 ACW523343:ACX523347 TA523343:TB523347 JE523343:JF523347 I457807:I457811 WVQ457807:WVR457811 WLU457807:WLV457811 WBY457807:WBZ457811 VSC457807:VSD457811 VIG457807:VIH457811 UYK457807:UYL457811 UOO457807:UOP457811 UES457807:UET457811 TUW457807:TUX457811 TLA457807:TLB457811 TBE457807:TBF457811 SRI457807:SRJ457811 SHM457807:SHN457811 RXQ457807:RXR457811 RNU457807:RNV457811 RDY457807:RDZ457811 QUC457807:QUD457811 QKG457807:QKH457811 QAK457807:QAL457811 PQO457807:PQP457811 PGS457807:PGT457811 OWW457807:OWX457811 ONA457807:ONB457811 ODE457807:ODF457811 NTI457807:NTJ457811 NJM457807:NJN457811 MZQ457807:MZR457811 MPU457807:MPV457811 MFY457807:MFZ457811 LWC457807:LWD457811 LMG457807:LMH457811 LCK457807:LCL457811 KSO457807:KSP457811 KIS457807:KIT457811 JYW457807:JYX457811 JPA457807:JPB457811 JFE457807:JFF457811 IVI457807:IVJ457811 ILM457807:ILN457811 IBQ457807:IBR457811 HRU457807:HRV457811 HHY457807:HHZ457811 GYC457807:GYD457811 GOG457807:GOH457811 GEK457807:GEL457811 FUO457807:FUP457811 FKS457807:FKT457811 FAW457807:FAX457811 ERA457807:ERB457811 EHE457807:EHF457811 DXI457807:DXJ457811 DNM457807:DNN457811 DDQ457807:DDR457811 CTU457807:CTV457811 CJY457807:CJZ457811 CAC457807:CAD457811 BQG457807:BQH457811 BGK457807:BGL457811 AWO457807:AWP457811 AMS457807:AMT457811 ACW457807:ACX457811 TA457807:TB457811 JE457807:JF457811 I392271:I392275 WVQ392271:WVR392275 WLU392271:WLV392275 WBY392271:WBZ392275 VSC392271:VSD392275 VIG392271:VIH392275 UYK392271:UYL392275 UOO392271:UOP392275 UES392271:UET392275 TUW392271:TUX392275 TLA392271:TLB392275 TBE392271:TBF392275 SRI392271:SRJ392275 SHM392271:SHN392275 RXQ392271:RXR392275 RNU392271:RNV392275 RDY392271:RDZ392275 QUC392271:QUD392275 QKG392271:QKH392275 QAK392271:QAL392275 PQO392271:PQP392275 PGS392271:PGT392275 OWW392271:OWX392275 ONA392271:ONB392275 ODE392271:ODF392275 NTI392271:NTJ392275 NJM392271:NJN392275 MZQ392271:MZR392275 MPU392271:MPV392275 MFY392271:MFZ392275 LWC392271:LWD392275 LMG392271:LMH392275 LCK392271:LCL392275 KSO392271:KSP392275 KIS392271:KIT392275 JYW392271:JYX392275 JPA392271:JPB392275 JFE392271:JFF392275 IVI392271:IVJ392275 ILM392271:ILN392275 IBQ392271:IBR392275 HRU392271:HRV392275 HHY392271:HHZ392275 GYC392271:GYD392275 GOG392271:GOH392275 GEK392271:GEL392275 FUO392271:FUP392275 FKS392271:FKT392275 FAW392271:FAX392275 ERA392271:ERB392275 EHE392271:EHF392275 DXI392271:DXJ392275 DNM392271:DNN392275 DDQ392271:DDR392275 CTU392271:CTV392275 CJY392271:CJZ392275 CAC392271:CAD392275 BQG392271:BQH392275 BGK392271:BGL392275 AWO392271:AWP392275 AMS392271:AMT392275 ACW392271:ACX392275 TA392271:TB392275 JE392271:JF392275 I326735:I326739 WVQ326735:WVR326739 WLU326735:WLV326739 WBY326735:WBZ326739 VSC326735:VSD326739 VIG326735:VIH326739 UYK326735:UYL326739 UOO326735:UOP326739 UES326735:UET326739 TUW326735:TUX326739 TLA326735:TLB326739 TBE326735:TBF326739 SRI326735:SRJ326739 SHM326735:SHN326739 RXQ326735:RXR326739 RNU326735:RNV326739 RDY326735:RDZ326739 QUC326735:QUD326739 QKG326735:QKH326739 QAK326735:QAL326739 PQO326735:PQP326739 PGS326735:PGT326739 OWW326735:OWX326739 ONA326735:ONB326739 ODE326735:ODF326739 NTI326735:NTJ326739 NJM326735:NJN326739 MZQ326735:MZR326739 MPU326735:MPV326739 MFY326735:MFZ326739 LWC326735:LWD326739 LMG326735:LMH326739 LCK326735:LCL326739 KSO326735:KSP326739 KIS326735:KIT326739 JYW326735:JYX326739 JPA326735:JPB326739 JFE326735:JFF326739 IVI326735:IVJ326739 ILM326735:ILN326739 IBQ326735:IBR326739 HRU326735:HRV326739 HHY326735:HHZ326739 GYC326735:GYD326739 GOG326735:GOH326739 GEK326735:GEL326739 FUO326735:FUP326739 FKS326735:FKT326739 FAW326735:FAX326739 ERA326735:ERB326739 EHE326735:EHF326739 DXI326735:DXJ326739 DNM326735:DNN326739 DDQ326735:DDR326739 CTU326735:CTV326739 CJY326735:CJZ326739 CAC326735:CAD326739 BQG326735:BQH326739 BGK326735:BGL326739 AWO326735:AWP326739 AMS326735:AMT326739 ACW326735:ACX326739 TA326735:TB326739 JE326735:JF326739 I261199:I261203 WVQ261199:WVR261203 WLU261199:WLV261203 WBY261199:WBZ261203 VSC261199:VSD261203 VIG261199:VIH261203 UYK261199:UYL261203 UOO261199:UOP261203 UES261199:UET261203 TUW261199:TUX261203 TLA261199:TLB261203 TBE261199:TBF261203 SRI261199:SRJ261203 SHM261199:SHN261203 RXQ261199:RXR261203 RNU261199:RNV261203 RDY261199:RDZ261203 QUC261199:QUD261203 QKG261199:QKH261203 QAK261199:QAL261203 PQO261199:PQP261203 PGS261199:PGT261203 OWW261199:OWX261203 ONA261199:ONB261203 ODE261199:ODF261203 NTI261199:NTJ261203 NJM261199:NJN261203 MZQ261199:MZR261203 MPU261199:MPV261203 MFY261199:MFZ261203 LWC261199:LWD261203 LMG261199:LMH261203 LCK261199:LCL261203 KSO261199:KSP261203 KIS261199:KIT261203 JYW261199:JYX261203 JPA261199:JPB261203 JFE261199:JFF261203 IVI261199:IVJ261203 ILM261199:ILN261203 IBQ261199:IBR261203 HRU261199:HRV261203 HHY261199:HHZ261203 GYC261199:GYD261203 GOG261199:GOH261203 GEK261199:GEL261203 FUO261199:FUP261203 FKS261199:FKT261203 FAW261199:FAX261203 ERA261199:ERB261203 EHE261199:EHF261203 DXI261199:DXJ261203 DNM261199:DNN261203 DDQ261199:DDR261203 CTU261199:CTV261203 CJY261199:CJZ261203 CAC261199:CAD261203 BQG261199:BQH261203 BGK261199:BGL261203 AWO261199:AWP261203 AMS261199:AMT261203 ACW261199:ACX261203 TA261199:TB261203 JE261199:JF261203 I195663:I195667 WVQ195663:WVR195667 WLU195663:WLV195667 WBY195663:WBZ195667 VSC195663:VSD195667 VIG195663:VIH195667 UYK195663:UYL195667 UOO195663:UOP195667 UES195663:UET195667 TUW195663:TUX195667 TLA195663:TLB195667 TBE195663:TBF195667 SRI195663:SRJ195667 SHM195663:SHN195667 RXQ195663:RXR195667 RNU195663:RNV195667 RDY195663:RDZ195667 QUC195663:QUD195667 QKG195663:QKH195667 QAK195663:QAL195667 PQO195663:PQP195667 PGS195663:PGT195667 OWW195663:OWX195667 ONA195663:ONB195667 ODE195663:ODF195667 NTI195663:NTJ195667 NJM195663:NJN195667 MZQ195663:MZR195667 MPU195663:MPV195667 MFY195663:MFZ195667 LWC195663:LWD195667 LMG195663:LMH195667 LCK195663:LCL195667 KSO195663:KSP195667 KIS195663:KIT195667 JYW195663:JYX195667 JPA195663:JPB195667 JFE195663:JFF195667 IVI195663:IVJ195667 ILM195663:ILN195667 IBQ195663:IBR195667 HRU195663:HRV195667 HHY195663:HHZ195667 GYC195663:GYD195667 GOG195663:GOH195667 GEK195663:GEL195667 FUO195663:FUP195667 FKS195663:FKT195667 FAW195663:FAX195667 ERA195663:ERB195667 EHE195663:EHF195667 DXI195663:DXJ195667 DNM195663:DNN195667 DDQ195663:DDR195667 CTU195663:CTV195667 CJY195663:CJZ195667 CAC195663:CAD195667 BQG195663:BQH195667 BGK195663:BGL195667 AWO195663:AWP195667 AMS195663:AMT195667 ACW195663:ACX195667 TA195663:TB195667 JE195663:JF195667 I130127:I130131 WVQ130127:WVR130131 WLU130127:WLV130131 WBY130127:WBZ130131 VSC130127:VSD130131 VIG130127:VIH130131 UYK130127:UYL130131 UOO130127:UOP130131 UES130127:UET130131 TUW130127:TUX130131 TLA130127:TLB130131 TBE130127:TBF130131 SRI130127:SRJ130131 SHM130127:SHN130131 RXQ130127:RXR130131 RNU130127:RNV130131 RDY130127:RDZ130131 QUC130127:QUD130131 QKG130127:QKH130131 QAK130127:QAL130131 PQO130127:PQP130131 PGS130127:PGT130131 OWW130127:OWX130131 ONA130127:ONB130131 ODE130127:ODF130131 NTI130127:NTJ130131 NJM130127:NJN130131 MZQ130127:MZR130131 MPU130127:MPV130131 MFY130127:MFZ130131 LWC130127:LWD130131 LMG130127:LMH130131 LCK130127:LCL130131 KSO130127:KSP130131 KIS130127:KIT130131 JYW130127:JYX130131 JPA130127:JPB130131 JFE130127:JFF130131 IVI130127:IVJ130131 ILM130127:ILN130131 IBQ130127:IBR130131 HRU130127:HRV130131 HHY130127:HHZ130131 GYC130127:GYD130131 GOG130127:GOH130131 GEK130127:GEL130131 FUO130127:FUP130131 FKS130127:FKT130131 FAW130127:FAX130131 ERA130127:ERB130131 EHE130127:EHF130131 DXI130127:DXJ130131 DNM130127:DNN130131 DDQ130127:DDR130131 CTU130127:CTV130131 CJY130127:CJZ130131 CAC130127:CAD130131 BQG130127:BQH130131 BGK130127:BGL130131 AWO130127:AWP130131 AMS130127:AMT130131 ACW130127:ACX130131 TA130127:TB130131 JE130127:JF130131 I64591:I64595 WVQ64591:WVR64595 WLU64591:WLV64595 WBY64591:WBZ64595 VSC64591:VSD64595 VIG64591:VIH64595 UYK64591:UYL64595 UOO64591:UOP64595 UES64591:UET64595 TUW64591:TUX64595 TLA64591:TLB64595 TBE64591:TBF64595 SRI64591:SRJ64595 SHM64591:SHN64595 RXQ64591:RXR64595 RNU64591:RNV64595 RDY64591:RDZ64595 QUC64591:QUD64595 QKG64591:QKH64595 QAK64591:QAL64595 PQO64591:PQP64595 PGS64591:PGT64595 OWW64591:OWX64595 ONA64591:ONB64595 ODE64591:ODF64595 NTI64591:NTJ64595 NJM64591:NJN64595 MZQ64591:MZR64595 MPU64591:MPV64595 MFY64591:MFZ64595 LWC64591:LWD64595 LMG64591:LMH64595 LCK64591:LCL64595 KSO64591:KSP64595 KIS64591:KIT64595 JYW64591:JYX64595 JPA64591:JPB64595 JFE64591:JFF64595 IVI64591:IVJ64595 ILM64591:ILN64595 IBQ64591:IBR64595 HRU64591:HRV64595 HHY64591:HHZ64595 GYC64591:GYD64595 GOG64591:GOH64595 GEK64591:GEL64595 FUO64591:FUP64595 FKS64591:FKT64595 FAW64591:FAX64595 ERA64591:ERB64595 EHE64591:EHF64595 DXI64591:DXJ64595 DNM64591:DNN64595 DDQ64591:DDR64595 CTU64591:CTV64595 CJY64591:CJZ64595 CAC64591:CAD64595 BQG64591:BQH64595 BGK64591:BGL64595 AWO64591:AWP64595 AMS64591:AMT64595 ACW64591:ACX64595 TA64591:TB64595 JE64591:JF64595 I982063:I982077 WLU982095:WLV982099 WVQ982063:WVR982077 WLU982063:WLV982077 WBY982063:WBZ982077 VSC982063:VSD982077 VIG982063:VIH982077 UYK982063:UYL982077 UOO982063:UOP982077 UES982063:UET982077 TUW982063:TUX982077 TLA982063:TLB982077 TBE982063:TBF982077 SRI982063:SRJ982077 SHM982063:SHN982077 RXQ982063:RXR982077 RNU982063:RNV982077 RDY982063:RDZ982077 QUC982063:QUD982077 QKG982063:QKH982077 QAK982063:QAL982077 PQO982063:PQP982077 PGS982063:PGT982077 OWW982063:OWX982077 ONA982063:ONB982077 ODE982063:ODF982077 NTI982063:NTJ982077 NJM982063:NJN982077 MZQ982063:MZR982077 MPU982063:MPV982077 MFY982063:MFZ982077 LWC982063:LWD982077 LMG982063:LMH982077 LCK982063:LCL982077 KSO982063:KSP982077 KIS982063:KIT982077 JYW982063:JYX982077 JPA982063:JPB982077 JFE982063:JFF982077 IVI982063:IVJ982077 ILM982063:ILN982077 IBQ982063:IBR982077 HRU982063:HRV982077 HHY982063:HHZ982077 GYC982063:GYD982077 GOG982063:GOH982077 GEK982063:GEL982077 FUO982063:FUP982077 FKS982063:FKT982077 FAW982063:FAX982077 ERA982063:ERB982077 EHE982063:EHF982077 DXI982063:DXJ982077 DNM982063:DNN982077 DDQ982063:DDR982077 CTU982063:CTV982077 CJY982063:CJZ982077 CAC982063:CAD982077 BQG982063:BQH982077 BGK982063:BGL982077 AWO982063:AWP982077 AMS982063:AMT982077 ACW982063:ACX982077 TA982063:TB982077 JE982063:JF982077 I916527:I916541 WVQ916527:WVR916541 WLU916527:WLV916541 WBY916527:WBZ916541 VSC916527:VSD916541 VIG916527:VIH916541 UYK916527:UYL916541 UOO916527:UOP916541 UES916527:UET916541 TUW916527:TUX916541 TLA916527:TLB916541 TBE916527:TBF916541 SRI916527:SRJ916541 SHM916527:SHN916541 RXQ916527:RXR916541 RNU916527:RNV916541 RDY916527:RDZ916541 QUC916527:QUD916541 QKG916527:QKH916541 QAK916527:QAL916541 PQO916527:PQP916541 PGS916527:PGT916541 OWW916527:OWX916541 ONA916527:ONB916541 ODE916527:ODF916541 NTI916527:NTJ916541 NJM916527:NJN916541 MZQ916527:MZR916541 MPU916527:MPV916541 MFY916527:MFZ916541 LWC916527:LWD916541 LMG916527:LMH916541 LCK916527:LCL916541 KSO916527:KSP916541 KIS916527:KIT916541 JYW916527:JYX916541 JPA916527:JPB916541 JFE916527:JFF916541 IVI916527:IVJ916541 ILM916527:ILN916541 IBQ916527:IBR916541 HRU916527:HRV916541 HHY916527:HHZ916541 GYC916527:GYD916541 GOG916527:GOH916541 GEK916527:GEL916541 FUO916527:FUP916541 FKS916527:FKT916541 FAW916527:FAX916541 ERA916527:ERB916541 EHE916527:EHF916541 DXI916527:DXJ916541 DNM916527:DNN916541 DDQ916527:DDR916541 CTU916527:CTV916541 CJY916527:CJZ916541 CAC916527:CAD916541 BQG916527:BQH916541 BGK916527:BGL916541 AWO916527:AWP916541 AMS916527:AMT916541 ACW916527:ACX916541 TA916527:TB916541 JE916527:JF916541 I850991:I851005 WVQ850991:WVR851005 WLU850991:WLV851005 WBY850991:WBZ851005 VSC850991:VSD851005 VIG850991:VIH851005 UYK850991:UYL851005 UOO850991:UOP851005 UES850991:UET851005 TUW850991:TUX851005 TLA850991:TLB851005 TBE850991:TBF851005 SRI850991:SRJ851005 SHM850991:SHN851005 RXQ850991:RXR851005 RNU850991:RNV851005 RDY850991:RDZ851005 QUC850991:QUD851005 QKG850991:QKH851005 QAK850991:QAL851005 PQO850991:PQP851005 PGS850991:PGT851005 OWW850991:OWX851005 ONA850991:ONB851005 ODE850991:ODF851005 NTI850991:NTJ851005 NJM850991:NJN851005 MZQ850991:MZR851005 MPU850991:MPV851005 MFY850991:MFZ851005 LWC850991:LWD851005 LMG850991:LMH851005 LCK850991:LCL851005 KSO850991:KSP851005 KIS850991:KIT851005 JYW850991:JYX851005 JPA850991:JPB851005 JFE850991:JFF851005 IVI850991:IVJ851005 ILM850991:ILN851005 IBQ850991:IBR851005 HRU850991:HRV851005 HHY850991:HHZ851005 GYC850991:GYD851005 GOG850991:GOH851005 GEK850991:GEL851005 FUO850991:FUP851005 FKS850991:FKT851005 FAW850991:FAX851005 ERA850991:ERB851005 EHE850991:EHF851005 DXI850991:DXJ851005 DNM850991:DNN851005 DDQ850991:DDR851005 CTU850991:CTV851005 CJY850991:CJZ851005 CAC850991:CAD851005 BQG850991:BQH851005 BGK850991:BGL851005 AWO850991:AWP851005 AMS850991:AMT851005 ACW850991:ACX851005 TA850991:TB851005 JE850991:JF851005 I785455:I785469 WVQ785455:WVR785469 WLU785455:WLV785469 WBY785455:WBZ785469 VSC785455:VSD785469 VIG785455:VIH785469 UYK785455:UYL785469 UOO785455:UOP785469 UES785455:UET785469 TUW785455:TUX785469 TLA785455:TLB785469 TBE785455:TBF785469 SRI785455:SRJ785469 SHM785455:SHN785469 RXQ785455:RXR785469 RNU785455:RNV785469 RDY785455:RDZ785469 QUC785455:QUD785469 QKG785455:QKH785469 QAK785455:QAL785469 PQO785455:PQP785469 PGS785455:PGT785469 OWW785455:OWX785469 ONA785455:ONB785469 ODE785455:ODF785469 NTI785455:NTJ785469 NJM785455:NJN785469 MZQ785455:MZR785469 MPU785455:MPV785469 MFY785455:MFZ785469 LWC785455:LWD785469 LMG785455:LMH785469 LCK785455:LCL785469 KSO785455:KSP785469 KIS785455:KIT785469 JYW785455:JYX785469 JPA785455:JPB785469 JFE785455:JFF785469 IVI785455:IVJ785469 ILM785455:ILN785469 IBQ785455:IBR785469 HRU785455:HRV785469 HHY785455:HHZ785469 GYC785455:GYD785469 GOG785455:GOH785469 GEK785455:GEL785469 FUO785455:FUP785469 FKS785455:FKT785469 FAW785455:FAX785469 ERA785455:ERB785469 EHE785455:EHF785469 DXI785455:DXJ785469 DNM785455:DNN785469 DDQ785455:DDR785469 CTU785455:CTV785469 CJY785455:CJZ785469 CAC785455:CAD785469 BQG785455:BQH785469 BGK785455:BGL785469 AWO785455:AWP785469 AMS785455:AMT785469 ACW785455:ACX785469 TA785455:TB785469 JE785455:JF785469 I719919:I719933 WVQ719919:WVR719933 WLU719919:WLV719933 WBY719919:WBZ719933 VSC719919:VSD719933 VIG719919:VIH719933 UYK719919:UYL719933 UOO719919:UOP719933 UES719919:UET719933 TUW719919:TUX719933 TLA719919:TLB719933 TBE719919:TBF719933 SRI719919:SRJ719933 SHM719919:SHN719933 RXQ719919:RXR719933 RNU719919:RNV719933 RDY719919:RDZ719933 QUC719919:QUD719933 QKG719919:QKH719933 QAK719919:QAL719933 PQO719919:PQP719933 PGS719919:PGT719933 OWW719919:OWX719933 ONA719919:ONB719933 ODE719919:ODF719933 NTI719919:NTJ719933 NJM719919:NJN719933 MZQ719919:MZR719933 MPU719919:MPV719933 MFY719919:MFZ719933 LWC719919:LWD719933 LMG719919:LMH719933 LCK719919:LCL719933 KSO719919:KSP719933 KIS719919:KIT719933 JYW719919:JYX719933 JPA719919:JPB719933 JFE719919:JFF719933 IVI719919:IVJ719933 ILM719919:ILN719933 IBQ719919:IBR719933 HRU719919:HRV719933 HHY719919:HHZ719933 GYC719919:GYD719933 GOG719919:GOH719933 GEK719919:GEL719933 FUO719919:FUP719933 FKS719919:FKT719933 FAW719919:FAX719933 ERA719919:ERB719933 EHE719919:EHF719933 DXI719919:DXJ719933 DNM719919:DNN719933 DDQ719919:DDR719933 CTU719919:CTV719933 CJY719919:CJZ719933 CAC719919:CAD719933 BQG719919:BQH719933 BGK719919:BGL719933 AWO719919:AWP719933 AMS719919:AMT719933 ACW719919:ACX719933 TA719919:TB719933 JE719919:JF719933 I654383:I654397 WVQ654383:WVR654397 WLU654383:WLV654397 WBY654383:WBZ654397 VSC654383:VSD654397 VIG654383:VIH654397 UYK654383:UYL654397 UOO654383:UOP654397 UES654383:UET654397 TUW654383:TUX654397 TLA654383:TLB654397 TBE654383:TBF654397 SRI654383:SRJ654397 SHM654383:SHN654397 RXQ654383:RXR654397 RNU654383:RNV654397 RDY654383:RDZ654397 QUC654383:QUD654397 QKG654383:QKH654397 QAK654383:QAL654397 PQO654383:PQP654397 PGS654383:PGT654397 OWW654383:OWX654397 ONA654383:ONB654397 ODE654383:ODF654397 NTI654383:NTJ654397 NJM654383:NJN654397 MZQ654383:MZR654397 MPU654383:MPV654397 MFY654383:MFZ654397 LWC654383:LWD654397 LMG654383:LMH654397 LCK654383:LCL654397 KSO654383:KSP654397 KIS654383:KIT654397 JYW654383:JYX654397 JPA654383:JPB654397 JFE654383:JFF654397 IVI654383:IVJ654397 ILM654383:ILN654397 IBQ654383:IBR654397 HRU654383:HRV654397 HHY654383:HHZ654397 GYC654383:GYD654397 GOG654383:GOH654397 GEK654383:GEL654397 FUO654383:FUP654397 FKS654383:FKT654397 FAW654383:FAX654397 ERA654383:ERB654397 EHE654383:EHF654397 DXI654383:DXJ654397 DNM654383:DNN654397 DDQ654383:DDR654397 CTU654383:CTV654397 CJY654383:CJZ654397 CAC654383:CAD654397 BQG654383:BQH654397 BGK654383:BGL654397 AWO654383:AWP654397 AMS654383:AMT654397 ACW654383:ACX654397 TA654383:TB654397 JE654383:JF654397 I588847:I588861 WVQ588847:WVR588861 WLU588847:WLV588861 WBY588847:WBZ588861 VSC588847:VSD588861 VIG588847:VIH588861 UYK588847:UYL588861 UOO588847:UOP588861 UES588847:UET588861 TUW588847:TUX588861 TLA588847:TLB588861 TBE588847:TBF588861 SRI588847:SRJ588861 SHM588847:SHN588861 RXQ588847:RXR588861 RNU588847:RNV588861 RDY588847:RDZ588861 QUC588847:QUD588861 QKG588847:QKH588861 QAK588847:QAL588861 PQO588847:PQP588861 PGS588847:PGT588861 OWW588847:OWX588861 ONA588847:ONB588861 ODE588847:ODF588861 NTI588847:NTJ588861 NJM588847:NJN588861 MZQ588847:MZR588861 MPU588847:MPV588861 MFY588847:MFZ588861 LWC588847:LWD588861 LMG588847:LMH588861 LCK588847:LCL588861 KSO588847:KSP588861 KIS588847:KIT588861 JYW588847:JYX588861 JPA588847:JPB588861 JFE588847:JFF588861 IVI588847:IVJ588861 ILM588847:ILN588861 IBQ588847:IBR588861 HRU588847:HRV588861 HHY588847:HHZ588861 GYC588847:GYD588861 GOG588847:GOH588861 GEK588847:GEL588861 FUO588847:FUP588861 FKS588847:FKT588861 FAW588847:FAX588861 ERA588847:ERB588861 EHE588847:EHF588861 DXI588847:DXJ588861 DNM588847:DNN588861 DDQ588847:DDR588861 CTU588847:CTV588861 CJY588847:CJZ588861 CAC588847:CAD588861 BQG588847:BQH588861 BGK588847:BGL588861 AWO588847:AWP588861 AMS588847:AMT588861 ACW588847:ACX588861 TA588847:TB588861 JE588847:JF588861 I523311:I523325 WVQ523311:WVR523325 WLU523311:WLV523325 WBY523311:WBZ523325 VSC523311:VSD523325 VIG523311:VIH523325 UYK523311:UYL523325 UOO523311:UOP523325 UES523311:UET523325 TUW523311:TUX523325 TLA523311:TLB523325 TBE523311:TBF523325 SRI523311:SRJ523325 SHM523311:SHN523325 RXQ523311:RXR523325 RNU523311:RNV523325 RDY523311:RDZ523325 QUC523311:QUD523325 QKG523311:QKH523325 QAK523311:QAL523325 PQO523311:PQP523325 PGS523311:PGT523325 OWW523311:OWX523325 ONA523311:ONB523325 ODE523311:ODF523325 NTI523311:NTJ523325 NJM523311:NJN523325 MZQ523311:MZR523325 MPU523311:MPV523325 MFY523311:MFZ523325 LWC523311:LWD523325 LMG523311:LMH523325 LCK523311:LCL523325 KSO523311:KSP523325 KIS523311:KIT523325 JYW523311:JYX523325 JPA523311:JPB523325 JFE523311:JFF523325 IVI523311:IVJ523325 ILM523311:ILN523325 IBQ523311:IBR523325 HRU523311:HRV523325 HHY523311:HHZ523325 GYC523311:GYD523325 GOG523311:GOH523325 GEK523311:GEL523325 FUO523311:FUP523325 FKS523311:FKT523325 FAW523311:FAX523325 ERA523311:ERB523325 EHE523311:EHF523325 DXI523311:DXJ523325 DNM523311:DNN523325 DDQ523311:DDR523325 CTU523311:CTV523325 CJY523311:CJZ523325 CAC523311:CAD523325 BQG523311:BQH523325 BGK523311:BGL523325 AWO523311:AWP523325 AMS523311:AMT523325 ACW523311:ACX523325 TA523311:TB523325 JE523311:JF523325 I457775:I457789 WVQ457775:WVR457789 WLU457775:WLV457789 WBY457775:WBZ457789 VSC457775:VSD457789 VIG457775:VIH457789 UYK457775:UYL457789 UOO457775:UOP457789 UES457775:UET457789 TUW457775:TUX457789 TLA457775:TLB457789 TBE457775:TBF457789 SRI457775:SRJ457789 SHM457775:SHN457789 RXQ457775:RXR457789 RNU457775:RNV457789 RDY457775:RDZ457789 QUC457775:QUD457789 QKG457775:QKH457789 QAK457775:QAL457789 PQO457775:PQP457789 PGS457775:PGT457789 OWW457775:OWX457789 ONA457775:ONB457789 ODE457775:ODF457789 NTI457775:NTJ457789 NJM457775:NJN457789 MZQ457775:MZR457789 MPU457775:MPV457789 MFY457775:MFZ457789 LWC457775:LWD457789 LMG457775:LMH457789 LCK457775:LCL457789 KSO457775:KSP457789 KIS457775:KIT457789 JYW457775:JYX457789 JPA457775:JPB457789 JFE457775:JFF457789 IVI457775:IVJ457789 ILM457775:ILN457789 IBQ457775:IBR457789 HRU457775:HRV457789 HHY457775:HHZ457789 GYC457775:GYD457789 GOG457775:GOH457789 GEK457775:GEL457789 FUO457775:FUP457789 FKS457775:FKT457789 FAW457775:FAX457789 ERA457775:ERB457789 EHE457775:EHF457789 DXI457775:DXJ457789 DNM457775:DNN457789 DDQ457775:DDR457789 CTU457775:CTV457789 CJY457775:CJZ457789 CAC457775:CAD457789 BQG457775:BQH457789 BGK457775:BGL457789 AWO457775:AWP457789 AMS457775:AMT457789 ACW457775:ACX457789 TA457775:TB457789 JE457775:JF457789 I392239:I392253 WVQ392239:WVR392253 WLU392239:WLV392253 WBY392239:WBZ392253 VSC392239:VSD392253 VIG392239:VIH392253 UYK392239:UYL392253 UOO392239:UOP392253 UES392239:UET392253 TUW392239:TUX392253 TLA392239:TLB392253 TBE392239:TBF392253 SRI392239:SRJ392253 SHM392239:SHN392253 RXQ392239:RXR392253 RNU392239:RNV392253 RDY392239:RDZ392253 QUC392239:QUD392253 QKG392239:QKH392253 QAK392239:QAL392253 PQO392239:PQP392253 PGS392239:PGT392253 OWW392239:OWX392253 ONA392239:ONB392253 ODE392239:ODF392253 NTI392239:NTJ392253 NJM392239:NJN392253 MZQ392239:MZR392253 MPU392239:MPV392253 MFY392239:MFZ392253 LWC392239:LWD392253 LMG392239:LMH392253 LCK392239:LCL392253 KSO392239:KSP392253 KIS392239:KIT392253 JYW392239:JYX392253 JPA392239:JPB392253 JFE392239:JFF392253 IVI392239:IVJ392253 ILM392239:ILN392253 IBQ392239:IBR392253 HRU392239:HRV392253 HHY392239:HHZ392253 GYC392239:GYD392253 GOG392239:GOH392253 GEK392239:GEL392253 FUO392239:FUP392253 FKS392239:FKT392253 FAW392239:FAX392253 ERA392239:ERB392253 EHE392239:EHF392253 DXI392239:DXJ392253 DNM392239:DNN392253 DDQ392239:DDR392253 CTU392239:CTV392253 CJY392239:CJZ392253 CAC392239:CAD392253 BQG392239:BQH392253 BGK392239:BGL392253 AWO392239:AWP392253 AMS392239:AMT392253 ACW392239:ACX392253 TA392239:TB392253 JE392239:JF392253 I326703:I326717 WVQ326703:WVR326717 WLU326703:WLV326717 WBY326703:WBZ326717 VSC326703:VSD326717 VIG326703:VIH326717 UYK326703:UYL326717 UOO326703:UOP326717 UES326703:UET326717 TUW326703:TUX326717 TLA326703:TLB326717 TBE326703:TBF326717 SRI326703:SRJ326717 SHM326703:SHN326717 RXQ326703:RXR326717 RNU326703:RNV326717 RDY326703:RDZ326717 QUC326703:QUD326717 QKG326703:QKH326717 QAK326703:QAL326717 PQO326703:PQP326717 PGS326703:PGT326717 OWW326703:OWX326717 ONA326703:ONB326717 ODE326703:ODF326717 NTI326703:NTJ326717 NJM326703:NJN326717 MZQ326703:MZR326717 MPU326703:MPV326717 MFY326703:MFZ326717 LWC326703:LWD326717 LMG326703:LMH326717 LCK326703:LCL326717 KSO326703:KSP326717 KIS326703:KIT326717 JYW326703:JYX326717 JPA326703:JPB326717 JFE326703:JFF326717 IVI326703:IVJ326717 ILM326703:ILN326717 IBQ326703:IBR326717 HRU326703:HRV326717 HHY326703:HHZ326717 GYC326703:GYD326717 GOG326703:GOH326717 GEK326703:GEL326717 FUO326703:FUP326717 FKS326703:FKT326717 FAW326703:FAX326717 ERA326703:ERB326717 EHE326703:EHF326717 DXI326703:DXJ326717 DNM326703:DNN326717 DDQ326703:DDR326717 CTU326703:CTV326717 CJY326703:CJZ326717 CAC326703:CAD326717 BQG326703:BQH326717 BGK326703:BGL326717 AWO326703:AWP326717 AMS326703:AMT326717 ACW326703:ACX326717 TA326703:TB326717 JE326703:JF326717 I261167:I261181 WVQ261167:WVR261181 WLU261167:WLV261181 WBY261167:WBZ261181 VSC261167:VSD261181 VIG261167:VIH261181 UYK261167:UYL261181 UOO261167:UOP261181 UES261167:UET261181 TUW261167:TUX261181 TLA261167:TLB261181 TBE261167:TBF261181 SRI261167:SRJ261181 SHM261167:SHN261181 RXQ261167:RXR261181 RNU261167:RNV261181 RDY261167:RDZ261181 QUC261167:QUD261181 QKG261167:QKH261181 QAK261167:QAL261181 PQO261167:PQP261181 PGS261167:PGT261181 OWW261167:OWX261181 ONA261167:ONB261181 ODE261167:ODF261181 NTI261167:NTJ261181 NJM261167:NJN261181 MZQ261167:MZR261181 MPU261167:MPV261181 MFY261167:MFZ261181 LWC261167:LWD261181 LMG261167:LMH261181 LCK261167:LCL261181 KSO261167:KSP261181 KIS261167:KIT261181 JYW261167:JYX261181 JPA261167:JPB261181 JFE261167:JFF261181 IVI261167:IVJ261181 ILM261167:ILN261181 IBQ261167:IBR261181 HRU261167:HRV261181 HHY261167:HHZ261181 GYC261167:GYD261181 GOG261167:GOH261181 GEK261167:GEL261181 FUO261167:FUP261181 FKS261167:FKT261181 FAW261167:FAX261181 ERA261167:ERB261181 EHE261167:EHF261181 DXI261167:DXJ261181 DNM261167:DNN261181 DDQ261167:DDR261181 CTU261167:CTV261181 CJY261167:CJZ261181 CAC261167:CAD261181 BQG261167:BQH261181 BGK261167:BGL261181 AWO261167:AWP261181 AMS261167:AMT261181 ACW261167:ACX261181 TA261167:TB261181 JE261167:JF261181 I195631:I195645 WVQ195631:WVR195645 WLU195631:WLV195645 WBY195631:WBZ195645 VSC195631:VSD195645 VIG195631:VIH195645 UYK195631:UYL195645 UOO195631:UOP195645 UES195631:UET195645 TUW195631:TUX195645 TLA195631:TLB195645 TBE195631:TBF195645 SRI195631:SRJ195645 SHM195631:SHN195645 RXQ195631:RXR195645 RNU195631:RNV195645 RDY195631:RDZ195645 QUC195631:QUD195645 QKG195631:QKH195645 QAK195631:QAL195645 PQO195631:PQP195645 PGS195631:PGT195645 OWW195631:OWX195645 ONA195631:ONB195645 ODE195631:ODF195645 NTI195631:NTJ195645 NJM195631:NJN195645 MZQ195631:MZR195645 MPU195631:MPV195645 MFY195631:MFZ195645 LWC195631:LWD195645 LMG195631:LMH195645 LCK195631:LCL195645 KSO195631:KSP195645 KIS195631:KIT195645 JYW195631:JYX195645 JPA195631:JPB195645 JFE195631:JFF195645 IVI195631:IVJ195645 ILM195631:ILN195645 IBQ195631:IBR195645 HRU195631:HRV195645 HHY195631:HHZ195645 GYC195631:GYD195645 GOG195631:GOH195645 GEK195631:GEL195645 FUO195631:FUP195645 FKS195631:FKT195645 FAW195631:FAX195645 ERA195631:ERB195645 EHE195631:EHF195645 DXI195631:DXJ195645 DNM195631:DNN195645 DDQ195631:DDR195645 CTU195631:CTV195645 CJY195631:CJZ195645 CAC195631:CAD195645 BQG195631:BQH195645 BGK195631:BGL195645 AWO195631:AWP195645 AMS195631:AMT195645 ACW195631:ACX195645 TA195631:TB195645 JE195631:JF195645 I130095:I130109 WVQ130095:WVR130109 WLU130095:WLV130109 WBY130095:WBZ130109 VSC130095:VSD130109 VIG130095:VIH130109 UYK130095:UYL130109 UOO130095:UOP130109 UES130095:UET130109 TUW130095:TUX130109 TLA130095:TLB130109 TBE130095:TBF130109 SRI130095:SRJ130109 SHM130095:SHN130109 RXQ130095:RXR130109 RNU130095:RNV130109 RDY130095:RDZ130109 QUC130095:QUD130109 QKG130095:QKH130109 QAK130095:QAL130109 PQO130095:PQP130109 PGS130095:PGT130109 OWW130095:OWX130109 ONA130095:ONB130109 ODE130095:ODF130109 NTI130095:NTJ130109 NJM130095:NJN130109 MZQ130095:MZR130109 MPU130095:MPV130109 MFY130095:MFZ130109 LWC130095:LWD130109 LMG130095:LMH130109 LCK130095:LCL130109 KSO130095:KSP130109 KIS130095:KIT130109 JYW130095:JYX130109 JPA130095:JPB130109 JFE130095:JFF130109 IVI130095:IVJ130109 ILM130095:ILN130109 IBQ130095:IBR130109 HRU130095:HRV130109 HHY130095:HHZ130109 GYC130095:GYD130109 GOG130095:GOH130109 GEK130095:GEL130109 FUO130095:FUP130109 FKS130095:FKT130109 FAW130095:FAX130109 ERA130095:ERB130109 EHE130095:EHF130109 DXI130095:DXJ130109 DNM130095:DNN130109 DDQ130095:DDR130109 CTU130095:CTV130109 CJY130095:CJZ130109 CAC130095:CAD130109 BQG130095:BQH130109 BGK130095:BGL130109 AWO130095:AWP130109 AMS130095:AMT130109 ACW130095:ACX130109 TA130095:TB130109 JE130095:JF130109 I64559:I64573 WVQ64559:WVR64573 WLU64559:WLV64573 WBY64559:WBZ64573 VSC64559:VSD64573 VIG64559:VIH64573 UYK64559:UYL64573 UOO64559:UOP64573 UES64559:UET64573 TUW64559:TUX64573 TLA64559:TLB64573 TBE64559:TBF64573 SRI64559:SRJ64573 SHM64559:SHN64573 RXQ64559:RXR64573 RNU64559:RNV64573 RDY64559:RDZ64573 QUC64559:QUD64573 QKG64559:QKH64573 QAK64559:QAL64573 PQO64559:PQP64573 PGS64559:PGT64573 OWW64559:OWX64573 ONA64559:ONB64573 ODE64559:ODF64573 NTI64559:NTJ64573 NJM64559:NJN64573 MZQ64559:MZR64573 MPU64559:MPV64573 MFY64559:MFZ64573 LWC64559:LWD64573 LMG64559:LMH64573 LCK64559:LCL64573 KSO64559:KSP64573 KIS64559:KIT64573 JYW64559:JYX64573 JPA64559:JPB64573 JFE64559:JFF64573 IVI64559:IVJ64573 ILM64559:ILN64573 IBQ64559:IBR64573 HRU64559:HRV64573 HHY64559:HHZ64573 GYC64559:GYD64573 GOG64559:GOH64573 GEK64559:GEL64573 FUO64559:FUP64573 FKS64559:FKT64573 FAW64559:FAX64573 ERA64559:ERB64573 EHE64559:EHF64573 DXI64559:DXJ64573 DNM64559:DNN64573 DDQ64559:DDR64573 CTU64559:CTV64573 CJY64559:CJZ64573 CAC64559:CAD64573 BQG64559:BQH64573 BGK64559:BGL64573 AWO64559:AWP64573 AMS64559:AMT64573 ACW64559:ACX64573 TA64559:TB64573 JE64559:JF64573 K982053:K982057 WVR982053:WVS982057 WLV982053:WLW982057 WBZ982053:WCA982057 VSD982053:VSE982057 VIH982053:VII982057 UYL982053:UYM982057 UOP982053:UOQ982057 UET982053:UEU982057 TUX982053:TUY982057 TLB982053:TLC982057 TBF982053:TBG982057 SRJ982053:SRK982057 SHN982053:SHO982057 RXR982053:RXS982057 RNV982053:RNW982057 RDZ982053:REA982057 QUD982053:QUE982057 QKH982053:QKI982057 QAL982053:QAM982057 PQP982053:PQQ982057 PGT982053:PGU982057 OWX982053:OWY982057 ONB982053:ONC982057 ODF982053:ODG982057 NTJ982053:NTK982057 NJN982053:NJO982057 MZR982053:MZS982057 MPV982053:MPW982057 MFZ982053:MGA982057 LWD982053:LWE982057 LMH982053:LMI982057 LCL982053:LCM982057 KSP982053:KSQ982057 KIT982053:KIU982057 JYX982053:JYY982057 JPB982053:JPC982057 JFF982053:JFG982057 IVJ982053:IVK982057 ILN982053:ILO982057 IBR982053:IBS982057 HRV982053:HRW982057 HHZ982053:HIA982057 GYD982053:GYE982057 GOH982053:GOI982057 GEL982053:GEM982057 FUP982053:FUQ982057 FKT982053:FKU982057 FAX982053:FAY982057 ERB982053:ERC982057 EHF982053:EHG982057 DXJ982053:DXK982057 DNN982053:DNO982057 DDR982053:DDS982057 CTV982053:CTW982057 CJZ982053:CKA982057 CAD982053:CAE982057 BQH982053:BQI982057 BGL982053:BGM982057 AWP982053:AWQ982057 AMT982053:AMU982057 ACX982053:ACY982057 TB982053:TC982057 JF982053:JG982057 K916517:K916521 WVR916517:WVS916521 WLV916517:WLW916521 WBZ916517:WCA916521 VSD916517:VSE916521 VIH916517:VII916521 UYL916517:UYM916521 UOP916517:UOQ916521 UET916517:UEU916521 TUX916517:TUY916521 TLB916517:TLC916521 TBF916517:TBG916521 SRJ916517:SRK916521 SHN916517:SHO916521 RXR916517:RXS916521 RNV916517:RNW916521 RDZ916517:REA916521 QUD916517:QUE916521 QKH916517:QKI916521 QAL916517:QAM916521 PQP916517:PQQ916521 PGT916517:PGU916521 OWX916517:OWY916521 ONB916517:ONC916521 ODF916517:ODG916521 NTJ916517:NTK916521 NJN916517:NJO916521 MZR916517:MZS916521 MPV916517:MPW916521 MFZ916517:MGA916521 LWD916517:LWE916521 LMH916517:LMI916521 LCL916517:LCM916521 KSP916517:KSQ916521 KIT916517:KIU916521 JYX916517:JYY916521 JPB916517:JPC916521 JFF916517:JFG916521 IVJ916517:IVK916521 ILN916517:ILO916521 IBR916517:IBS916521 HRV916517:HRW916521 HHZ916517:HIA916521 GYD916517:GYE916521 GOH916517:GOI916521 GEL916517:GEM916521 FUP916517:FUQ916521 FKT916517:FKU916521 FAX916517:FAY916521 ERB916517:ERC916521 EHF916517:EHG916521 DXJ916517:DXK916521 DNN916517:DNO916521 DDR916517:DDS916521 CTV916517:CTW916521 CJZ916517:CKA916521 CAD916517:CAE916521 BQH916517:BQI916521 BGL916517:BGM916521 AWP916517:AWQ916521 AMT916517:AMU916521 ACX916517:ACY916521 TB916517:TC916521 JF916517:JG916521 K850981:K850985 WVR850981:WVS850985 WLV850981:WLW850985 WBZ850981:WCA850985 VSD850981:VSE850985 VIH850981:VII850985 UYL850981:UYM850985 UOP850981:UOQ850985 UET850981:UEU850985 TUX850981:TUY850985 TLB850981:TLC850985 TBF850981:TBG850985 SRJ850981:SRK850985 SHN850981:SHO850985 RXR850981:RXS850985 RNV850981:RNW850985 RDZ850981:REA850985 QUD850981:QUE850985 QKH850981:QKI850985 QAL850981:QAM850985 PQP850981:PQQ850985 PGT850981:PGU850985 OWX850981:OWY850985 ONB850981:ONC850985 ODF850981:ODG850985 NTJ850981:NTK850985 NJN850981:NJO850985 MZR850981:MZS850985 MPV850981:MPW850985 MFZ850981:MGA850985 LWD850981:LWE850985 LMH850981:LMI850985 LCL850981:LCM850985 KSP850981:KSQ850985 KIT850981:KIU850985 JYX850981:JYY850985 JPB850981:JPC850985 JFF850981:JFG850985 IVJ850981:IVK850985 ILN850981:ILO850985 IBR850981:IBS850985 HRV850981:HRW850985 HHZ850981:HIA850985 GYD850981:GYE850985 GOH850981:GOI850985 GEL850981:GEM850985 FUP850981:FUQ850985 FKT850981:FKU850985 FAX850981:FAY850985 ERB850981:ERC850985 EHF850981:EHG850985 DXJ850981:DXK850985 DNN850981:DNO850985 DDR850981:DDS850985 CTV850981:CTW850985 CJZ850981:CKA850985 CAD850981:CAE850985 BQH850981:BQI850985 BGL850981:BGM850985 AWP850981:AWQ850985 AMT850981:AMU850985 ACX850981:ACY850985 TB850981:TC850985 JF850981:JG850985 K785445:K785449 WVR785445:WVS785449 WLV785445:WLW785449 WBZ785445:WCA785449 VSD785445:VSE785449 VIH785445:VII785449 UYL785445:UYM785449 UOP785445:UOQ785449 UET785445:UEU785449 TUX785445:TUY785449 TLB785445:TLC785449 TBF785445:TBG785449 SRJ785445:SRK785449 SHN785445:SHO785449 RXR785445:RXS785449 RNV785445:RNW785449 RDZ785445:REA785449 QUD785445:QUE785449 QKH785445:QKI785449 QAL785445:QAM785449 PQP785445:PQQ785449 PGT785445:PGU785449 OWX785445:OWY785449 ONB785445:ONC785449 ODF785445:ODG785449 NTJ785445:NTK785449 NJN785445:NJO785449 MZR785445:MZS785449 MPV785445:MPW785449 MFZ785445:MGA785449 LWD785445:LWE785449 LMH785445:LMI785449 LCL785445:LCM785449 KSP785445:KSQ785449 KIT785445:KIU785449 JYX785445:JYY785449 JPB785445:JPC785449 JFF785445:JFG785449 IVJ785445:IVK785449 ILN785445:ILO785449 IBR785445:IBS785449 HRV785445:HRW785449 HHZ785445:HIA785449 GYD785445:GYE785449 GOH785445:GOI785449 GEL785445:GEM785449 FUP785445:FUQ785449 FKT785445:FKU785449 FAX785445:FAY785449 ERB785445:ERC785449 EHF785445:EHG785449 DXJ785445:DXK785449 DNN785445:DNO785449 DDR785445:DDS785449 CTV785445:CTW785449 CJZ785445:CKA785449 CAD785445:CAE785449 BQH785445:BQI785449 BGL785445:BGM785449 AWP785445:AWQ785449 AMT785445:AMU785449 ACX785445:ACY785449 TB785445:TC785449 JF785445:JG785449 K719909:K719913 WVR719909:WVS719913 WLV719909:WLW719913 WBZ719909:WCA719913 VSD719909:VSE719913 VIH719909:VII719913 UYL719909:UYM719913 UOP719909:UOQ719913 UET719909:UEU719913 TUX719909:TUY719913 TLB719909:TLC719913 TBF719909:TBG719913 SRJ719909:SRK719913 SHN719909:SHO719913 RXR719909:RXS719913 RNV719909:RNW719913 RDZ719909:REA719913 QUD719909:QUE719913 QKH719909:QKI719913 QAL719909:QAM719913 PQP719909:PQQ719913 PGT719909:PGU719913 OWX719909:OWY719913 ONB719909:ONC719913 ODF719909:ODG719913 NTJ719909:NTK719913 NJN719909:NJO719913 MZR719909:MZS719913 MPV719909:MPW719913 MFZ719909:MGA719913 LWD719909:LWE719913 LMH719909:LMI719913 LCL719909:LCM719913 KSP719909:KSQ719913 KIT719909:KIU719913 JYX719909:JYY719913 JPB719909:JPC719913 JFF719909:JFG719913 IVJ719909:IVK719913 ILN719909:ILO719913 IBR719909:IBS719913 HRV719909:HRW719913 HHZ719909:HIA719913 GYD719909:GYE719913 GOH719909:GOI719913 GEL719909:GEM719913 FUP719909:FUQ719913 FKT719909:FKU719913 FAX719909:FAY719913 ERB719909:ERC719913 EHF719909:EHG719913 DXJ719909:DXK719913 DNN719909:DNO719913 DDR719909:DDS719913 CTV719909:CTW719913 CJZ719909:CKA719913 CAD719909:CAE719913 BQH719909:BQI719913 BGL719909:BGM719913 AWP719909:AWQ719913 AMT719909:AMU719913 ACX719909:ACY719913 TB719909:TC719913 JF719909:JG719913 K654373:K654377 WVR654373:WVS654377 WLV654373:WLW654377 WBZ654373:WCA654377 VSD654373:VSE654377 VIH654373:VII654377 UYL654373:UYM654377 UOP654373:UOQ654377 UET654373:UEU654377 TUX654373:TUY654377 TLB654373:TLC654377 TBF654373:TBG654377 SRJ654373:SRK654377 SHN654373:SHO654377 RXR654373:RXS654377 RNV654373:RNW654377 RDZ654373:REA654377 QUD654373:QUE654377 QKH654373:QKI654377 QAL654373:QAM654377 PQP654373:PQQ654377 PGT654373:PGU654377 OWX654373:OWY654377 ONB654373:ONC654377 ODF654373:ODG654377 NTJ654373:NTK654377 NJN654373:NJO654377 MZR654373:MZS654377 MPV654373:MPW654377 MFZ654373:MGA654377 LWD654373:LWE654377 LMH654373:LMI654377 LCL654373:LCM654377 KSP654373:KSQ654377 KIT654373:KIU654377 JYX654373:JYY654377 JPB654373:JPC654377 JFF654373:JFG654377 IVJ654373:IVK654377 ILN654373:ILO654377 IBR654373:IBS654377 HRV654373:HRW654377 HHZ654373:HIA654377 GYD654373:GYE654377 GOH654373:GOI654377 GEL654373:GEM654377 FUP654373:FUQ654377 FKT654373:FKU654377 FAX654373:FAY654377 ERB654373:ERC654377 EHF654373:EHG654377 DXJ654373:DXK654377 DNN654373:DNO654377 DDR654373:DDS654377 CTV654373:CTW654377 CJZ654373:CKA654377 CAD654373:CAE654377 BQH654373:BQI654377 BGL654373:BGM654377 AWP654373:AWQ654377 AMT654373:AMU654377 ACX654373:ACY654377 TB654373:TC654377 JF654373:JG654377 K588837:K588841 WVR588837:WVS588841 WLV588837:WLW588841 WBZ588837:WCA588841 VSD588837:VSE588841 VIH588837:VII588841 UYL588837:UYM588841 UOP588837:UOQ588841 UET588837:UEU588841 TUX588837:TUY588841 TLB588837:TLC588841 TBF588837:TBG588841 SRJ588837:SRK588841 SHN588837:SHO588841 RXR588837:RXS588841 RNV588837:RNW588841 RDZ588837:REA588841 QUD588837:QUE588841 QKH588837:QKI588841 QAL588837:QAM588841 PQP588837:PQQ588841 PGT588837:PGU588841 OWX588837:OWY588841 ONB588837:ONC588841 ODF588837:ODG588841 NTJ588837:NTK588841 NJN588837:NJO588841 MZR588837:MZS588841 MPV588837:MPW588841 MFZ588837:MGA588841 LWD588837:LWE588841 LMH588837:LMI588841 LCL588837:LCM588841 KSP588837:KSQ588841 KIT588837:KIU588841 JYX588837:JYY588841 JPB588837:JPC588841 JFF588837:JFG588841 IVJ588837:IVK588841 ILN588837:ILO588841 IBR588837:IBS588841 HRV588837:HRW588841 HHZ588837:HIA588841 GYD588837:GYE588841 GOH588837:GOI588841 GEL588837:GEM588841 FUP588837:FUQ588841 FKT588837:FKU588841 FAX588837:FAY588841 ERB588837:ERC588841 EHF588837:EHG588841 DXJ588837:DXK588841 DNN588837:DNO588841 DDR588837:DDS588841 CTV588837:CTW588841 CJZ588837:CKA588841 CAD588837:CAE588841 BQH588837:BQI588841 BGL588837:BGM588841 AWP588837:AWQ588841 AMT588837:AMU588841 ACX588837:ACY588841 TB588837:TC588841 JF588837:JG588841 K523301:K523305 WVR523301:WVS523305 WLV523301:WLW523305 WBZ523301:WCA523305 VSD523301:VSE523305 VIH523301:VII523305 UYL523301:UYM523305 UOP523301:UOQ523305 UET523301:UEU523305 TUX523301:TUY523305 TLB523301:TLC523305 TBF523301:TBG523305 SRJ523301:SRK523305 SHN523301:SHO523305 RXR523301:RXS523305 RNV523301:RNW523305 RDZ523301:REA523305 QUD523301:QUE523305 QKH523301:QKI523305 QAL523301:QAM523305 PQP523301:PQQ523305 PGT523301:PGU523305 OWX523301:OWY523305 ONB523301:ONC523305 ODF523301:ODG523305 NTJ523301:NTK523305 NJN523301:NJO523305 MZR523301:MZS523305 MPV523301:MPW523305 MFZ523301:MGA523305 LWD523301:LWE523305 LMH523301:LMI523305 LCL523301:LCM523305 KSP523301:KSQ523305 KIT523301:KIU523305 JYX523301:JYY523305 JPB523301:JPC523305 JFF523301:JFG523305 IVJ523301:IVK523305 ILN523301:ILO523305 IBR523301:IBS523305 HRV523301:HRW523305 HHZ523301:HIA523305 GYD523301:GYE523305 GOH523301:GOI523305 GEL523301:GEM523305 FUP523301:FUQ523305 FKT523301:FKU523305 FAX523301:FAY523305 ERB523301:ERC523305 EHF523301:EHG523305 DXJ523301:DXK523305 DNN523301:DNO523305 DDR523301:DDS523305 CTV523301:CTW523305 CJZ523301:CKA523305 CAD523301:CAE523305 BQH523301:BQI523305 BGL523301:BGM523305 AWP523301:AWQ523305 AMT523301:AMU523305 ACX523301:ACY523305 TB523301:TC523305 JF523301:JG523305 K457765:K457769 WVR457765:WVS457769 WLV457765:WLW457769 WBZ457765:WCA457769 VSD457765:VSE457769 VIH457765:VII457769 UYL457765:UYM457769 UOP457765:UOQ457769 UET457765:UEU457769 TUX457765:TUY457769 TLB457765:TLC457769 TBF457765:TBG457769 SRJ457765:SRK457769 SHN457765:SHO457769 RXR457765:RXS457769 RNV457765:RNW457769 RDZ457765:REA457769 QUD457765:QUE457769 QKH457765:QKI457769 QAL457765:QAM457769 PQP457765:PQQ457769 PGT457765:PGU457769 OWX457765:OWY457769 ONB457765:ONC457769 ODF457765:ODG457769 NTJ457765:NTK457769 NJN457765:NJO457769 MZR457765:MZS457769 MPV457765:MPW457769 MFZ457765:MGA457769 LWD457765:LWE457769 LMH457765:LMI457769 LCL457765:LCM457769 KSP457765:KSQ457769 KIT457765:KIU457769 JYX457765:JYY457769 JPB457765:JPC457769 JFF457765:JFG457769 IVJ457765:IVK457769 ILN457765:ILO457769 IBR457765:IBS457769 HRV457765:HRW457769 HHZ457765:HIA457769 GYD457765:GYE457769 GOH457765:GOI457769 GEL457765:GEM457769 FUP457765:FUQ457769 FKT457765:FKU457769 FAX457765:FAY457769 ERB457765:ERC457769 EHF457765:EHG457769 DXJ457765:DXK457769 DNN457765:DNO457769 DDR457765:DDS457769 CTV457765:CTW457769 CJZ457765:CKA457769 CAD457765:CAE457769 BQH457765:BQI457769 BGL457765:BGM457769 AWP457765:AWQ457769 AMT457765:AMU457769 ACX457765:ACY457769 TB457765:TC457769 JF457765:JG457769 K392229:K392233 WVR392229:WVS392233 WLV392229:WLW392233 WBZ392229:WCA392233 VSD392229:VSE392233 VIH392229:VII392233 UYL392229:UYM392233 UOP392229:UOQ392233 UET392229:UEU392233 TUX392229:TUY392233 TLB392229:TLC392233 TBF392229:TBG392233 SRJ392229:SRK392233 SHN392229:SHO392233 RXR392229:RXS392233 RNV392229:RNW392233 RDZ392229:REA392233 QUD392229:QUE392233 QKH392229:QKI392233 QAL392229:QAM392233 PQP392229:PQQ392233 PGT392229:PGU392233 OWX392229:OWY392233 ONB392229:ONC392233 ODF392229:ODG392233 NTJ392229:NTK392233 NJN392229:NJO392233 MZR392229:MZS392233 MPV392229:MPW392233 MFZ392229:MGA392233 LWD392229:LWE392233 LMH392229:LMI392233 LCL392229:LCM392233 KSP392229:KSQ392233 KIT392229:KIU392233 JYX392229:JYY392233 JPB392229:JPC392233 JFF392229:JFG392233 IVJ392229:IVK392233 ILN392229:ILO392233 IBR392229:IBS392233 HRV392229:HRW392233 HHZ392229:HIA392233 GYD392229:GYE392233 GOH392229:GOI392233 GEL392229:GEM392233 FUP392229:FUQ392233 FKT392229:FKU392233 FAX392229:FAY392233 ERB392229:ERC392233 EHF392229:EHG392233 DXJ392229:DXK392233 DNN392229:DNO392233 DDR392229:DDS392233 CTV392229:CTW392233 CJZ392229:CKA392233 CAD392229:CAE392233 BQH392229:BQI392233 BGL392229:BGM392233 AWP392229:AWQ392233 AMT392229:AMU392233 ACX392229:ACY392233 TB392229:TC392233 JF392229:JG392233 K326693:K326697 WVR326693:WVS326697 WLV326693:WLW326697 WBZ326693:WCA326697 VSD326693:VSE326697 VIH326693:VII326697 UYL326693:UYM326697 UOP326693:UOQ326697 UET326693:UEU326697 TUX326693:TUY326697 TLB326693:TLC326697 TBF326693:TBG326697 SRJ326693:SRK326697 SHN326693:SHO326697 RXR326693:RXS326697 RNV326693:RNW326697 RDZ326693:REA326697 QUD326693:QUE326697 QKH326693:QKI326697 QAL326693:QAM326697 PQP326693:PQQ326697 PGT326693:PGU326697 OWX326693:OWY326697 ONB326693:ONC326697 ODF326693:ODG326697 NTJ326693:NTK326697 NJN326693:NJO326697 MZR326693:MZS326697 MPV326693:MPW326697 MFZ326693:MGA326697 LWD326693:LWE326697 LMH326693:LMI326697 LCL326693:LCM326697 KSP326693:KSQ326697 KIT326693:KIU326697 JYX326693:JYY326697 JPB326693:JPC326697 JFF326693:JFG326697 IVJ326693:IVK326697 ILN326693:ILO326697 IBR326693:IBS326697 HRV326693:HRW326697 HHZ326693:HIA326697 GYD326693:GYE326697 GOH326693:GOI326697 GEL326693:GEM326697 FUP326693:FUQ326697 FKT326693:FKU326697 FAX326693:FAY326697 ERB326693:ERC326697 EHF326693:EHG326697 DXJ326693:DXK326697 DNN326693:DNO326697 DDR326693:DDS326697 CTV326693:CTW326697 CJZ326693:CKA326697 CAD326693:CAE326697 BQH326693:BQI326697 BGL326693:BGM326697 AWP326693:AWQ326697 AMT326693:AMU326697 ACX326693:ACY326697 TB326693:TC326697 JF326693:JG326697 K261157:K261161 WVR261157:WVS261161 WLV261157:WLW261161 WBZ261157:WCA261161 VSD261157:VSE261161 VIH261157:VII261161 UYL261157:UYM261161 UOP261157:UOQ261161 UET261157:UEU261161 TUX261157:TUY261161 TLB261157:TLC261161 TBF261157:TBG261161 SRJ261157:SRK261161 SHN261157:SHO261161 RXR261157:RXS261161 RNV261157:RNW261161 RDZ261157:REA261161 QUD261157:QUE261161 QKH261157:QKI261161 QAL261157:QAM261161 PQP261157:PQQ261161 PGT261157:PGU261161 OWX261157:OWY261161 ONB261157:ONC261161 ODF261157:ODG261161 NTJ261157:NTK261161 NJN261157:NJO261161 MZR261157:MZS261161 MPV261157:MPW261161 MFZ261157:MGA261161 LWD261157:LWE261161 LMH261157:LMI261161 LCL261157:LCM261161 KSP261157:KSQ261161 KIT261157:KIU261161 JYX261157:JYY261161 JPB261157:JPC261161 JFF261157:JFG261161 IVJ261157:IVK261161 ILN261157:ILO261161 IBR261157:IBS261161 HRV261157:HRW261161 HHZ261157:HIA261161 GYD261157:GYE261161 GOH261157:GOI261161 GEL261157:GEM261161 FUP261157:FUQ261161 FKT261157:FKU261161 FAX261157:FAY261161 ERB261157:ERC261161 EHF261157:EHG261161 DXJ261157:DXK261161 DNN261157:DNO261161 DDR261157:DDS261161 CTV261157:CTW261161 CJZ261157:CKA261161 CAD261157:CAE261161 BQH261157:BQI261161 BGL261157:BGM261161 AWP261157:AWQ261161 AMT261157:AMU261161 ACX261157:ACY261161 TB261157:TC261161 JF261157:JG261161 K195621:K195625 WVR195621:WVS195625 WLV195621:WLW195625 WBZ195621:WCA195625 VSD195621:VSE195625 VIH195621:VII195625 UYL195621:UYM195625 UOP195621:UOQ195625 UET195621:UEU195625 TUX195621:TUY195625 TLB195621:TLC195625 TBF195621:TBG195625 SRJ195621:SRK195625 SHN195621:SHO195625 RXR195621:RXS195625 RNV195621:RNW195625 RDZ195621:REA195625 QUD195621:QUE195625 QKH195621:QKI195625 QAL195621:QAM195625 PQP195621:PQQ195625 PGT195621:PGU195625 OWX195621:OWY195625 ONB195621:ONC195625 ODF195621:ODG195625 NTJ195621:NTK195625 NJN195621:NJO195625 MZR195621:MZS195625 MPV195621:MPW195625 MFZ195621:MGA195625 LWD195621:LWE195625 LMH195621:LMI195625 LCL195621:LCM195625 KSP195621:KSQ195625 KIT195621:KIU195625 JYX195621:JYY195625 JPB195621:JPC195625 JFF195621:JFG195625 IVJ195621:IVK195625 ILN195621:ILO195625 IBR195621:IBS195625 HRV195621:HRW195625 HHZ195621:HIA195625 GYD195621:GYE195625 GOH195621:GOI195625 GEL195621:GEM195625 FUP195621:FUQ195625 FKT195621:FKU195625 FAX195621:FAY195625 ERB195621:ERC195625 EHF195621:EHG195625 DXJ195621:DXK195625 DNN195621:DNO195625 DDR195621:DDS195625 CTV195621:CTW195625 CJZ195621:CKA195625 CAD195621:CAE195625 BQH195621:BQI195625 BGL195621:BGM195625 AWP195621:AWQ195625 AMT195621:AMU195625 ACX195621:ACY195625 TB195621:TC195625 JF195621:JG195625 K130085:K130089 WVR130085:WVS130089 WLV130085:WLW130089 WBZ130085:WCA130089 VSD130085:VSE130089 VIH130085:VII130089 UYL130085:UYM130089 UOP130085:UOQ130089 UET130085:UEU130089 TUX130085:TUY130089 TLB130085:TLC130089 TBF130085:TBG130089 SRJ130085:SRK130089 SHN130085:SHO130089 RXR130085:RXS130089 RNV130085:RNW130089 RDZ130085:REA130089 QUD130085:QUE130089 QKH130085:QKI130089 QAL130085:QAM130089 PQP130085:PQQ130089 PGT130085:PGU130089 OWX130085:OWY130089 ONB130085:ONC130089 ODF130085:ODG130089 NTJ130085:NTK130089 NJN130085:NJO130089 MZR130085:MZS130089 MPV130085:MPW130089 MFZ130085:MGA130089 LWD130085:LWE130089 LMH130085:LMI130089 LCL130085:LCM130089 KSP130085:KSQ130089 KIT130085:KIU130089 JYX130085:JYY130089 JPB130085:JPC130089 JFF130085:JFG130089 IVJ130085:IVK130089 ILN130085:ILO130089 IBR130085:IBS130089 HRV130085:HRW130089 HHZ130085:HIA130089 GYD130085:GYE130089 GOH130085:GOI130089 GEL130085:GEM130089 FUP130085:FUQ130089 FKT130085:FKU130089 FAX130085:FAY130089 ERB130085:ERC130089 EHF130085:EHG130089 DXJ130085:DXK130089 DNN130085:DNO130089 DDR130085:DDS130089 CTV130085:CTW130089 CJZ130085:CKA130089 CAD130085:CAE130089 BQH130085:BQI130089 BGL130085:BGM130089 AWP130085:AWQ130089 AMT130085:AMU130089 ACX130085:ACY130089 TB130085:TC130089 JF130085:JG130089 K64549:K64553 WVR64549:WVS64553 WLV64549:WLW64553 WBZ64549:WCA64553 VSD64549:VSE64553 VIH64549:VII64553 UYL64549:UYM64553 UOP64549:UOQ64553 UET64549:UEU64553 TUX64549:TUY64553 TLB64549:TLC64553 TBF64549:TBG64553 SRJ64549:SRK64553 SHN64549:SHO64553 RXR64549:RXS64553 RNV64549:RNW64553 RDZ64549:REA64553 QUD64549:QUE64553 QKH64549:QKI64553 QAL64549:QAM64553 PQP64549:PQQ64553 PGT64549:PGU64553 OWX64549:OWY64553 ONB64549:ONC64553 ODF64549:ODG64553 NTJ64549:NTK64553 NJN64549:NJO64553 MZR64549:MZS64553 MPV64549:MPW64553 MFZ64549:MGA64553 LWD64549:LWE64553 LMH64549:LMI64553 LCL64549:LCM64553 KSP64549:KSQ64553 KIT64549:KIU64553 JYX64549:JYY64553 JPB64549:JPC64553 JFF64549:JFG64553 IVJ64549:IVK64553 ILN64549:ILO64553 IBR64549:IBS64553 HRV64549:HRW64553 HHZ64549:HIA64553 GYD64549:GYE64553 GOH64549:GOI64553 GEL64549:GEM64553 FUP64549:FUQ64553 FKT64549:FKU64553 FAX64549:FAY64553 ERB64549:ERC64553 EHF64549:EHG64553 DXJ64549:DXK64553 DNN64549:DNO64553 DDR64549:DDS64553 CTV64549:CTW64553 CJZ64549:CKA64553 CAD64549:CAE64553 BQH64549:BQI64553 BGL64549:BGM64553 AWP64549:AWQ64553 AMT64549:AMU64553 ACX64549:ACY64553 TB64549:TC64553 JF64549:JG64553 K982033:K982037 WVO982095:WVO982099 WLS982095:WLS982099 WBW982095:WBW982099 VSA982095:VSA982099 VIE982095:VIE982099 UYI982095:UYI982099 UOM982095:UOM982099 UEQ982095:UEQ982099 TUU982095:TUU982099 TKY982095:TKY982099 TBC982095:TBC982099 SRG982095:SRG982099 SHK982095:SHK982099 RXO982095:RXO982099 RNS982095:RNS982099 RDW982095:RDW982099 QUA982095:QUA982099 QKE982095:QKE982099 QAI982095:QAI982099 PQM982095:PQM982099 PGQ982095:PGQ982099 OWU982095:OWU982099 OMY982095:OMY982099 ODC982095:ODC982099 NTG982095:NTG982099 NJK982095:NJK982099 MZO982095:MZO982099 MPS982095:MPS982099 MFW982095:MFW982099 LWA982095:LWA982099 LME982095:LME982099 LCI982095:LCI982099 KSM982095:KSM982099 KIQ982095:KIQ982099 JYU982095:JYU982099 JOY982095:JOY982099 JFC982095:JFC982099 IVG982095:IVG982099 ILK982095:ILK982099 IBO982095:IBO982099 HRS982095:HRS982099 HHW982095:HHW982099 GYA982095:GYA982099 GOE982095:GOE982099 GEI982095:GEI982099 FUM982095:FUM982099 FKQ982095:FKQ982099 FAU982095:FAU982099 EQY982095:EQY982099 EHC982095:EHC982099 DXG982095:DXG982099 DNK982095:DNK982099 DDO982095:DDO982099 CTS982095:CTS982099 CJW982095:CJW982099 CAA982095:CAA982099 BQE982095:BQE982099 BGI982095:BGI982099 AWM982095:AWM982099 AMQ982095:AMQ982099 ACU982095:ACU982099 SY982095:SY982099 JC982095:JC982099 EHE64578:EHE64586 WVO916559:WVO916563 WLS916559:WLS916563 WBW916559:WBW916563 VSA916559:VSA916563 VIE916559:VIE916563 UYI916559:UYI916563 UOM916559:UOM916563 UEQ916559:UEQ916563 TUU916559:TUU916563 TKY916559:TKY916563 TBC916559:TBC916563 SRG916559:SRG916563 SHK916559:SHK916563 RXO916559:RXO916563 RNS916559:RNS916563 RDW916559:RDW916563 QUA916559:QUA916563 QKE916559:QKE916563 QAI916559:QAI916563 PQM916559:PQM916563 PGQ916559:PGQ916563 OWU916559:OWU916563 OMY916559:OMY916563 ODC916559:ODC916563 NTG916559:NTG916563 NJK916559:NJK916563 MZO916559:MZO916563 MPS916559:MPS916563 MFW916559:MFW916563 LWA916559:LWA916563 LME916559:LME916563 LCI916559:LCI916563 KSM916559:KSM916563 KIQ916559:KIQ916563 JYU916559:JYU916563 JOY916559:JOY916563 JFC916559:JFC916563 IVG916559:IVG916563 ILK916559:ILK916563 IBO916559:IBO916563 HRS916559:HRS916563 HHW916559:HHW916563 GYA916559:GYA916563 GOE916559:GOE916563 GEI916559:GEI916563 FUM916559:FUM916563 FKQ916559:FKQ916563 FAU916559:FAU916563 EQY916559:EQY916563 EHC916559:EHC916563 DXG916559:DXG916563 DNK916559:DNK916563 DDO916559:DDO916563 CTS916559:CTS916563 CJW916559:CJW916563 CAA916559:CAA916563 BQE916559:BQE916563 BGI916559:BGI916563 AWM916559:AWM916563 AMQ916559:AMQ916563 ACU916559:ACU916563 SY916559:SY916563 JC916559:JC916563 DXI64578:DXI64586 WVO851023:WVO851027 WLS851023:WLS851027 WBW851023:WBW851027 VSA851023:VSA851027 VIE851023:VIE851027 UYI851023:UYI851027 UOM851023:UOM851027 UEQ851023:UEQ851027 TUU851023:TUU851027 TKY851023:TKY851027 TBC851023:TBC851027 SRG851023:SRG851027 SHK851023:SHK851027 RXO851023:RXO851027 RNS851023:RNS851027 RDW851023:RDW851027 QUA851023:QUA851027 QKE851023:QKE851027 QAI851023:QAI851027 PQM851023:PQM851027 PGQ851023:PGQ851027 OWU851023:OWU851027 OMY851023:OMY851027 ODC851023:ODC851027 NTG851023:NTG851027 NJK851023:NJK851027 MZO851023:MZO851027 MPS851023:MPS851027 MFW851023:MFW851027 LWA851023:LWA851027 LME851023:LME851027 LCI851023:LCI851027 KSM851023:KSM851027 KIQ851023:KIQ851027 JYU851023:JYU851027 JOY851023:JOY851027 JFC851023:JFC851027 IVG851023:IVG851027 ILK851023:ILK851027 IBO851023:IBO851027 HRS851023:HRS851027 HHW851023:HHW851027 GYA851023:GYA851027 GOE851023:GOE851027 GEI851023:GEI851027 FUM851023:FUM851027 FKQ851023:FKQ851027 FAU851023:FAU851027 EQY851023:EQY851027 EHC851023:EHC851027 DXG851023:DXG851027 DNK851023:DNK851027 DDO851023:DDO851027 CTS851023:CTS851027 CJW851023:CJW851027 CAA851023:CAA851027 BQE851023:BQE851027 BGI851023:BGI851027 AWM851023:AWM851027 AMQ851023:AMQ851027 ACU851023:ACU851027 SY851023:SY851027 JC851023:JC851027 DNM64578:DNM64586 WVO785487:WVO785491 WLS785487:WLS785491 WBW785487:WBW785491 VSA785487:VSA785491 VIE785487:VIE785491 UYI785487:UYI785491 UOM785487:UOM785491 UEQ785487:UEQ785491 TUU785487:TUU785491 TKY785487:TKY785491 TBC785487:TBC785491 SRG785487:SRG785491 SHK785487:SHK785491 RXO785487:RXO785491 RNS785487:RNS785491 RDW785487:RDW785491 QUA785487:QUA785491 QKE785487:QKE785491 QAI785487:QAI785491 PQM785487:PQM785491 PGQ785487:PGQ785491 OWU785487:OWU785491 OMY785487:OMY785491 ODC785487:ODC785491 NTG785487:NTG785491 NJK785487:NJK785491 MZO785487:MZO785491 MPS785487:MPS785491 MFW785487:MFW785491 LWA785487:LWA785491 LME785487:LME785491 LCI785487:LCI785491 KSM785487:KSM785491 KIQ785487:KIQ785491 JYU785487:JYU785491 JOY785487:JOY785491 JFC785487:JFC785491 IVG785487:IVG785491 ILK785487:ILK785491 IBO785487:IBO785491 HRS785487:HRS785491 HHW785487:HHW785491 GYA785487:GYA785491 GOE785487:GOE785491 GEI785487:GEI785491 FUM785487:FUM785491 FKQ785487:FKQ785491 FAU785487:FAU785491 EQY785487:EQY785491 EHC785487:EHC785491 DXG785487:DXG785491 DNK785487:DNK785491 DDO785487:DDO785491 CTS785487:CTS785491 CJW785487:CJW785491 CAA785487:CAA785491 BQE785487:BQE785491 BGI785487:BGI785491 AWM785487:AWM785491 AMQ785487:AMQ785491 ACU785487:ACU785491 SY785487:SY785491 JC785487:JC785491 DDQ64578:DDQ64586 WVO719951:WVO719955 WLS719951:WLS719955 WBW719951:WBW719955 VSA719951:VSA719955 VIE719951:VIE719955 UYI719951:UYI719955 UOM719951:UOM719955 UEQ719951:UEQ719955 TUU719951:TUU719955 TKY719951:TKY719955 TBC719951:TBC719955 SRG719951:SRG719955 SHK719951:SHK719955 RXO719951:RXO719955 RNS719951:RNS719955 RDW719951:RDW719955 QUA719951:QUA719955 QKE719951:QKE719955 QAI719951:QAI719955 PQM719951:PQM719955 PGQ719951:PGQ719955 OWU719951:OWU719955 OMY719951:OMY719955 ODC719951:ODC719955 NTG719951:NTG719955 NJK719951:NJK719955 MZO719951:MZO719955 MPS719951:MPS719955 MFW719951:MFW719955 LWA719951:LWA719955 LME719951:LME719955 LCI719951:LCI719955 KSM719951:KSM719955 KIQ719951:KIQ719955 JYU719951:JYU719955 JOY719951:JOY719955 JFC719951:JFC719955 IVG719951:IVG719955 ILK719951:ILK719955 IBO719951:IBO719955 HRS719951:HRS719955 HHW719951:HHW719955 GYA719951:GYA719955 GOE719951:GOE719955 GEI719951:GEI719955 FUM719951:FUM719955 FKQ719951:FKQ719955 FAU719951:FAU719955 EQY719951:EQY719955 EHC719951:EHC719955 DXG719951:DXG719955 DNK719951:DNK719955 DDO719951:DDO719955 CTS719951:CTS719955 CJW719951:CJW719955 CAA719951:CAA719955 BQE719951:BQE719955 BGI719951:BGI719955 AWM719951:AWM719955 AMQ719951:AMQ719955 ACU719951:ACU719955 SY719951:SY719955 JC719951:JC719955 CTU64578:CTU64586 WVO654415:WVO654419 WLS654415:WLS654419 WBW654415:WBW654419 VSA654415:VSA654419 VIE654415:VIE654419 UYI654415:UYI654419 UOM654415:UOM654419 UEQ654415:UEQ654419 TUU654415:TUU654419 TKY654415:TKY654419 TBC654415:TBC654419 SRG654415:SRG654419 SHK654415:SHK654419 RXO654415:RXO654419 RNS654415:RNS654419 RDW654415:RDW654419 QUA654415:QUA654419 QKE654415:QKE654419 QAI654415:QAI654419 PQM654415:PQM654419 PGQ654415:PGQ654419 OWU654415:OWU654419 OMY654415:OMY654419 ODC654415:ODC654419 NTG654415:NTG654419 NJK654415:NJK654419 MZO654415:MZO654419 MPS654415:MPS654419 MFW654415:MFW654419 LWA654415:LWA654419 LME654415:LME654419 LCI654415:LCI654419 KSM654415:KSM654419 KIQ654415:KIQ654419 JYU654415:JYU654419 JOY654415:JOY654419 JFC654415:JFC654419 IVG654415:IVG654419 ILK654415:ILK654419 IBO654415:IBO654419 HRS654415:HRS654419 HHW654415:HHW654419 GYA654415:GYA654419 GOE654415:GOE654419 GEI654415:GEI654419 FUM654415:FUM654419 FKQ654415:FKQ654419 FAU654415:FAU654419 EQY654415:EQY654419 EHC654415:EHC654419 DXG654415:DXG654419 DNK654415:DNK654419 DDO654415:DDO654419 CTS654415:CTS654419 CJW654415:CJW654419 CAA654415:CAA654419 BQE654415:BQE654419 BGI654415:BGI654419 AWM654415:AWM654419 AMQ654415:AMQ654419 ACU654415:ACU654419 SY654415:SY654419 JC654415:JC654419 CJY64578:CJY64586 WVO588879:WVO588883 WLS588879:WLS588883 WBW588879:WBW588883 VSA588879:VSA588883 VIE588879:VIE588883 UYI588879:UYI588883 UOM588879:UOM588883 UEQ588879:UEQ588883 TUU588879:TUU588883 TKY588879:TKY588883 TBC588879:TBC588883 SRG588879:SRG588883 SHK588879:SHK588883 RXO588879:RXO588883 RNS588879:RNS588883 RDW588879:RDW588883 QUA588879:QUA588883 QKE588879:QKE588883 QAI588879:QAI588883 PQM588879:PQM588883 PGQ588879:PGQ588883 OWU588879:OWU588883 OMY588879:OMY588883 ODC588879:ODC588883 NTG588879:NTG588883 NJK588879:NJK588883 MZO588879:MZO588883 MPS588879:MPS588883 MFW588879:MFW588883 LWA588879:LWA588883 LME588879:LME588883 LCI588879:LCI588883 KSM588879:KSM588883 KIQ588879:KIQ588883 JYU588879:JYU588883 JOY588879:JOY588883 JFC588879:JFC588883 IVG588879:IVG588883 ILK588879:ILK588883 IBO588879:IBO588883 HRS588879:HRS588883 HHW588879:HHW588883 GYA588879:GYA588883 GOE588879:GOE588883 GEI588879:GEI588883 FUM588879:FUM588883 FKQ588879:FKQ588883 FAU588879:FAU588883 EQY588879:EQY588883 EHC588879:EHC588883 DXG588879:DXG588883 DNK588879:DNK588883 DDO588879:DDO588883 CTS588879:CTS588883 CJW588879:CJW588883 CAA588879:CAA588883 BQE588879:BQE588883 BGI588879:BGI588883 AWM588879:AWM588883 AMQ588879:AMQ588883 ACU588879:ACU588883 SY588879:SY588883 JC588879:JC588883 CAC64578:CAC64586 WVO523343:WVO523347 WLS523343:WLS523347 WBW523343:WBW523347 VSA523343:VSA523347 VIE523343:VIE523347 UYI523343:UYI523347 UOM523343:UOM523347 UEQ523343:UEQ523347 TUU523343:TUU523347 TKY523343:TKY523347 TBC523343:TBC523347 SRG523343:SRG523347 SHK523343:SHK523347 RXO523343:RXO523347 RNS523343:RNS523347 RDW523343:RDW523347 QUA523343:QUA523347 QKE523343:QKE523347 QAI523343:QAI523347 PQM523343:PQM523347 PGQ523343:PGQ523347 OWU523343:OWU523347 OMY523343:OMY523347 ODC523343:ODC523347 NTG523343:NTG523347 NJK523343:NJK523347 MZO523343:MZO523347 MPS523343:MPS523347 MFW523343:MFW523347 LWA523343:LWA523347 LME523343:LME523347 LCI523343:LCI523347 KSM523343:KSM523347 KIQ523343:KIQ523347 JYU523343:JYU523347 JOY523343:JOY523347 JFC523343:JFC523347 IVG523343:IVG523347 ILK523343:ILK523347 IBO523343:IBO523347 HRS523343:HRS523347 HHW523343:HHW523347 GYA523343:GYA523347 GOE523343:GOE523347 GEI523343:GEI523347 FUM523343:FUM523347 FKQ523343:FKQ523347 FAU523343:FAU523347 EQY523343:EQY523347 EHC523343:EHC523347 DXG523343:DXG523347 DNK523343:DNK523347 DDO523343:DDO523347 CTS523343:CTS523347 CJW523343:CJW523347 CAA523343:CAA523347 BQE523343:BQE523347 BGI523343:BGI523347 AWM523343:AWM523347 AMQ523343:AMQ523347 ACU523343:ACU523347 SY523343:SY523347 JC523343:JC523347 BQG64578:BQG64586 WVO457807:WVO457811 WLS457807:WLS457811 WBW457807:WBW457811 VSA457807:VSA457811 VIE457807:VIE457811 UYI457807:UYI457811 UOM457807:UOM457811 UEQ457807:UEQ457811 TUU457807:TUU457811 TKY457807:TKY457811 TBC457807:TBC457811 SRG457807:SRG457811 SHK457807:SHK457811 RXO457807:RXO457811 RNS457807:RNS457811 RDW457807:RDW457811 QUA457807:QUA457811 QKE457807:QKE457811 QAI457807:QAI457811 PQM457807:PQM457811 PGQ457807:PGQ457811 OWU457807:OWU457811 OMY457807:OMY457811 ODC457807:ODC457811 NTG457807:NTG457811 NJK457807:NJK457811 MZO457807:MZO457811 MPS457807:MPS457811 MFW457807:MFW457811 LWA457807:LWA457811 LME457807:LME457811 LCI457807:LCI457811 KSM457807:KSM457811 KIQ457807:KIQ457811 JYU457807:JYU457811 JOY457807:JOY457811 JFC457807:JFC457811 IVG457807:IVG457811 ILK457807:ILK457811 IBO457807:IBO457811 HRS457807:HRS457811 HHW457807:HHW457811 GYA457807:GYA457811 GOE457807:GOE457811 GEI457807:GEI457811 FUM457807:FUM457811 FKQ457807:FKQ457811 FAU457807:FAU457811 EQY457807:EQY457811 EHC457807:EHC457811 DXG457807:DXG457811 DNK457807:DNK457811 DDO457807:DDO457811 CTS457807:CTS457811 CJW457807:CJW457811 CAA457807:CAA457811 BQE457807:BQE457811 BGI457807:BGI457811 AWM457807:AWM457811 AMQ457807:AMQ457811 ACU457807:ACU457811 SY457807:SY457811 JC457807:JC457811 BGK64578:BGK64586 WVO392271:WVO392275 WLS392271:WLS392275 WBW392271:WBW392275 VSA392271:VSA392275 VIE392271:VIE392275 UYI392271:UYI392275 UOM392271:UOM392275 UEQ392271:UEQ392275 TUU392271:TUU392275 TKY392271:TKY392275 TBC392271:TBC392275 SRG392271:SRG392275 SHK392271:SHK392275 RXO392271:RXO392275 RNS392271:RNS392275 RDW392271:RDW392275 QUA392271:QUA392275 QKE392271:QKE392275 QAI392271:QAI392275 PQM392271:PQM392275 PGQ392271:PGQ392275 OWU392271:OWU392275 OMY392271:OMY392275 ODC392271:ODC392275 NTG392271:NTG392275 NJK392271:NJK392275 MZO392271:MZO392275 MPS392271:MPS392275 MFW392271:MFW392275 LWA392271:LWA392275 LME392271:LME392275 LCI392271:LCI392275 KSM392271:KSM392275 KIQ392271:KIQ392275 JYU392271:JYU392275 JOY392271:JOY392275 JFC392271:JFC392275 IVG392271:IVG392275 ILK392271:ILK392275 IBO392271:IBO392275 HRS392271:HRS392275 HHW392271:HHW392275 GYA392271:GYA392275 GOE392271:GOE392275 GEI392271:GEI392275 FUM392271:FUM392275 FKQ392271:FKQ392275 FAU392271:FAU392275 EQY392271:EQY392275 EHC392271:EHC392275 DXG392271:DXG392275 DNK392271:DNK392275 DDO392271:DDO392275 CTS392271:CTS392275 CJW392271:CJW392275 CAA392271:CAA392275 BQE392271:BQE392275 BGI392271:BGI392275 AWM392271:AWM392275 AMQ392271:AMQ392275 ACU392271:ACU392275 SY392271:SY392275 JC392271:JC392275 AWO64578:AWO64586 WVO326735:WVO326739 WLS326735:WLS326739 WBW326735:WBW326739 VSA326735:VSA326739 VIE326735:VIE326739 UYI326735:UYI326739 UOM326735:UOM326739 UEQ326735:UEQ326739 TUU326735:TUU326739 TKY326735:TKY326739 TBC326735:TBC326739 SRG326735:SRG326739 SHK326735:SHK326739 RXO326735:RXO326739 RNS326735:RNS326739 RDW326735:RDW326739 QUA326735:QUA326739 QKE326735:QKE326739 QAI326735:QAI326739 PQM326735:PQM326739 PGQ326735:PGQ326739 OWU326735:OWU326739 OMY326735:OMY326739 ODC326735:ODC326739 NTG326735:NTG326739 NJK326735:NJK326739 MZO326735:MZO326739 MPS326735:MPS326739 MFW326735:MFW326739 LWA326735:LWA326739 LME326735:LME326739 LCI326735:LCI326739 KSM326735:KSM326739 KIQ326735:KIQ326739 JYU326735:JYU326739 JOY326735:JOY326739 JFC326735:JFC326739 IVG326735:IVG326739 ILK326735:ILK326739 IBO326735:IBO326739 HRS326735:HRS326739 HHW326735:HHW326739 GYA326735:GYA326739 GOE326735:GOE326739 GEI326735:GEI326739 FUM326735:FUM326739 FKQ326735:FKQ326739 FAU326735:FAU326739 EQY326735:EQY326739 EHC326735:EHC326739 DXG326735:DXG326739 DNK326735:DNK326739 DDO326735:DDO326739 CTS326735:CTS326739 CJW326735:CJW326739 CAA326735:CAA326739 BQE326735:BQE326739 BGI326735:BGI326739 AWM326735:AWM326739 AMQ326735:AMQ326739 ACU326735:ACU326739 SY326735:SY326739 JC326735:JC326739 AMS64578:AMS64586 WVO261199:WVO261203 WLS261199:WLS261203 WBW261199:WBW261203 VSA261199:VSA261203 VIE261199:VIE261203 UYI261199:UYI261203 UOM261199:UOM261203 UEQ261199:UEQ261203 TUU261199:TUU261203 TKY261199:TKY261203 TBC261199:TBC261203 SRG261199:SRG261203 SHK261199:SHK261203 RXO261199:RXO261203 RNS261199:RNS261203 RDW261199:RDW261203 QUA261199:QUA261203 QKE261199:QKE261203 QAI261199:QAI261203 PQM261199:PQM261203 PGQ261199:PGQ261203 OWU261199:OWU261203 OMY261199:OMY261203 ODC261199:ODC261203 NTG261199:NTG261203 NJK261199:NJK261203 MZO261199:MZO261203 MPS261199:MPS261203 MFW261199:MFW261203 LWA261199:LWA261203 LME261199:LME261203 LCI261199:LCI261203 KSM261199:KSM261203 KIQ261199:KIQ261203 JYU261199:JYU261203 JOY261199:JOY261203 JFC261199:JFC261203 IVG261199:IVG261203 ILK261199:ILK261203 IBO261199:IBO261203 HRS261199:HRS261203 HHW261199:HHW261203 GYA261199:GYA261203 GOE261199:GOE261203 GEI261199:GEI261203 FUM261199:FUM261203 FKQ261199:FKQ261203 FAU261199:FAU261203 EQY261199:EQY261203 EHC261199:EHC261203 DXG261199:DXG261203 DNK261199:DNK261203 DDO261199:DDO261203 CTS261199:CTS261203 CJW261199:CJW261203 CAA261199:CAA261203 BQE261199:BQE261203 BGI261199:BGI261203 AWM261199:AWM261203 AMQ261199:AMQ261203 ACU261199:ACU261203 SY261199:SY261203 JC261199:JC261203 ACW64578:ACW64586 WVO195663:WVO195667 WLS195663:WLS195667 WBW195663:WBW195667 VSA195663:VSA195667 VIE195663:VIE195667 UYI195663:UYI195667 UOM195663:UOM195667 UEQ195663:UEQ195667 TUU195663:TUU195667 TKY195663:TKY195667 TBC195663:TBC195667 SRG195663:SRG195667 SHK195663:SHK195667 RXO195663:RXO195667 RNS195663:RNS195667 RDW195663:RDW195667 QUA195663:QUA195667 QKE195663:QKE195667 QAI195663:QAI195667 PQM195663:PQM195667 PGQ195663:PGQ195667 OWU195663:OWU195667 OMY195663:OMY195667 ODC195663:ODC195667 NTG195663:NTG195667 NJK195663:NJK195667 MZO195663:MZO195667 MPS195663:MPS195667 MFW195663:MFW195667 LWA195663:LWA195667 LME195663:LME195667 LCI195663:LCI195667 KSM195663:KSM195667 KIQ195663:KIQ195667 JYU195663:JYU195667 JOY195663:JOY195667 JFC195663:JFC195667 IVG195663:IVG195667 ILK195663:ILK195667 IBO195663:IBO195667 HRS195663:HRS195667 HHW195663:HHW195667 GYA195663:GYA195667 GOE195663:GOE195667 GEI195663:GEI195667 FUM195663:FUM195667 FKQ195663:FKQ195667 FAU195663:FAU195667 EQY195663:EQY195667 EHC195663:EHC195667 DXG195663:DXG195667 DNK195663:DNK195667 DDO195663:DDO195667 CTS195663:CTS195667 CJW195663:CJW195667 CAA195663:CAA195667 BQE195663:BQE195667 BGI195663:BGI195667 AWM195663:AWM195667 AMQ195663:AMQ195667 ACU195663:ACU195667 SY195663:SY195667 JC195663:JC195667 TA64578:TA64586 WVO130127:WVO130131 WLS130127:WLS130131 WBW130127:WBW130131 VSA130127:VSA130131 VIE130127:VIE130131 UYI130127:UYI130131 UOM130127:UOM130131 UEQ130127:UEQ130131 TUU130127:TUU130131 TKY130127:TKY130131 TBC130127:TBC130131 SRG130127:SRG130131 SHK130127:SHK130131 RXO130127:RXO130131 RNS130127:RNS130131 RDW130127:RDW130131 QUA130127:QUA130131 QKE130127:QKE130131 QAI130127:QAI130131 PQM130127:PQM130131 PGQ130127:PGQ130131 OWU130127:OWU130131 OMY130127:OMY130131 ODC130127:ODC130131 NTG130127:NTG130131 NJK130127:NJK130131 MZO130127:MZO130131 MPS130127:MPS130131 MFW130127:MFW130131 LWA130127:LWA130131 LME130127:LME130131 LCI130127:LCI130131 KSM130127:KSM130131 KIQ130127:KIQ130131 JYU130127:JYU130131 JOY130127:JOY130131 JFC130127:JFC130131 IVG130127:IVG130131 ILK130127:ILK130131 IBO130127:IBO130131 HRS130127:HRS130131 HHW130127:HHW130131 GYA130127:GYA130131 GOE130127:GOE130131 GEI130127:GEI130131 FUM130127:FUM130131 FKQ130127:FKQ130131 FAU130127:FAU130131 EQY130127:EQY130131 EHC130127:EHC130131 DXG130127:DXG130131 DNK130127:DNK130131 DDO130127:DDO130131 CTS130127:CTS130131 CJW130127:CJW130131 CAA130127:CAA130131 BQE130127:BQE130131 BGI130127:BGI130131 AWM130127:AWM130131 AMQ130127:AMQ130131 ACU130127:ACU130131 SY130127:SY130131 JC130127:JC130131 JE64578:JE64586 WVO64591:WVO64595 WLS64591:WLS64595 WBW64591:WBW64595 VSA64591:VSA64595 VIE64591:VIE64595 UYI64591:UYI64595 UOM64591:UOM64595 UEQ64591:UEQ64595 TUU64591:TUU64595 TKY64591:TKY64595 TBC64591:TBC64595 SRG64591:SRG64595 SHK64591:SHK64595 RXO64591:RXO64595 RNS64591:RNS64595 RDW64591:RDW64595 QUA64591:QUA64595 QKE64591:QKE64595 QAI64591:QAI64595 PQM64591:PQM64595 PGQ64591:PGQ64595 OWU64591:OWU64595 OMY64591:OMY64595 ODC64591:ODC64595 NTG64591:NTG64595 NJK64591:NJK64595 MZO64591:MZO64595 MPS64591:MPS64595 MFW64591:MFW64595 LWA64591:LWA64595 LME64591:LME64595 LCI64591:LCI64595 KSM64591:KSM64595 KIQ64591:KIQ64595 JYU64591:JYU64595 JOY64591:JOY64595 JFC64591:JFC64595 IVG64591:IVG64595 ILK64591:ILK64595 IBO64591:IBO64595 HRS64591:HRS64595 HHW64591:HHW64595 GYA64591:GYA64595 GOE64591:GOE64595 GEI64591:GEI64595 FUM64591:FUM64595 FKQ64591:FKQ64595 FAU64591:FAU64595 EQY64591:EQY64595 EHC64591:EHC64595 DXG64591:DXG64595 DNK64591:DNK64595 DDO64591:DDO64595 CTS64591:CTS64595 CJW64591:CJW64595 CAA64591:CAA64595 BQE64591:BQE64595 BGI64591:BGI64595 AWM64591:AWM64595 AMQ64591:AMQ64595 ACU64591:ACU64595 SY64591:SY64595 JC64591:JC64595 I64578:I64586 H64601:H64605 JD64601:JD64605 SZ64601:SZ64605 ACV64601:ACV64605 AMR64601:AMR64605 AWN64601:AWN64605 BGJ64601:BGJ64605 BQF64601:BQF64605 CAB64601:CAB64605 CJX64601:CJX64605 CTT64601:CTT64605 DDP64601:DDP64605 DNL64601:DNL64605 DXH64601:DXH64605 EHD64601:EHD64605 EQZ64601:EQZ64605 FAV64601:FAV64605 FKR64601:FKR64605 FUN64601:FUN64605 GEJ64601:GEJ64605 GOF64601:GOF64605 GYB64601:GYB64605 HHX64601:HHX64605 HRT64601:HRT64605 IBP64601:IBP64605 ILL64601:ILL64605 IVH64601:IVH64605 JFD64601:JFD64605 JOZ64601:JOZ64605 JYV64601:JYV64605 KIR64601:KIR64605 KSN64601:KSN64605 LCJ64601:LCJ64605 LMF64601:LMF64605 LWB64601:LWB64605 MFX64601:MFX64605 MPT64601:MPT64605 MZP64601:MZP64605 NJL64601:NJL64605 NTH64601:NTH64605 ODD64601:ODD64605 OMZ64601:OMZ64605 OWV64601:OWV64605 PGR64601:PGR64605 PQN64601:PQN64605 QAJ64601:QAJ64605 QKF64601:QKF64605 QUB64601:QUB64605 RDX64601:RDX64605 RNT64601:RNT64605 RXP64601:RXP64605 SHL64601:SHL64605 SRH64601:SRH64605 TBD64601:TBD64605 TKZ64601:TKZ64605 TUV64601:TUV64605 UER64601:UER64605 UON64601:UON64605 UYJ64601:UYJ64605 VIF64601:VIF64605 VSB64601:VSB64605 WBX64601:WBX64605 WLT64601:WLT64605 WVP64601:WVP64605 H130137:H130141 JD130137:JD130141 SZ130137:SZ130141 ACV130137:ACV130141 AMR130137:AMR130141 AWN130137:AWN130141 BGJ130137:BGJ130141 BQF130137:BQF130141 CAB130137:CAB130141 CJX130137:CJX130141 CTT130137:CTT130141 DDP130137:DDP130141 DNL130137:DNL130141 DXH130137:DXH130141 EHD130137:EHD130141 EQZ130137:EQZ130141 FAV130137:FAV130141 FKR130137:FKR130141 FUN130137:FUN130141 GEJ130137:GEJ130141 GOF130137:GOF130141 GYB130137:GYB130141 HHX130137:HHX130141 HRT130137:HRT130141 IBP130137:IBP130141 ILL130137:ILL130141 IVH130137:IVH130141 JFD130137:JFD130141 JOZ130137:JOZ130141 JYV130137:JYV130141 KIR130137:KIR130141 KSN130137:KSN130141 LCJ130137:LCJ130141 LMF130137:LMF130141 LWB130137:LWB130141 MFX130137:MFX130141 MPT130137:MPT130141 MZP130137:MZP130141 NJL130137:NJL130141 NTH130137:NTH130141 ODD130137:ODD130141 OMZ130137:OMZ130141 OWV130137:OWV130141 PGR130137:PGR130141 PQN130137:PQN130141 QAJ130137:QAJ130141 QKF130137:QKF130141 QUB130137:QUB130141 RDX130137:RDX130141 RNT130137:RNT130141 RXP130137:RXP130141 SHL130137:SHL130141 SRH130137:SRH130141 TBD130137:TBD130141 TKZ130137:TKZ130141 TUV130137:TUV130141 UER130137:UER130141 UON130137:UON130141 UYJ130137:UYJ130141 VIF130137:VIF130141 VSB130137:VSB130141 WBX130137:WBX130141 WLT130137:WLT130141 WVP130137:WVP130141 H195673:H195677 JD195673:JD195677 SZ195673:SZ195677 ACV195673:ACV195677 AMR195673:AMR195677 AWN195673:AWN195677 BGJ195673:BGJ195677 BQF195673:BQF195677 CAB195673:CAB195677 CJX195673:CJX195677 CTT195673:CTT195677 DDP195673:DDP195677 DNL195673:DNL195677 DXH195673:DXH195677 EHD195673:EHD195677 EQZ195673:EQZ195677 FAV195673:FAV195677 FKR195673:FKR195677 FUN195673:FUN195677 GEJ195673:GEJ195677 GOF195673:GOF195677 GYB195673:GYB195677 HHX195673:HHX195677 HRT195673:HRT195677 IBP195673:IBP195677 ILL195673:ILL195677 IVH195673:IVH195677 JFD195673:JFD195677 JOZ195673:JOZ195677 JYV195673:JYV195677 KIR195673:KIR195677 KSN195673:KSN195677 LCJ195673:LCJ195677 LMF195673:LMF195677 LWB195673:LWB195677 MFX195673:MFX195677 MPT195673:MPT195677 MZP195673:MZP195677 NJL195673:NJL195677 NTH195673:NTH195677 ODD195673:ODD195677 OMZ195673:OMZ195677 OWV195673:OWV195677 PGR195673:PGR195677 PQN195673:PQN195677 QAJ195673:QAJ195677 QKF195673:QKF195677 QUB195673:QUB195677 RDX195673:RDX195677 RNT195673:RNT195677 RXP195673:RXP195677 SHL195673:SHL195677 SRH195673:SRH195677 TBD195673:TBD195677 TKZ195673:TKZ195677 TUV195673:TUV195677 UER195673:UER195677 UON195673:UON195677 UYJ195673:UYJ195677 VIF195673:VIF195677 VSB195673:VSB195677 WBX195673:WBX195677 WLT195673:WLT195677 WVP195673:WVP195677 H261209:H261213 JD261209:JD261213 SZ261209:SZ261213 ACV261209:ACV261213 AMR261209:AMR261213 AWN261209:AWN261213 BGJ261209:BGJ261213 BQF261209:BQF261213 CAB261209:CAB261213 CJX261209:CJX261213 CTT261209:CTT261213 DDP261209:DDP261213 DNL261209:DNL261213 DXH261209:DXH261213 EHD261209:EHD261213 EQZ261209:EQZ261213 FAV261209:FAV261213 FKR261209:FKR261213 FUN261209:FUN261213 GEJ261209:GEJ261213 GOF261209:GOF261213 GYB261209:GYB261213 HHX261209:HHX261213 HRT261209:HRT261213 IBP261209:IBP261213 ILL261209:ILL261213 IVH261209:IVH261213 JFD261209:JFD261213 JOZ261209:JOZ261213 JYV261209:JYV261213 KIR261209:KIR261213 KSN261209:KSN261213 LCJ261209:LCJ261213 LMF261209:LMF261213 LWB261209:LWB261213 MFX261209:MFX261213 MPT261209:MPT261213 MZP261209:MZP261213 NJL261209:NJL261213 NTH261209:NTH261213 ODD261209:ODD261213 OMZ261209:OMZ261213 OWV261209:OWV261213 PGR261209:PGR261213 PQN261209:PQN261213 QAJ261209:QAJ261213 QKF261209:QKF261213 QUB261209:QUB261213 RDX261209:RDX261213 RNT261209:RNT261213 RXP261209:RXP261213 SHL261209:SHL261213 SRH261209:SRH261213 TBD261209:TBD261213 TKZ261209:TKZ261213 TUV261209:TUV261213 UER261209:UER261213 UON261209:UON261213 UYJ261209:UYJ261213 VIF261209:VIF261213 VSB261209:VSB261213 WBX261209:WBX261213 WLT261209:WLT261213 WVP261209:WVP261213 H326745:H326749 JD326745:JD326749 SZ326745:SZ326749 ACV326745:ACV326749 AMR326745:AMR326749 AWN326745:AWN326749 BGJ326745:BGJ326749 BQF326745:BQF326749 CAB326745:CAB326749 CJX326745:CJX326749 CTT326745:CTT326749 DDP326745:DDP326749 DNL326745:DNL326749 DXH326745:DXH326749 EHD326745:EHD326749 EQZ326745:EQZ326749 FAV326745:FAV326749 FKR326745:FKR326749 FUN326745:FUN326749 GEJ326745:GEJ326749 GOF326745:GOF326749 GYB326745:GYB326749 HHX326745:HHX326749 HRT326745:HRT326749 IBP326745:IBP326749 ILL326745:ILL326749 IVH326745:IVH326749 JFD326745:JFD326749 JOZ326745:JOZ326749 JYV326745:JYV326749 KIR326745:KIR326749 KSN326745:KSN326749 LCJ326745:LCJ326749 LMF326745:LMF326749 LWB326745:LWB326749 MFX326745:MFX326749 MPT326745:MPT326749 MZP326745:MZP326749 NJL326745:NJL326749 NTH326745:NTH326749 ODD326745:ODD326749 OMZ326745:OMZ326749 OWV326745:OWV326749 PGR326745:PGR326749 PQN326745:PQN326749 QAJ326745:QAJ326749 QKF326745:QKF326749 QUB326745:QUB326749 RDX326745:RDX326749 RNT326745:RNT326749 RXP326745:RXP326749 SHL326745:SHL326749 SRH326745:SRH326749 TBD326745:TBD326749 TKZ326745:TKZ326749 TUV326745:TUV326749 UER326745:UER326749 UON326745:UON326749 UYJ326745:UYJ326749 VIF326745:VIF326749 VSB326745:VSB326749 WBX326745:WBX326749 WLT326745:WLT326749 WVP326745:WVP326749 H392281:H392285 JD392281:JD392285 SZ392281:SZ392285 ACV392281:ACV392285 AMR392281:AMR392285 AWN392281:AWN392285 BGJ392281:BGJ392285 BQF392281:BQF392285 CAB392281:CAB392285 CJX392281:CJX392285 CTT392281:CTT392285 DDP392281:DDP392285 DNL392281:DNL392285 DXH392281:DXH392285 EHD392281:EHD392285 EQZ392281:EQZ392285 FAV392281:FAV392285 FKR392281:FKR392285 FUN392281:FUN392285 GEJ392281:GEJ392285 GOF392281:GOF392285 GYB392281:GYB392285 HHX392281:HHX392285 HRT392281:HRT392285 IBP392281:IBP392285 ILL392281:ILL392285 IVH392281:IVH392285 JFD392281:JFD392285 JOZ392281:JOZ392285 JYV392281:JYV392285 KIR392281:KIR392285 KSN392281:KSN392285 LCJ392281:LCJ392285 LMF392281:LMF392285 LWB392281:LWB392285 MFX392281:MFX392285 MPT392281:MPT392285 MZP392281:MZP392285 NJL392281:NJL392285 NTH392281:NTH392285 ODD392281:ODD392285 OMZ392281:OMZ392285 OWV392281:OWV392285 PGR392281:PGR392285 PQN392281:PQN392285 QAJ392281:QAJ392285 QKF392281:QKF392285 QUB392281:QUB392285 RDX392281:RDX392285 RNT392281:RNT392285 RXP392281:RXP392285 SHL392281:SHL392285 SRH392281:SRH392285 TBD392281:TBD392285 TKZ392281:TKZ392285 TUV392281:TUV392285 UER392281:UER392285 UON392281:UON392285 UYJ392281:UYJ392285 VIF392281:VIF392285 VSB392281:VSB392285 WBX392281:WBX392285 WLT392281:WLT392285 WVP392281:WVP392285 H457817:H457821 JD457817:JD457821 SZ457817:SZ457821 ACV457817:ACV457821 AMR457817:AMR457821 AWN457817:AWN457821 BGJ457817:BGJ457821 BQF457817:BQF457821 CAB457817:CAB457821 CJX457817:CJX457821 CTT457817:CTT457821 DDP457817:DDP457821 DNL457817:DNL457821 DXH457817:DXH457821 EHD457817:EHD457821 EQZ457817:EQZ457821 FAV457817:FAV457821 FKR457817:FKR457821 FUN457817:FUN457821 GEJ457817:GEJ457821 GOF457817:GOF457821 GYB457817:GYB457821 HHX457817:HHX457821 HRT457817:HRT457821 IBP457817:IBP457821 ILL457817:ILL457821 IVH457817:IVH457821 JFD457817:JFD457821 JOZ457817:JOZ457821 JYV457817:JYV457821 KIR457817:KIR457821 KSN457817:KSN457821 LCJ457817:LCJ457821 LMF457817:LMF457821 LWB457817:LWB457821 MFX457817:MFX457821 MPT457817:MPT457821 MZP457817:MZP457821 NJL457817:NJL457821 NTH457817:NTH457821 ODD457817:ODD457821 OMZ457817:OMZ457821 OWV457817:OWV457821 PGR457817:PGR457821 PQN457817:PQN457821 QAJ457817:QAJ457821 QKF457817:QKF457821 QUB457817:QUB457821 RDX457817:RDX457821 RNT457817:RNT457821 RXP457817:RXP457821 SHL457817:SHL457821 SRH457817:SRH457821 TBD457817:TBD457821 TKZ457817:TKZ457821 TUV457817:TUV457821 UER457817:UER457821 UON457817:UON457821 UYJ457817:UYJ457821 VIF457817:VIF457821 VSB457817:VSB457821 WBX457817:WBX457821 WLT457817:WLT457821 WVP457817:WVP457821 H523353:H523357 JD523353:JD523357 SZ523353:SZ523357 ACV523353:ACV523357 AMR523353:AMR523357 AWN523353:AWN523357 BGJ523353:BGJ523357 BQF523353:BQF523357 CAB523353:CAB523357 CJX523353:CJX523357 CTT523353:CTT523357 DDP523353:DDP523357 DNL523353:DNL523357 DXH523353:DXH523357 EHD523353:EHD523357 EQZ523353:EQZ523357 FAV523353:FAV523357 FKR523353:FKR523357 FUN523353:FUN523357 GEJ523353:GEJ523357 GOF523353:GOF523357 GYB523353:GYB523357 HHX523353:HHX523357 HRT523353:HRT523357 IBP523353:IBP523357 ILL523353:ILL523357 IVH523353:IVH523357 JFD523353:JFD523357 JOZ523353:JOZ523357 JYV523353:JYV523357 KIR523353:KIR523357 KSN523353:KSN523357 LCJ523353:LCJ523357 LMF523353:LMF523357 LWB523353:LWB523357 MFX523353:MFX523357 MPT523353:MPT523357 MZP523353:MZP523357 NJL523353:NJL523357 NTH523353:NTH523357 ODD523353:ODD523357 OMZ523353:OMZ523357 OWV523353:OWV523357 PGR523353:PGR523357 PQN523353:PQN523357 QAJ523353:QAJ523357 QKF523353:QKF523357 QUB523353:QUB523357 RDX523353:RDX523357 RNT523353:RNT523357 RXP523353:RXP523357 SHL523353:SHL523357 SRH523353:SRH523357 TBD523353:TBD523357 TKZ523353:TKZ523357 TUV523353:TUV523357 UER523353:UER523357 UON523353:UON523357 UYJ523353:UYJ523357 VIF523353:VIF523357 VSB523353:VSB523357 WBX523353:WBX523357 WLT523353:WLT523357 WVP523353:WVP523357 H588889:H588893 JD588889:JD588893 SZ588889:SZ588893 ACV588889:ACV588893 AMR588889:AMR588893 AWN588889:AWN588893 BGJ588889:BGJ588893 BQF588889:BQF588893 CAB588889:CAB588893 CJX588889:CJX588893 CTT588889:CTT588893 DDP588889:DDP588893 DNL588889:DNL588893 DXH588889:DXH588893 EHD588889:EHD588893 EQZ588889:EQZ588893 FAV588889:FAV588893 FKR588889:FKR588893 FUN588889:FUN588893 GEJ588889:GEJ588893 GOF588889:GOF588893 GYB588889:GYB588893 HHX588889:HHX588893 HRT588889:HRT588893 IBP588889:IBP588893 ILL588889:ILL588893 IVH588889:IVH588893 JFD588889:JFD588893 JOZ588889:JOZ588893 JYV588889:JYV588893 KIR588889:KIR588893 KSN588889:KSN588893 LCJ588889:LCJ588893 LMF588889:LMF588893 LWB588889:LWB588893 MFX588889:MFX588893 MPT588889:MPT588893 MZP588889:MZP588893 NJL588889:NJL588893 NTH588889:NTH588893 ODD588889:ODD588893 OMZ588889:OMZ588893 OWV588889:OWV588893 PGR588889:PGR588893 PQN588889:PQN588893 QAJ588889:QAJ588893 QKF588889:QKF588893 QUB588889:QUB588893 RDX588889:RDX588893 RNT588889:RNT588893 RXP588889:RXP588893 SHL588889:SHL588893 SRH588889:SRH588893 TBD588889:TBD588893 TKZ588889:TKZ588893 TUV588889:TUV588893 UER588889:UER588893 UON588889:UON588893 UYJ588889:UYJ588893 VIF588889:VIF588893 VSB588889:VSB588893 WBX588889:WBX588893 WLT588889:WLT588893 WVP588889:WVP588893 H654425:H654429 JD654425:JD654429 SZ654425:SZ654429 ACV654425:ACV654429 AMR654425:AMR654429 AWN654425:AWN654429 BGJ654425:BGJ654429 BQF654425:BQF654429 CAB654425:CAB654429 CJX654425:CJX654429 CTT654425:CTT654429 DDP654425:DDP654429 DNL654425:DNL654429 DXH654425:DXH654429 EHD654425:EHD654429 EQZ654425:EQZ654429 FAV654425:FAV654429 FKR654425:FKR654429 FUN654425:FUN654429 GEJ654425:GEJ654429 GOF654425:GOF654429 GYB654425:GYB654429 HHX654425:HHX654429 HRT654425:HRT654429 IBP654425:IBP654429 ILL654425:ILL654429 IVH654425:IVH654429 JFD654425:JFD654429 JOZ654425:JOZ654429 JYV654425:JYV654429 KIR654425:KIR654429 KSN654425:KSN654429 LCJ654425:LCJ654429 LMF654425:LMF654429 LWB654425:LWB654429 MFX654425:MFX654429 MPT654425:MPT654429 MZP654425:MZP654429 NJL654425:NJL654429 NTH654425:NTH654429 ODD654425:ODD654429 OMZ654425:OMZ654429 OWV654425:OWV654429 PGR654425:PGR654429 PQN654425:PQN654429 QAJ654425:QAJ654429 QKF654425:QKF654429 QUB654425:QUB654429 RDX654425:RDX654429 RNT654425:RNT654429 RXP654425:RXP654429 SHL654425:SHL654429 SRH654425:SRH654429 TBD654425:TBD654429 TKZ654425:TKZ654429 TUV654425:TUV654429 UER654425:UER654429 UON654425:UON654429 UYJ654425:UYJ654429 VIF654425:VIF654429 VSB654425:VSB654429 WBX654425:WBX654429 WLT654425:WLT654429 WVP654425:WVP654429 H719961:H719965 JD719961:JD719965 SZ719961:SZ719965 ACV719961:ACV719965 AMR719961:AMR719965 AWN719961:AWN719965 BGJ719961:BGJ719965 BQF719961:BQF719965 CAB719961:CAB719965 CJX719961:CJX719965 CTT719961:CTT719965 DDP719961:DDP719965 DNL719961:DNL719965 DXH719961:DXH719965 EHD719961:EHD719965 EQZ719961:EQZ719965 FAV719961:FAV719965 FKR719961:FKR719965 FUN719961:FUN719965 GEJ719961:GEJ719965 GOF719961:GOF719965 GYB719961:GYB719965 HHX719961:HHX719965 HRT719961:HRT719965 IBP719961:IBP719965 ILL719961:ILL719965 IVH719961:IVH719965 JFD719961:JFD719965 JOZ719961:JOZ719965 JYV719961:JYV719965 KIR719961:KIR719965 KSN719961:KSN719965 LCJ719961:LCJ719965 LMF719961:LMF719965 LWB719961:LWB719965 MFX719961:MFX719965 MPT719961:MPT719965 MZP719961:MZP719965 NJL719961:NJL719965 NTH719961:NTH719965 ODD719961:ODD719965 OMZ719961:OMZ719965 OWV719961:OWV719965 PGR719961:PGR719965 PQN719961:PQN719965 QAJ719961:QAJ719965 QKF719961:QKF719965 QUB719961:QUB719965 RDX719961:RDX719965 RNT719961:RNT719965 RXP719961:RXP719965 SHL719961:SHL719965 SRH719961:SRH719965 TBD719961:TBD719965 TKZ719961:TKZ719965 TUV719961:TUV719965 UER719961:UER719965 UON719961:UON719965 UYJ719961:UYJ719965 VIF719961:VIF719965 VSB719961:VSB719965 WBX719961:WBX719965 WLT719961:WLT719965 WVP719961:WVP719965 H785497:H785501 JD785497:JD785501 SZ785497:SZ785501 ACV785497:ACV785501 AMR785497:AMR785501 AWN785497:AWN785501 BGJ785497:BGJ785501 BQF785497:BQF785501 CAB785497:CAB785501 CJX785497:CJX785501 CTT785497:CTT785501 DDP785497:DDP785501 DNL785497:DNL785501 DXH785497:DXH785501 EHD785497:EHD785501 EQZ785497:EQZ785501 FAV785497:FAV785501 FKR785497:FKR785501 FUN785497:FUN785501 GEJ785497:GEJ785501 GOF785497:GOF785501 GYB785497:GYB785501 HHX785497:HHX785501 HRT785497:HRT785501 IBP785497:IBP785501 ILL785497:ILL785501 IVH785497:IVH785501 JFD785497:JFD785501 JOZ785497:JOZ785501 JYV785497:JYV785501 KIR785497:KIR785501 KSN785497:KSN785501 LCJ785497:LCJ785501 LMF785497:LMF785501 LWB785497:LWB785501 MFX785497:MFX785501 MPT785497:MPT785501 MZP785497:MZP785501 NJL785497:NJL785501 NTH785497:NTH785501 ODD785497:ODD785501 OMZ785497:OMZ785501 OWV785497:OWV785501 PGR785497:PGR785501 PQN785497:PQN785501 QAJ785497:QAJ785501 QKF785497:QKF785501 QUB785497:QUB785501 RDX785497:RDX785501 RNT785497:RNT785501 RXP785497:RXP785501 SHL785497:SHL785501 SRH785497:SRH785501 TBD785497:TBD785501 TKZ785497:TKZ785501 TUV785497:TUV785501 UER785497:UER785501 UON785497:UON785501 UYJ785497:UYJ785501 VIF785497:VIF785501 VSB785497:VSB785501 WBX785497:WBX785501 WLT785497:WLT785501 WVP785497:WVP785501 H851033:H851037 JD851033:JD851037 SZ851033:SZ851037 ACV851033:ACV851037 AMR851033:AMR851037 AWN851033:AWN851037 BGJ851033:BGJ851037 BQF851033:BQF851037 CAB851033:CAB851037 CJX851033:CJX851037 CTT851033:CTT851037 DDP851033:DDP851037 DNL851033:DNL851037 DXH851033:DXH851037 EHD851033:EHD851037 EQZ851033:EQZ851037 FAV851033:FAV851037 FKR851033:FKR851037 FUN851033:FUN851037 GEJ851033:GEJ851037 GOF851033:GOF851037 GYB851033:GYB851037 HHX851033:HHX851037 HRT851033:HRT851037 IBP851033:IBP851037 ILL851033:ILL851037 IVH851033:IVH851037 JFD851033:JFD851037 JOZ851033:JOZ851037 JYV851033:JYV851037 KIR851033:KIR851037 KSN851033:KSN851037 LCJ851033:LCJ851037 LMF851033:LMF851037 LWB851033:LWB851037 MFX851033:MFX851037 MPT851033:MPT851037 MZP851033:MZP851037 NJL851033:NJL851037 NTH851033:NTH851037 ODD851033:ODD851037 OMZ851033:OMZ851037 OWV851033:OWV851037 PGR851033:PGR851037 PQN851033:PQN851037 QAJ851033:QAJ851037 QKF851033:QKF851037 QUB851033:QUB851037 RDX851033:RDX851037 RNT851033:RNT851037 RXP851033:RXP851037 SHL851033:SHL851037 SRH851033:SRH851037 TBD851033:TBD851037 TKZ851033:TKZ851037 TUV851033:TUV851037 UER851033:UER851037 UON851033:UON851037 UYJ851033:UYJ851037 VIF851033:VIF851037 VSB851033:VSB851037 WBX851033:WBX851037 WLT851033:WLT851037 WVP851033:WVP851037 H916569:H916573 JD916569:JD916573 SZ916569:SZ916573 ACV916569:ACV916573 AMR916569:AMR916573 AWN916569:AWN916573 BGJ916569:BGJ916573 BQF916569:BQF916573 CAB916569:CAB916573 CJX916569:CJX916573 CTT916569:CTT916573 DDP916569:DDP916573 DNL916569:DNL916573 DXH916569:DXH916573 EHD916569:EHD916573 EQZ916569:EQZ916573 FAV916569:FAV916573 FKR916569:FKR916573 FUN916569:FUN916573 GEJ916569:GEJ916573 GOF916569:GOF916573 GYB916569:GYB916573 HHX916569:HHX916573 HRT916569:HRT916573 IBP916569:IBP916573 ILL916569:ILL916573 IVH916569:IVH916573 JFD916569:JFD916573 JOZ916569:JOZ916573 JYV916569:JYV916573 KIR916569:KIR916573 KSN916569:KSN916573 LCJ916569:LCJ916573 LMF916569:LMF916573 LWB916569:LWB916573 MFX916569:MFX916573 MPT916569:MPT916573 MZP916569:MZP916573 NJL916569:NJL916573 NTH916569:NTH916573 ODD916569:ODD916573 OMZ916569:OMZ916573 OWV916569:OWV916573 PGR916569:PGR916573 PQN916569:PQN916573 QAJ916569:QAJ916573 QKF916569:QKF916573 QUB916569:QUB916573 RDX916569:RDX916573 RNT916569:RNT916573 RXP916569:RXP916573 SHL916569:SHL916573 SRH916569:SRH916573 TBD916569:TBD916573 TKZ916569:TKZ916573 TUV916569:TUV916573 UER916569:UER916573 UON916569:UON916573 UYJ916569:UYJ916573 VIF916569:VIF916573 VSB916569:VSB916573 WBX916569:WBX916573 WLT916569:WLT916573 WVP916569:WVP916573 H982105:H982109 JD982105:JD982109 SZ982105:SZ982109 ACV982105:ACV982109 AMR982105:AMR982109 AWN982105:AWN982109 BGJ982105:BGJ982109 BQF982105:BQF982109 CAB982105:CAB982109 CJX982105:CJX982109 CTT982105:CTT982109 DDP982105:DDP982109 DNL982105:DNL982109 DXH982105:DXH982109 EHD982105:EHD982109 EQZ982105:EQZ982109 FAV982105:FAV982109 FKR982105:FKR982109 FUN982105:FUN982109 GEJ982105:GEJ982109 GOF982105:GOF982109 GYB982105:GYB982109 HHX982105:HHX982109 HRT982105:HRT982109 IBP982105:IBP982109 ILL982105:ILL982109 IVH982105:IVH982109 JFD982105:JFD982109 JOZ982105:JOZ982109 JYV982105:JYV982109 KIR982105:KIR982109 KSN982105:KSN982109 LCJ982105:LCJ982109 LMF982105:LMF982109 LWB982105:LWB982109 MFX982105:MFX982109 MPT982105:MPT982109 MZP982105:MZP982109 NJL982105:NJL982109 NTH982105:NTH982109 ODD982105:ODD982109 OMZ982105:OMZ982109 OWV982105:OWV982109 PGR982105:PGR982109 PQN982105:PQN982109 QAJ982105:QAJ982109 QKF982105:QKF982109 QUB982105:QUB982109 RDX982105:RDX982109 RNT982105:RNT982109 RXP982105:RXP982109 SHL982105:SHL982109 SRH982105:SRH982109 TBD982105:TBD982109 TKZ982105:TKZ982109 TUV982105:TUV982109 UER982105:UER982109 UON982105:UON982109 UYJ982105:UYJ982109 VIF982105:VIF982109 VSB982105:VSB982109 WBX982105:WBX982109 WLT982105:WLT982109 WVP982105:WVP982109 WVR982033:WVS982037 WLV982033:WLW982037 WBZ982033:WCA982037 VSD982033:VSE982037 VIH982033:VII982037 UYL982033:UYM982037 UOP982033:UOQ982037 UET982033:UEU982037 TUX982033:TUY982037 TLB982033:TLC982037 TBF982033:TBG982037 SRJ982033:SRK982037 SHN982033:SHO982037 RXR982033:RXS982037 RNV982033:RNW982037 RDZ982033:REA982037 QUD982033:QUE982037 QKH982033:QKI982037 QAL982033:QAM982037 PQP982033:PQQ982037 PGT982033:PGU982037 OWX982033:OWY982037 ONB982033:ONC982037 ODF982033:ODG982037 NTJ982033:NTK982037 NJN982033:NJO982037 MZR982033:MZS982037 MPV982033:MPW982037 MFZ982033:MGA982037 LWD982033:LWE982037 LMH982033:LMI982037 LCL982033:LCM982037 KSP982033:KSQ982037 KIT982033:KIU982037 JYX982033:JYY982037 JPB982033:JPC982037 JFF982033:JFG982037 IVJ982033:IVK982037 ILN982033:ILO982037 IBR982033:IBS982037 HRV982033:HRW982037 HHZ982033:HIA982037 GYD982033:GYE982037 GOH982033:GOI982037 GEL982033:GEM982037 FUP982033:FUQ982037 FKT982033:FKU982037 FAX982033:FAY982037 ERB982033:ERC982037 EHF982033:EHG982037 DXJ982033:DXK982037 DNN982033:DNO982037 DDR982033:DDS982037 CTV982033:CTW982037 CJZ982033:CKA982037 CAD982033:CAE982037 BQH982033:BQI982037 BGL982033:BGM982037 AWP982033:AWQ982037 AMT982033:AMU982037 ACX982033:ACY982037 TB982033:TC982037 JF982033:JG982037 K916497:K916501 WVR916497:WVS916501 WLV916497:WLW916501 WBZ916497:WCA916501 VSD916497:VSE916501 VIH916497:VII916501 UYL916497:UYM916501 UOP916497:UOQ916501 UET916497:UEU916501 TUX916497:TUY916501 TLB916497:TLC916501 TBF916497:TBG916501 SRJ916497:SRK916501 SHN916497:SHO916501 RXR916497:RXS916501 RNV916497:RNW916501 RDZ916497:REA916501 QUD916497:QUE916501 QKH916497:QKI916501 QAL916497:QAM916501 PQP916497:PQQ916501 PGT916497:PGU916501 OWX916497:OWY916501 ONB916497:ONC916501 ODF916497:ODG916501 NTJ916497:NTK916501 NJN916497:NJO916501 MZR916497:MZS916501 MPV916497:MPW916501 MFZ916497:MGA916501 LWD916497:LWE916501 LMH916497:LMI916501 LCL916497:LCM916501 KSP916497:KSQ916501 KIT916497:KIU916501 JYX916497:JYY916501 JPB916497:JPC916501 JFF916497:JFG916501 IVJ916497:IVK916501 ILN916497:ILO916501 IBR916497:IBS916501 HRV916497:HRW916501 HHZ916497:HIA916501 GYD916497:GYE916501 GOH916497:GOI916501 GEL916497:GEM916501 FUP916497:FUQ916501 FKT916497:FKU916501 FAX916497:FAY916501 ERB916497:ERC916501 EHF916497:EHG916501 DXJ916497:DXK916501 DNN916497:DNO916501 DDR916497:DDS916501 CTV916497:CTW916501 CJZ916497:CKA916501 CAD916497:CAE916501 BQH916497:BQI916501 BGL916497:BGM916501 AWP916497:AWQ916501 AMT916497:AMU916501 ACX916497:ACY916501 TB916497:TC916501 JF916497:JG916501 K850961:K850965 WVR850961:WVS850965 WLV850961:WLW850965 WBZ850961:WCA850965 VSD850961:VSE850965 VIH850961:VII850965 UYL850961:UYM850965 UOP850961:UOQ850965 UET850961:UEU850965 TUX850961:TUY850965 TLB850961:TLC850965 TBF850961:TBG850965 SRJ850961:SRK850965 SHN850961:SHO850965 RXR850961:RXS850965 RNV850961:RNW850965 RDZ850961:REA850965 QUD850961:QUE850965 QKH850961:QKI850965 QAL850961:QAM850965 PQP850961:PQQ850965 PGT850961:PGU850965 OWX850961:OWY850965 ONB850961:ONC850965 ODF850961:ODG850965 NTJ850961:NTK850965 NJN850961:NJO850965 MZR850961:MZS850965 MPV850961:MPW850965 MFZ850961:MGA850965 LWD850961:LWE850965 LMH850961:LMI850965 LCL850961:LCM850965 KSP850961:KSQ850965 KIT850961:KIU850965 JYX850961:JYY850965 JPB850961:JPC850965 JFF850961:JFG850965 IVJ850961:IVK850965 ILN850961:ILO850965 IBR850961:IBS850965 HRV850961:HRW850965 HHZ850961:HIA850965 GYD850961:GYE850965 GOH850961:GOI850965 GEL850961:GEM850965 FUP850961:FUQ850965 FKT850961:FKU850965 FAX850961:FAY850965 ERB850961:ERC850965 EHF850961:EHG850965 DXJ850961:DXK850965 DNN850961:DNO850965 DDR850961:DDS850965 CTV850961:CTW850965 CJZ850961:CKA850965 CAD850961:CAE850965 BQH850961:BQI850965 BGL850961:BGM850965 AWP850961:AWQ850965 AMT850961:AMU850965 ACX850961:ACY850965 TB850961:TC850965 JF850961:JG850965 K785425:K785429 WVR785425:WVS785429 WLV785425:WLW785429 WBZ785425:WCA785429 VSD785425:VSE785429 VIH785425:VII785429 UYL785425:UYM785429 UOP785425:UOQ785429 UET785425:UEU785429 TUX785425:TUY785429 TLB785425:TLC785429 TBF785425:TBG785429 SRJ785425:SRK785429 SHN785425:SHO785429 RXR785425:RXS785429 RNV785425:RNW785429 RDZ785425:REA785429 QUD785425:QUE785429 QKH785425:QKI785429 QAL785425:QAM785429 PQP785425:PQQ785429 PGT785425:PGU785429 OWX785425:OWY785429 ONB785425:ONC785429 ODF785425:ODG785429 NTJ785425:NTK785429 NJN785425:NJO785429 MZR785425:MZS785429 MPV785425:MPW785429 MFZ785425:MGA785429 LWD785425:LWE785429 LMH785425:LMI785429 LCL785425:LCM785429 KSP785425:KSQ785429 KIT785425:KIU785429 JYX785425:JYY785429 JPB785425:JPC785429 JFF785425:JFG785429 IVJ785425:IVK785429 ILN785425:ILO785429 IBR785425:IBS785429 HRV785425:HRW785429 HHZ785425:HIA785429 GYD785425:GYE785429 GOH785425:GOI785429 GEL785425:GEM785429 FUP785425:FUQ785429 FKT785425:FKU785429 FAX785425:FAY785429 ERB785425:ERC785429 EHF785425:EHG785429 DXJ785425:DXK785429 DNN785425:DNO785429 DDR785425:DDS785429 CTV785425:CTW785429 CJZ785425:CKA785429 CAD785425:CAE785429 BQH785425:BQI785429 BGL785425:BGM785429 AWP785425:AWQ785429 AMT785425:AMU785429 ACX785425:ACY785429 TB785425:TC785429 JF785425:JG785429 K719889:K719893 WVR719889:WVS719893 WLV719889:WLW719893 WBZ719889:WCA719893 VSD719889:VSE719893 VIH719889:VII719893 UYL719889:UYM719893 UOP719889:UOQ719893 UET719889:UEU719893 TUX719889:TUY719893 TLB719889:TLC719893 TBF719889:TBG719893 SRJ719889:SRK719893 SHN719889:SHO719893 RXR719889:RXS719893 RNV719889:RNW719893 RDZ719889:REA719893 QUD719889:QUE719893 QKH719889:QKI719893 QAL719889:QAM719893 PQP719889:PQQ719893 PGT719889:PGU719893 OWX719889:OWY719893 ONB719889:ONC719893 ODF719889:ODG719893 NTJ719889:NTK719893 NJN719889:NJO719893 MZR719889:MZS719893 MPV719889:MPW719893 MFZ719889:MGA719893 LWD719889:LWE719893 LMH719889:LMI719893 LCL719889:LCM719893 KSP719889:KSQ719893 KIT719889:KIU719893 JYX719889:JYY719893 JPB719889:JPC719893 JFF719889:JFG719893 IVJ719889:IVK719893 ILN719889:ILO719893 IBR719889:IBS719893 HRV719889:HRW719893 HHZ719889:HIA719893 GYD719889:GYE719893 GOH719889:GOI719893 GEL719889:GEM719893 FUP719889:FUQ719893 FKT719889:FKU719893 FAX719889:FAY719893 ERB719889:ERC719893 EHF719889:EHG719893 DXJ719889:DXK719893 DNN719889:DNO719893 DDR719889:DDS719893 CTV719889:CTW719893 CJZ719889:CKA719893 CAD719889:CAE719893 BQH719889:BQI719893 BGL719889:BGM719893 AWP719889:AWQ719893 AMT719889:AMU719893 ACX719889:ACY719893 TB719889:TC719893 JF719889:JG719893 K654353:K654357 WVR654353:WVS654357 WLV654353:WLW654357 WBZ654353:WCA654357 VSD654353:VSE654357 VIH654353:VII654357 UYL654353:UYM654357 UOP654353:UOQ654357 UET654353:UEU654357 TUX654353:TUY654357 TLB654353:TLC654357 TBF654353:TBG654357 SRJ654353:SRK654357 SHN654353:SHO654357 RXR654353:RXS654357 RNV654353:RNW654357 RDZ654353:REA654357 QUD654353:QUE654357 QKH654353:QKI654357 QAL654353:QAM654357 PQP654353:PQQ654357 PGT654353:PGU654357 OWX654353:OWY654357 ONB654353:ONC654357 ODF654353:ODG654357 NTJ654353:NTK654357 NJN654353:NJO654357 MZR654353:MZS654357 MPV654353:MPW654357 MFZ654353:MGA654357 LWD654353:LWE654357 LMH654353:LMI654357 LCL654353:LCM654357 KSP654353:KSQ654357 KIT654353:KIU654357 JYX654353:JYY654357 JPB654353:JPC654357 JFF654353:JFG654357 IVJ654353:IVK654357 ILN654353:ILO654357 IBR654353:IBS654357 HRV654353:HRW654357 HHZ654353:HIA654357 GYD654353:GYE654357 GOH654353:GOI654357 GEL654353:GEM654357 FUP654353:FUQ654357 FKT654353:FKU654357 FAX654353:FAY654357 ERB654353:ERC654357 EHF654353:EHG654357 DXJ654353:DXK654357 DNN654353:DNO654357 DDR654353:DDS654357 CTV654353:CTW654357 CJZ654353:CKA654357 CAD654353:CAE654357 BQH654353:BQI654357 BGL654353:BGM654357 AWP654353:AWQ654357 AMT654353:AMU654357 ACX654353:ACY654357 TB654353:TC654357 JF654353:JG654357 K588817:K588821 WVR588817:WVS588821 WLV588817:WLW588821 WBZ588817:WCA588821 VSD588817:VSE588821 VIH588817:VII588821 UYL588817:UYM588821 UOP588817:UOQ588821 UET588817:UEU588821 TUX588817:TUY588821 TLB588817:TLC588821 TBF588817:TBG588821 SRJ588817:SRK588821 SHN588817:SHO588821 RXR588817:RXS588821 RNV588817:RNW588821 RDZ588817:REA588821 QUD588817:QUE588821 QKH588817:QKI588821 QAL588817:QAM588821 PQP588817:PQQ588821 PGT588817:PGU588821 OWX588817:OWY588821 ONB588817:ONC588821 ODF588817:ODG588821 NTJ588817:NTK588821 NJN588817:NJO588821 MZR588817:MZS588821 MPV588817:MPW588821 MFZ588817:MGA588821 LWD588817:LWE588821 LMH588817:LMI588821 LCL588817:LCM588821 KSP588817:KSQ588821 KIT588817:KIU588821 JYX588817:JYY588821 JPB588817:JPC588821 JFF588817:JFG588821 IVJ588817:IVK588821 ILN588817:ILO588821 IBR588817:IBS588821 HRV588817:HRW588821 HHZ588817:HIA588821 GYD588817:GYE588821 GOH588817:GOI588821 GEL588817:GEM588821 FUP588817:FUQ588821 FKT588817:FKU588821 FAX588817:FAY588821 ERB588817:ERC588821 EHF588817:EHG588821 DXJ588817:DXK588821 DNN588817:DNO588821 DDR588817:DDS588821 CTV588817:CTW588821 CJZ588817:CKA588821 CAD588817:CAE588821 BQH588817:BQI588821 BGL588817:BGM588821 AWP588817:AWQ588821 AMT588817:AMU588821 ACX588817:ACY588821 TB588817:TC588821 JF588817:JG588821 K523281:K523285 WVR523281:WVS523285 WLV523281:WLW523285 WBZ523281:WCA523285 VSD523281:VSE523285 VIH523281:VII523285 UYL523281:UYM523285 UOP523281:UOQ523285 UET523281:UEU523285 TUX523281:TUY523285 TLB523281:TLC523285 TBF523281:TBG523285 SRJ523281:SRK523285 SHN523281:SHO523285 RXR523281:RXS523285 RNV523281:RNW523285 RDZ523281:REA523285 QUD523281:QUE523285 QKH523281:QKI523285 QAL523281:QAM523285 PQP523281:PQQ523285 PGT523281:PGU523285 OWX523281:OWY523285 ONB523281:ONC523285 ODF523281:ODG523285 NTJ523281:NTK523285 NJN523281:NJO523285 MZR523281:MZS523285 MPV523281:MPW523285 MFZ523281:MGA523285 LWD523281:LWE523285 LMH523281:LMI523285 LCL523281:LCM523285 KSP523281:KSQ523285 KIT523281:KIU523285 JYX523281:JYY523285 JPB523281:JPC523285 JFF523281:JFG523285 IVJ523281:IVK523285 ILN523281:ILO523285 IBR523281:IBS523285 HRV523281:HRW523285 HHZ523281:HIA523285 GYD523281:GYE523285 GOH523281:GOI523285 GEL523281:GEM523285 FUP523281:FUQ523285 FKT523281:FKU523285 FAX523281:FAY523285 ERB523281:ERC523285 EHF523281:EHG523285 DXJ523281:DXK523285 DNN523281:DNO523285 DDR523281:DDS523285 CTV523281:CTW523285 CJZ523281:CKA523285 CAD523281:CAE523285 BQH523281:BQI523285 BGL523281:BGM523285 AWP523281:AWQ523285 AMT523281:AMU523285 ACX523281:ACY523285 TB523281:TC523285 JF523281:JG523285 K457745:K457749 WVR457745:WVS457749 WLV457745:WLW457749 WBZ457745:WCA457749 VSD457745:VSE457749 VIH457745:VII457749 UYL457745:UYM457749 UOP457745:UOQ457749 UET457745:UEU457749 TUX457745:TUY457749 TLB457745:TLC457749 TBF457745:TBG457749 SRJ457745:SRK457749 SHN457745:SHO457749 RXR457745:RXS457749 RNV457745:RNW457749 RDZ457745:REA457749 QUD457745:QUE457749 QKH457745:QKI457749 QAL457745:QAM457749 PQP457745:PQQ457749 PGT457745:PGU457749 OWX457745:OWY457749 ONB457745:ONC457749 ODF457745:ODG457749 NTJ457745:NTK457749 NJN457745:NJO457749 MZR457745:MZS457749 MPV457745:MPW457749 MFZ457745:MGA457749 LWD457745:LWE457749 LMH457745:LMI457749 LCL457745:LCM457749 KSP457745:KSQ457749 KIT457745:KIU457749 JYX457745:JYY457749 JPB457745:JPC457749 JFF457745:JFG457749 IVJ457745:IVK457749 ILN457745:ILO457749 IBR457745:IBS457749 HRV457745:HRW457749 HHZ457745:HIA457749 GYD457745:GYE457749 GOH457745:GOI457749 GEL457745:GEM457749 FUP457745:FUQ457749 FKT457745:FKU457749 FAX457745:FAY457749 ERB457745:ERC457749 EHF457745:EHG457749 DXJ457745:DXK457749 DNN457745:DNO457749 DDR457745:DDS457749 CTV457745:CTW457749 CJZ457745:CKA457749 CAD457745:CAE457749 BQH457745:BQI457749 BGL457745:BGM457749 AWP457745:AWQ457749 AMT457745:AMU457749 ACX457745:ACY457749 TB457745:TC457749 JF457745:JG457749 K392209:K392213 WVR392209:WVS392213 WLV392209:WLW392213 WBZ392209:WCA392213 VSD392209:VSE392213 VIH392209:VII392213 UYL392209:UYM392213 UOP392209:UOQ392213 UET392209:UEU392213 TUX392209:TUY392213 TLB392209:TLC392213 TBF392209:TBG392213 SRJ392209:SRK392213 SHN392209:SHO392213 RXR392209:RXS392213 RNV392209:RNW392213 RDZ392209:REA392213 QUD392209:QUE392213 QKH392209:QKI392213 QAL392209:QAM392213 PQP392209:PQQ392213 PGT392209:PGU392213 OWX392209:OWY392213 ONB392209:ONC392213 ODF392209:ODG392213 NTJ392209:NTK392213 NJN392209:NJO392213 MZR392209:MZS392213 MPV392209:MPW392213 MFZ392209:MGA392213 LWD392209:LWE392213 LMH392209:LMI392213 LCL392209:LCM392213 KSP392209:KSQ392213 KIT392209:KIU392213 JYX392209:JYY392213 JPB392209:JPC392213 JFF392209:JFG392213 IVJ392209:IVK392213 ILN392209:ILO392213 IBR392209:IBS392213 HRV392209:HRW392213 HHZ392209:HIA392213 GYD392209:GYE392213 GOH392209:GOI392213 GEL392209:GEM392213 FUP392209:FUQ392213 FKT392209:FKU392213 FAX392209:FAY392213 ERB392209:ERC392213 EHF392209:EHG392213 DXJ392209:DXK392213 DNN392209:DNO392213 DDR392209:DDS392213 CTV392209:CTW392213 CJZ392209:CKA392213 CAD392209:CAE392213 BQH392209:BQI392213 BGL392209:BGM392213 AWP392209:AWQ392213 AMT392209:AMU392213 ACX392209:ACY392213 TB392209:TC392213 JF392209:JG392213 K326673:K326677 WVR326673:WVS326677 WLV326673:WLW326677 WBZ326673:WCA326677 VSD326673:VSE326677 VIH326673:VII326677 UYL326673:UYM326677 UOP326673:UOQ326677 UET326673:UEU326677 TUX326673:TUY326677 TLB326673:TLC326677 TBF326673:TBG326677 SRJ326673:SRK326677 SHN326673:SHO326677 RXR326673:RXS326677 RNV326673:RNW326677 RDZ326673:REA326677 QUD326673:QUE326677 QKH326673:QKI326677 QAL326673:QAM326677 PQP326673:PQQ326677 PGT326673:PGU326677 OWX326673:OWY326677 ONB326673:ONC326677 ODF326673:ODG326677 NTJ326673:NTK326677 NJN326673:NJO326677 MZR326673:MZS326677 MPV326673:MPW326677 MFZ326673:MGA326677 LWD326673:LWE326677 LMH326673:LMI326677 LCL326673:LCM326677 KSP326673:KSQ326677 KIT326673:KIU326677 JYX326673:JYY326677 JPB326673:JPC326677 JFF326673:JFG326677 IVJ326673:IVK326677 ILN326673:ILO326677 IBR326673:IBS326677 HRV326673:HRW326677 HHZ326673:HIA326677 GYD326673:GYE326677 GOH326673:GOI326677 GEL326673:GEM326677 FUP326673:FUQ326677 FKT326673:FKU326677 FAX326673:FAY326677 ERB326673:ERC326677 EHF326673:EHG326677 DXJ326673:DXK326677 DNN326673:DNO326677 DDR326673:DDS326677 CTV326673:CTW326677 CJZ326673:CKA326677 CAD326673:CAE326677 BQH326673:BQI326677 BGL326673:BGM326677 AWP326673:AWQ326677 AMT326673:AMU326677 ACX326673:ACY326677 TB326673:TC326677 JF326673:JG326677 K261137:K261141 WVR261137:WVS261141 WLV261137:WLW261141 WBZ261137:WCA261141 VSD261137:VSE261141 VIH261137:VII261141 UYL261137:UYM261141 UOP261137:UOQ261141 UET261137:UEU261141 TUX261137:TUY261141 TLB261137:TLC261141 TBF261137:TBG261141 SRJ261137:SRK261141 SHN261137:SHO261141 RXR261137:RXS261141 RNV261137:RNW261141 RDZ261137:REA261141 QUD261137:QUE261141 QKH261137:QKI261141 QAL261137:QAM261141 PQP261137:PQQ261141 PGT261137:PGU261141 OWX261137:OWY261141 ONB261137:ONC261141 ODF261137:ODG261141 NTJ261137:NTK261141 NJN261137:NJO261141 MZR261137:MZS261141 MPV261137:MPW261141 MFZ261137:MGA261141 LWD261137:LWE261141 LMH261137:LMI261141 LCL261137:LCM261141 KSP261137:KSQ261141 KIT261137:KIU261141 JYX261137:JYY261141 JPB261137:JPC261141 JFF261137:JFG261141 IVJ261137:IVK261141 ILN261137:ILO261141 IBR261137:IBS261141 HRV261137:HRW261141 HHZ261137:HIA261141 GYD261137:GYE261141 GOH261137:GOI261141 GEL261137:GEM261141 FUP261137:FUQ261141 FKT261137:FKU261141 FAX261137:FAY261141 ERB261137:ERC261141 EHF261137:EHG261141 DXJ261137:DXK261141 DNN261137:DNO261141 DDR261137:DDS261141 CTV261137:CTW261141 CJZ261137:CKA261141 CAD261137:CAE261141 BQH261137:BQI261141 BGL261137:BGM261141 AWP261137:AWQ261141 AMT261137:AMU261141 ACX261137:ACY261141 TB261137:TC261141 JF261137:JG261141 K195601:K195605 WVR195601:WVS195605 WLV195601:WLW195605 WBZ195601:WCA195605 VSD195601:VSE195605 VIH195601:VII195605 UYL195601:UYM195605 UOP195601:UOQ195605 UET195601:UEU195605 TUX195601:TUY195605 TLB195601:TLC195605 TBF195601:TBG195605 SRJ195601:SRK195605 SHN195601:SHO195605 RXR195601:RXS195605 RNV195601:RNW195605 RDZ195601:REA195605 QUD195601:QUE195605 QKH195601:QKI195605 QAL195601:QAM195605 PQP195601:PQQ195605 PGT195601:PGU195605 OWX195601:OWY195605 ONB195601:ONC195605 ODF195601:ODG195605 NTJ195601:NTK195605 NJN195601:NJO195605 MZR195601:MZS195605 MPV195601:MPW195605 MFZ195601:MGA195605 LWD195601:LWE195605 LMH195601:LMI195605 LCL195601:LCM195605 KSP195601:KSQ195605 KIT195601:KIU195605 JYX195601:JYY195605 JPB195601:JPC195605 JFF195601:JFG195605 IVJ195601:IVK195605 ILN195601:ILO195605 IBR195601:IBS195605 HRV195601:HRW195605 HHZ195601:HIA195605 GYD195601:GYE195605 GOH195601:GOI195605 GEL195601:GEM195605 FUP195601:FUQ195605 FKT195601:FKU195605 FAX195601:FAY195605 ERB195601:ERC195605 EHF195601:EHG195605 DXJ195601:DXK195605 DNN195601:DNO195605 DDR195601:DDS195605 CTV195601:CTW195605 CJZ195601:CKA195605 CAD195601:CAE195605 BQH195601:BQI195605 BGL195601:BGM195605 AWP195601:AWQ195605 AMT195601:AMU195605 ACX195601:ACY195605 TB195601:TC195605 JF195601:JG195605 K130065:K130069 WVR130065:WVS130069 WLV130065:WLW130069 WBZ130065:WCA130069 VSD130065:VSE130069 VIH130065:VII130069 UYL130065:UYM130069 UOP130065:UOQ130069 UET130065:UEU130069 TUX130065:TUY130069 TLB130065:TLC130069 TBF130065:TBG130069 SRJ130065:SRK130069 SHN130065:SHO130069 RXR130065:RXS130069 RNV130065:RNW130069 RDZ130065:REA130069 QUD130065:QUE130069 QKH130065:QKI130069 QAL130065:QAM130069 PQP130065:PQQ130069 PGT130065:PGU130069 OWX130065:OWY130069 ONB130065:ONC130069 ODF130065:ODG130069 NTJ130065:NTK130069 NJN130065:NJO130069 MZR130065:MZS130069 MPV130065:MPW130069 MFZ130065:MGA130069 LWD130065:LWE130069 LMH130065:LMI130069 LCL130065:LCM130069 KSP130065:KSQ130069 KIT130065:KIU130069 JYX130065:JYY130069 JPB130065:JPC130069 JFF130065:JFG130069 IVJ130065:IVK130069 ILN130065:ILO130069 IBR130065:IBS130069 HRV130065:HRW130069 HHZ130065:HIA130069 GYD130065:GYE130069 GOH130065:GOI130069 GEL130065:GEM130069 FUP130065:FUQ130069 FKT130065:FKU130069 FAX130065:FAY130069 ERB130065:ERC130069 EHF130065:EHG130069 DXJ130065:DXK130069 DNN130065:DNO130069 DDR130065:DDS130069 CTV130065:CTW130069 CJZ130065:CKA130069 CAD130065:CAE130069 BQH130065:BQI130069 BGL130065:BGM130069 AWP130065:AWQ130069 AMT130065:AMU130069 ACX130065:ACY130069 TB130065:TC130069 JF130065:JG130069 K64529:K64533 WVR64529:WVS64533 WLV64529:WLW64533 WBZ64529:WCA64533 VSD64529:VSE64533 VIH64529:VII64533 UYL64529:UYM64533 UOP64529:UOQ64533 UET64529:UEU64533 TUX64529:TUY64533 TLB64529:TLC64533 TBF64529:TBG64533 SRJ64529:SRK64533 SHN64529:SHO64533 RXR64529:RXS64533 RNV64529:RNW64533 RDZ64529:REA64533 QUD64529:QUE64533 QKH64529:QKI64533 QAL64529:QAM64533 PQP64529:PQQ64533 PGT64529:PGU64533 OWX64529:OWY64533 ONB64529:ONC64533 ODF64529:ODG64533 NTJ64529:NTK64533 NJN64529:NJO64533 MZR64529:MZS64533 MPV64529:MPW64533 MFZ64529:MGA64533 LWD64529:LWE64533 LMH64529:LMI64533 LCL64529:LCM64533 KSP64529:KSQ64533 KIT64529:KIU64533 JYX64529:JYY64533 JPB64529:JPC64533 JFF64529:JFG64533 IVJ64529:IVK64533 ILN64529:ILO64533 IBR64529:IBS64533 HRV64529:HRW64533 HHZ64529:HIA64533 GYD64529:GYE64533 GOH64529:GOI64533 GEL64529:GEM64533 FUP64529:FUQ64533 FKT64529:FKU64533 FAX64529:FAY64533 ERB64529:ERC64533 EHF64529:EHG64533 DXJ64529:DXK64533 DNN64529:DNO64533 DDR64529:DDS64533 CTV64529:CTW64533 CJZ64529:CKA64533 CAD64529:CAE64533 BQH64529:BQI64533 BGL64529:BGM64533 AWP64529:AWQ64533 AMT64529:AMU64533 ACX64529:ACY64533 TB64529:TC64533 JF64529:JG64533 WVQ982082:WVQ982090 WLU982082:WLU982090 WBY982082:WBY982090 VSC982082:VSC982090 VIG982082:VIG982090 UYK982082:UYK982090 UOO982082:UOO982090 UES982082:UES982090 TUW982082:TUW982090 TLA982082:TLA982090 TBE982082:TBE982090 SRI982082:SRI982090 SHM982082:SHM982090 RXQ982082:RXQ982090 RNU982082:RNU982090 RDY982082:RDY982090 QUC982082:QUC982090 QKG982082:QKG982090 QAK982082:QAK982090 PQO982082:PQO982090 PGS982082:PGS982090 OWW982082:OWW982090 ONA982082:ONA982090 ODE982082:ODE982090 NTI982082:NTI982090 NJM982082:NJM982090 MZQ982082:MZQ982090 MPU982082:MPU982090 MFY982082:MFY982090 LWC982082:LWC982090 LMG982082:LMG982090 LCK982082:LCK982090 KSO982082:KSO982090 KIS982082:KIS982090 JYW982082:JYW982090 JPA982082:JPA982090 JFE982082:JFE982090 IVI982082:IVI982090 ILM982082:ILM982090 IBQ982082:IBQ982090 HRU982082:HRU982090 HHY982082:HHY982090 GYC982082:GYC982090 GOG982082:GOG982090 GEK982082:GEK982090 FUO982082:FUO982090 FKS982082:FKS982090 FAW982082:FAW982090 ERA982082:ERA982090 EHE982082:EHE982090 DXI982082:DXI982090 DNM982082:DNM982090 DDQ982082:DDQ982090 CTU982082:CTU982090 CJY982082:CJY982090 CAC982082:CAC982090 BQG982082:BQG982090 BGK982082:BGK982090 AWO982082:AWO982090 AMS982082:AMS982090 ACW982082:ACW982090 TA982082:TA982090 JE982082:JE982090 I982082:I982090 WVQ916546:WVQ916554 WLU916546:WLU916554 WBY916546:WBY916554 VSC916546:VSC916554 VIG916546:VIG916554 UYK916546:UYK916554 UOO916546:UOO916554 UES916546:UES916554 TUW916546:TUW916554 TLA916546:TLA916554 TBE916546:TBE916554 SRI916546:SRI916554 SHM916546:SHM916554 RXQ916546:RXQ916554 RNU916546:RNU916554 RDY916546:RDY916554 QUC916546:QUC916554 QKG916546:QKG916554 QAK916546:QAK916554 PQO916546:PQO916554 PGS916546:PGS916554 OWW916546:OWW916554 ONA916546:ONA916554 ODE916546:ODE916554 NTI916546:NTI916554 NJM916546:NJM916554 MZQ916546:MZQ916554 MPU916546:MPU916554 MFY916546:MFY916554 LWC916546:LWC916554 LMG916546:LMG916554 LCK916546:LCK916554 KSO916546:KSO916554 KIS916546:KIS916554 JYW916546:JYW916554 JPA916546:JPA916554 JFE916546:JFE916554 IVI916546:IVI916554 ILM916546:ILM916554 IBQ916546:IBQ916554 HRU916546:HRU916554 HHY916546:HHY916554 GYC916546:GYC916554 GOG916546:GOG916554 GEK916546:GEK916554 FUO916546:FUO916554 FKS916546:FKS916554 FAW916546:FAW916554 ERA916546:ERA916554 EHE916546:EHE916554 DXI916546:DXI916554 DNM916546:DNM916554 DDQ916546:DDQ916554 CTU916546:CTU916554 CJY916546:CJY916554 CAC916546:CAC916554 BQG916546:BQG916554 BGK916546:BGK916554 AWO916546:AWO916554 AMS916546:AMS916554 ACW916546:ACW916554 TA916546:TA916554 JE916546:JE916554 I916546:I916554 WVQ851010:WVQ851018 WLU851010:WLU851018 WBY851010:WBY851018 VSC851010:VSC851018 VIG851010:VIG851018 UYK851010:UYK851018 UOO851010:UOO851018 UES851010:UES851018 TUW851010:TUW851018 TLA851010:TLA851018 TBE851010:TBE851018 SRI851010:SRI851018 SHM851010:SHM851018 RXQ851010:RXQ851018 RNU851010:RNU851018 RDY851010:RDY851018 QUC851010:QUC851018 QKG851010:QKG851018 QAK851010:QAK851018 PQO851010:PQO851018 PGS851010:PGS851018 OWW851010:OWW851018 ONA851010:ONA851018 ODE851010:ODE851018 NTI851010:NTI851018 NJM851010:NJM851018 MZQ851010:MZQ851018 MPU851010:MPU851018 MFY851010:MFY851018 LWC851010:LWC851018 LMG851010:LMG851018 LCK851010:LCK851018 KSO851010:KSO851018 KIS851010:KIS851018 JYW851010:JYW851018 JPA851010:JPA851018 JFE851010:JFE851018 IVI851010:IVI851018 ILM851010:ILM851018 IBQ851010:IBQ851018 HRU851010:HRU851018 HHY851010:HHY851018 GYC851010:GYC851018 GOG851010:GOG851018 GEK851010:GEK851018 FUO851010:FUO851018 FKS851010:FKS851018 FAW851010:FAW851018 ERA851010:ERA851018 EHE851010:EHE851018 DXI851010:DXI851018 DNM851010:DNM851018 DDQ851010:DDQ851018 CTU851010:CTU851018 CJY851010:CJY851018 CAC851010:CAC851018 BQG851010:BQG851018 BGK851010:BGK851018 AWO851010:AWO851018 AMS851010:AMS851018 ACW851010:ACW851018 TA851010:TA851018 JE851010:JE851018 I851010:I851018 WVQ785474:WVQ785482 WLU785474:WLU785482 WBY785474:WBY785482 VSC785474:VSC785482 VIG785474:VIG785482 UYK785474:UYK785482 UOO785474:UOO785482 UES785474:UES785482 TUW785474:TUW785482 TLA785474:TLA785482 TBE785474:TBE785482 SRI785474:SRI785482 SHM785474:SHM785482 RXQ785474:RXQ785482 RNU785474:RNU785482 RDY785474:RDY785482 QUC785474:QUC785482 QKG785474:QKG785482 QAK785474:QAK785482 PQO785474:PQO785482 PGS785474:PGS785482 OWW785474:OWW785482 ONA785474:ONA785482 ODE785474:ODE785482 NTI785474:NTI785482 NJM785474:NJM785482 MZQ785474:MZQ785482 MPU785474:MPU785482 MFY785474:MFY785482 LWC785474:LWC785482 LMG785474:LMG785482 LCK785474:LCK785482 KSO785474:KSO785482 KIS785474:KIS785482 JYW785474:JYW785482 JPA785474:JPA785482 JFE785474:JFE785482 IVI785474:IVI785482 ILM785474:ILM785482 IBQ785474:IBQ785482 HRU785474:HRU785482 HHY785474:HHY785482 GYC785474:GYC785482 GOG785474:GOG785482 GEK785474:GEK785482 FUO785474:FUO785482 FKS785474:FKS785482 FAW785474:FAW785482 ERA785474:ERA785482 EHE785474:EHE785482 DXI785474:DXI785482 DNM785474:DNM785482 DDQ785474:DDQ785482 CTU785474:CTU785482 CJY785474:CJY785482 CAC785474:CAC785482 BQG785474:BQG785482 BGK785474:BGK785482 AWO785474:AWO785482 AMS785474:AMS785482 ACW785474:ACW785482 TA785474:TA785482 JE785474:JE785482 I785474:I785482 WVQ719938:WVQ719946 WLU719938:WLU719946 WBY719938:WBY719946 VSC719938:VSC719946 VIG719938:VIG719946 UYK719938:UYK719946 UOO719938:UOO719946 UES719938:UES719946 TUW719938:TUW719946 TLA719938:TLA719946 TBE719938:TBE719946 SRI719938:SRI719946 SHM719938:SHM719946 RXQ719938:RXQ719946 RNU719938:RNU719946 RDY719938:RDY719946 QUC719938:QUC719946 QKG719938:QKG719946 QAK719938:QAK719946 PQO719938:PQO719946 PGS719938:PGS719946 OWW719938:OWW719946 ONA719938:ONA719946 ODE719938:ODE719946 NTI719938:NTI719946 NJM719938:NJM719946 MZQ719938:MZQ719946 MPU719938:MPU719946 MFY719938:MFY719946 LWC719938:LWC719946 LMG719938:LMG719946 LCK719938:LCK719946 KSO719938:KSO719946 KIS719938:KIS719946 JYW719938:JYW719946 JPA719938:JPA719946 JFE719938:JFE719946 IVI719938:IVI719946 ILM719938:ILM719946 IBQ719938:IBQ719946 HRU719938:HRU719946 HHY719938:HHY719946 GYC719938:GYC719946 GOG719938:GOG719946 GEK719938:GEK719946 FUO719938:FUO719946 FKS719938:FKS719946 FAW719938:FAW719946 ERA719938:ERA719946 EHE719938:EHE719946 DXI719938:DXI719946 DNM719938:DNM719946 DDQ719938:DDQ719946 CTU719938:CTU719946 CJY719938:CJY719946 CAC719938:CAC719946 BQG719938:BQG719946 BGK719938:BGK719946 AWO719938:AWO719946 AMS719938:AMS719946 ACW719938:ACW719946 TA719938:TA719946 JE719938:JE719946 I719938:I719946 WVQ654402:WVQ654410 WLU654402:WLU654410 WBY654402:WBY654410 VSC654402:VSC654410 VIG654402:VIG654410 UYK654402:UYK654410 UOO654402:UOO654410 UES654402:UES654410 TUW654402:TUW654410 TLA654402:TLA654410 TBE654402:TBE654410 SRI654402:SRI654410 SHM654402:SHM654410 RXQ654402:RXQ654410 RNU654402:RNU654410 RDY654402:RDY654410 QUC654402:QUC654410 QKG654402:QKG654410 QAK654402:QAK654410 PQO654402:PQO654410 PGS654402:PGS654410 OWW654402:OWW654410 ONA654402:ONA654410 ODE654402:ODE654410 NTI654402:NTI654410 NJM654402:NJM654410 MZQ654402:MZQ654410 MPU654402:MPU654410 MFY654402:MFY654410 LWC654402:LWC654410 LMG654402:LMG654410 LCK654402:LCK654410 KSO654402:KSO654410 KIS654402:KIS654410 JYW654402:JYW654410 JPA654402:JPA654410 JFE654402:JFE654410 IVI654402:IVI654410 ILM654402:ILM654410 IBQ654402:IBQ654410 HRU654402:HRU654410 HHY654402:HHY654410 GYC654402:GYC654410 GOG654402:GOG654410 GEK654402:GEK654410 FUO654402:FUO654410 FKS654402:FKS654410 FAW654402:FAW654410 ERA654402:ERA654410 EHE654402:EHE654410 DXI654402:DXI654410 DNM654402:DNM654410 DDQ654402:DDQ654410 CTU654402:CTU654410 CJY654402:CJY654410 CAC654402:CAC654410 BQG654402:BQG654410 BGK654402:BGK654410 AWO654402:AWO654410 AMS654402:AMS654410 ACW654402:ACW654410 TA654402:TA654410 JE654402:JE654410 I654402:I654410 WVQ588866:WVQ588874 WLU588866:WLU588874 WBY588866:WBY588874 VSC588866:VSC588874 VIG588866:VIG588874 UYK588866:UYK588874 UOO588866:UOO588874 UES588866:UES588874 TUW588866:TUW588874 TLA588866:TLA588874 TBE588866:TBE588874 SRI588866:SRI588874 SHM588866:SHM588874 RXQ588866:RXQ588874 RNU588866:RNU588874 RDY588866:RDY588874 QUC588866:QUC588874 QKG588866:QKG588874 QAK588866:QAK588874 PQO588866:PQO588874 PGS588866:PGS588874 OWW588866:OWW588874 ONA588866:ONA588874 ODE588866:ODE588874 NTI588866:NTI588874 NJM588866:NJM588874 MZQ588866:MZQ588874 MPU588866:MPU588874 MFY588866:MFY588874 LWC588866:LWC588874 LMG588866:LMG588874 LCK588866:LCK588874 KSO588866:KSO588874 KIS588866:KIS588874 JYW588866:JYW588874 JPA588866:JPA588874 JFE588866:JFE588874 IVI588866:IVI588874 ILM588866:ILM588874 IBQ588866:IBQ588874 HRU588866:HRU588874 HHY588866:HHY588874 GYC588866:GYC588874 GOG588866:GOG588874 GEK588866:GEK588874 FUO588866:FUO588874 FKS588866:FKS588874 FAW588866:FAW588874 ERA588866:ERA588874 EHE588866:EHE588874 DXI588866:DXI588874 DNM588866:DNM588874 DDQ588866:DDQ588874 CTU588866:CTU588874 CJY588866:CJY588874 CAC588866:CAC588874 BQG588866:BQG588874 BGK588866:BGK588874 AWO588866:AWO588874 AMS588866:AMS588874 ACW588866:ACW588874 TA588866:TA588874 JE588866:JE588874 I588866:I588874 WVQ523330:WVQ523338 WLU523330:WLU523338 WBY523330:WBY523338 VSC523330:VSC523338 VIG523330:VIG523338 UYK523330:UYK523338 UOO523330:UOO523338 UES523330:UES523338 TUW523330:TUW523338 TLA523330:TLA523338 TBE523330:TBE523338 SRI523330:SRI523338 SHM523330:SHM523338 RXQ523330:RXQ523338 RNU523330:RNU523338 RDY523330:RDY523338 QUC523330:QUC523338 QKG523330:QKG523338 QAK523330:QAK523338 PQO523330:PQO523338 PGS523330:PGS523338 OWW523330:OWW523338 ONA523330:ONA523338 ODE523330:ODE523338 NTI523330:NTI523338 NJM523330:NJM523338 MZQ523330:MZQ523338 MPU523330:MPU523338 MFY523330:MFY523338 LWC523330:LWC523338 LMG523330:LMG523338 LCK523330:LCK523338 KSO523330:KSO523338 KIS523330:KIS523338 JYW523330:JYW523338 JPA523330:JPA523338 JFE523330:JFE523338 IVI523330:IVI523338 ILM523330:ILM523338 IBQ523330:IBQ523338 HRU523330:HRU523338 HHY523330:HHY523338 GYC523330:GYC523338 GOG523330:GOG523338 GEK523330:GEK523338 FUO523330:FUO523338 FKS523330:FKS523338 FAW523330:FAW523338 ERA523330:ERA523338 EHE523330:EHE523338 DXI523330:DXI523338 DNM523330:DNM523338 DDQ523330:DDQ523338 CTU523330:CTU523338 CJY523330:CJY523338 CAC523330:CAC523338 BQG523330:BQG523338 BGK523330:BGK523338 AWO523330:AWO523338 AMS523330:AMS523338 ACW523330:ACW523338 TA523330:TA523338 JE523330:JE523338 I523330:I523338 WVQ457794:WVQ457802 WLU457794:WLU457802 WBY457794:WBY457802 VSC457794:VSC457802 VIG457794:VIG457802 UYK457794:UYK457802 UOO457794:UOO457802 UES457794:UES457802 TUW457794:TUW457802 TLA457794:TLA457802 TBE457794:TBE457802 SRI457794:SRI457802 SHM457794:SHM457802 RXQ457794:RXQ457802 RNU457794:RNU457802 RDY457794:RDY457802 QUC457794:QUC457802 QKG457794:QKG457802 QAK457794:QAK457802 PQO457794:PQO457802 PGS457794:PGS457802 OWW457794:OWW457802 ONA457794:ONA457802 ODE457794:ODE457802 NTI457794:NTI457802 NJM457794:NJM457802 MZQ457794:MZQ457802 MPU457794:MPU457802 MFY457794:MFY457802 LWC457794:LWC457802 LMG457794:LMG457802 LCK457794:LCK457802 KSO457794:KSO457802 KIS457794:KIS457802 JYW457794:JYW457802 JPA457794:JPA457802 JFE457794:JFE457802 IVI457794:IVI457802 ILM457794:ILM457802 IBQ457794:IBQ457802 HRU457794:HRU457802 HHY457794:HHY457802 GYC457794:GYC457802 GOG457794:GOG457802 GEK457794:GEK457802 FUO457794:FUO457802 FKS457794:FKS457802 FAW457794:FAW457802 ERA457794:ERA457802 EHE457794:EHE457802 DXI457794:DXI457802 DNM457794:DNM457802 DDQ457794:DDQ457802 CTU457794:CTU457802 CJY457794:CJY457802 CAC457794:CAC457802 BQG457794:BQG457802 BGK457794:BGK457802 AWO457794:AWO457802 AMS457794:AMS457802 ACW457794:ACW457802 TA457794:TA457802 JE457794:JE457802 I457794:I457802 WVQ392258:WVQ392266 WLU392258:WLU392266 WBY392258:WBY392266 VSC392258:VSC392266 VIG392258:VIG392266 UYK392258:UYK392266 UOO392258:UOO392266 UES392258:UES392266 TUW392258:TUW392266 TLA392258:TLA392266 TBE392258:TBE392266 SRI392258:SRI392266 SHM392258:SHM392266 RXQ392258:RXQ392266 RNU392258:RNU392266 RDY392258:RDY392266 QUC392258:QUC392266 QKG392258:QKG392266 QAK392258:QAK392266 PQO392258:PQO392266 PGS392258:PGS392266 OWW392258:OWW392266 ONA392258:ONA392266 ODE392258:ODE392266 NTI392258:NTI392266 NJM392258:NJM392266 MZQ392258:MZQ392266 MPU392258:MPU392266 MFY392258:MFY392266 LWC392258:LWC392266 LMG392258:LMG392266 LCK392258:LCK392266 KSO392258:KSO392266 KIS392258:KIS392266 JYW392258:JYW392266 JPA392258:JPA392266 JFE392258:JFE392266 IVI392258:IVI392266 ILM392258:ILM392266 IBQ392258:IBQ392266 HRU392258:HRU392266 HHY392258:HHY392266 GYC392258:GYC392266 GOG392258:GOG392266 GEK392258:GEK392266 FUO392258:FUO392266 FKS392258:FKS392266 FAW392258:FAW392266 ERA392258:ERA392266 EHE392258:EHE392266 DXI392258:DXI392266 DNM392258:DNM392266 DDQ392258:DDQ392266 CTU392258:CTU392266 CJY392258:CJY392266 CAC392258:CAC392266 BQG392258:BQG392266 BGK392258:BGK392266 AWO392258:AWO392266 AMS392258:AMS392266 ACW392258:ACW392266 TA392258:TA392266 JE392258:JE392266 I392258:I392266 WVQ326722:WVQ326730 WLU326722:WLU326730 WBY326722:WBY326730 VSC326722:VSC326730 VIG326722:VIG326730 UYK326722:UYK326730 UOO326722:UOO326730 UES326722:UES326730 TUW326722:TUW326730 TLA326722:TLA326730 TBE326722:TBE326730 SRI326722:SRI326730 SHM326722:SHM326730 RXQ326722:RXQ326730 RNU326722:RNU326730 RDY326722:RDY326730 QUC326722:QUC326730 QKG326722:QKG326730 QAK326722:QAK326730 PQO326722:PQO326730 PGS326722:PGS326730 OWW326722:OWW326730 ONA326722:ONA326730 ODE326722:ODE326730 NTI326722:NTI326730 NJM326722:NJM326730 MZQ326722:MZQ326730 MPU326722:MPU326730 MFY326722:MFY326730 LWC326722:LWC326730 LMG326722:LMG326730 LCK326722:LCK326730 KSO326722:KSO326730 KIS326722:KIS326730 JYW326722:JYW326730 JPA326722:JPA326730 JFE326722:JFE326730 IVI326722:IVI326730 ILM326722:ILM326730 IBQ326722:IBQ326730 HRU326722:HRU326730 HHY326722:HHY326730 GYC326722:GYC326730 GOG326722:GOG326730 GEK326722:GEK326730 FUO326722:FUO326730 FKS326722:FKS326730 FAW326722:FAW326730 ERA326722:ERA326730 EHE326722:EHE326730 DXI326722:DXI326730 DNM326722:DNM326730 DDQ326722:DDQ326730 CTU326722:CTU326730 CJY326722:CJY326730 CAC326722:CAC326730 BQG326722:BQG326730 BGK326722:BGK326730 AWO326722:AWO326730 AMS326722:AMS326730 ACW326722:ACW326730 TA326722:TA326730 JE326722:JE326730 I326722:I326730 WVQ261186:WVQ261194 WLU261186:WLU261194 WBY261186:WBY261194 VSC261186:VSC261194 VIG261186:VIG261194 UYK261186:UYK261194 UOO261186:UOO261194 UES261186:UES261194 TUW261186:TUW261194 TLA261186:TLA261194 TBE261186:TBE261194 SRI261186:SRI261194 SHM261186:SHM261194 RXQ261186:RXQ261194 RNU261186:RNU261194 RDY261186:RDY261194 QUC261186:QUC261194 QKG261186:QKG261194 QAK261186:QAK261194 PQO261186:PQO261194 PGS261186:PGS261194 OWW261186:OWW261194 ONA261186:ONA261194 ODE261186:ODE261194 NTI261186:NTI261194 NJM261186:NJM261194 MZQ261186:MZQ261194 MPU261186:MPU261194 MFY261186:MFY261194 LWC261186:LWC261194 LMG261186:LMG261194 LCK261186:LCK261194 KSO261186:KSO261194 KIS261186:KIS261194 JYW261186:JYW261194 JPA261186:JPA261194 JFE261186:JFE261194 IVI261186:IVI261194 ILM261186:ILM261194 IBQ261186:IBQ261194 HRU261186:HRU261194 HHY261186:HHY261194 GYC261186:GYC261194 GOG261186:GOG261194 GEK261186:GEK261194 FUO261186:FUO261194 FKS261186:FKS261194 FAW261186:FAW261194 ERA261186:ERA261194 EHE261186:EHE261194 DXI261186:DXI261194 DNM261186:DNM261194 DDQ261186:DDQ261194 CTU261186:CTU261194 CJY261186:CJY261194 CAC261186:CAC261194 BQG261186:BQG261194 BGK261186:BGK261194 AWO261186:AWO261194 AMS261186:AMS261194 ACW261186:ACW261194 TA261186:TA261194 JE261186:JE261194 I261186:I261194 WVQ195650:WVQ195658 WLU195650:WLU195658 WBY195650:WBY195658 VSC195650:VSC195658 VIG195650:VIG195658 UYK195650:UYK195658 UOO195650:UOO195658 UES195650:UES195658 TUW195650:TUW195658 TLA195650:TLA195658 TBE195650:TBE195658 SRI195650:SRI195658 SHM195650:SHM195658 RXQ195650:RXQ195658 RNU195650:RNU195658 RDY195650:RDY195658 QUC195650:QUC195658 QKG195650:QKG195658 QAK195650:QAK195658 PQO195650:PQO195658 PGS195650:PGS195658 OWW195650:OWW195658 ONA195650:ONA195658 ODE195650:ODE195658 NTI195650:NTI195658 NJM195650:NJM195658 MZQ195650:MZQ195658 MPU195650:MPU195658 MFY195650:MFY195658 LWC195650:LWC195658 LMG195650:LMG195658 LCK195650:LCK195658 KSO195650:KSO195658 KIS195650:KIS195658 JYW195650:JYW195658 JPA195650:JPA195658 JFE195650:JFE195658 IVI195650:IVI195658 ILM195650:ILM195658 IBQ195650:IBQ195658 HRU195650:HRU195658 HHY195650:HHY195658 GYC195650:GYC195658 GOG195650:GOG195658 GEK195650:GEK195658 FUO195650:FUO195658 FKS195650:FKS195658 FAW195650:FAW195658 ERA195650:ERA195658 EHE195650:EHE195658 DXI195650:DXI195658 DNM195650:DNM195658 DDQ195650:DDQ195658 CTU195650:CTU195658 CJY195650:CJY195658 CAC195650:CAC195658 BQG195650:BQG195658 K10:K18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3"/>
  <sheetViews>
    <sheetView workbookViewId="0">
      <pane xSplit="2" ySplit="6" topLeftCell="C7" activePane="bottomRight" state="frozen"/>
      <selection pane="topRight" activeCell="C1" sqref="C1"/>
      <selection pane="bottomLeft" activeCell="A7" sqref="A7"/>
      <selection pane="bottomRight" activeCell="R69" sqref="R69"/>
    </sheetView>
  </sheetViews>
  <sheetFormatPr defaultColWidth="8.875" defaultRowHeight="12.75"/>
  <cols>
    <col min="1" max="1" width="5.75" style="66" customWidth="1"/>
    <col min="2" max="2" width="26.5" style="66" customWidth="1"/>
    <col min="3" max="3" width="11.25" style="66" customWidth="1"/>
    <col min="4" max="4" width="9" style="66" customWidth="1"/>
    <col min="5" max="5" width="10.375" style="66" customWidth="1"/>
    <col min="6" max="6" width="9.5" style="94" customWidth="1"/>
    <col min="7" max="7" width="9.25" style="66" customWidth="1"/>
    <col min="8" max="8" width="10.5" style="66" customWidth="1"/>
    <col min="9" max="9" width="8.625" style="66" customWidth="1"/>
    <col min="10" max="10" width="9.125" style="94" customWidth="1"/>
    <col min="11" max="11" width="8.375" style="66" customWidth="1"/>
    <col min="12" max="12" width="9.375" style="66" customWidth="1"/>
    <col min="13" max="13" width="9.125" style="66" customWidth="1"/>
    <col min="14" max="14" width="9.75" style="94" customWidth="1"/>
    <col min="15" max="15" width="5.875" style="94" customWidth="1"/>
    <col min="16" max="16" width="21.5" style="94" customWidth="1"/>
    <col min="17" max="17" width="11" style="66" customWidth="1"/>
    <col min="18" max="18" width="9.5" style="66" customWidth="1"/>
    <col min="19" max="19" width="9.375" style="66" customWidth="1"/>
    <col min="20" max="20" width="11.25" style="94" customWidth="1"/>
    <col min="21" max="21" width="11.5" style="66" customWidth="1"/>
    <col min="22" max="22" width="9" style="66" customWidth="1"/>
    <col min="23" max="23" width="9.875" style="66" customWidth="1"/>
    <col min="24" max="24" width="8.75" style="66" customWidth="1"/>
    <col min="25" max="25" width="10.375" style="66" customWidth="1"/>
    <col min="26" max="26" width="10.125" style="66" bestFit="1" customWidth="1"/>
    <col min="27" max="16384" width="8.875" style="66"/>
  </cols>
  <sheetData>
    <row r="1" spans="1:25" ht="22.5" customHeight="1">
      <c r="A1" s="20" t="s">
        <v>258</v>
      </c>
      <c r="B1" s="65"/>
      <c r="C1" s="65"/>
      <c r="D1" s="65"/>
      <c r="E1" s="65"/>
      <c r="F1" s="65"/>
      <c r="G1" s="65"/>
      <c r="H1" s="65"/>
      <c r="I1" s="65"/>
      <c r="J1" s="65"/>
      <c r="K1" s="65"/>
      <c r="L1" s="65"/>
      <c r="M1" s="65"/>
      <c r="N1" s="65"/>
      <c r="O1" s="65"/>
      <c r="P1" s="65"/>
      <c r="Q1" s="65"/>
      <c r="R1" s="65"/>
      <c r="S1" s="65"/>
      <c r="T1" s="65"/>
      <c r="V1" s="160"/>
    </row>
    <row r="2" spans="1:25" ht="22.5" customHeight="1">
      <c r="A2" s="20" t="s">
        <v>553</v>
      </c>
      <c r="B2" s="65"/>
      <c r="C2" s="65"/>
      <c r="D2" s="65"/>
      <c r="E2" s="65"/>
      <c r="F2" s="65"/>
      <c r="G2" s="65"/>
      <c r="H2" s="65"/>
      <c r="I2" s="65"/>
      <c r="J2" s="65"/>
      <c r="K2" s="380"/>
      <c r="L2" s="65"/>
      <c r="M2" s="65"/>
      <c r="N2" s="65"/>
      <c r="O2" s="65"/>
      <c r="P2" s="65"/>
      <c r="Q2" s="65"/>
      <c r="R2" s="65"/>
      <c r="S2" s="65"/>
      <c r="T2" s="65"/>
      <c r="V2" s="160"/>
    </row>
    <row r="3" spans="1:25" ht="22.5" customHeight="1">
      <c r="A3" s="20" t="s">
        <v>552</v>
      </c>
      <c r="B3" s="65"/>
      <c r="C3" s="65"/>
      <c r="D3" s="65"/>
      <c r="E3" s="65"/>
      <c r="F3" s="371"/>
      <c r="G3" s="371"/>
      <c r="H3" s="371"/>
      <c r="I3" s="371"/>
      <c r="J3" s="371"/>
      <c r="K3" s="371"/>
      <c r="L3" s="371"/>
      <c r="M3" s="371"/>
      <c r="N3" s="65"/>
      <c r="O3" s="65"/>
      <c r="P3" s="65"/>
      <c r="Q3" s="65"/>
      <c r="R3" s="65"/>
      <c r="S3" s="65"/>
      <c r="T3" s="65"/>
      <c r="V3" s="160"/>
    </row>
    <row r="4" spans="1:25" ht="22.5" customHeight="1" thickBot="1">
      <c r="A4" s="65"/>
      <c r="B4" s="65"/>
      <c r="C4" s="65"/>
      <c r="D4" s="65"/>
      <c r="E4" s="536"/>
      <c r="F4" s="65"/>
      <c r="G4" s="65"/>
      <c r="H4" s="65"/>
      <c r="I4" s="65"/>
      <c r="J4" s="65"/>
      <c r="K4" s="65"/>
      <c r="L4" s="536"/>
      <c r="M4" s="536"/>
      <c r="N4" s="65"/>
      <c r="O4" s="65"/>
      <c r="P4" s="65"/>
      <c r="Q4" s="536"/>
      <c r="R4" s="536"/>
      <c r="S4" s="536"/>
      <c r="T4" s="65"/>
      <c r="V4" s="160"/>
      <c r="W4" s="211"/>
      <c r="X4" s="211"/>
    </row>
    <row r="5" spans="1:25" ht="60" customHeight="1">
      <c r="A5" s="1296" t="s">
        <v>50</v>
      </c>
      <c r="B5" s="1298" t="s">
        <v>145</v>
      </c>
      <c r="C5" s="1293" t="s">
        <v>146</v>
      </c>
      <c r="D5" s="1293"/>
      <c r="E5" s="1293"/>
      <c r="F5" s="1293"/>
      <c r="G5" s="1293" t="s">
        <v>147</v>
      </c>
      <c r="H5" s="1293"/>
      <c r="I5" s="1293"/>
      <c r="J5" s="1293"/>
      <c r="K5" s="1293" t="s">
        <v>148</v>
      </c>
      <c r="L5" s="1293"/>
      <c r="M5" s="1293"/>
      <c r="N5" s="1293"/>
      <c r="O5" s="1296" t="s">
        <v>50</v>
      </c>
      <c r="P5" s="1298" t="s">
        <v>145</v>
      </c>
      <c r="Q5" s="1293" t="s">
        <v>149</v>
      </c>
      <c r="R5" s="1293"/>
      <c r="S5" s="1293"/>
      <c r="T5" s="1293"/>
      <c r="U5" s="245"/>
      <c r="V5" s="1312" t="s">
        <v>576</v>
      </c>
      <c r="W5" s="1312"/>
      <c r="X5" s="1312"/>
      <c r="Y5" s="1312"/>
    </row>
    <row r="6" spans="1:25" ht="27.75" customHeight="1">
      <c r="A6" s="1297"/>
      <c r="B6" s="1299"/>
      <c r="C6" s="67" t="s">
        <v>150</v>
      </c>
      <c r="D6" s="67" t="s">
        <v>151</v>
      </c>
      <c r="E6" s="67" t="s">
        <v>152</v>
      </c>
      <c r="F6" s="68" t="s">
        <v>237</v>
      </c>
      <c r="G6" s="69" t="s">
        <v>154</v>
      </c>
      <c r="H6" s="69" t="s">
        <v>76</v>
      </c>
      <c r="I6" s="69" t="s">
        <v>155</v>
      </c>
      <c r="J6" s="70" t="s">
        <v>238</v>
      </c>
      <c r="K6" s="69" t="s">
        <v>156</v>
      </c>
      <c r="L6" s="69" t="s">
        <v>157</v>
      </c>
      <c r="M6" s="69" t="s">
        <v>158</v>
      </c>
      <c r="N6" s="70" t="s">
        <v>239</v>
      </c>
      <c r="O6" s="1297"/>
      <c r="P6" s="1299"/>
      <c r="Q6" s="69" t="s">
        <v>159</v>
      </c>
      <c r="R6" s="69" t="s">
        <v>160</v>
      </c>
      <c r="S6" s="69" t="s">
        <v>161</v>
      </c>
      <c r="T6" s="70" t="s">
        <v>240</v>
      </c>
      <c r="U6" s="71" t="s">
        <v>162</v>
      </c>
      <c r="V6" s="246" t="s">
        <v>174</v>
      </c>
      <c r="W6" s="246" t="s">
        <v>294</v>
      </c>
      <c r="X6" s="246" t="s">
        <v>295</v>
      </c>
      <c r="Y6" s="246" t="s">
        <v>175</v>
      </c>
    </row>
    <row r="7" spans="1:25" ht="59.25" customHeight="1">
      <c r="A7" s="372">
        <v>1</v>
      </c>
      <c r="B7" s="142" t="str">
        <f>+'2. Results Matrix'!A6</f>
        <v>Component 1 -Culture change for Peaceful Co-existence and Community Goivernance</v>
      </c>
      <c r="C7" s="875"/>
      <c r="D7" s="875"/>
      <c r="E7" s="875"/>
      <c r="F7" s="874"/>
      <c r="G7" s="875"/>
      <c r="H7" s="875"/>
      <c r="I7" s="875"/>
      <c r="J7" s="874"/>
      <c r="K7" s="875"/>
      <c r="L7" s="875"/>
      <c r="M7" s="875"/>
      <c r="N7" s="874"/>
      <c r="O7" s="372">
        <f>+A7</f>
        <v>1</v>
      </c>
      <c r="P7" s="142" t="str">
        <f>+B7</f>
        <v>Component 1 -Culture change for Peaceful Co-existence and Community Goivernance</v>
      </c>
      <c r="Q7" s="95"/>
      <c r="R7" s="95"/>
      <c r="S7" s="95"/>
      <c r="T7" s="72"/>
      <c r="U7" s="73"/>
      <c r="V7" s="581"/>
      <c r="W7" s="581"/>
      <c r="X7" s="581"/>
      <c r="Y7" s="581"/>
    </row>
    <row r="8" spans="1:25" ht="51">
      <c r="A8" s="376" t="str">
        <f>+'2. Results Matrix'!A9</f>
        <v>1.1.1.1</v>
      </c>
      <c r="B8" s="155" t="s">
        <v>298</v>
      </c>
      <c r="C8" s="873">
        <v>34286</v>
      </c>
      <c r="D8" s="873">
        <v>33571</v>
      </c>
      <c r="E8" s="873">
        <v>27143</v>
      </c>
      <c r="F8" s="850">
        <f>SUM(C8:E8)</f>
        <v>95000</v>
      </c>
      <c r="G8" s="858"/>
      <c r="H8" s="858"/>
      <c r="I8" s="858"/>
      <c r="J8" s="850">
        <f>SUM(G8:I8)</f>
        <v>0</v>
      </c>
      <c r="K8" s="869"/>
      <c r="L8" s="869"/>
      <c r="M8" s="858"/>
      <c r="N8" s="850">
        <f>SUM(K8:M8)</f>
        <v>0</v>
      </c>
      <c r="O8" s="376" t="str">
        <f>+A8</f>
        <v>1.1.1.1</v>
      </c>
      <c r="P8" s="155" t="s">
        <v>298</v>
      </c>
      <c r="Q8" s="379"/>
      <c r="R8" s="379"/>
      <c r="S8" s="390"/>
      <c r="T8" s="77">
        <f>SUM(Q8:S8)</f>
        <v>0</v>
      </c>
      <c r="U8" s="78">
        <f>SUM(J8,N8,T8,F8)</f>
        <v>95000</v>
      </c>
      <c r="V8" s="582">
        <v>328</v>
      </c>
      <c r="W8" s="582"/>
      <c r="X8" s="582"/>
      <c r="Y8" s="582">
        <v>94672</v>
      </c>
    </row>
    <row r="9" spans="1:25" s="79" customFormat="1" ht="51">
      <c r="A9" s="374" t="str">
        <f>+'2. Results Matrix'!A14</f>
        <v>1.1.1.2</v>
      </c>
      <c r="B9" s="139" t="s">
        <v>269</v>
      </c>
      <c r="C9" s="872">
        <v>12676</v>
      </c>
      <c r="D9" s="872">
        <v>137141</v>
      </c>
      <c r="E9" s="872">
        <v>48571</v>
      </c>
      <c r="F9" s="850">
        <f>SUM(C9:E9)</f>
        <v>198388</v>
      </c>
      <c r="G9" s="860"/>
      <c r="H9" s="860"/>
      <c r="I9" s="860"/>
      <c r="J9" s="850">
        <f>SUM(G9:I9)</f>
        <v>0</v>
      </c>
      <c r="K9" s="870"/>
      <c r="L9" s="870"/>
      <c r="M9" s="860"/>
      <c r="N9" s="850">
        <f>SUM(K9:M9)</f>
        <v>0</v>
      </c>
      <c r="O9" s="374" t="str">
        <f>+A9</f>
        <v>1.1.1.2</v>
      </c>
      <c r="P9" s="139" t="s">
        <v>269</v>
      </c>
      <c r="Q9" s="76"/>
      <c r="R9" s="76"/>
      <c r="S9" s="76"/>
      <c r="T9" s="77">
        <f>SUM(Q9:S9)</f>
        <v>0</v>
      </c>
      <c r="U9" s="78">
        <f>SUM(J9,N9,T9,F9)</f>
        <v>198388</v>
      </c>
      <c r="V9" s="582">
        <v>1620</v>
      </c>
      <c r="W9" s="582"/>
      <c r="X9" s="583"/>
      <c r="Y9" s="582">
        <v>196768</v>
      </c>
    </row>
    <row r="10" spans="1:25" ht="25.5">
      <c r="A10" s="375"/>
      <c r="B10" s="155" t="s">
        <v>296</v>
      </c>
      <c r="C10" s="871">
        <v>20453</v>
      </c>
      <c r="D10" s="871">
        <v>20453</v>
      </c>
      <c r="E10" s="871">
        <v>20453</v>
      </c>
      <c r="F10" s="852">
        <f t="shared" ref="F10:F18" si="0">SUM(C10:E10)</f>
        <v>61359</v>
      </c>
      <c r="G10" s="855"/>
      <c r="H10" s="855"/>
      <c r="I10" s="855"/>
      <c r="J10" s="852">
        <f t="shared" ref="J10:J22" si="1">SUM(G10:I10)</f>
        <v>0</v>
      </c>
      <c r="K10" s="870"/>
      <c r="L10" s="870"/>
      <c r="M10" s="855"/>
      <c r="N10" s="852">
        <f t="shared" ref="N10:N22" si="2">SUM(K10:M10)</f>
        <v>0</v>
      </c>
      <c r="O10" s="375"/>
      <c r="P10" s="155" t="s">
        <v>296</v>
      </c>
      <c r="Q10" s="81"/>
      <c r="R10" s="81"/>
      <c r="S10" s="81"/>
      <c r="T10" s="82">
        <f t="shared" ref="T10:T18" si="3">SUM(Q10:S10)</f>
        <v>0</v>
      </c>
      <c r="U10" s="78">
        <f t="shared" ref="U10:U11" si="4">SUM(J10,N10,T10,F10)</f>
        <v>61359</v>
      </c>
      <c r="V10" s="583">
        <v>821</v>
      </c>
      <c r="W10" s="583"/>
      <c r="X10" s="582"/>
      <c r="Y10" s="582">
        <v>60538</v>
      </c>
    </row>
    <row r="11" spans="1:25" ht="51">
      <c r="A11" s="375" t="str">
        <f>+'2. Results Matrix'!A16</f>
        <v>1.1.1.3</v>
      </c>
      <c r="B11" s="61" t="s">
        <v>270</v>
      </c>
      <c r="C11" s="871">
        <v>89285</v>
      </c>
      <c r="D11" s="871">
        <v>156939</v>
      </c>
      <c r="E11" s="871">
        <v>156939</v>
      </c>
      <c r="F11" s="852">
        <f t="shared" si="0"/>
        <v>403163</v>
      </c>
      <c r="G11" s="855"/>
      <c r="H11" s="855"/>
      <c r="I11" s="855"/>
      <c r="J11" s="852">
        <f t="shared" si="1"/>
        <v>0</v>
      </c>
      <c r="K11" s="870"/>
      <c r="L11" s="870"/>
      <c r="M11" s="870"/>
      <c r="N11" s="852">
        <f t="shared" si="2"/>
        <v>0</v>
      </c>
      <c r="O11" s="375" t="str">
        <f>+A11</f>
        <v>1.1.1.3</v>
      </c>
      <c r="P11" s="61" t="s">
        <v>270</v>
      </c>
      <c r="Q11" s="81"/>
      <c r="R11" s="81"/>
      <c r="S11" s="81"/>
      <c r="T11" s="82">
        <f t="shared" si="3"/>
        <v>0</v>
      </c>
      <c r="U11" s="78">
        <f t="shared" si="4"/>
        <v>403163</v>
      </c>
      <c r="V11" s="582">
        <v>478</v>
      </c>
      <c r="W11" s="582"/>
      <c r="X11" s="582"/>
      <c r="Y11" s="582">
        <v>402685</v>
      </c>
    </row>
    <row r="12" spans="1:25" s="85" customFormat="1" ht="25.5">
      <c r="A12" s="374"/>
      <c r="B12" s="140" t="s">
        <v>297</v>
      </c>
      <c r="C12" s="857">
        <v>11184</v>
      </c>
      <c r="D12" s="857">
        <v>11184</v>
      </c>
      <c r="E12" s="857">
        <v>11184</v>
      </c>
      <c r="F12" s="856">
        <f t="shared" si="0"/>
        <v>33552</v>
      </c>
      <c r="G12" s="857"/>
      <c r="H12" s="857"/>
      <c r="I12" s="857"/>
      <c r="J12" s="856">
        <f t="shared" si="1"/>
        <v>0</v>
      </c>
      <c r="K12" s="870"/>
      <c r="L12" s="870"/>
      <c r="M12" s="870"/>
      <c r="N12" s="856">
        <f t="shared" si="2"/>
        <v>0</v>
      </c>
      <c r="O12" s="75"/>
      <c r="P12" s="140" t="s">
        <v>297</v>
      </c>
      <c r="Q12" s="389"/>
      <c r="R12" s="389"/>
      <c r="S12" s="389"/>
      <c r="T12" s="84">
        <f t="shared" si="3"/>
        <v>0</v>
      </c>
      <c r="U12" s="78">
        <f>SUM(J12,N12,T12,F12)</f>
        <v>33552</v>
      </c>
      <c r="V12" s="584"/>
      <c r="W12" s="584"/>
      <c r="X12" s="584"/>
      <c r="Y12" s="582">
        <f t="shared" ref="Y12:Y21" si="5">+U12</f>
        <v>33552</v>
      </c>
    </row>
    <row r="13" spans="1:25" ht="51">
      <c r="A13" s="375" t="str">
        <f>+'2. Results Matrix'!A23</f>
        <v>1.1.1.5</v>
      </c>
      <c r="B13" s="139" t="s">
        <v>272</v>
      </c>
      <c r="C13" s="855">
        <f>21428+964</f>
        <v>22392</v>
      </c>
      <c r="D13" s="855">
        <f>90357+964</f>
        <v>91321</v>
      </c>
      <c r="E13" s="855">
        <f>111786+2121</f>
        <v>113907</v>
      </c>
      <c r="F13" s="852">
        <f t="shared" si="0"/>
        <v>227620</v>
      </c>
      <c r="G13" s="855"/>
      <c r="H13" s="855"/>
      <c r="I13" s="855"/>
      <c r="J13" s="852">
        <f t="shared" si="1"/>
        <v>0</v>
      </c>
      <c r="K13" s="870"/>
      <c r="L13" s="870"/>
      <c r="M13" s="857"/>
      <c r="N13" s="852">
        <f t="shared" si="2"/>
        <v>0</v>
      </c>
      <c r="O13" s="375" t="str">
        <f t="shared" ref="O13:O20" si="6">+A13</f>
        <v>1.1.1.5</v>
      </c>
      <c r="P13" s="139" t="s">
        <v>272</v>
      </c>
      <c r="Q13" s="83"/>
      <c r="R13" s="83"/>
      <c r="S13" s="83"/>
      <c r="T13" s="82">
        <f t="shared" si="3"/>
        <v>0</v>
      </c>
      <c r="U13" s="78">
        <f>SUM(J13,N13,T13,F13)</f>
        <v>227620</v>
      </c>
      <c r="V13" s="582"/>
      <c r="W13" s="582"/>
      <c r="X13" s="582"/>
      <c r="Y13" s="582">
        <f t="shared" si="5"/>
        <v>227620</v>
      </c>
    </row>
    <row r="14" spans="1:25" ht="25.5">
      <c r="A14" s="375" t="str">
        <f>+'2. Results Matrix'!A25</f>
        <v>1.1.1.6</v>
      </c>
      <c r="B14" s="61" t="s">
        <v>273</v>
      </c>
      <c r="C14" s="855"/>
      <c r="D14" s="855"/>
      <c r="E14" s="855"/>
      <c r="F14" s="852">
        <f t="shared" si="0"/>
        <v>0</v>
      </c>
      <c r="G14" s="855"/>
      <c r="H14" s="855"/>
      <c r="I14" s="855"/>
      <c r="J14" s="852">
        <f t="shared" si="1"/>
        <v>0</v>
      </c>
      <c r="K14" s="870"/>
      <c r="L14" s="870"/>
      <c r="M14" s="857"/>
      <c r="N14" s="852">
        <f t="shared" si="2"/>
        <v>0</v>
      </c>
      <c r="O14" s="375" t="str">
        <f t="shared" si="6"/>
        <v>1.1.1.6</v>
      </c>
      <c r="P14" s="61" t="s">
        <v>273</v>
      </c>
      <c r="Q14" s="83"/>
      <c r="R14" s="83"/>
      <c r="S14" s="83"/>
      <c r="T14" s="82">
        <f t="shared" si="3"/>
        <v>0</v>
      </c>
      <c r="U14" s="78">
        <f>SUM(J14,N14,T14,F14)</f>
        <v>0</v>
      </c>
      <c r="V14" s="582"/>
      <c r="W14" s="582"/>
      <c r="X14" s="582"/>
      <c r="Y14" s="582">
        <f t="shared" si="5"/>
        <v>0</v>
      </c>
    </row>
    <row r="15" spans="1:25" ht="25.5">
      <c r="A15" s="376" t="str">
        <f>+'2. Results Matrix'!A27</f>
        <v>1.1.1.7</v>
      </c>
      <c r="B15" s="61" t="s">
        <v>274</v>
      </c>
      <c r="C15" s="865"/>
      <c r="D15" s="858"/>
      <c r="E15" s="865"/>
      <c r="F15" s="852">
        <f t="shared" si="0"/>
        <v>0</v>
      </c>
      <c r="G15" s="865"/>
      <c r="H15" s="858"/>
      <c r="I15" s="865"/>
      <c r="J15" s="852">
        <f t="shared" si="1"/>
        <v>0</v>
      </c>
      <c r="K15" s="869"/>
      <c r="L15" s="869"/>
      <c r="M15" s="865"/>
      <c r="N15" s="852">
        <f t="shared" si="2"/>
        <v>0</v>
      </c>
      <c r="O15" s="376" t="str">
        <f t="shared" si="6"/>
        <v>1.1.1.7</v>
      </c>
      <c r="P15" s="61" t="s">
        <v>274</v>
      </c>
      <c r="Q15" s="377"/>
      <c r="R15" s="377"/>
      <c r="S15" s="377"/>
      <c r="T15" s="82">
        <f t="shared" si="3"/>
        <v>0</v>
      </c>
      <c r="U15" s="78">
        <f>SUM(J15,N15,T15,F15)</f>
        <v>0</v>
      </c>
      <c r="V15" s="582"/>
      <c r="W15" s="582"/>
      <c r="X15" s="582"/>
      <c r="Y15" s="582">
        <f t="shared" si="5"/>
        <v>0</v>
      </c>
    </row>
    <row r="16" spans="1:25" ht="51">
      <c r="A16" s="375" t="str">
        <f>+'2. Results Matrix'!A42</f>
        <v>1.1.2.1</v>
      </c>
      <c r="B16" s="61" t="s">
        <v>275</v>
      </c>
      <c r="C16" s="859"/>
      <c r="D16" s="859"/>
      <c r="E16" s="859"/>
      <c r="F16" s="852">
        <f t="shared" si="0"/>
        <v>0</v>
      </c>
      <c r="G16" s="859"/>
      <c r="H16" s="859"/>
      <c r="I16" s="859"/>
      <c r="J16" s="852">
        <f t="shared" si="1"/>
        <v>0</v>
      </c>
      <c r="K16" s="868"/>
      <c r="L16" s="868"/>
      <c r="M16" s="859"/>
      <c r="N16" s="852">
        <f t="shared" si="2"/>
        <v>0</v>
      </c>
      <c r="O16" s="375" t="str">
        <f t="shared" si="6"/>
        <v>1.1.2.1</v>
      </c>
      <c r="P16" s="61" t="s">
        <v>275</v>
      </c>
      <c r="Q16" s="81"/>
      <c r="R16" s="81"/>
      <c r="S16" s="81"/>
      <c r="T16" s="82">
        <f t="shared" si="3"/>
        <v>0</v>
      </c>
      <c r="U16" s="78">
        <f t="shared" ref="U16:U30" si="7">SUM(J16,N16,T16,F16)</f>
        <v>0</v>
      </c>
      <c r="V16" s="582"/>
      <c r="W16" s="582"/>
      <c r="X16" s="582"/>
      <c r="Y16" s="582">
        <f t="shared" si="5"/>
        <v>0</v>
      </c>
    </row>
    <row r="17" spans="1:26" ht="20.25" customHeight="1">
      <c r="A17" s="375" t="str">
        <f>+'2. Results Matrix'!A44</f>
        <v>1.1.2.2</v>
      </c>
      <c r="B17" s="61" t="s">
        <v>276</v>
      </c>
      <c r="C17" s="859">
        <v>75528</v>
      </c>
      <c r="D17" s="859">
        <v>190754</v>
      </c>
      <c r="E17" s="859">
        <v>143464</v>
      </c>
      <c r="F17" s="852">
        <f t="shared" si="0"/>
        <v>409746</v>
      </c>
      <c r="G17" s="859">
        <v>105399</v>
      </c>
      <c r="H17" s="859">
        <v>74314</v>
      </c>
      <c r="I17" s="859">
        <v>10379</v>
      </c>
      <c r="J17" s="852">
        <f t="shared" si="1"/>
        <v>190092</v>
      </c>
      <c r="K17" s="859">
        <v>34765</v>
      </c>
      <c r="L17" s="859">
        <v>10000</v>
      </c>
      <c r="M17" s="859"/>
      <c r="N17" s="852">
        <f>SUM(K17:M17)</f>
        <v>44765</v>
      </c>
      <c r="O17" s="375" t="str">
        <f t="shared" si="6"/>
        <v>1.1.2.2</v>
      </c>
      <c r="P17" s="61" t="s">
        <v>276</v>
      </c>
      <c r="Q17" s="81"/>
      <c r="R17" s="81"/>
      <c r="S17" s="81"/>
      <c r="T17" s="82">
        <f t="shared" si="3"/>
        <v>0</v>
      </c>
      <c r="U17" s="78">
        <f t="shared" si="7"/>
        <v>644603</v>
      </c>
      <c r="V17" s="582">
        <v>3255</v>
      </c>
      <c r="W17" s="582"/>
      <c r="X17" s="582"/>
      <c r="Y17" s="582">
        <v>641348</v>
      </c>
    </row>
    <row r="18" spans="1:26" ht="38.25">
      <c r="A18" s="375" t="str">
        <f>+'2. Results Matrix'!A46</f>
        <v>1.1.2.3</v>
      </c>
      <c r="B18" s="61" t="s">
        <v>1417</v>
      </c>
      <c r="C18" s="859">
        <v>59838</v>
      </c>
      <c r="D18" s="859">
        <v>59838</v>
      </c>
      <c r="E18" s="859">
        <v>14959</v>
      </c>
      <c r="F18" s="852">
        <f t="shared" si="0"/>
        <v>134635</v>
      </c>
      <c r="G18" s="859">
        <v>14959</v>
      </c>
      <c r="H18" s="859"/>
      <c r="I18" s="859"/>
      <c r="J18" s="852">
        <f t="shared" si="1"/>
        <v>14959</v>
      </c>
      <c r="K18" s="859"/>
      <c r="L18" s="859"/>
      <c r="M18" s="859"/>
      <c r="N18" s="852">
        <f t="shared" si="2"/>
        <v>0</v>
      </c>
      <c r="O18" s="375" t="str">
        <f t="shared" si="6"/>
        <v>1.1.2.3</v>
      </c>
      <c r="P18" s="61" t="s">
        <v>1417</v>
      </c>
      <c r="Q18" s="81"/>
      <c r="R18" s="81"/>
      <c r="S18" s="81"/>
      <c r="T18" s="82">
        <f t="shared" si="3"/>
        <v>0</v>
      </c>
      <c r="U18" s="78">
        <f t="shared" si="7"/>
        <v>149594</v>
      </c>
      <c r="V18" s="582"/>
      <c r="W18" s="582"/>
      <c r="X18" s="582"/>
      <c r="Y18" s="582">
        <f t="shared" si="5"/>
        <v>149594</v>
      </c>
    </row>
    <row r="19" spans="1:26" ht="38.25">
      <c r="A19" s="376" t="str">
        <f>+'2. Results Matrix'!A50</f>
        <v>1.1.2.4</v>
      </c>
      <c r="B19" s="61" t="s">
        <v>278</v>
      </c>
      <c r="C19" s="865"/>
      <c r="D19" s="865"/>
      <c r="E19" s="865"/>
      <c r="F19" s="864"/>
      <c r="G19" s="865"/>
      <c r="H19" s="865"/>
      <c r="I19" s="865"/>
      <c r="J19" s="864"/>
      <c r="K19" s="865"/>
      <c r="L19" s="865"/>
      <c r="M19" s="865"/>
      <c r="N19" s="864"/>
      <c r="O19" s="376" t="str">
        <f t="shared" si="6"/>
        <v>1.1.2.4</v>
      </c>
      <c r="P19" s="61" t="s">
        <v>278</v>
      </c>
      <c r="Q19" s="74"/>
      <c r="R19" s="74"/>
      <c r="S19" s="74"/>
      <c r="T19" s="72"/>
      <c r="U19" s="78">
        <f t="shared" si="7"/>
        <v>0</v>
      </c>
      <c r="V19" s="582"/>
      <c r="W19" s="582"/>
      <c r="X19" s="582"/>
      <c r="Y19" s="582">
        <f t="shared" si="5"/>
        <v>0</v>
      </c>
    </row>
    <row r="20" spans="1:26" ht="25.5">
      <c r="A20" s="375" t="str">
        <f>+'2. Results Matrix'!A52</f>
        <v>1.1.2.5</v>
      </c>
      <c r="B20" s="61" t="s">
        <v>279</v>
      </c>
      <c r="C20" s="855"/>
      <c r="D20" s="855"/>
      <c r="E20" s="855"/>
      <c r="F20" s="852">
        <f t="shared" ref="F20:F21" si="8">SUM(C20:E20)</f>
        <v>0</v>
      </c>
      <c r="G20" s="855"/>
      <c r="H20" s="855"/>
      <c r="I20" s="855"/>
      <c r="J20" s="852">
        <f t="shared" ref="J20:J21" si="9">SUM(G20:I20)</f>
        <v>0</v>
      </c>
      <c r="K20" s="855"/>
      <c r="L20" s="855"/>
      <c r="M20" s="855"/>
      <c r="N20" s="852">
        <f t="shared" ref="N20:N21" si="10">SUM(K20:M20)</f>
        <v>0</v>
      </c>
      <c r="O20" s="375" t="str">
        <f t="shared" si="6"/>
        <v>1.1.2.5</v>
      </c>
      <c r="P20" s="61" t="s">
        <v>279</v>
      </c>
      <c r="Q20" s="81"/>
      <c r="R20" s="81"/>
      <c r="S20" s="81"/>
      <c r="T20" s="82">
        <f t="shared" ref="T20:T21" si="11">SUM(Q20:S20)</f>
        <v>0</v>
      </c>
      <c r="U20" s="78">
        <f t="shared" si="7"/>
        <v>0</v>
      </c>
      <c r="V20" s="582"/>
      <c r="W20" s="582"/>
      <c r="X20" s="582"/>
      <c r="Y20" s="582">
        <f t="shared" si="5"/>
        <v>0</v>
      </c>
    </row>
    <row r="21" spans="1:26" ht="51">
      <c r="A21" s="375"/>
      <c r="B21" s="140" t="s">
        <v>280</v>
      </c>
      <c r="C21" s="855"/>
      <c r="D21" s="855"/>
      <c r="E21" s="855"/>
      <c r="F21" s="852">
        <f t="shared" si="8"/>
        <v>0</v>
      </c>
      <c r="G21" s="855"/>
      <c r="H21" s="855"/>
      <c r="I21" s="855"/>
      <c r="J21" s="852">
        <f t="shared" si="9"/>
        <v>0</v>
      </c>
      <c r="K21" s="855"/>
      <c r="L21" s="855"/>
      <c r="M21" s="855"/>
      <c r="N21" s="852">
        <f t="shared" si="10"/>
        <v>0</v>
      </c>
      <c r="O21" s="375"/>
      <c r="P21" s="140" t="s">
        <v>280</v>
      </c>
      <c r="Q21" s="81"/>
      <c r="R21" s="81"/>
      <c r="S21" s="81"/>
      <c r="T21" s="82">
        <f t="shared" si="11"/>
        <v>0</v>
      </c>
      <c r="U21" s="78">
        <f t="shared" si="7"/>
        <v>0</v>
      </c>
      <c r="V21" s="582"/>
      <c r="W21" s="582"/>
      <c r="X21" s="582"/>
      <c r="Y21" s="582">
        <f t="shared" si="5"/>
        <v>0</v>
      </c>
    </row>
    <row r="22" spans="1:26" s="86" customFormat="1" ht="28.5" customHeight="1">
      <c r="A22" s="1294" t="s">
        <v>163</v>
      </c>
      <c r="B22" s="1295"/>
      <c r="C22" s="867">
        <f>SUM(C8:C21)</f>
        <v>325642</v>
      </c>
      <c r="D22" s="867">
        <f>SUM(D8:D21)</f>
        <v>701201</v>
      </c>
      <c r="E22" s="867">
        <f>SUM(E8:E21)</f>
        <v>536620</v>
      </c>
      <c r="F22" s="866">
        <f>SUM(C22:E22)</f>
        <v>1563463</v>
      </c>
      <c r="G22" s="867">
        <f>SUM(G8:G21)</f>
        <v>120358</v>
      </c>
      <c r="H22" s="867">
        <f>SUM(H8:H21)</f>
        <v>74314</v>
      </c>
      <c r="I22" s="867">
        <f>SUM(I8:I21)</f>
        <v>10379</v>
      </c>
      <c r="J22" s="866">
        <f t="shared" si="1"/>
        <v>205051</v>
      </c>
      <c r="K22" s="867">
        <f>SUM(K8:K21)</f>
        <v>34765</v>
      </c>
      <c r="L22" s="867">
        <f>SUM(L8:L21)</f>
        <v>10000</v>
      </c>
      <c r="M22" s="867">
        <f>SUM(M8:M21)</f>
        <v>0</v>
      </c>
      <c r="N22" s="866">
        <f t="shared" si="2"/>
        <v>44765</v>
      </c>
      <c r="O22" s="1300" t="s">
        <v>163</v>
      </c>
      <c r="P22" s="1301"/>
      <c r="Q22" s="591">
        <f>SUM(Q8:Q21)</f>
        <v>0</v>
      </c>
      <c r="R22" s="591">
        <f>SUM(R8:R21)</f>
        <v>0</v>
      </c>
      <c r="S22" s="591">
        <f>SUM(S8:S21)</f>
        <v>0</v>
      </c>
      <c r="T22" s="592">
        <f>SUM(Q22:S22)</f>
        <v>0</v>
      </c>
      <c r="U22" s="562">
        <f>SUM(U7:U21)</f>
        <v>1813279</v>
      </c>
      <c r="V22" s="593">
        <f>SUM(V7:V21)</f>
        <v>6502</v>
      </c>
      <c r="W22" s="593">
        <f t="shared" ref="W22:Y22" si="12">SUM(W7:W21)</f>
        <v>0</v>
      </c>
      <c r="X22" s="593">
        <f t="shared" si="12"/>
        <v>0</v>
      </c>
      <c r="Y22" s="593">
        <f t="shared" si="12"/>
        <v>1806777</v>
      </c>
      <c r="Z22" s="883">
        <f>+U22-Y22</f>
        <v>6502</v>
      </c>
    </row>
    <row r="23" spans="1:26" ht="48" customHeight="1">
      <c r="A23" s="372">
        <v>2</v>
      </c>
      <c r="B23" s="142" t="str">
        <f>+'2. Results Matrix'!A54</f>
        <v>Component 2 - Labor Market Attachment and Employability</v>
      </c>
      <c r="C23" s="865"/>
      <c r="D23" s="865"/>
      <c r="E23" s="865"/>
      <c r="F23" s="864"/>
      <c r="G23" s="865"/>
      <c r="H23" s="865"/>
      <c r="I23" s="865"/>
      <c r="J23" s="864"/>
      <c r="K23" s="865"/>
      <c r="L23" s="865"/>
      <c r="M23" s="865"/>
      <c r="N23" s="864"/>
      <c r="O23" s="96">
        <v>2</v>
      </c>
      <c r="P23" s="594" t="str">
        <f>+B23</f>
        <v>Component 2 - Labor Market Attachment and Employability</v>
      </c>
      <c r="Q23" s="95"/>
      <c r="R23" s="95"/>
      <c r="S23" s="95"/>
      <c r="T23" s="72"/>
      <c r="U23" s="73"/>
      <c r="V23" s="582"/>
      <c r="W23" s="582"/>
      <c r="X23" s="582"/>
      <c r="Y23" s="582"/>
    </row>
    <row r="24" spans="1:26" ht="25.5">
      <c r="A24" s="376" t="str">
        <f>+'2. Results Matrix'!A59</f>
        <v>1.2.1.2</v>
      </c>
      <c r="B24" s="61" t="s">
        <v>281</v>
      </c>
      <c r="C24" s="858">
        <v>20000</v>
      </c>
      <c r="D24" s="858"/>
      <c r="E24" s="858">
        <v>128571</v>
      </c>
      <c r="F24" s="850">
        <f>SUM(C24:E24)</f>
        <v>148571</v>
      </c>
      <c r="G24" s="858">
        <v>35714</v>
      </c>
      <c r="H24" s="858">
        <v>35714</v>
      </c>
      <c r="I24" s="858">
        <v>35714</v>
      </c>
      <c r="J24" s="850">
        <f>SUM(G24:I24)</f>
        <v>107142</v>
      </c>
      <c r="K24" s="863"/>
      <c r="L24" s="863"/>
      <c r="M24" s="862"/>
      <c r="N24" s="850">
        <f>SUM(K24:M24)</f>
        <v>0</v>
      </c>
      <c r="O24" s="373" t="str">
        <f t="shared" ref="O24:O29" si="13">+A24</f>
        <v>1.2.1.2</v>
      </c>
      <c r="P24" s="61" t="s">
        <v>281</v>
      </c>
      <c r="Q24" s="74"/>
      <c r="R24" s="74"/>
      <c r="S24" s="74"/>
      <c r="T24" s="77">
        <f>SUM(Q24:S24)</f>
        <v>0</v>
      </c>
      <c r="U24" s="78">
        <f t="shared" si="7"/>
        <v>255713</v>
      </c>
      <c r="V24" s="582"/>
      <c r="W24" s="582">
        <v>10462</v>
      </c>
      <c r="X24" s="582"/>
      <c r="Y24" s="582">
        <v>245251</v>
      </c>
    </row>
    <row r="25" spans="1:26" s="79" customFormat="1" ht="38.25">
      <c r="A25" s="374" t="str">
        <f>+'2. Results Matrix'!A63</f>
        <v>1.2.1.3b</v>
      </c>
      <c r="B25" s="61" t="s">
        <v>282</v>
      </c>
      <c r="C25" s="861">
        <v>1429</v>
      </c>
      <c r="D25" s="861">
        <v>1429</v>
      </c>
      <c r="E25" s="861">
        <v>714</v>
      </c>
      <c r="F25" s="850">
        <f>SUM(C25:E25)</f>
        <v>3572</v>
      </c>
      <c r="G25" s="860"/>
      <c r="H25" s="860"/>
      <c r="I25" s="860"/>
      <c r="J25" s="850">
        <f>SUM(G25:I25)</f>
        <v>0</v>
      </c>
      <c r="K25" s="860"/>
      <c r="L25" s="860"/>
      <c r="M25" s="860"/>
      <c r="N25" s="850">
        <f>SUM(K25:M25)</f>
        <v>0</v>
      </c>
      <c r="O25" s="374" t="str">
        <f t="shared" si="13"/>
        <v>1.2.1.3b</v>
      </c>
      <c r="P25" s="61" t="s">
        <v>282</v>
      </c>
      <c r="Q25" s="76"/>
      <c r="R25" s="76"/>
      <c r="S25" s="76"/>
      <c r="T25" s="77">
        <f>SUM(Q25:S25)</f>
        <v>0</v>
      </c>
      <c r="U25" s="78">
        <f t="shared" si="7"/>
        <v>3572</v>
      </c>
      <c r="V25" s="583">
        <v>1033</v>
      </c>
      <c r="W25" s="583"/>
      <c r="X25" s="583"/>
      <c r="Y25" s="582">
        <v>2539</v>
      </c>
    </row>
    <row r="26" spans="1:26" ht="51">
      <c r="A26" s="375" t="str">
        <f>+'2. Results Matrix'!A65</f>
        <v>1.2.1.4</v>
      </c>
      <c r="B26" s="61" t="s">
        <v>283</v>
      </c>
      <c r="C26" s="859">
        <v>7143</v>
      </c>
      <c r="D26" s="859">
        <v>10714</v>
      </c>
      <c r="E26" s="859">
        <v>10714</v>
      </c>
      <c r="F26" s="852">
        <f t="shared" ref="F26:F30" si="14">SUM(C26:E26)</f>
        <v>28571</v>
      </c>
      <c r="G26" s="858">
        <v>57143</v>
      </c>
      <c r="H26" s="858">
        <v>57143</v>
      </c>
      <c r="I26" s="858">
        <v>57143</v>
      </c>
      <c r="J26" s="852">
        <f t="shared" ref="J26:J38" si="15">SUM(G26:I26)</f>
        <v>171429</v>
      </c>
      <c r="K26" s="855"/>
      <c r="L26" s="855"/>
      <c r="M26" s="855"/>
      <c r="N26" s="852">
        <f t="shared" ref="N26:N38" si="16">SUM(K26:M26)</f>
        <v>0</v>
      </c>
      <c r="O26" s="375" t="str">
        <f t="shared" si="13"/>
        <v>1.2.1.4</v>
      </c>
      <c r="P26" s="61" t="s">
        <v>283</v>
      </c>
      <c r="Q26" s="81"/>
      <c r="R26" s="81"/>
      <c r="S26" s="81"/>
      <c r="T26" s="82">
        <f t="shared" ref="T26:T40" si="17">SUM(Q26:S26)</f>
        <v>0</v>
      </c>
      <c r="U26" s="78">
        <f t="shared" si="7"/>
        <v>200000</v>
      </c>
      <c r="V26" s="582"/>
      <c r="W26" s="582">
        <f>+'6. Consolidated Financial Plan'!N25</f>
        <v>27334</v>
      </c>
      <c r="X26" s="582"/>
      <c r="Y26" s="582">
        <v>172666</v>
      </c>
    </row>
    <row r="27" spans="1:26" ht="38.25">
      <c r="A27" s="375" t="str">
        <f>+'2. Results Matrix'!A67</f>
        <v>1.2.2.1</v>
      </c>
      <c r="B27" s="61" t="s">
        <v>284</v>
      </c>
      <c r="C27" s="859">
        <v>3090</v>
      </c>
      <c r="D27" s="859">
        <v>3090</v>
      </c>
      <c r="E27" s="859">
        <v>3090</v>
      </c>
      <c r="F27" s="852">
        <f t="shared" si="14"/>
        <v>9270</v>
      </c>
      <c r="G27" s="855"/>
      <c r="H27" s="855"/>
      <c r="I27" s="855"/>
      <c r="J27" s="852">
        <f t="shared" si="15"/>
        <v>0</v>
      </c>
      <c r="K27" s="855"/>
      <c r="L27" s="855"/>
      <c r="M27" s="855"/>
      <c r="N27" s="852">
        <f t="shared" si="16"/>
        <v>0</v>
      </c>
      <c r="O27" s="375" t="str">
        <f t="shared" si="13"/>
        <v>1.2.2.1</v>
      </c>
      <c r="P27" s="61" t="s">
        <v>284</v>
      </c>
      <c r="Q27" s="81"/>
      <c r="R27" s="81"/>
      <c r="S27" s="81"/>
      <c r="T27" s="82">
        <f t="shared" si="17"/>
        <v>0</v>
      </c>
      <c r="U27" s="78">
        <f t="shared" si="7"/>
        <v>9270</v>
      </c>
      <c r="V27" s="582"/>
      <c r="W27" s="582"/>
      <c r="X27" s="582"/>
      <c r="Y27" s="582">
        <f t="shared" ref="Y27" si="18">+U27</f>
        <v>9270</v>
      </c>
    </row>
    <row r="28" spans="1:26" ht="63.75">
      <c r="A28" s="376" t="str">
        <f>+'2. Results Matrix'!A69</f>
        <v>1.2.2.2</v>
      </c>
      <c r="B28" s="61" t="s">
        <v>285</v>
      </c>
      <c r="C28" s="858">
        <v>16959</v>
      </c>
      <c r="D28" s="858">
        <v>16959</v>
      </c>
      <c r="E28" s="858">
        <v>16959</v>
      </c>
      <c r="F28" s="852">
        <f t="shared" si="14"/>
        <v>50877</v>
      </c>
      <c r="G28" s="858"/>
      <c r="H28" s="858"/>
      <c r="I28" s="858"/>
      <c r="J28" s="852">
        <f t="shared" si="15"/>
        <v>0</v>
      </c>
      <c r="K28" s="858"/>
      <c r="L28" s="858"/>
      <c r="M28" s="858"/>
      <c r="N28" s="852">
        <f t="shared" si="16"/>
        <v>0</v>
      </c>
      <c r="O28" s="373" t="str">
        <f t="shared" si="13"/>
        <v>1.2.2.2</v>
      </c>
      <c r="P28" s="61" t="s">
        <v>285</v>
      </c>
      <c r="Q28" s="378"/>
      <c r="R28" s="378"/>
      <c r="S28" s="378"/>
      <c r="T28" s="82">
        <f t="shared" si="17"/>
        <v>0</v>
      </c>
      <c r="U28" s="78">
        <f t="shared" si="7"/>
        <v>50877</v>
      </c>
      <c r="V28" s="582"/>
      <c r="W28" s="582">
        <v>33191</v>
      </c>
      <c r="X28" s="582"/>
      <c r="Y28" s="582">
        <v>17686</v>
      </c>
    </row>
    <row r="29" spans="1:26" s="85" customFormat="1" ht="51">
      <c r="A29" s="374" t="str">
        <f>+'2. Results Matrix'!A71</f>
        <v>1.2.2.3</v>
      </c>
      <c r="B29" s="61" t="s">
        <v>286</v>
      </c>
      <c r="C29" s="857">
        <v>12607</v>
      </c>
      <c r="D29" s="857">
        <v>564</v>
      </c>
      <c r="E29" s="857"/>
      <c r="F29" s="856">
        <f t="shared" si="14"/>
        <v>13171</v>
      </c>
      <c r="G29" s="857"/>
      <c r="H29" s="857"/>
      <c r="I29" s="857"/>
      <c r="J29" s="856">
        <f t="shared" si="15"/>
        <v>0</v>
      </c>
      <c r="K29" s="857"/>
      <c r="L29" s="857"/>
      <c r="M29" s="857"/>
      <c r="N29" s="856">
        <f t="shared" si="16"/>
        <v>0</v>
      </c>
      <c r="O29" s="374" t="str">
        <f t="shared" si="13"/>
        <v>1.2.2.3</v>
      </c>
      <c r="P29" s="61" t="s">
        <v>286</v>
      </c>
      <c r="Q29" s="83"/>
      <c r="R29" s="83"/>
      <c r="S29" s="83"/>
      <c r="T29" s="84">
        <f t="shared" si="17"/>
        <v>0</v>
      </c>
      <c r="U29" s="78">
        <f t="shared" si="7"/>
        <v>13171</v>
      </c>
      <c r="V29" s="584"/>
      <c r="W29" s="584">
        <v>3714</v>
      </c>
      <c r="X29" s="584"/>
      <c r="Y29" s="582">
        <v>9457</v>
      </c>
    </row>
    <row r="30" spans="1:26" ht="38.25">
      <c r="A30" s="375"/>
      <c r="B30" s="141" t="s">
        <v>300</v>
      </c>
      <c r="C30" s="855">
        <v>106635</v>
      </c>
      <c r="D30" s="855">
        <v>103615</v>
      </c>
      <c r="E30" s="855">
        <v>103615</v>
      </c>
      <c r="F30" s="852">
        <f t="shared" si="14"/>
        <v>313865</v>
      </c>
      <c r="G30" s="855"/>
      <c r="H30" s="855"/>
      <c r="I30" s="855"/>
      <c r="J30" s="852">
        <f t="shared" si="15"/>
        <v>0</v>
      </c>
      <c r="K30" s="855"/>
      <c r="L30" s="855"/>
      <c r="M30" s="855"/>
      <c r="N30" s="852">
        <f t="shared" si="16"/>
        <v>0</v>
      </c>
      <c r="O30" s="80"/>
      <c r="P30" s="141" t="s">
        <v>300</v>
      </c>
      <c r="Q30" s="81"/>
      <c r="R30" s="81"/>
      <c r="S30" s="81"/>
      <c r="T30" s="82">
        <f t="shared" si="17"/>
        <v>0</v>
      </c>
      <c r="U30" s="78">
        <f t="shared" si="7"/>
        <v>313865</v>
      </c>
      <c r="V30" s="582"/>
      <c r="W30" s="582">
        <v>17472</v>
      </c>
      <c r="X30" s="582"/>
      <c r="Y30" s="582">
        <v>296393</v>
      </c>
    </row>
    <row r="31" spans="1:26" s="86" customFormat="1" ht="28.5" customHeight="1">
      <c r="A31" s="1302" t="s">
        <v>164</v>
      </c>
      <c r="B31" s="1303"/>
      <c r="C31" s="853">
        <f>SUM(C24:C30)</f>
        <v>167863</v>
      </c>
      <c r="D31" s="853">
        <f>SUM(D24:D30)</f>
        <v>136371</v>
      </c>
      <c r="E31" s="853">
        <f t="shared" ref="E31:Y31" si="19">SUM(E24:E30)</f>
        <v>263663</v>
      </c>
      <c r="F31" s="853">
        <f t="shared" si="19"/>
        <v>567897</v>
      </c>
      <c r="G31" s="853">
        <f t="shared" si="19"/>
        <v>92857</v>
      </c>
      <c r="H31" s="853">
        <f t="shared" si="19"/>
        <v>92857</v>
      </c>
      <c r="I31" s="853">
        <f t="shared" si="19"/>
        <v>92857</v>
      </c>
      <c r="J31" s="853">
        <f t="shared" si="19"/>
        <v>278571</v>
      </c>
      <c r="K31" s="853">
        <f>SUM(K24:K30)</f>
        <v>0</v>
      </c>
      <c r="L31" s="853">
        <f>SUM(L24:L30)</f>
        <v>0</v>
      </c>
      <c r="M31" s="853">
        <f t="shared" si="19"/>
        <v>0</v>
      </c>
      <c r="N31" s="853">
        <f t="shared" si="19"/>
        <v>0</v>
      </c>
      <c r="O31" s="1307" t="s">
        <v>164</v>
      </c>
      <c r="P31" s="1308"/>
      <c r="Q31" s="595">
        <f t="shared" si="19"/>
        <v>0</v>
      </c>
      <c r="R31" s="595">
        <f t="shared" si="19"/>
        <v>0</v>
      </c>
      <c r="S31" s="595">
        <f t="shared" si="19"/>
        <v>0</v>
      </c>
      <c r="T31" s="595">
        <f t="shared" si="19"/>
        <v>0</v>
      </c>
      <c r="U31" s="596">
        <f t="shared" si="19"/>
        <v>846468</v>
      </c>
      <c r="V31" s="597">
        <f t="shared" si="19"/>
        <v>1033</v>
      </c>
      <c r="W31" s="597">
        <f t="shared" si="19"/>
        <v>92173</v>
      </c>
      <c r="X31" s="597">
        <f t="shared" si="19"/>
        <v>0</v>
      </c>
      <c r="Y31" s="597">
        <f t="shared" si="19"/>
        <v>753262</v>
      </c>
    </row>
    <row r="32" spans="1:26" s="86" customFormat="1" ht="24" customHeight="1">
      <c r="A32" s="135">
        <v>3</v>
      </c>
      <c r="B32" s="111" t="s">
        <v>264</v>
      </c>
      <c r="C32" s="851"/>
      <c r="D32" s="851"/>
      <c r="E32" s="851"/>
      <c r="F32" s="850"/>
      <c r="G32" s="851"/>
      <c r="H32" s="851"/>
      <c r="I32" s="851"/>
      <c r="J32" s="852">
        <f t="shared" si="15"/>
        <v>0</v>
      </c>
      <c r="K32" s="851"/>
      <c r="L32" s="851"/>
      <c r="M32" s="851"/>
      <c r="N32" s="852">
        <f t="shared" si="16"/>
        <v>0</v>
      </c>
      <c r="O32" s="135">
        <v>3</v>
      </c>
      <c r="P32" s="111" t="s">
        <v>264</v>
      </c>
      <c r="Q32" s="598"/>
      <c r="R32" s="598"/>
      <c r="S32" s="598"/>
      <c r="T32" s="82">
        <f t="shared" si="17"/>
        <v>0</v>
      </c>
      <c r="U32" s="599"/>
      <c r="V32" s="583"/>
      <c r="W32" s="583"/>
      <c r="X32" s="583"/>
      <c r="Y32" s="583"/>
    </row>
    <row r="33" spans="1:26" s="86" customFormat="1" ht="38.25" customHeight="1">
      <c r="A33" s="135" t="str">
        <f>+'2. Results Matrix'!A76</f>
        <v>1.3.1.1a,c,d</v>
      </c>
      <c r="B33" s="61" t="s">
        <v>287</v>
      </c>
      <c r="C33" s="851">
        <v>34751</v>
      </c>
      <c r="D33" s="851">
        <v>57636</v>
      </c>
      <c r="E33" s="851">
        <v>17900</v>
      </c>
      <c r="F33" s="852">
        <f t="shared" ref="F33:F38" si="20">SUM(C33:E33)</f>
        <v>110287</v>
      </c>
      <c r="G33" s="851">
        <v>84721</v>
      </c>
      <c r="H33" s="851">
        <v>43718</v>
      </c>
      <c r="I33" s="851">
        <v>28471</v>
      </c>
      <c r="J33" s="852">
        <f t="shared" si="15"/>
        <v>156910</v>
      </c>
      <c r="K33" s="851">
        <v>46186</v>
      </c>
      <c r="L33" s="851">
        <v>20186</v>
      </c>
      <c r="M33" s="851">
        <v>12043</v>
      </c>
      <c r="N33" s="852">
        <f t="shared" si="16"/>
        <v>78415</v>
      </c>
      <c r="O33" s="135" t="str">
        <f t="shared" ref="O33:O38" si="21">+A33</f>
        <v>1.3.1.1a,c,d</v>
      </c>
      <c r="P33" s="61" t="s">
        <v>287</v>
      </c>
      <c r="Q33" s="598">
        <v>36618</v>
      </c>
      <c r="R33" s="598">
        <v>2043</v>
      </c>
      <c r="S33" s="598">
        <v>2043</v>
      </c>
      <c r="T33" s="82">
        <f t="shared" si="17"/>
        <v>40704</v>
      </c>
      <c r="U33" s="78">
        <f t="shared" ref="U33:U54" si="22">SUM(J33,N33,T33,F33)</f>
        <v>386316</v>
      </c>
      <c r="V33" s="583">
        <f>+'6. Consolidated Financial Plan'!M32</f>
        <v>113462.41999999998</v>
      </c>
      <c r="W33" s="583">
        <v>76152</v>
      </c>
      <c r="X33" s="583">
        <v>91893</v>
      </c>
      <c r="Y33" s="583">
        <v>104808.58</v>
      </c>
    </row>
    <row r="34" spans="1:26" s="86" customFormat="1" ht="45.75" customHeight="1">
      <c r="A34" s="135" t="str">
        <f>+'2. Results Matrix'!A88</f>
        <v>1.3.1.2c</v>
      </c>
      <c r="B34" s="61" t="s">
        <v>288</v>
      </c>
      <c r="C34" s="851">
        <v>3973</v>
      </c>
      <c r="D34" s="851">
        <v>12793</v>
      </c>
      <c r="E34" s="851">
        <v>21387</v>
      </c>
      <c r="F34" s="852">
        <f t="shared" si="20"/>
        <v>38153</v>
      </c>
      <c r="G34" s="851">
        <v>24115</v>
      </c>
      <c r="H34" s="851">
        <v>18043</v>
      </c>
      <c r="I34" s="851">
        <v>16757</v>
      </c>
      <c r="J34" s="852">
        <f t="shared" si="15"/>
        <v>58915</v>
      </c>
      <c r="K34" s="851">
        <v>15007</v>
      </c>
      <c r="L34" s="851">
        <v>10722</v>
      </c>
      <c r="M34" s="851">
        <v>10722</v>
      </c>
      <c r="N34" s="852">
        <f t="shared" si="16"/>
        <v>36451</v>
      </c>
      <c r="O34" s="135" t="str">
        <f t="shared" si="21"/>
        <v>1.3.1.2c</v>
      </c>
      <c r="P34" s="61" t="s">
        <v>288</v>
      </c>
      <c r="Q34" s="598">
        <v>10722</v>
      </c>
      <c r="R34" s="598">
        <v>10876</v>
      </c>
      <c r="S34" s="598">
        <v>10722</v>
      </c>
      <c r="T34" s="82">
        <f t="shared" si="17"/>
        <v>32320</v>
      </c>
      <c r="U34" s="78">
        <f t="shared" si="22"/>
        <v>165839</v>
      </c>
      <c r="V34" s="583">
        <f>+'6. Consolidated Financial Plan'!M33</f>
        <v>21736</v>
      </c>
      <c r="W34" s="583">
        <v>85000</v>
      </c>
      <c r="X34" s="583">
        <v>59103</v>
      </c>
      <c r="Y34" s="583"/>
    </row>
    <row r="35" spans="1:26" s="86" customFormat="1" ht="39.75" customHeight="1">
      <c r="A35" s="135" t="str">
        <f>+'2. Results Matrix'!A90</f>
        <v>1.3.1.3b,c</v>
      </c>
      <c r="B35" s="61" t="s">
        <v>289</v>
      </c>
      <c r="C35" s="851"/>
      <c r="D35" s="851">
        <v>77993</v>
      </c>
      <c r="E35" s="851"/>
      <c r="F35" s="852">
        <f t="shared" si="20"/>
        <v>77993</v>
      </c>
      <c r="G35" s="851">
        <v>16464</v>
      </c>
      <c r="H35" s="851">
        <v>19679</v>
      </c>
      <c r="I35" s="851">
        <v>16464</v>
      </c>
      <c r="J35" s="852">
        <f t="shared" si="15"/>
        <v>52607</v>
      </c>
      <c r="K35" s="851">
        <v>19679</v>
      </c>
      <c r="L35" s="851">
        <v>19286</v>
      </c>
      <c r="M35" s="851">
        <v>2857</v>
      </c>
      <c r="N35" s="852">
        <f t="shared" si="16"/>
        <v>41822</v>
      </c>
      <c r="O35" s="135" t="str">
        <f t="shared" si="21"/>
        <v>1.3.1.3b,c</v>
      </c>
      <c r="P35" s="61" t="s">
        <v>289</v>
      </c>
      <c r="Q35" s="598"/>
      <c r="R35" s="598"/>
      <c r="S35" s="598"/>
      <c r="T35" s="82">
        <f t="shared" si="17"/>
        <v>0</v>
      </c>
      <c r="U35" s="78">
        <f t="shared" si="22"/>
        <v>172422</v>
      </c>
      <c r="V35" s="583">
        <f>+'6. Consolidated Financial Plan'!M34</f>
        <v>53352.580000000016</v>
      </c>
      <c r="W35" s="583">
        <v>37000</v>
      </c>
      <c r="X35" s="583">
        <v>63717</v>
      </c>
      <c r="Y35" s="583">
        <v>18352.419999999998</v>
      </c>
    </row>
    <row r="36" spans="1:26" s="86" customFormat="1" ht="44.25" customHeight="1">
      <c r="A36" s="135" t="str">
        <f>+'2. Results Matrix'!A84</f>
        <v>1.3.1.5d</v>
      </c>
      <c r="B36" s="61" t="s">
        <v>290</v>
      </c>
      <c r="C36" s="851">
        <v>34649</v>
      </c>
      <c r="D36" s="851">
        <v>101277</v>
      </c>
      <c r="E36" s="851">
        <v>88420</v>
      </c>
      <c r="F36" s="852">
        <f t="shared" si="20"/>
        <v>224346</v>
      </c>
      <c r="G36" s="851">
        <v>80302</v>
      </c>
      <c r="H36" s="851">
        <v>81874</v>
      </c>
      <c r="I36" s="851">
        <v>271659</v>
      </c>
      <c r="J36" s="852">
        <f t="shared" si="15"/>
        <v>433835</v>
      </c>
      <c r="K36" s="851">
        <v>88698</v>
      </c>
      <c r="L36" s="851">
        <v>50231</v>
      </c>
      <c r="M36" s="851">
        <v>60588</v>
      </c>
      <c r="N36" s="852">
        <f t="shared" si="16"/>
        <v>199517</v>
      </c>
      <c r="O36" s="135" t="str">
        <f t="shared" si="21"/>
        <v>1.3.1.5d</v>
      </c>
      <c r="P36" s="61" t="s">
        <v>290</v>
      </c>
      <c r="Q36" s="598">
        <v>44516</v>
      </c>
      <c r="R36" s="598">
        <v>44516</v>
      </c>
      <c r="S36" s="598">
        <v>44516</v>
      </c>
      <c r="T36" s="82">
        <f t="shared" si="17"/>
        <v>133548</v>
      </c>
      <c r="U36" s="78">
        <f t="shared" si="22"/>
        <v>991246</v>
      </c>
      <c r="V36" s="583">
        <f>+'6. Consolidated Financial Plan'!M35</f>
        <v>99817</v>
      </c>
      <c r="W36" s="583">
        <v>37199</v>
      </c>
      <c r="X36" s="583">
        <v>773483</v>
      </c>
      <c r="Y36" s="583">
        <v>80747</v>
      </c>
      <c r="Z36" s="883"/>
    </row>
    <row r="37" spans="1:26" s="86" customFormat="1" ht="52.5" customHeight="1">
      <c r="A37" s="135" t="str">
        <f>+'2. Results Matrix'!A82</f>
        <v>1.3.1.6c</v>
      </c>
      <c r="B37" s="61" t="s">
        <v>291</v>
      </c>
      <c r="C37" s="851">
        <v>12243</v>
      </c>
      <c r="D37" s="851">
        <v>152002</v>
      </c>
      <c r="E37" s="851">
        <v>204168</v>
      </c>
      <c r="F37" s="852">
        <f t="shared" si="20"/>
        <v>368413</v>
      </c>
      <c r="G37" s="851">
        <v>111646</v>
      </c>
      <c r="H37" s="851">
        <v>109464</v>
      </c>
      <c r="I37" s="851">
        <v>94946</v>
      </c>
      <c r="J37" s="852">
        <f t="shared" si="15"/>
        <v>316056</v>
      </c>
      <c r="K37" s="851">
        <v>55071</v>
      </c>
      <c r="L37" s="851">
        <v>55071</v>
      </c>
      <c r="M37" s="851">
        <v>55232</v>
      </c>
      <c r="N37" s="852">
        <f t="shared" si="16"/>
        <v>165374</v>
      </c>
      <c r="O37" s="135" t="str">
        <f t="shared" si="21"/>
        <v>1.3.1.6c</v>
      </c>
      <c r="P37" s="61" t="s">
        <v>291</v>
      </c>
      <c r="Q37" s="598">
        <v>55071</v>
      </c>
      <c r="R37" s="598">
        <v>55071</v>
      </c>
      <c r="S37" s="598">
        <v>55232</v>
      </c>
      <c r="T37" s="82">
        <f t="shared" si="17"/>
        <v>165374</v>
      </c>
      <c r="U37" s="78">
        <f t="shared" si="22"/>
        <v>1015217</v>
      </c>
      <c r="V37" s="583">
        <f>+'6. Consolidated Financial Plan'!M36</f>
        <v>205774</v>
      </c>
      <c r="W37" s="583">
        <v>95000</v>
      </c>
      <c r="X37" s="583">
        <v>714443</v>
      </c>
      <c r="Y37" s="583"/>
      <c r="Z37" s="884"/>
    </row>
    <row r="38" spans="1:26" s="86" customFormat="1" ht="28.5" customHeight="1">
      <c r="A38" s="135" t="str">
        <f>+'2. Results Matrix'!A100</f>
        <v>1.3.1.7a</v>
      </c>
      <c r="B38" s="61" t="s">
        <v>292</v>
      </c>
      <c r="C38" s="851"/>
      <c r="D38" s="851">
        <v>3139</v>
      </c>
      <c r="E38" s="851">
        <v>3139</v>
      </c>
      <c r="F38" s="852">
        <f t="shared" si="20"/>
        <v>6278</v>
      </c>
      <c r="G38" s="851">
        <v>3139</v>
      </c>
      <c r="H38" s="851">
        <v>3139</v>
      </c>
      <c r="I38" s="851">
        <v>3139</v>
      </c>
      <c r="J38" s="852">
        <f t="shared" si="15"/>
        <v>9417</v>
      </c>
      <c r="K38" s="851">
        <v>3139</v>
      </c>
      <c r="L38" s="851">
        <v>3139</v>
      </c>
      <c r="M38" s="851">
        <v>3139</v>
      </c>
      <c r="N38" s="852">
        <f t="shared" si="16"/>
        <v>9417</v>
      </c>
      <c r="O38" s="135" t="str">
        <f t="shared" si="21"/>
        <v>1.3.1.7a</v>
      </c>
      <c r="P38" s="61" t="s">
        <v>292</v>
      </c>
      <c r="Q38" s="851">
        <v>3139</v>
      </c>
      <c r="R38" s="851">
        <v>3139</v>
      </c>
      <c r="S38" s="851">
        <v>3139</v>
      </c>
      <c r="T38" s="82">
        <f t="shared" si="17"/>
        <v>9417</v>
      </c>
      <c r="U38" s="78">
        <f>SUM(J38,N38,T38,F38)</f>
        <v>34529</v>
      </c>
      <c r="V38" s="583">
        <f>+'6. Consolidated Financial Plan'!M37</f>
        <v>3829</v>
      </c>
      <c r="W38" s="583">
        <v>13507</v>
      </c>
      <c r="X38" s="583">
        <v>17193</v>
      </c>
      <c r="Y38" s="583"/>
    </row>
    <row r="39" spans="1:26" s="86" customFormat="1" ht="28.5" customHeight="1">
      <c r="A39" s="1302" t="s">
        <v>328</v>
      </c>
      <c r="B39" s="1303"/>
      <c r="C39" s="853">
        <f>SUM(C32:C38)</f>
        <v>85616</v>
      </c>
      <c r="D39" s="853">
        <f t="shared" ref="D39:T39" si="23">SUM(D32:D38)</f>
        <v>404840</v>
      </c>
      <c r="E39" s="853">
        <f t="shared" si="23"/>
        <v>335014</v>
      </c>
      <c r="F39" s="853">
        <f>SUM(F32:F38)</f>
        <v>825470</v>
      </c>
      <c r="G39" s="853">
        <f>SUM(G32:G38)</f>
        <v>320387</v>
      </c>
      <c r="H39" s="853">
        <f t="shared" si="23"/>
        <v>275917</v>
      </c>
      <c r="I39" s="853">
        <f t="shared" si="23"/>
        <v>431436</v>
      </c>
      <c r="J39" s="853">
        <f t="shared" si="23"/>
        <v>1027740</v>
      </c>
      <c r="K39" s="853">
        <f t="shared" si="23"/>
        <v>227780</v>
      </c>
      <c r="L39" s="853">
        <f t="shared" si="23"/>
        <v>158635</v>
      </c>
      <c r="M39" s="853">
        <f t="shared" si="23"/>
        <v>144581</v>
      </c>
      <c r="N39" s="853">
        <f t="shared" si="23"/>
        <v>530996</v>
      </c>
      <c r="O39" s="1307" t="s">
        <v>328</v>
      </c>
      <c r="P39" s="1308"/>
      <c r="Q39" s="595">
        <f t="shared" si="23"/>
        <v>150066</v>
      </c>
      <c r="R39" s="595">
        <f t="shared" si="23"/>
        <v>115645</v>
      </c>
      <c r="S39" s="595">
        <f t="shared" si="23"/>
        <v>115652</v>
      </c>
      <c r="T39" s="595">
        <f t="shared" si="23"/>
        <v>381363</v>
      </c>
      <c r="U39" s="596">
        <f>SUM(U32:U38)</f>
        <v>2765569</v>
      </c>
      <c r="V39" s="600">
        <f>SUM(V33:V38)</f>
        <v>497971</v>
      </c>
      <c r="W39" s="600">
        <f t="shared" ref="W39:Y39" si="24">SUM(W33:W38)</f>
        <v>343858</v>
      </c>
      <c r="X39" s="600">
        <f>SUM(X33:X38)</f>
        <v>1719832</v>
      </c>
      <c r="Y39" s="600">
        <f t="shared" si="24"/>
        <v>203908</v>
      </c>
      <c r="Z39" s="883"/>
    </row>
    <row r="40" spans="1:26" s="86" customFormat="1" ht="28.5" customHeight="1">
      <c r="A40" s="549">
        <v>4</v>
      </c>
      <c r="B40" s="557" t="s">
        <v>266</v>
      </c>
      <c r="C40" s="853">
        <v>10714</v>
      </c>
      <c r="D40" s="853">
        <v>238354</v>
      </c>
      <c r="E40" s="853">
        <v>138143</v>
      </c>
      <c r="F40" s="853">
        <f>SUM(C40:E40)</f>
        <v>387211</v>
      </c>
      <c r="G40" s="853">
        <v>88571</v>
      </c>
      <c r="H40" s="853">
        <v>88571</v>
      </c>
      <c r="I40" s="853">
        <v>51429</v>
      </c>
      <c r="J40" s="853">
        <f>SUM(G40:I40)</f>
        <v>228571</v>
      </c>
      <c r="K40" s="853"/>
      <c r="L40" s="853"/>
      <c r="M40" s="853"/>
      <c r="N40" s="854">
        <f>SUM(K40:M40)</f>
        <v>0</v>
      </c>
      <c r="O40" s="549">
        <v>4</v>
      </c>
      <c r="P40" s="557" t="s">
        <v>266</v>
      </c>
      <c r="Q40" s="595"/>
      <c r="R40" s="595"/>
      <c r="S40" s="595"/>
      <c r="T40" s="561">
        <f t="shared" si="17"/>
        <v>0</v>
      </c>
      <c r="U40" s="562">
        <f>SUM(J40,N40,T40,F40)</f>
        <v>615782</v>
      </c>
      <c r="V40" s="600">
        <v>117777</v>
      </c>
      <c r="W40" s="600">
        <v>137696</v>
      </c>
      <c r="X40" s="600">
        <v>11538</v>
      </c>
      <c r="Y40" s="600">
        <v>348771</v>
      </c>
      <c r="Z40" s="883"/>
    </row>
    <row r="41" spans="1:26" s="86" customFormat="1" ht="28.5" customHeight="1">
      <c r="A41" s="58">
        <v>4</v>
      </c>
      <c r="B41" s="111" t="s">
        <v>306</v>
      </c>
      <c r="C41" s="851"/>
      <c r="D41" s="851"/>
      <c r="E41" s="851"/>
      <c r="F41" s="850"/>
      <c r="G41" s="851"/>
      <c r="H41" s="851"/>
      <c r="I41" s="851"/>
      <c r="J41" s="850"/>
      <c r="K41" s="851"/>
      <c r="L41" s="851"/>
      <c r="M41" s="851"/>
      <c r="N41" s="850"/>
      <c r="O41" s="58">
        <v>4</v>
      </c>
      <c r="P41" s="111" t="s">
        <v>306</v>
      </c>
      <c r="Q41" s="598"/>
      <c r="R41" s="598"/>
      <c r="S41" s="598"/>
      <c r="T41" s="77"/>
      <c r="U41" s="78">
        <f t="shared" si="22"/>
        <v>0</v>
      </c>
      <c r="V41" s="583"/>
      <c r="W41" s="583"/>
      <c r="X41" s="583"/>
      <c r="Y41" s="583"/>
      <c r="Z41" s="883"/>
    </row>
    <row r="42" spans="1:26" s="86" customFormat="1" ht="28.5" customHeight="1">
      <c r="A42" s="58"/>
      <c r="B42" s="483" t="s">
        <v>706</v>
      </c>
      <c r="C42" s="851">
        <v>31191</v>
      </c>
      <c r="D42" s="851"/>
      <c r="E42" s="851"/>
      <c r="F42" s="852">
        <f t="shared" ref="F42:F54" si="25">SUM(C42:E42)</f>
        <v>31191</v>
      </c>
      <c r="G42" s="851"/>
      <c r="H42" s="851">
        <v>15595</v>
      </c>
      <c r="I42" s="851"/>
      <c r="J42" s="852">
        <f t="shared" ref="J42:J54" si="26">SUM(G42:I42)</f>
        <v>15595</v>
      </c>
      <c r="K42" s="851">
        <v>15595</v>
      </c>
      <c r="L42" s="851"/>
      <c r="M42" s="851"/>
      <c r="N42" s="852">
        <f t="shared" ref="N42:N54" si="27">SUM(K42:M42)</f>
        <v>15595</v>
      </c>
      <c r="O42" s="58"/>
      <c r="P42" s="483" t="s">
        <v>706</v>
      </c>
      <c r="Q42" s="598"/>
      <c r="R42" s="598"/>
      <c r="S42" s="598"/>
      <c r="T42" s="82">
        <f t="shared" ref="T42:T54" si="28">SUM(Q42:S42)</f>
        <v>0</v>
      </c>
      <c r="U42" s="78">
        <f>SUM(J42,N42,T42,F42)</f>
        <v>62381</v>
      </c>
      <c r="V42" s="583">
        <v>62381</v>
      </c>
      <c r="W42" s="583"/>
      <c r="X42" s="583"/>
      <c r="Y42" s="583"/>
    </row>
    <row r="43" spans="1:26" s="86" customFormat="1" ht="36.75" customHeight="1">
      <c r="A43" s="58" t="str">
        <f>+'2. Results Matrix'!A32</f>
        <v>1.5.1.1</v>
      </c>
      <c r="B43" s="155" t="s">
        <v>308</v>
      </c>
      <c r="C43" s="851">
        <v>580</v>
      </c>
      <c r="D43" s="851">
        <v>2722</v>
      </c>
      <c r="E43" s="851">
        <v>2008</v>
      </c>
      <c r="F43" s="852">
        <f t="shared" si="25"/>
        <v>5310</v>
      </c>
      <c r="G43" s="851">
        <v>4508</v>
      </c>
      <c r="H43" s="851"/>
      <c r="I43" s="851"/>
      <c r="J43" s="852">
        <f t="shared" si="26"/>
        <v>4508</v>
      </c>
      <c r="K43" s="851"/>
      <c r="L43" s="851"/>
      <c r="M43" s="851"/>
      <c r="N43" s="852">
        <f t="shared" si="27"/>
        <v>0</v>
      </c>
      <c r="O43" s="58" t="str">
        <f>+A43</f>
        <v>1.5.1.1</v>
      </c>
      <c r="P43" s="155" t="s">
        <v>308</v>
      </c>
      <c r="Q43" s="598"/>
      <c r="R43" s="598"/>
      <c r="S43" s="598"/>
      <c r="T43" s="82">
        <f t="shared" si="28"/>
        <v>0</v>
      </c>
      <c r="U43" s="78">
        <f t="shared" si="22"/>
        <v>9818</v>
      </c>
      <c r="V43" s="583">
        <v>9818</v>
      </c>
      <c r="W43" s="583"/>
      <c r="X43" s="583"/>
      <c r="Y43" s="583"/>
    </row>
    <row r="44" spans="1:26" s="86" customFormat="1" ht="28.5" customHeight="1">
      <c r="A44" s="58"/>
      <c r="B44" s="155" t="s">
        <v>309</v>
      </c>
      <c r="C44" s="851"/>
      <c r="D44" s="851"/>
      <c r="E44" s="851"/>
      <c r="F44" s="852">
        <f t="shared" si="25"/>
        <v>0</v>
      </c>
      <c r="G44" s="851"/>
      <c r="H44" s="851"/>
      <c r="I44" s="851"/>
      <c r="J44" s="852">
        <f t="shared" si="26"/>
        <v>0</v>
      </c>
      <c r="K44" s="851"/>
      <c r="L44" s="851"/>
      <c r="M44" s="851"/>
      <c r="N44" s="852">
        <f t="shared" si="27"/>
        <v>0</v>
      </c>
      <c r="O44" s="58"/>
      <c r="P44" s="155" t="s">
        <v>309</v>
      </c>
      <c r="Q44" s="598"/>
      <c r="R44" s="598"/>
      <c r="S44" s="598"/>
      <c r="T44" s="82">
        <f t="shared" si="28"/>
        <v>0</v>
      </c>
      <c r="U44" s="78">
        <f t="shared" si="22"/>
        <v>0</v>
      </c>
      <c r="V44" s="583"/>
      <c r="W44" s="583"/>
      <c r="X44" s="583"/>
      <c r="Y44" s="583"/>
    </row>
    <row r="45" spans="1:26" s="86" customFormat="1" ht="28.5" customHeight="1">
      <c r="A45" s="58"/>
      <c r="B45" s="140" t="s">
        <v>310</v>
      </c>
      <c r="C45" s="851"/>
      <c r="D45" s="851"/>
      <c r="E45" s="851"/>
      <c r="F45" s="852">
        <f t="shared" si="25"/>
        <v>0</v>
      </c>
      <c r="G45" s="851"/>
      <c r="H45" s="851"/>
      <c r="I45" s="851"/>
      <c r="J45" s="852">
        <f t="shared" si="26"/>
        <v>0</v>
      </c>
      <c r="K45" s="851"/>
      <c r="L45" s="851"/>
      <c r="M45" s="851"/>
      <c r="N45" s="852">
        <f t="shared" si="27"/>
        <v>0</v>
      </c>
      <c r="O45" s="58"/>
      <c r="P45" s="140" t="s">
        <v>310</v>
      </c>
      <c r="Q45" s="598"/>
      <c r="R45" s="598"/>
      <c r="S45" s="598"/>
      <c r="T45" s="82">
        <f t="shared" si="28"/>
        <v>0</v>
      </c>
      <c r="U45" s="78">
        <f t="shared" si="22"/>
        <v>0</v>
      </c>
      <c r="V45" s="583"/>
      <c r="W45" s="583"/>
      <c r="X45" s="583"/>
      <c r="Y45" s="583"/>
    </row>
    <row r="46" spans="1:26" s="86" customFormat="1" ht="28.5" customHeight="1">
      <c r="A46" s="58"/>
      <c r="B46" s="140" t="s">
        <v>311</v>
      </c>
      <c r="C46" s="851"/>
      <c r="D46" s="851"/>
      <c r="E46" s="851"/>
      <c r="F46" s="852">
        <f t="shared" si="25"/>
        <v>0</v>
      </c>
      <c r="G46" s="851"/>
      <c r="H46" s="851"/>
      <c r="I46" s="851"/>
      <c r="J46" s="852">
        <f t="shared" si="26"/>
        <v>0</v>
      </c>
      <c r="K46" s="851"/>
      <c r="L46" s="851"/>
      <c r="M46" s="851"/>
      <c r="N46" s="852">
        <f t="shared" si="27"/>
        <v>0</v>
      </c>
      <c r="O46" s="58"/>
      <c r="P46" s="140" t="s">
        <v>311</v>
      </c>
      <c r="Q46" s="598"/>
      <c r="R46" s="598"/>
      <c r="S46" s="598"/>
      <c r="T46" s="82">
        <f t="shared" si="28"/>
        <v>0</v>
      </c>
      <c r="U46" s="78">
        <f t="shared" si="22"/>
        <v>0</v>
      </c>
      <c r="V46" s="583"/>
      <c r="W46" s="583"/>
      <c r="X46" s="583"/>
      <c r="Y46" s="583"/>
    </row>
    <row r="47" spans="1:26" s="86" customFormat="1" ht="60" customHeight="1">
      <c r="A47" s="58"/>
      <c r="B47" s="155" t="s">
        <v>312</v>
      </c>
      <c r="C47" s="851">
        <v>2704</v>
      </c>
      <c r="D47" s="851">
        <v>2704</v>
      </c>
      <c r="E47" s="851">
        <v>2704</v>
      </c>
      <c r="F47" s="852">
        <f t="shared" si="25"/>
        <v>8112</v>
      </c>
      <c r="G47" s="851"/>
      <c r="H47" s="851"/>
      <c r="I47" s="851"/>
      <c r="J47" s="852">
        <f t="shared" si="26"/>
        <v>0</v>
      </c>
      <c r="K47" s="851"/>
      <c r="L47" s="851"/>
      <c r="M47" s="851"/>
      <c r="N47" s="852">
        <f t="shared" si="27"/>
        <v>0</v>
      </c>
      <c r="O47" s="58"/>
      <c r="P47" s="155" t="s">
        <v>312</v>
      </c>
      <c r="Q47" s="598"/>
      <c r="R47" s="598"/>
      <c r="S47" s="598"/>
      <c r="T47" s="82">
        <f t="shared" si="28"/>
        <v>0</v>
      </c>
      <c r="U47" s="78">
        <f t="shared" si="22"/>
        <v>8112</v>
      </c>
      <c r="V47" s="583">
        <v>8112</v>
      </c>
      <c r="W47" s="583"/>
      <c r="X47" s="583"/>
      <c r="Y47" s="583"/>
    </row>
    <row r="48" spans="1:26" s="86" customFormat="1" ht="44.25" customHeight="1">
      <c r="A48" s="58"/>
      <c r="B48" s="155" t="s">
        <v>313</v>
      </c>
      <c r="C48" s="851"/>
      <c r="D48" s="851"/>
      <c r="E48" s="851"/>
      <c r="F48" s="852">
        <f t="shared" si="25"/>
        <v>0</v>
      </c>
      <c r="G48" s="851"/>
      <c r="H48" s="851"/>
      <c r="I48" s="851"/>
      <c r="J48" s="852">
        <f t="shared" si="26"/>
        <v>0</v>
      </c>
      <c r="K48" s="851"/>
      <c r="L48" s="851"/>
      <c r="M48" s="851"/>
      <c r="N48" s="852">
        <f t="shared" si="27"/>
        <v>0</v>
      </c>
      <c r="O48" s="58"/>
      <c r="P48" s="155" t="s">
        <v>313</v>
      </c>
      <c r="Q48" s="598"/>
      <c r="R48" s="598"/>
      <c r="S48" s="598"/>
      <c r="T48" s="82">
        <f t="shared" si="28"/>
        <v>0</v>
      </c>
      <c r="U48" s="78">
        <f t="shared" si="22"/>
        <v>0</v>
      </c>
      <c r="V48" s="583"/>
      <c r="W48" s="583"/>
      <c r="X48" s="583"/>
      <c r="Y48" s="583"/>
    </row>
    <row r="49" spans="1:26" s="86" customFormat="1" ht="48" customHeight="1">
      <c r="A49" s="58"/>
      <c r="B49" s="140" t="s">
        <v>730</v>
      </c>
      <c r="C49" s="851"/>
      <c r="D49" s="851"/>
      <c r="E49" s="851">
        <v>35714</v>
      </c>
      <c r="F49" s="852">
        <f t="shared" si="25"/>
        <v>35714</v>
      </c>
      <c r="G49" s="851"/>
      <c r="H49" s="851">
        <v>35714</v>
      </c>
      <c r="I49" s="851"/>
      <c r="J49" s="852">
        <f t="shared" si="26"/>
        <v>35714</v>
      </c>
      <c r="K49" s="851"/>
      <c r="L49" s="851">
        <v>35714</v>
      </c>
      <c r="M49" s="851"/>
      <c r="N49" s="852">
        <f t="shared" si="27"/>
        <v>35714</v>
      </c>
      <c r="O49" s="58"/>
      <c r="P49" s="140" t="s">
        <v>730</v>
      </c>
      <c r="Q49" s="598">
        <v>53571</v>
      </c>
      <c r="R49" s="598">
        <v>17857</v>
      </c>
      <c r="S49" s="598"/>
      <c r="T49" s="82">
        <f t="shared" si="28"/>
        <v>71428</v>
      </c>
      <c r="U49" s="78">
        <f t="shared" si="22"/>
        <v>178570</v>
      </c>
      <c r="V49" s="583">
        <v>178223.77</v>
      </c>
      <c r="W49" s="583"/>
      <c r="X49" s="583"/>
      <c r="Y49" s="583">
        <v>346</v>
      </c>
    </row>
    <row r="50" spans="1:26" s="86" customFormat="1" ht="28.5" customHeight="1">
      <c r="A50" s="58"/>
      <c r="B50" s="155" t="s">
        <v>317</v>
      </c>
      <c r="C50" s="851">
        <v>40840</v>
      </c>
      <c r="D50" s="851">
        <v>11619</v>
      </c>
      <c r="E50" s="851">
        <v>30100</v>
      </c>
      <c r="F50" s="852">
        <f t="shared" si="25"/>
        <v>82559</v>
      </c>
      <c r="G50" s="851">
        <v>6407</v>
      </c>
      <c r="H50" s="851">
        <v>12680</v>
      </c>
      <c r="I50" s="851">
        <v>27584</v>
      </c>
      <c r="J50" s="852">
        <f t="shared" si="26"/>
        <v>46671</v>
      </c>
      <c r="K50" s="851">
        <v>2143</v>
      </c>
      <c r="L50" s="851">
        <v>4986</v>
      </c>
      <c r="M50" s="851">
        <v>2143</v>
      </c>
      <c r="N50" s="852">
        <f t="shared" si="27"/>
        <v>9272</v>
      </c>
      <c r="O50" s="58"/>
      <c r="P50" s="155" t="s">
        <v>317</v>
      </c>
      <c r="Q50" s="598">
        <v>2143</v>
      </c>
      <c r="R50" s="598"/>
      <c r="S50" s="598"/>
      <c r="T50" s="82">
        <f t="shared" si="28"/>
        <v>2143</v>
      </c>
      <c r="U50" s="78">
        <f t="shared" si="22"/>
        <v>140645</v>
      </c>
      <c r="V50" s="583">
        <v>99159</v>
      </c>
      <c r="W50" s="583"/>
      <c r="X50" s="583"/>
      <c r="Y50" s="583">
        <v>41486</v>
      </c>
    </row>
    <row r="51" spans="1:26" s="86" customFormat="1" ht="28.5" customHeight="1">
      <c r="A51" s="58"/>
      <c r="B51" s="155" t="s">
        <v>318</v>
      </c>
      <c r="C51" s="851"/>
      <c r="D51" s="851"/>
      <c r="E51" s="851"/>
      <c r="F51" s="852">
        <f t="shared" si="25"/>
        <v>0</v>
      </c>
      <c r="G51" s="851"/>
      <c r="H51" s="851"/>
      <c r="I51" s="851"/>
      <c r="J51" s="852">
        <f t="shared" si="26"/>
        <v>0</v>
      </c>
      <c r="K51" s="851"/>
      <c r="L51" s="851"/>
      <c r="M51" s="851"/>
      <c r="N51" s="852">
        <f t="shared" si="27"/>
        <v>0</v>
      </c>
      <c r="O51" s="58"/>
      <c r="P51" s="155" t="s">
        <v>318</v>
      </c>
      <c r="Q51" s="598"/>
      <c r="R51" s="598"/>
      <c r="S51" s="598"/>
      <c r="T51" s="82">
        <f t="shared" si="28"/>
        <v>0</v>
      </c>
      <c r="U51" s="78">
        <f t="shared" si="22"/>
        <v>0</v>
      </c>
      <c r="V51" s="583"/>
      <c r="W51" s="583"/>
      <c r="X51" s="583"/>
      <c r="Y51" s="583"/>
    </row>
    <row r="52" spans="1:26" s="86" customFormat="1" ht="28.5" customHeight="1">
      <c r="A52" s="58"/>
      <c r="B52" s="155" t="s">
        <v>321</v>
      </c>
      <c r="C52" s="851">
        <v>3245</v>
      </c>
      <c r="D52" s="851">
        <v>3245</v>
      </c>
      <c r="E52" s="851">
        <v>3245</v>
      </c>
      <c r="F52" s="852">
        <f t="shared" si="25"/>
        <v>9735</v>
      </c>
      <c r="G52" s="851">
        <v>3245</v>
      </c>
      <c r="H52" s="851">
        <v>3245</v>
      </c>
      <c r="I52" s="851">
        <v>3245</v>
      </c>
      <c r="J52" s="852">
        <f t="shared" si="26"/>
        <v>9735</v>
      </c>
      <c r="K52" s="851">
        <v>3245</v>
      </c>
      <c r="L52" s="851">
        <v>3245</v>
      </c>
      <c r="M52" s="851">
        <v>3245</v>
      </c>
      <c r="N52" s="852">
        <f t="shared" si="27"/>
        <v>9735</v>
      </c>
      <c r="O52" s="58"/>
      <c r="P52" s="155" t="s">
        <v>321</v>
      </c>
      <c r="Q52" s="851">
        <v>3245</v>
      </c>
      <c r="R52" s="851">
        <v>3245</v>
      </c>
      <c r="S52" s="851">
        <v>3245</v>
      </c>
      <c r="T52" s="82">
        <f t="shared" si="28"/>
        <v>9735</v>
      </c>
      <c r="U52" s="78">
        <f t="shared" si="22"/>
        <v>38940</v>
      </c>
      <c r="V52" s="583">
        <v>38940</v>
      </c>
      <c r="W52" s="583"/>
      <c r="X52" s="583"/>
      <c r="Y52" s="583"/>
    </row>
    <row r="53" spans="1:26" s="86" customFormat="1" ht="51.75" customHeight="1">
      <c r="A53" s="58"/>
      <c r="B53" s="155" t="s">
        <v>323</v>
      </c>
      <c r="C53" s="851"/>
      <c r="D53" s="851"/>
      <c r="E53" s="851"/>
      <c r="F53" s="852">
        <f t="shared" si="25"/>
        <v>0</v>
      </c>
      <c r="G53" s="851"/>
      <c r="H53" s="851"/>
      <c r="I53" s="851"/>
      <c r="J53" s="852">
        <f t="shared" si="26"/>
        <v>0</v>
      </c>
      <c r="K53" s="851"/>
      <c r="L53" s="851"/>
      <c r="M53" s="851"/>
      <c r="N53" s="852">
        <f t="shared" si="27"/>
        <v>0</v>
      </c>
      <c r="O53" s="58"/>
      <c r="P53" s="155" t="s">
        <v>323</v>
      </c>
      <c r="Q53" s="598"/>
      <c r="R53" s="598"/>
      <c r="S53" s="598"/>
      <c r="T53" s="82">
        <f t="shared" si="28"/>
        <v>0</v>
      </c>
      <c r="U53" s="78">
        <f t="shared" si="22"/>
        <v>0</v>
      </c>
      <c r="V53" s="583"/>
      <c r="W53" s="583"/>
      <c r="X53" s="583"/>
      <c r="Y53" s="583"/>
    </row>
    <row r="54" spans="1:26" s="86" customFormat="1" ht="52.5" customHeight="1">
      <c r="A54" s="58"/>
      <c r="B54" s="155" t="s">
        <v>325</v>
      </c>
      <c r="C54" s="851"/>
      <c r="D54" s="851"/>
      <c r="E54" s="851"/>
      <c r="F54" s="852">
        <f t="shared" si="25"/>
        <v>0</v>
      </c>
      <c r="G54" s="851"/>
      <c r="H54" s="851"/>
      <c r="I54" s="851"/>
      <c r="J54" s="852">
        <f t="shared" si="26"/>
        <v>0</v>
      </c>
      <c r="K54" s="851"/>
      <c r="L54" s="851"/>
      <c r="M54" s="851"/>
      <c r="N54" s="852">
        <f t="shared" si="27"/>
        <v>0</v>
      </c>
      <c r="O54" s="58"/>
      <c r="P54" s="155" t="s">
        <v>325</v>
      </c>
      <c r="Q54" s="598"/>
      <c r="R54" s="598"/>
      <c r="S54" s="598"/>
      <c r="T54" s="82">
        <f t="shared" si="28"/>
        <v>0</v>
      </c>
      <c r="U54" s="78">
        <f t="shared" si="22"/>
        <v>0</v>
      </c>
      <c r="V54" s="583"/>
      <c r="W54" s="583"/>
      <c r="X54" s="583"/>
      <c r="Y54" s="583"/>
    </row>
    <row r="55" spans="1:26" s="86" customFormat="1" ht="28.5" customHeight="1">
      <c r="A55" s="841"/>
      <c r="B55" s="563" t="s">
        <v>329</v>
      </c>
      <c r="C55" s="853">
        <f t="shared" ref="C55:N55" si="29">SUM(C41:C54)</f>
        <v>78560</v>
      </c>
      <c r="D55" s="853">
        <f t="shared" si="29"/>
        <v>20290</v>
      </c>
      <c r="E55" s="853">
        <f t="shared" si="29"/>
        <v>73771</v>
      </c>
      <c r="F55" s="853">
        <f t="shared" si="29"/>
        <v>172621</v>
      </c>
      <c r="G55" s="853">
        <f t="shared" si="29"/>
        <v>14160</v>
      </c>
      <c r="H55" s="853">
        <f t="shared" si="29"/>
        <v>67234</v>
      </c>
      <c r="I55" s="853">
        <f t="shared" si="29"/>
        <v>30829</v>
      </c>
      <c r="J55" s="853">
        <f t="shared" si="29"/>
        <v>112223</v>
      </c>
      <c r="K55" s="853">
        <f t="shared" si="29"/>
        <v>20983</v>
      </c>
      <c r="L55" s="853">
        <f t="shared" si="29"/>
        <v>43945</v>
      </c>
      <c r="M55" s="853">
        <f t="shared" si="29"/>
        <v>5388</v>
      </c>
      <c r="N55" s="853">
        <f t="shared" si="29"/>
        <v>70316</v>
      </c>
      <c r="O55" s="840"/>
      <c r="P55" s="601" t="s">
        <v>329</v>
      </c>
      <c r="Q55" s="595">
        <f t="shared" ref="Q55:U55" si="30">SUM(Q41:Q54)</f>
        <v>58959</v>
      </c>
      <c r="R55" s="595">
        <f t="shared" si="30"/>
        <v>21102</v>
      </c>
      <c r="S55" s="595">
        <f t="shared" si="30"/>
        <v>3245</v>
      </c>
      <c r="T55" s="595">
        <f t="shared" si="30"/>
        <v>83306</v>
      </c>
      <c r="U55" s="596">
        <f t="shared" si="30"/>
        <v>438466</v>
      </c>
      <c r="V55" s="602">
        <f>SUM(V41:V54)</f>
        <v>396633.77</v>
      </c>
      <c r="W55" s="602">
        <f t="shared" ref="W55:Y55" si="31">SUM(W41:W54)</f>
        <v>0</v>
      </c>
      <c r="X55" s="602">
        <f t="shared" si="31"/>
        <v>0</v>
      </c>
      <c r="Y55" s="602">
        <f t="shared" si="31"/>
        <v>41832</v>
      </c>
      <c r="Z55" s="883"/>
    </row>
    <row r="56" spans="1:26" s="86" customFormat="1" ht="28.5" customHeight="1">
      <c r="A56" s="137"/>
      <c r="B56" s="150"/>
      <c r="C56" s="851"/>
      <c r="D56" s="851"/>
      <c r="E56" s="851"/>
      <c r="F56" s="851"/>
      <c r="G56" s="851"/>
      <c r="H56" s="851"/>
      <c r="I56" s="851"/>
      <c r="J56" s="851"/>
      <c r="K56" s="851"/>
      <c r="L56" s="851"/>
      <c r="M56" s="851"/>
      <c r="N56" s="851"/>
      <c r="O56" s="603"/>
      <c r="P56" s="604"/>
      <c r="Q56" s="598"/>
      <c r="R56" s="598"/>
      <c r="S56" s="598"/>
      <c r="T56" s="598"/>
      <c r="U56" s="599"/>
      <c r="V56" s="583"/>
      <c r="W56" s="583"/>
      <c r="X56" s="583"/>
      <c r="Y56" s="583"/>
    </row>
    <row r="57" spans="1:26" s="86" customFormat="1" ht="28.5" customHeight="1">
      <c r="A57" s="112">
        <v>6</v>
      </c>
      <c r="B57" s="111" t="s">
        <v>326</v>
      </c>
      <c r="C57" s="851"/>
      <c r="D57" s="851"/>
      <c r="E57" s="851"/>
      <c r="F57" s="851"/>
      <c r="G57" s="851"/>
      <c r="H57" s="851"/>
      <c r="I57" s="851"/>
      <c r="J57" s="851"/>
      <c r="K57" s="851"/>
      <c r="L57" s="851"/>
      <c r="M57" s="851"/>
      <c r="N57" s="851"/>
      <c r="O57" s="112">
        <v>6</v>
      </c>
      <c r="P57" s="111" t="s">
        <v>326</v>
      </c>
      <c r="Q57" s="598"/>
      <c r="R57" s="598"/>
      <c r="S57" s="598"/>
      <c r="T57" s="598"/>
      <c r="U57" s="599"/>
      <c r="V57" s="583"/>
      <c r="W57" s="583"/>
      <c r="X57" s="583"/>
      <c r="Y57" s="583"/>
    </row>
    <row r="58" spans="1:26" s="86" customFormat="1" ht="28.5" customHeight="1">
      <c r="A58" s="58"/>
      <c r="B58" s="140" t="s">
        <v>330</v>
      </c>
      <c r="C58" s="851">
        <f>1060+19131+4286</f>
        <v>24477</v>
      </c>
      <c r="D58" s="851">
        <f>19131+4286</f>
        <v>23417</v>
      </c>
      <c r="E58" s="851">
        <f>2394+19131+4286</f>
        <v>25811</v>
      </c>
      <c r="F58" s="852">
        <f t="shared" ref="F58:F60" si="32">SUM(C58:E58)</f>
        <v>73705</v>
      </c>
      <c r="G58" s="851">
        <f>2143+10309+1786+21681</f>
        <v>35919</v>
      </c>
      <c r="H58" s="851">
        <f>10273+12310</f>
        <v>22583</v>
      </c>
      <c r="I58" s="851">
        <f>10273+14036</f>
        <v>24309</v>
      </c>
      <c r="J58" s="852">
        <f t="shared" ref="J58:J60" si="33">SUM(G58:I58)</f>
        <v>82811</v>
      </c>
      <c r="K58" s="851">
        <f>2143+8645+4837</f>
        <v>15625</v>
      </c>
      <c r="L58" s="851">
        <f>8645+3480</f>
        <v>12125</v>
      </c>
      <c r="M58" s="851">
        <f>1429+8645+3597</f>
        <v>13671</v>
      </c>
      <c r="N58" s="852">
        <f>SUM(K58:M58)</f>
        <v>41421</v>
      </c>
      <c r="O58" s="58"/>
      <c r="P58" s="140" t="s">
        <v>330</v>
      </c>
      <c r="Q58" s="598">
        <f>8645+2623</f>
        <v>11268</v>
      </c>
      <c r="R58" s="598">
        <f>1071+8645+1659</f>
        <v>11375</v>
      </c>
      <c r="S58" s="598">
        <f>8288+1659</f>
        <v>9947</v>
      </c>
      <c r="T58" s="82">
        <f t="shared" ref="T58:T60" si="34">SUM(Q58:S58)</f>
        <v>32590</v>
      </c>
      <c r="U58" s="78">
        <f t="shared" ref="U58:U59" si="35">SUM(J58,N58,T58,F58)</f>
        <v>230527</v>
      </c>
      <c r="V58" s="583">
        <v>222851</v>
      </c>
      <c r="W58" s="583"/>
      <c r="X58" s="583"/>
      <c r="Y58" s="583">
        <v>7676</v>
      </c>
      <c r="Z58" s="883"/>
    </row>
    <row r="59" spans="1:26" s="86" customFormat="1" ht="28.5" customHeight="1">
      <c r="A59" s="58"/>
      <c r="B59" s="140" t="s">
        <v>321</v>
      </c>
      <c r="C59" s="851">
        <v>42326</v>
      </c>
      <c r="D59" s="851">
        <v>48032</v>
      </c>
      <c r="E59" s="851">
        <v>42326</v>
      </c>
      <c r="F59" s="852">
        <f t="shared" si="32"/>
        <v>132684</v>
      </c>
      <c r="G59" s="851">
        <v>38600</v>
      </c>
      <c r="H59" s="851">
        <v>38600</v>
      </c>
      <c r="I59" s="851">
        <v>38600</v>
      </c>
      <c r="J59" s="852">
        <f t="shared" si="33"/>
        <v>115800</v>
      </c>
      <c r="K59" s="851">
        <v>38065</v>
      </c>
      <c r="L59" s="851">
        <v>38065</v>
      </c>
      <c r="M59" s="851">
        <v>29968</v>
      </c>
      <c r="N59" s="852">
        <f t="shared" ref="N59:N60" si="36">SUM(K59:M59)</f>
        <v>106098</v>
      </c>
      <c r="O59" s="58"/>
      <c r="P59" s="140" t="s">
        <v>321</v>
      </c>
      <c r="Q59" s="598">
        <v>28861</v>
      </c>
      <c r="R59" s="598">
        <v>28861</v>
      </c>
      <c r="S59" s="598">
        <v>28861</v>
      </c>
      <c r="T59" s="82">
        <f t="shared" si="34"/>
        <v>86583</v>
      </c>
      <c r="U59" s="78">
        <f t="shared" si="35"/>
        <v>441165</v>
      </c>
      <c r="V59" s="583">
        <v>313808</v>
      </c>
      <c r="W59" s="583"/>
      <c r="X59" s="583"/>
      <c r="Y59" s="583">
        <v>127357</v>
      </c>
      <c r="Z59" s="883"/>
    </row>
    <row r="60" spans="1:26" s="86" customFormat="1" ht="28.5" customHeight="1">
      <c r="A60" s="58"/>
      <c r="B60" s="140" t="s">
        <v>324</v>
      </c>
      <c r="C60" s="851"/>
      <c r="D60" s="851"/>
      <c r="E60" s="851"/>
      <c r="F60" s="852">
        <f t="shared" si="32"/>
        <v>0</v>
      </c>
      <c r="G60" s="851"/>
      <c r="H60" s="851"/>
      <c r="I60" s="851"/>
      <c r="J60" s="852">
        <f t="shared" si="33"/>
        <v>0</v>
      </c>
      <c r="K60" s="851">
        <v>15986</v>
      </c>
      <c r="L60" s="851"/>
      <c r="M60" s="851"/>
      <c r="N60" s="852">
        <f t="shared" si="36"/>
        <v>15986</v>
      </c>
      <c r="O60" s="58"/>
      <c r="P60" s="140" t="s">
        <v>324</v>
      </c>
      <c r="Q60" s="598"/>
      <c r="R60" s="598"/>
      <c r="S60" s="598"/>
      <c r="T60" s="82">
        <f t="shared" si="34"/>
        <v>0</v>
      </c>
      <c r="U60" s="78">
        <f>SUM(J60,N60,T60,F60)</f>
        <v>15986</v>
      </c>
      <c r="V60" s="583">
        <f>+U60</f>
        <v>15986</v>
      </c>
      <c r="W60" s="583"/>
      <c r="X60" s="583"/>
      <c r="Y60" s="583"/>
      <c r="Z60" s="883"/>
    </row>
    <row r="61" spans="1:26" s="86" customFormat="1" ht="28.5" customHeight="1">
      <c r="A61" s="564"/>
      <c r="B61" s="554" t="s">
        <v>332</v>
      </c>
      <c r="C61" s="853">
        <f>SUM(C58:C60)</f>
        <v>66803</v>
      </c>
      <c r="D61" s="853">
        <f t="shared" ref="D61:Y61" si="37">SUM(D58:D60)</f>
        <v>71449</v>
      </c>
      <c r="E61" s="853">
        <f>SUM(E58:E60)</f>
        <v>68137</v>
      </c>
      <c r="F61" s="853">
        <f t="shared" si="37"/>
        <v>206389</v>
      </c>
      <c r="G61" s="853">
        <f t="shared" si="37"/>
        <v>74519</v>
      </c>
      <c r="H61" s="853">
        <f t="shared" si="37"/>
        <v>61183</v>
      </c>
      <c r="I61" s="853">
        <f t="shared" si="37"/>
        <v>62909</v>
      </c>
      <c r="J61" s="853">
        <f t="shared" si="37"/>
        <v>198611</v>
      </c>
      <c r="K61" s="853">
        <f>SUM(K58:K60)</f>
        <v>69676</v>
      </c>
      <c r="L61" s="853">
        <f t="shared" si="37"/>
        <v>50190</v>
      </c>
      <c r="M61" s="853">
        <f t="shared" si="37"/>
        <v>43639</v>
      </c>
      <c r="N61" s="853">
        <f t="shared" si="37"/>
        <v>163505</v>
      </c>
      <c r="O61" s="564"/>
      <c r="P61" s="554" t="s">
        <v>332</v>
      </c>
      <c r="Q61" s="595">
        <f t="shared" si="37"/>
        <v>40129</v>
      </c>
      <c r="R61" s="595">
        <f t="shared" si="37"/>
        <v>40236</v>
      </c>
      <c r="S61" s="595">
        <f t="shared" si="37"/>
        <v>38808</v>
      </c>
      <c r="T61" s="595">
        <f t="shared" si="37"/>
        <v>119173</v>
      </c>
      <c r="U61" s="596">
        <f>SUM(U58:U60)</f>
        <v>687678</v>
      </c>
      <c r="V61" s="602">
        <f>SUM(V58:V60)</f>
        <v>552645</v>
      </c>
      <c r="W61" s="602">
        <f t="shared" si="37"/>
        <v>0</v>
      </c>
      <c r="X61" s="602">
        <f t="shared" si="37"/>
        <v>0</v>
      </c>
      <c r="Y61" s="602">
        <f t="shared" si="37"/>
        <v>135033</v>
      </c>
    </row>
    <row r="62" spans="1:26" s="86" customFormat="1" ht="28.5" customHeight="1">
      <c r="A62" s="151">
        <v>5</v>
      </c>
      <c r="B62" s="111" t="s">
        <v>327</v>
      </c>
      <c r="C62" s="851"/>
      <c r="D62" s="851"/>
      <c r="E62" s="851"/>
      <c r="F62" s="852">
        <f t="shared" ref="F62:F64" si="38">SUM(C62:E62)</f>
        <v>0</v>
      </c>
      <c r="G62" s="851"/>
      <c r="H62" s="851"/>
      <c r="I62" s="851"/>
      <c r="J62" s="852">
        <f t="shared" ref="J62:J63" si="39">SUM(G62:I62)</f>
        <v>0</v>
      </c>
      <c r="K62" s="851"/>
      <c r="L62" s="851"/>
      <c r="M62" s="851"/>
      <c r="N62" s="852">
        <f t="shared" ref="N62:N63" si="40">SUM(K62:M62)</f>
        <v>0</v>
      </c>
      <c r="O62" s="151">
        <v>5</v>
      </c>
      <c r="P62" s="111" t="s">
        <v>327</v>
      </c>
      <c r="Q62" s="598"/>
      <c r="R62" s="598"/>
      <c r="S62" s="598"/>
      <c r="T62" s="82">
        <f t="shared" ref="T62:T63" si="41">SUM(Q62:S62)</f>
        <v>0</v>
      </c>
      <c r="U62" s="78">
        <f>SUM(J62,N62,T62,F62)</f>
        <v>0</v>
      </c>
      <c r="V62" s="583"/>
      <c r="W62" s="583">
        <f>+U62</f>
        <v>0</v>
      </c>
      <c r="X62" s="583"/>
      <c r="Y62" s="583"/>
    </row>
    <row r="63" spans="1:26" s="86" customFormat="1" ht="28.5" customHeight="1">
      <c r="A63" s="104"/>
      <c r="B63" s="105" t="s">
        <v>577</v>
      </c>
      <c r="C63" s="851"/>
      <c r="D63" s="851"/>
      <c r="E63" s="851"/>
      <c r="F63" s="852">
        <f t="shared" si="38"/>
        <v>0</v>
      </c>
      <c r="G63" s="851"/>
      <c r="H63" s="851"/>
      <c r="I63" s="851"/>
      <c r="J63" s="852">
        <f t="shared" si="39"/>
        <v>0</v>
      </c>
      <c r="K63" s="851"/>
      <c r="L63" s="851"/>
      <c r="M63" s="851"/>
      <c r="N63" s="852">
        <f t="shared" si="40"/>
        <v>0</v>
      </c>
      <c r="O63" s="104"/>
      <c r="P63" s="105" t="s">
        <v>577</v>
      </c>
      <c r="Q63" s="598"/>
      <c r="R63" s="598"/>
      <c r="S63" s="598"/>
      <c r="T63" s="82">
        <f t="shared" si="41"/>
        <v>0</v>
      </c>
      <c r="U63" s="78">
        <f>SUM(J63,N63,T63,F63)</f>
        <v>0</v>
      </c>
      <c r="V63" s="605"/>
      <c r="W63" s="605">
        <f>+U63</f>
        <v>0</v>
      </c>
      <c r="X63" s="605"/>
      <c r="Y63" s="605"/>
    </row>
    <row r="64" spans="1:26" s="86" customFormat="1" ht="28.5" customHeight="1">
      <c r="A64" s="137"/>
      <c r="B64" s="138" t="s">
        <v>331</v>
      </c>
      <c r="C64" s="851"/>
      <c r="D64" s="851">
        <v>226273</v>
      </c>
      <c r="E64" s="851"/>
      <c r="F64" s="852">
        <f t="shared" si="38"/>
        <v>226273</v>
      </c>
      <c r="G64" s="851"/>
      <c r="H64" s="851"/>
      <c r="I64" s="851"/>
      <c r="J64" s="850"/>
      <c r="K64" s="851"/>
      <c r="L64" s="851"/>
      <c r="M64" s="851"/>
      <c r="N64" s="850"/>
      <c r="O64" s="603"/>
      <c r="P64" s="606"/>
      <c r="Q64" s="598"/>
      <c r="R64" s="598"/>
      <c r="S64" s="598"/>
      <c r="T64" s="77"/>
      <c r="U64" s="78">
        <f>SUM(J64,N64,T64,F64)</f>
        <v>226273</v>
      </c>
      <c r="V64" s="583"/>
      <c r="W64" s="583">
        <v>226273</v>
      </c>
      <c r="X64" s="583"/>
      <c r="Y64" s="583"/>
    </row>
    <row r="65" spans="1:25" s="79" customFormat="1" ht="28.5" customHeight="1">
      <c r="A65" s="1304" t="s">
        <v>165</v>
      </c>
      <c r="B65" s="1305"/>
      <c r="C65" s="608">
        <f t="shared" ref="C65:N65" si="42">C22+C31+C39+C55+C61+C62+C63+C40+C64</f>
        <v>735198</v>
      </c>
      <c r="D65" s="608">
        <f t="shared" si="42"/>
        <v>1798778</v>
      </c>
      <c r="E65" s="608">
        <f t="shared" si="42"/>
        <v>1415348</v>
      </c>
      <c r="F65" s="608">
        <f t="shared" si="42"/>
        <v>3949324</v>
      </c>
      <c r="G65" s="608">
        <f t="shared" si="42"/>
        <v>710852</v>
      </c>
      <c r="H65" s="608">
        <f t="shared" si="42"/>
        <v>660076</v>
      </c>
      <c r="I65" s="608">
        <f>I22+I31+I39+I55+I61+I62+I63+I40+I64</f>
        <v>679839</v>
      </c>
      <c r="J65" s="608">
        <f t="shared" si="42"/>
        <v>2050767</v>
      </c>
      <c r="K65" s="608">
        <f t="shared" si="42"/>
        <v>353204</v>
      </c>
      <c r="L65" s="608">
        <f t="shared" si="42"/>
        <v>262770</v>
      </c>
      <c r="M65" s="608">
        <f t="shared" si="42"/>
        <v>193608</v>
      </c>
      <c r="N65" s="608">
        <f t="shared" si="42"/>
        <v>809582</v>
      </c>
      <c r="O65" s="1309" t="s">
        <v>165</v>
      </c>
      <c r="P65" s="1310"/>
      <c r="Q65" s="607">
        <f t="shared" ref="Q65:Y65" si="43">Q22+Q31+Q39+Q55+Q61+Q62+Q63+Q40+Q64</f>
        <v>249154</v>
      </c>
      <c r="R65" s="607">
        <f t="shared" si="43"/>
        <v>176983</v>
      </c>
      <c r="S65" s="607">
        <f t="shared" si="43"/>
        <v>157705</v>
      </c>
      <c r="T65" s="607">
        <f t="shared" si="43"/>
        <v>583842</v>
      </c>
      <c r="U65" s="607">
        <f t="shared" si="43"/>
        <v>7393515</v>
      </c>
      <c r="V65" s="608">
        <f t="shared" si="43"/>
        <v>1572561.77</v>
      </c>
      <c r="W65" s="608">
        <f>W22+W31+W39+W55+W61+W62+W63+W40+W64</f>
        <v>800000</v>
      </c>
      <c r="X65" s="608">
        <f t="shared" si="43"/>
        <v>1731370</v>
      </c>
      <c r="Y65" s="608">
        <f t="shared" si="43"/>
        <v>3289583</v>
      </c>
    </row>
    <row r="66" spans="1:25" s="79" customFormat="1" ht="39.950000000000003" customHeight="1">
      <c r="A66" s="1306" t="s">
        <v>166</v>
      </c>
      <c r="B66" s="1306"/>
      <c r="C66" s="848"/>
      <c r="D66" s="848"/>
      <c r="E66" s="849">
        <f>+F65+J65</f>
        <v>6000091</v>
      </c>
      <c r="F66" s="847"/>
      <c r="G66" s="848"/>
      <c r="H66" s="848"/>
      <c r="I66" s="848"/>
      <c r="J66" s="847"/>
      <c r="K66" s="848"/>
      <c r="L66" s="848">
        <f>+N65+T65</f>
        <v>1393424</v>
      </c>
      <c r="M66" s="848"/>
      <c r="N66" s="847"/>
      <c r="O66" s="1311" t="s">
        <v>166</v>
      </c>
      <c r="P66" s="1311"/>
      <c r="Q66" s="609"/>
      <c r="R66" s="609"/>
      <c r="S66" s="609"/>
      <c r="T66" s="131"/>
      <c r="U66" s="596">
        <f>+L66+E66</f>
        <v>7393515</v>
      </c>
      <c r="V66" s="610">
        <f>H66+R66</f>
        <v>0</v>
      </c>
      <c r="W66" s="585">
        <f>I66+S66</f>
        <v>0</v>
      </c>
      <c r="X66" s="585">
        <f>J66+T66</f>
        <v>0</v>
      </c>
      <c r="Y66" s="586"/>
    </row>
    <row r="67" spans="1:25" ht="28.5" customHeight="1">
      <c r="A67" s="87"/>
      <c r="B67" s="87"/>
      <c r="C67" s="846"/>
      <c r="D67" s="846"/>
      <c r="E67" s="846"/>
      <c r="F67" s="843"/>
      <c r="G67" s="845"/>
      <c r="H67" s="845"/>
      <c r="I67" s="845"/>
      <c r="J67" s="843"/>
      <c r="K67" s="844"/>
      <c r="L67" s="844"/>
      <c r="M67" s="844"/>
      <c r="N67" s="843"/>
      <c r="O67" s="611"/>
      <c r="P67" s="611"/>
      <c r="Q67" s="89"/>
      <c r="R67" s="89"/>
      <c r="S67" s="89"/>
      <c r="T67" s="88"/>
      <c r="U67" s="90"/>
      <c r="V67" s="582"/>
      <c r="W67" s="582"/>
      <c r="X67" s="587"/>
      <c r="Y67" s="582"/>
    </row>
    <row r="68" spans="1:25" ht="43.5" customHeight="1">
      <c r="B68" s="65" t="s">
        <v>167</v>
      </c>
      <c r="F68" s="92"/>
      <c r="G68" s="92"/>
      <c r="J68" s="92"/>
      <c r="K68" s="92"/>
      <c r="N68" s="92"/>
      <c r="O68" s="92"/>
      <c r="P68" s="92"/>
      <c r="T68" s="92"/>
      <c r="U68" s="211"/>
      <c r="V68" s="588"/>
      <c r="W68" s="588"/>
      <c r="X68" s="588"/>
      <c r="Y68" s="589"/>
    </row>
    <row r="69" spans="1:25" ht="15.75">
      <c r="B69" s="91"/>
      <c r="C69" s="93"/>
      <c r="D69" s="93"/>
      <c r="E69" s="93"/>
      <c r="F69" s="93"/>
      <c r="G69" s="93"/>
      <c r="H69" s="93"/>
      <c r="I69" s="93"/>
      <c r="J69" s="93"/>
      <c r="K69" s="93"/>
      <c r="L69" s="93"/>
      <c r="M69" s="93"/>
      <c r="N69" s="93"/>
      <c r="O69" s="92"/>
      <c r="P69" s="92"/>
      <c r="T69" s="92"/>
      <c r="U69" s="93"/>
      <c r="V69" s="589"/>
      <c r="W69" s="589"/>
      <c r="X69" s="589"/>
      <c r="Y69" s="589"/>
    </row>
    <row r="70" spans="1:25" ht="15.75">
      <c r="B70" s="91" t="s">
        <v>761</v>
      </c>
      <c r="F70" s="66" t="s">
        <v>761</v>
      </c>
      <c r="J70" s="92"/>
      <c r="N70" s="92"/>
      <c r="O70" s="92"/>
      <c r="P70" s="92"/>
      <c r="T70" s="92"/>
      <c r="U70" s="211"/>
      <c r="V70" s="588"/>
      <c r="W70" s="588"/>
      <c r="X70" s="588"/>
      <c r="Y70" s="588"/>
    </row>
    <row r="71" spans="1:25" ht="15.75">
      <c r="B71" s="65" t="s">
        <v>168</v>
      </c>
      <c r="F71" s="92" t="s">
        <v>168</v>
      </c>
      <c r="G71" s="92"/>
      <c r="H71" s="92"/>
      <c r="I71" s="171"/>
      <c r="J71" s="92"/>
      <c r="N71" s="92"/>
      <c r="O71" s="92"/>
      <c r="P71" s="92"/>
      <c r="T71" s="92"/>
      <c r="V71" s="588"/>
      <c r="W71" s="588"/>
      <c r="X71" s="588"/>
      <c r="Y71" s="590"/>
    </row>
    <row r="72" spans="1:25" ht="15.75">
      <c r="B72" s="65" t="s">
        <v>169</v>
      </c>
      <c r="F72" s="92" t="s">
        <v>170</v>
      </c>
      <c r="J72" s="92"/>
      <c r="N72" s="92"/>
      <c r="O72" s="92"/>
      <c r="P72" s="92"/>
      <c r="T72" s="92"/>
      <c r="U72" s="211"/>
      <c r="V72" s="588"/>
      <c r="W72" s="588"/>
      <c r="X72" s="588"/>
      <c r="Y72" s="588"/>
    </row>
    <row r="73" spans="1:25" ht="15.75">
      <c r="B73" s="91"/>
      <c r="F73" s="92"/>
      <c r="J73" s="92"/>
      <c r="N73" s="92"/>
      <c r="O73" s="92"/>
      <c r="P73" s="92"/>
      <c r="T73" s="92"/>
      <c r="U73" s="211"/>
      <c r="V73" s="588"/>
      <c r="W73" s="588"/>
      <c r="X73" s="588"/>
      <c r="Y73" s="588"/>
    </row>
  </sheetData>
  <mergeCells count="19">
    <mergeCell ref="O31:P31"/>
    <mergeCell ref="O39:P39"/>
    <mergeCell ref="O65:P65"/>
    <mergeCell ref="O66:P66"/>
    <mergeCell ref="V5:Y5"/>
    <mergeCell ref="A31:B31"/>
    <mergeCell ref="A65:B65"/>
    <mergeCell ref="A66:B66"/>
    <mergeCell ref="A5:A6"/>
    <mergeCell ref="B5:B6"/>
    <mergeCell ref="A39:B39"/>
    <mergeCell ref="C5:F5"/>
    <mergeCell ref="G5:J5"/>
    <mergeCell ref="K5:N5"/>
    <mergeCell ref="Q5:T5"/>
    <mergeCell ref="A22:B22"/>
    <mergeCell ref="O5:O6"/>
    <mergeCell ref="P5:P6"/>
    <mergeCell ref="O22:P22"/>
  </mergeCells>
  <printOptions gridLines="1"/>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83"/>
  <sheetViews>
    <sheetView workbookViewId="0">
      <pane xSplit="2" ySplit="5" topLeftCell="C6" activePane="bottomRight" state="frozen"/>
      <selection pane="topRight" activeCell="C1" sqref="C1"/>
      <selection pane="bottomLeft" activeCell="A3" sqref="A3"/>
      <selection pane="bottomRight" activeCell="R1" sqref="R1"/>
    </sheetView>
  </sheetViews>
  <sheetFormatPr defaultColWidth="8.875" defaultRowHeight="12.75"/>
  <cols>
    <col min="1" max="1" width="5.375" style="66" bestFit="1" customWidth="1"/>
    <col min="2" max="2" width="26.875" style="66" customWidth="1"/>
    <col min="3" max="3" width="10.625" style="66" customWidth="1"/>
    <col min="4" max="4" width="10.5" style="66" customWidth="1"/>
    <col min="5" max="5" width="10.25" style="66" customWidth="1"/>
    <col min="6" max="6" width="5.875" style="66" customWidth="1"/>
    <col min="7" max="7" width="12" style="66" customWidth="1"/>
    <col min="8" max="10" width="11" style="66" customWidth="1"/>
    <col min="11" max="11" width="10.25" style="66" customWidth="1"/>
    <col min="12" max="12" width="10.5" style="66" customWidth="1"/>
    <col min="13" max="13" width="9.875" style="66" customWidth="1"/>
    <col min="14" max="14" width="9.625" style="66" customWidth="1"/>
    <col min="15" max="15" width="12.5" style="66" customWidth="1"/>
    <col min="16" max="16" width="5.875" style="66" customWidth="1"/>
    <col min="17" max="17" width="10.875" style="66" customWidth="1"/>
    <col min="18" max="18" width="27.375" style="66" customWidth="1"/>
    <col min="19" max="21" width="12" style="66" customWidth="1"/>
    <col min="22" max="22" width="10.625" style="66" customWidth="1"/>
    <col min="23" max="23" width="12.125" style="66" customWidth="1"/>
    <col min="24" max="26" width="14.125" style="66" customWidth="1"/>
    <col min="27" max="27" width="10.125" style="66" bestFit="1" customWidth="1"/>
    <col min="28" max="28" width="14.625" style="66" customWidth="1"/>
    <col min="29" max="29" width="8.875" style="66"/>
    <col min="30" max="30" width="9.875" style="66" bestFit="1" customWidth="1"/>
    <col min="31" max="16384" width="8.875" style="66"/>
  </cols>
  <sheetData>
    <row r="1" spans="1:29" ht="21">
      <c r="A1" s="20" t="s">
        <v>258</v>
      </c>
    </row>
    <row r="2" spans="1:29" ht="21">
      <c r="A2" s="20" t="s">
        <v>555</v>
      </c>
      <c r="G2" s="92"/>
      <c r="H2" s="92"/>
      <c r="I2" s="92"/>
      <c r="J2" s="92"/>
      <c r="K2" s="92"/>
    </row>
    <row r="3" spans="1:29" ht="21.75" thickBot="1">
      <c r="A3" s="20" t="s">
        <v>552</v>
      </c>
      <c r="D3" s="93"/>
      <c r="E3" s="93"/>
      <c r="G3" s="93"/>
      <c r="I3" s="93"/>
      <c r="M3" s="93"/>
      <c r="S3" s="211"/>
      <c r="U3" s="211"/>
      <c r="V3" s="211"/>
      <c r="W3" s="211"/>
    </row>
    <row r="4" spans="1:29" ht="41.25" customHeight="1">
      <c r="A4" s="1315" t="s">
        <v>50</v>
      </c>
      <c r="B4" s="1317" t="s">
        <v>145</v>
      </c>
      <c r="C4" s="1313" t="s">
        <v>171</v>
      </c>
      <c r="D4" s="1313"/>
      <c r="E4" s="1313"/>
      <c r="F4" s="1313"/>
      <c r="G4" s="1313"/>
      <c r="H4" s="1313" t="s">
        <v>841</v>
      </c>
      <c r="I4" s="1313"/>
      <c r="J4" s="1313"/>
      <c r="K4" s="1313"/>
      <c r="L4" s="1313"/>
      <c r="M4" s="1313" t="s">
        <v>172</v>
      </c>
      <c r="N4" s="1313"/>
      <c r="O4" s="1313"/>
      <c r="P4" s="1313"/>
      <c r="Q4" s="1313"/>
      <c r="R4" s="291" t="s">
        <v>145</v>
      </c>
      <c r="S4" s="1313" t="s">
        <v>825</v>
      </c>
      <c r="T4" s="1313"/>
      <c r="U4" s="1313"/>
      <c r="V4" s="1313"/>
      <c r="W4" s="1313"/>
      <c r="X4" s="1313" t="s">
        <v>173</v>
      </c>
      <c r="Y4" s="1313"/>
      <c r="Z4" s="1313"/>
      <c r="AA4" s="1313"/>
      <c r="AB4" s="1314"/>
    </row>
    <row r="5" spans="1:29" ht="23.25" customHeight="1">
      <c r="A5" s="1316"/>
      <c r="B5" s="1318"/>
      <c r="C5" s="247" t="s">
        <v>174</v>
      </c>
      <c r="D5" s="247" t="s">
        <v>294</v>
      </c>
      <c r="E5" s="247" t="s">
        <v>295</v>
      </c>
      <c r="F5" s="247" t="s">
        <v>175</v>
      </c>
      <c r="G5" s="247" t="s">
        <v>153</v>
      </c>
      <c r="H5" s="247" t="s">
        <v>174</v>
      </c>
      <c r="I5" s="247" t="s">
        <v>294</v>
      </c>
      <c r="J5" s="247" t="s">
        <v>295</v>
      </c>
      <c r="K5" s="247" t="s">
        <v>175</v>
      </c>
      <c r="L5" s="247" t="s">
        <v>153</v>
      </c>
      <c r="M5" s="247" t="s">
        <v>174</v>
      </c>
      <c r="N5" s="247" t="s">
        <v>294</v>
      </c>
      <c r="O5" s="247" t="s">
        <v>295</v>
      </c>
      <c r="P5" s="247" t="s">
        <v>175</v>
      </c>
      <c r="Q5" s="247" t="s">
        <v>153</v>
      </c>
      <c r="R5" s="247"/>
      <c r="S5" s="247" t="s">
        <v>174</v>
      </c>
      <c r="T5" s="247" t="s">
        <v>294</v>
      </c>
      <c r="U5" s="247" t="s">
        <v>295</v>
      </c>
      <c r="V5" s="247" t="s">
        <v>175</v>
      </c>
      <c r="W5" s="247" t="s">
        <v>153</v>
      </c>
      <c r="X5" s="247" t="s">
        <v>174</v>
      </c>
      <c r="Y5" s="247" t="s">
        <v>294</v>
      </c>
      <c r="Z5" s="247" t="s">
        <v>295</v>
      </c>
      <c r="AA5" s="247" t="s">
        <v>175</v>
      </c>
      <c r="AB5" s="248" t="s">
        <v>153</v>
      </c>
    </row>
    <row r="6" spans="1:29" ht="76.5" customHeight="1">
      <c r="A6" s="555">
        <v>1</v>
      </c>
      <c r="B6" s="556" t="str">
        <f>+'5. Financial Plan'!B7</f>
        <v>Component 1 -Culture change for Peaceful Co-existence and Community Goivernance</v>
      </c>
      <c r="C6" s="547">
        <f>SUM(C7:C21)</f>
        <v>6173916</v>
      </c>
      <c r="D6" s="547">
        <f t="shared" ref="D6:AA6" si="0">SUM(D7:D21)</f>
        <v>4543359</v>
      </c>
      <c r="E6" s="547">
        <f>SUM(E7:E21)</f>
        <v>3037645</v>
      </c>
      <c r="F6" s="547">
        <f t="shared" si="0"/>
        <v>0</v>
      </c>
      <c r="G6" s="547">
        <f t="shared" si="0"/>
        <v>13754920</v>
      </c>
      <c r="H6" s="547">
        <f>SUM(H7:H21)</f>
        <v>6167260</v>
      </c>
      <c r="I6" s="547">
        <f t="shared" ref="I6" si="1">SUM(I7:I21)</f>
        <v>4549934</v>
      </c>
      <c r="J6" s="547">
        <f t="shared" ref="J6" si="2">SUM(J7:J21)</f>
        <v>3042156</v>
      </c>
      <c r="K6" s="547">
        <f t="shared" si="0"/>
        <v>1646514</v>
      </c>
      <c r="L6" s="547">
        <f>SUM(L7:L21)</f>
        <v>15405864</v>
      </c>
      <c r="M6" s="547">
        <f>SUM(M7:M21)</f>
        <v>6656</v>
      </c>
      <c r="N6" s="547">
        <f t="shared" ref="N6:O6" si="3">SUM(N7:N21)</f>
        <v>-6575</v>
      </c>
      <c r="O6" s="547">
        <f t="shared" si="3"/>
        <v>-4511</v>
      </c>
      <c r="P6" s="547">
        <f t="shared" si="0"/>
        <v>0</v>
      </c>
      <c r="Q6" s="547">
        <f>SUM(Q7:Q21)</f>
        <v>-4430</v>
      </c>
      <c r="R6" s="556" t="str">
        <f>+B6</f>
        <v>Component 1 -Culture change for Peaceful Co-existence and Community Goivernance</v>
      </c>
      <c r="S6" s="547">
        <f>SUM(S7:S21)</f>
        <v>6502</v>
      </c>
      <c r="T6" s="547">
        <f t="shared" si="0"/>
        <v>0</v>
      </c>
      <c r="U6" s="547">
        <f t="shared" si="0"/>
        <v>0</v>
      </c>
      <c r="V6" s="547">
        <f t="shared" si="0"/>
        <v>1806777</v>
      </c>
      <c r="W6" s="547">
        <f>SUM(W7:W21)</f>
        <v>1813279</v>
      </c>
      <c r="X6" s="547">
        <f>SUM(X7:X21)</f>
        <v>126</v>
      </c>
      <c r="Y6" s="547">
        <f t="shared" si="0"/>
        <v>-6652</v>
      </c>
      <c r="Z6" s="547">
        <f t="shared" si="0"/>
        <v>-4511</v>
      </c>
      <c r="AA6" s="547">
        <f t="shared" si="0"/>
        <v>0</v>
      </c>
      <c r="AB6" s="547">
        <f>SUM(AB7:AB21)</f>
        <v>-11037</v>
      </c>
      <c r="AC6" s="97"/>
    </row>
    <row r="7" spans="1:29" s="153" customFormat="1" ht="54" customHeight="1">
      <c r="A7" s="192" t="str">
        <f>+'5. Financial Plan'!A8</f>
        <v>1.1.1.1</v>
      </c>
      <c r="B7" s="155" t="s">
        <v>268</v>
      </c>
      <c r="C7" s="99">
        <v>341614</v>
      </c>
      <c r="D7" s="99">
        <v>155875</v>
      </c>
      <c r="E7" s="99">
        <f>24027+13000</f>
        <v>37027</v>
      </c>
      <c r="F7" s="99">
        <v>0</v>
      </c>
      <c r="G7" s="99">
        <f>SUM(C7:F7)</f>
        <v>534516</v>
      </c>
      <c r="H7" s="99">
        <v>341286</v>
      </c>
      <c r="I7" s="99">
        <v>155854</v>
      </c>
      <c r="J7" s="99">
        <v>36906</v>
      </c>
      <c r="K7" s="99">
        <v>103673</v>
      </c>
      <c r="L7" s="98">
        <f>SUM(H7:K7)</f>
        <v>637719</v>
      </c>
      <c r="M7" s="99">
        <f>C7-H7</f>
        <v>328</v>
      </c>
      <c r="N7" s="99">
        <f>D7-I7</f>
        <v>21</v>
      </c>
      <c r="O7" s="98">
        <f t="shared" ref="O7" si="4">E7-J7</f>
        <v>121</v>
      </c>
      <c r="P7" s="99">
        <v>0</v>
      </c>
      <c r="Q7" s="98">
        <f>SUM(M7:P7)</f>
        <v>470</v>
      </c>
      <c r="R7" s="155" t="s">
        <v>268</v>
      </c>
      <c r="S7" s="99">
        <f>+'5. Financial Plan'!V8</f>
        <v>328</v>
      </c>
      <c r="T7" s="99">
        <f>+'5. Financial Plan'!W8</f>
        <v>0</v>
      </c>
      <c r="U7" s="99">
        <f>+'5. Financial Plan'!X8</f>
        <v>0</v>
      </c>
      <c r="V7" s="99">
        <f>+'5. Financial Plan'!Y8</f>
        <v>94672</v>
      </c>
      <c r="W7" s="99">
        <f>SUM(S7:V7)</f>
        <v>95000</v>
      </c>
      <c r="X7" s="99">
        <f t="shared" ref="X7:X16" si="5">M7-S7</f>
        <v>0</v>
      </c>
      <c r="Y7" s="99">
        <f>SUM(N7-T7)</f>
        <v>21</v>
      </c>
      <c r="Z7" s="99">
        <f>SUM(O7-U7)</f>
        <v>121</v>
      </c>
      <c r="AA7" s="99">
        <v>0</v>
      </c>
      <c r="AB7" s="193">
        <f>SUM(X7:AA7)</f>
        <v>142</v>
      </c>
      <c r="AC7" s="152"/>
    </row>
    <row r="8" spans="1:29" s="153" customFormat="1" ht="52.5" customHeight="1">
      <c r="A8" s="192" t="str">
        <f>+'5. Financial Plan'!A9</f>
        <v>1.1.1.2</v>
      </c>
      <c r="B8" s="156" t="s">
        <v>269</v>
      </c>
      <c r="C8" s="99">
        <v>255032</v>
      </c>
      <c r="D8" s="99">
        <f>176398-800</f>
        <v>175598</v>
      </c>
      <c r="E8" s="99">
        <v>52598</v>
      </c>
      <c r="F8" s="99">
        <v>0</v>
      </c>
      <c r="G8" s="99">
        <f t="shared" ref="G8:G30" si="6">SUM(C8:F8)</f>
        <v>483228</v>
      </c>
      <c r="H8" s="99">
        <v>253412</v>
      </c>
      <c r="I8" s="99">
        <v>175584</v>
      </c>
      <c r="J8" s="99">
        <v>52575</v>
      </c>
      <c r="K8" s="99">
        <v>156125</v>
      </c>
      <c r="L8" s="98">
        <f t="shared" ref="L8:L11" si="7">SUM(H8:K8)</f>
        <v>637696</v>
      </c>
      <c r="M8" s="99">
        <f>C8-H8</f>
        <v>1620</v>
      </c>
      <c r="N8" s="99">
        <f t="shared" ref="N8:N21" si="8">D8-I8</f>
        <v>14</v>
      </c>
      <c r="O8" s="98">
        <f>E8-J8</f>
        <v>23</v>
      </c>
      <c r="P8" s="99">
        <v>0</v>
      </c>
      <c r="Q8" s="98">
        <f t="shared" ref="Q8:Q20" si="9">SUM(M8:P8)</f>
        <v>1657</v>
      </c>
      <c r="R8" s="156" t="s">
        <v>269</v>
      </c>
      <c r="S8" s="99">
        <f>+'5. Financial Plan'!V9</f>
        <v>1620</v>
      </c>
      <c r="T8" s="99">
        <f>+'5. Financial Plan'!W9</f>
        <v>0</v>
      </c>
      <c r="U8" s="99">
        <f>+'5. Financial Plan'!X9</f>
        <v>0</v>
      </c>
      <c r="V8" s="99">
        <f>+'5. Financial Plan'!Y9</f>
        <v>196768</v>
      </c>
      <c r="W8" s="99">
        <f t="shared" ref="W8:W21" si="10">SUM(S8:V8)</f>
        <v>198388</v>
      </c>
      <c r="X8" s="99">
        <f t="shared" si="5"/>
        <v>0</v>
      </c>
      <c r="Y8" s="99">
        <f t="shared" ref="Y8:Y17" si="11">SUM(N8-T8)</f>
        <v>14</v>
      </c>
      <c r="Z8" s="99">
        <f t="shared" ref="Z8:Z17" si="12">SUM(O8-U8)</f>
        <v>23</v>
      </c>
      <c r="AA8" s="99">
        <v>0</v>
      </c>
      <c r="AB8" s="193">
        <f t="shared" ref="AB8:AB11" si="13">SUM(X8:AA8)</f>
        <v>37</v>
      </c>
    </row>
    <row r="9" spans="1:29" ht="25.5">
      <c r="A9" s="192">
        <f>+'5. Financial Plan'!A10</f>
        <v>0</v>
      </c>
      <c r="B9" s="155" t="s">
        <v>296</v>
      </c>
      <c r="C9" s="99">
        <v>476209</v>
      </c>
      <c r="D9" s="99">
        <f>556408-800</f>
        <v>555608</v>
      </c>
      <c r="E9" s="99">
        <f>375132+700</f>
        <v>375832</v>
      </c>
      <c r="F9" s="99">
        <v>0</v>
      </c>
      <c r="G9" s="99">
        <f t="shared" si="6"/>
        <v>1407649</v>
      </c>
      <c r="H9" s="99">
        <v>475388</v>
      </c>
      <c r="I9" s="99">
        <v>555583</v>
      </c>
      <c r="J9" s="99">
        <v>375799</v>
      </c>
      <c r="K9" s="99">
        <v>102663</v>
      </c>
      <c r="L9" s="98">
        <f t="shared" si="7"/>
        <v>1509433</v>
      </c>
      <c r="M9" s="99">
        <f t="shared" ref="M9:M27" si="14">C9-H9</f>
        <v>821</v>
      </c>
      <c r="N9" s="99">
        <f t="shared" si="8"/>
        <v>25</v>
      </c>
      <c r="O9" s="98">
        <f t="shared" ref="O9:O21" si="15">E9-J9</f>
        <v>33</v>
      </c>
      <c r="P9" s="99">
        <v>0</v>
      </c>
      <c r="Q9" s="98">
        <f t="shared" si="9"/>
        <v>879</v>
      </c>
      <c r="R9" s="155" t="s">
        <v>296</v>
      </c>
      <c r="S9" s="99">
        <f>+'5. Financial Plan'!V10</f>
        <v>821</v>
      </c>
      <c r="T9" s="99">
        <f>+'5. Financial Plan'!W10</f>
        <v>0</v>
      </c>
      <c r="U9" s="99">
        <f>+'5. Financial Plan'!X10</f>
        <v>0</v>
      </c>
      <c r="V9" s="99">
        <f>+'5. Financial Plan'!Y10</f>
        <v>60538</v>
      </c>
      <c r="W9" s="99">
        <f t="shared" si="10"/>
        <v>61359</v>
      </c>
      <c r="X9" s="99">
        <f t="shared" si="5"/>
        <v>0</v>
      </c>
      <c r="Y9" s="99">
        <f t="shared" si="11"/>
        <v>25</v>
      </c>
      <c r="Z9" s="99">
        <f t="shared" si="12"/>
        <v>33</v>
      </c>
      <c r="AA9" s="99">
        <v>0</v>
      </c>
      <c r="AB9" s="193">
        <f t="shared" si="13"/>
        <v>58</v>
      </c>
    </row>
    <row r="10" spans="1:29" ht="48" customHeight="1">
      <c r="A10" s="192" t="str">
        <f>+'5. Financial Plan'!A11</f>
        <v>1.1.1.3</v>
      </c>
      <c r="B10" s="155" t="s">
        <v>270</v>
      </c>
      <c r="C10" s="99">
        <v>924956</v>
      </c>
      <c r="D10" s="99">
        <f>1117535-400</f>
        <v>1117135</v>
      </c>
      <c r="E10" s="99">
        <v>1136143</v>
      </c>
      <c r="F10" s="99">
        <v>0</v>
      </c>
      <c r="G10" s="99">
        <f t="shared" si="6"/>
        <v>3178234</v>
      </c>
      <c r="H10" s="99">
        <v>924478</v>
      </c>
      <c r="I10" s="99">
        <v>1117060</v>
      </c>
      <c r="J10" s="99">
        <v>1136143</v>
      </c>
      <c r="K10" s="99">
        <v>571024</v>
      </c>
      <c r="L10" s="98">
        <f t="shared" si="7"/>
        <v>3748705</v>
      </c>
      <c r="M10" s="99">
        <f t="shared" si="14"/>
        <v>478</v>
      </c>
      <c r="N10" s="99">
        <f t="shared" si="8"/>
        <v>75</v>
      </c>
      <c r="O10" s="99">
        <f t="shared" si="15"/>
        <v>0</v>
      </c>
      <c r="P10" s="99">
        <v>0</v>
      </c>
      <c r="Q10" s="98">
        <f t="shared" si="9"/>
        <v>553</v>
      </c>
      <c r="R10" s="155" t="s">
        <v>270</v>
      </c>
      <c r="S10" s="99">
        <f>+'5. Financial Plan'!V11</f>
        <v>478</v>
      </c>
      <c r="T10" s="99">
        <f>+'5. Financial Plan'!W11</f>
        <v>0</v>
      </c>
      <c r="U10" s="99">
        <f>+'5. Financial Plan'!X11</f>
        <v>0</v>
      </c>
      <c r="V10" s="99">
        <f>+'5. Financial Plan'!Y11</f>
        <v>402685</v>
      </c>
      <c r="W10" s="99">
        <f t="shared" si="10"/>
        <v>403163</v>
      </c>
      <c r="X10" s="99">
        <f t="shared" si="5"/>
        <v>0</v>
      </c>
      <c r="Y10" s="99">
        <f t="shared" si="11"/>
        <v>75</v>
      </c>
      <c r="Z10" s="99">
        <f t="shared" si="12"/>
        <v>0</v>
      </c>
      <c r="AA10" s="99">
        <v>0</v>
      </c>
      <c r="AB10" s="193">
        <f t="shared" si="13"/>
        <v>75</v>
      </c>
    </row>
    <row r="11" spans="1:29" ht="38.25">
      <c r="A11" s="192">
        <f>+'5. Financial Plan'!A12</f>
        <v>0</v>
      </c>
      <c r="B11" s="232" t="s">
        <v>271</v>
      </c>
      <c r="C11" s="99">
        <f>380375-900</f>
        <v>379475</v>
      </c>
      <c r="D11" s="99">
        <f>307737-200</f>
        <v>307537</v>
      </c>
      <c r="E11" s="99">
        <v>68857</v>
      </c>
      <c r="F11" s="99">
        <v>0</v>
      </c>
      <c r="G11" s="99">
        <f t="shared" si="6"/>
        <v>755869</v>
      </c>
      <c r="H11" s="99">
        <v>379447</v>
      </c>
      <c r="I11" s="99">
        <v>307460</v>
      </c>
      <c r="J11" s="99">
        <v>68857</v>
      </c>
      <c r="K11" s="99">
        <v>31040</v>
      </c>
      <c r="L11" s="99">
        <f t="shared" si="7"/>
        <v>786804</v>
      </c>
      <c r="M11" s="98">
        <f t="shared" si="14"/>
        <v>28</v>
      </c>
      <c r="N11" s="99">
        <f t="shared" si="8"/>
        <v>77</v>
      </c>
      <c r="O11" s="99">
        <f t="shared" si="15"/>
        <v>0</v>
      </c>
      <c r="P11" s="99">
        <v>0</v>
      </c>
      <c r="Q11" s="99">
        <f t="shared" si="9"/>
        <v>105</v>
      </c>
      <c r="R11" s="232" t="s">
        <v>271</v>
      </c>
      <c r="S11" s="99" t="s">
        <v>705</v>
      </c>
      <c r="T11" s="99" t="s">
        <v>705</v>
      </c>
      <c r="U11" s="99" t="s">
        <v>705</v>
      </c>
      <c r="V11" s="99"/>
      <c r="W11" s="99">
        <f t="shared" si="10"/>
        <v>0</v>
      </c>
      <c r="X11" s="99" t="s">
        <v>705</v>
      </c>
      <c r="Y11" s="99" t="s">
        <v>705</v>
      </c>
      <c r="Z11" s="99" t="s">
        <v>705</v>
      </c>
      <c r="AA11" s="98">
        <v>0</v>
      </c>
      <c r="AB11" s="109">
        <f t="shared" si="13"/>
        <v>0</v>
      </c>
    </row>
    <row r="12" spans="1:29" ht="27" customHeight="1">
      <c r="A12" s="192" t="str">
        <f>+'5. Financial Plan'!A13</f>
        <v>1.1.1.5</v>
      </c>
      <c r="B12" s="140" t="s">
        <v>297</v>
      </c>
      <c r="C12" s="99">
        <v>250464</v>
      </c>
      <c r="D12" s="99">
        <f>262631-505</f>
        <v>262126</v>
      </c>
      <c r="E12" s="99">
        <f>193629+11000</f>
        <v>204629</v>
      </c>
      <c r="F12" s="99">
        <v>0</v>
      </c>
      <c r="G12" s="99">
        <f t="shared" si="6"/>
        <v>717219</v>
      </c>
      <c r="H12" s="99">
        <v>250464</v>
      </c>
      <c r="I12" s="99">
        <v>262126</v>
      </c>
      <c r="J12" s="99">
        <v>204217</v>
      </c>
      <c r="K12" s="99">
        <v>45474</v>
      </c>
      <c r="L12" s="98">
        <f t="shared" ref="L12:L14" si="16">SUM(H12:K12)</f>
        <v>762281</v>
      </c>
      <c r="M12" s="99">
        <f t="shared" ref="M12:M14" si="17">C12-H12</f>
        <v>0</v>
      </c>
      <c r="N12" s="99">
        <f t="shared" si="8"/>
        <v>0</v>
      </c>
      <c r="O12" s="99">
        <f t="shared" si="15"/>
        <v>412</v>
      </c>
      <c r="P12" s="99">
        <v>0</v>
      </c>
      <c r="Q12" s="98">
        <f t="shared" si="9"/>
        <v>412</v>
      </c>
      <c r="R12" s="140" t="s">
        <v>297</v>
      </c>
      <c r="S12" s="99">
        <f>+'5. Financial Plan'!V12</f>
        <v>0</v>
      </c>
      <c r="T12" s="99">
        <f>+'5. Financial Plan'!W12</f>
        <v>0</v>
      </c>
      <c r="U12" s="99">
        <f>+'5. Financial Plan'!X12</f>
        <v>0</v>
      </c>
      <c r="V12" s="99">
        <f>+'5. Financial Plan'!Y12</f>
        <v>33552</v>
      </c>
      <c r="W12" s="99">
        <f t="shared" si="10"/>
        <v>33552</v>
      </c>
      <c r="X12" s="99">
        <f t="shared" si="5"/>
        <v>0</v>
      </c>
      <c r="Y12" s="99">
        <f t="shared" si="11"/>
        <v>0</v>
      </c>
      <c r="Z12" s="99">
        <f t="shared" si="12"/>
        <v>412</v>
      </c>
      <c r="AA12" s="99">
        <v>0</v>
      </c>
      <c r="AB12" s="193">
        <f t="shared" ref="AB12:AB14" si="18">SUM(X12:AA12)</f>
        <v>412</v>
      </c>
    </row>
    <row r="13" spans="1:29" ht="34.5" customHeight="1">
      <c r="A13" s="192" t="str">
        <f>+'5. Financial Plan'!A14</f>
        <v>1.1.1.6</v>
      </c>
      <c r="B13" s="156" t="s">
        <v>272</v>
      </c>
      <c r="C13" s="99">
        <f>345681+900</f>
        <v>346581</v>
      </c>
      <c r="D13" s="99">
        <f>174750-790</f>
        <v>173960</v>
      </c>
      <c r="E13" s="99">
        <f>150510+600</f>
        <v>151110</v>
      </c>
      <c r="F13" s="99">
        <v>0</v>
      </c>
      <c r="G13" s="99">
        <f t="shared" ref="G13" si="19">SUM(C13:F13)</f>
        <v>671651</v>
      </c>
      <c r="H13" s="99">
        <v>346576</v>
      </c>
      <c r="I13" s="99">
        <v>173958</v>
      </c>
      <c r="J13" s="99">
        <v>151035</v>
      </c>
      <c r="K13" s="99">
        <v>44828</v>
      </c>
      <c r="L13" s="98">
        <f t="shared" si="16"/>
        <v>716397</v>
      </c>
      <c r="M13" s="99">
        <f>C13-H13</f>
        <v>5</v>
      </c>
      <c r="N13" s="99">
        <f t="shared" si="8"/>
        <v>2</v>
      </c>
      <c r="O13" s="98">
        <f t="shared" si="15"/>
        <v>75</v>
      </c>
      <c r="P13" s="99">
        <v>0</v>
      </c>
      <c r="Q13" s="98">
        <f t="shared" si="9"/>
        <v>82</v>
      </c>
      <c r="R13" s="156" t="s">
        <v>272</v>
      </c>
      <c r="S13" s="99">
        <f>+'5. Financial Plan'!V13</f>
        <v>0</v>
      </c>
      <c r="T13" s="99">
        <f>+'5. Financial Plan'!W13</f>
        <v>0</v>
      </c>
      <c r="U13" s="99">
        <f>+'5. Financial Plan'!X13</f>
        <v>0</v>
      </c>
      <c r="V13" s="99">
        <f>+'5. Financial Plan'!Y13</f>
        <v>227620</v>
      </c>
      <c r="W13" s="99">
        <f t="shared" si="10"/>
        <v>227620</v>
      </c>
      <c r="X13" s="99">
        <f t="shared" si="5"/>
        <v>5</v>
      </c>
      <c r="Y13" s="99">
        <f t="shared" si="11"/>
        <v>2</v>
      </c>
      <c r="Z13" s="99">
        <f t="shared" si="12"/>
        <v>75</v>
      </c>
      <c r="AA13" s="99">
        <v>0</v>
      </c>
      <c r="AB13" s="193">
        <f t="shared" si="18"/>
        <v>82</v>
      </c>
    </row>
    <row r="14" spans="1:29" ht="25.5">
      <c r="A14" s="192" t="str">
        <f>+'5. Financial Plan'!A15</f>
        <v>1.1.1.7</v>
      </c>
      <c r="B14" s="155" t="s">
        <v>273</v>
      </c>
      <c r="C14" s="99">
        <v>966</v>
      </c>
      <c r="D14" s="99"/>
      <c r="E14" s="99"/>
      <c r="F14" s="99">
        <v>0</v>
      </c>
      <c r="G14" s="99">
        <f t="shared" si="6"/>
        <v>966</v>
      </c>
      <c r="H14" s="99">
        <v>966</v>
      </c>
      <c r="I14" s="99"/>
      <c r="J14" s="99"/>
      <c r="K14" s="99">
        <v>2933</v>
      </c>
      <c r="L14" s="98">
        <f t="shared" si="16"/>
        <v>3899</v>
      </c>
      <c r="M14" s="99">
        <f t="shared" si="17"/>
        <v>0</v>
      </c>
      <c r="N14" s="99">
        <f t="shared" si="8"/>
        <v>0</v>
      </c>
      <c r="O14" s="99">
        <f t="shared" si="15"/>
        <v>0</v>
      </c>
      <c r="P14" s="99">
        <v>0</v>
      </c>
      <c r="Q14" s="98">
        <f t="shared" si="9"/>
        <v>0</v>
      </c>
      <c r="R14" s="155" t="s">
        <v>273</v>
      </c>
      <c r="S14" s="99">
        <f>+'5. Financial Plan'!V14</f>
        <v>0</v>
      </c>
      <c r="T14" s="99">
        <f>+'5. Financial Plan'!W14</f>
        <v>0</v>
      </c>
      <c r="U14" s="99">
        <f>+'5. Financial Plan'!X14</f>
        <v>0</v>
      </c>
      <c r="V14" s="99">
        <f>+'5. Financial Plan'!Y14</f>
        <v>0</v>
      </c>
      <c r="W14" s="99">
        <f t="shared" si="10"/>
        <v>0</v>
      </c>
      <c r="X14" s="99">
        <f t="shared" si="5"/>
        <v>0</v>
      </c>
      <c r="Y14" s="99">
        <f t="shared" si="11"/>
        <v>0</v>
      </c>
      <c r="Z14" s="99">
        <f t="shared" si="12"/>
        <v>0</v>
      </c>
      <c r="AA14" s="99">
        <v>0</v>
      </c>
      <c r="AB14" s="193">
        <f t="shared" si="18"/>
        <v>0</v>
      </c>
    </row>
    <row r="15" spans="1:29" ht="25.5">
      <c r="A15" s="192" t="str">
        <f>+'5. Financial Plan'!A16</f>
        <v>1.1.2.1</v>
      </c>
      <c r="B15" s="155" t="s">
        <v>274</v>
      </c>
      <c r="C15" s="99">
        <v>87605</v>
      </c>
      <c r="D15" s="99">
        <f>154870-500</f>
        <v>154370</v>
      </c>
      <c r="E15" s="99">
        <v>55162</v>
      </c>
      <c r="F15" s="99">
        <v>0</v>
      </c>
      <c r="G15" s="99">
        <f t="shared" si="6"/>
        <v>297137</v>
      </c>
      <c r="H15" s="99">
        <v>87605</v>
      </c>
      <c r="I15" s="99">
        <v>154327</v>
      </c>
      <c r="J15" s="99">
        <v>55162</v>
      </c>
      <c r="K15" s="99">
        <v>51567</v>
      </c>
      <c r="L15" s="98">
        <f>SUM(H15:K15)</f>
        <v>348661</v>
      </c>
      <c r="M15" s="99">
        <f t="shared" ref="M15" si="20">C15-H15</f>
        <v>0</v>
      </c>
      <c r="N15" s="99">
        <f t="shared" si="8"/>
        <v>43</v>
      </c>
      <c r="O15" s="99">
        <f t="shared" si="15"/>
        <v>0</v>
      </c>
      <c r="P15" s="99">
        <v>0</v>
      </c>
      <c r="Q15" s="98">
        <f t="shared" si="9"/>
        <v>43</v>
      </c>
      <c r="R15" s="155" t="s">
        <v>274</v>
      </c>
      <c r="S15" s="99">
        <f>+'5. Financial Plan'!V15</f>
        <v>0</v>
      </c>
      <c r="T15" s="99">
        <f>+'5. Financial Plan'!W15</f>
        <v>0</v>
      </c>
      <c r="U15" s="99">
        <f>+'5. Financial Plan'!X15</f>
        <v>0</v>
      </c>
      <c r="V15" s="99">
        <f>+'5. Financial Plan'!Y15</f>
        <v>0</v>
      </c>
      <c r="W15" s="99">
        <f t="shared" si="10"/>
        <v>0</v>
      </c>
      <c r="X15" s="99">
        <f t="shared" si="5"/>
        <v>0</v>
      </c>
      <c r="Y15" s="99">
        <f t="shared" si="11"/>
        <v>43</v>
      </c>
      <c r="Z15" s="99">
        <f t="shared" si="12"/>
        <v>0</v>
      </c>
      <c r="AA15" s="99">
        <v>0</v>
      </c>
      <c r="AB15" s="193">
        <f t="shared" ref="AB15:AB21" si="21">SUM(X15:AA15)</f>
        <v>43</v>
      </c>
    </row>
    <row r="16" spans="1:29" ht="39" customHeight="1">
      <c r="A16" s="192" t="str">
        <f>+'5. Financial Plan'!A17</f>
        <v>1.1.2.2</v>
      </c>
      <c r="B16" s="155" t="s">
        <v>275</v>
      </c>
      <c r="C16" s="99">
        <f>328860-1748</f>
        <v>327112</v>
      </c>
      <c r="D16" s="99">
        <f>302759-3400</f>
        <v>299359</v>
      </c>
      <c r="E16" s="99">
        <f>193543+3600</f>
        <v>197143</v>
      </c>
      <c r="F16" s="99">
        <v>0</v>
      </c>
      <c r="G16" s="99">
        <f t="shared" si="6"/>
        <v>823614</v>
      </c>
      <c r="H16" s="99">
        <v>327112</v>
      </c>
      <c r="I16" s="99">
        <v>299351</v>
      </c>
      <c r="J16" s="99">
        <v>197072</v>
      </c>
      <c r="K16" s="99">
        <v>85742</v>
      </c>
      <c r="L16" s="98">
        <f t="shared" ref="L16:L21" si="22">SUM(H16:K16)</f>
        <v>909277</v>
      </c>
      <c r="M16" s="99">
        <f>C16-H16</f>
        <v>0</v>
      </c>
      <c r="N16" s="99">
        <f t="shared" si="8"/>
        <v>8</v>
      </c>
      <c r="O16" s="99">
        <f t="shared" si="15"/>
        <v>71</v>
      </c>
      <c r="P16" s="99">
        <v>0</v>
      </c>
      <c r="Q16" s="98">
        <f t="shared" si="9"/>
        <v>79</v>
      </c>
      <c r="R16" s="155" t="s">
        <v>275</v>
      </c>
      <c r="S16" s="99">
        <f>+'5. Financial Plan'!V16</f>
        <v>0</v>
      </c>
      <c r="T16" s="99">
        <f>+'5. Financial Plan'!W16</f>
        <v>0</v>
      </c>
      <c r="U16" s="99">
        <f>+'5. Financial Plan'!X16</f>
        <v>0</v>
      </c>
      <c r="V16" s="99">
        <f>+'5. Financial Plan'!Y16</f>
        <v>0</v>
      </c>
      <c r="W16" s="99">
        <f t="shared" si="10"/>
        <v>0</v>
      </c>
      <c r="X16" s="99">
        <f t="shared" si="5"/>
        <v>0</v>
      </c>
      <c r="Y16" s="99">
        <f t="shared" si="11"/>
        <v>8</v>
      </c>
      <c r="Z16" s="99">
        <f t="shared" si="12"/>
        <v>71</v>
      </c>
      <c r="AA16" s="99">
        <v>0</v>
      </c>
      <c r="AB16" s="193">
        <f t="shared" si="21"/>
        <v>79</v>
      </c>
    </row>
    <row r="17" spans="1:30" ht="34.5" customHeight="1">
      <c r="A17" s="192" t="str">
        <f>+'5. Financial Plan'!A18</f>
        <v>1.1.2.3</v>
      </c>
      <c r="B17" s="155" t="s">
        <v>276</v>
      </c>
      <c r="C17" s="99">
        <f>1815139+1748</f>
        <v>1816887</v>
      </c>
      <c r="D17" s="99">
        <f>379866-400</f>
        <v>379466</v>
      </c>
      <c r="E17" s="99">
        <f>127842+7100</f>
        <v>134942</v>
      </c>
      <c r="F17" s="99">
        <v>0</v>
      </c>
      <c r="G17" s="99">
        <f t="shared" si="6"/>
        <v>2331295</v>
      </c>
      <c r="H17" s="99">
        <v>1813632</v>
      </c>
      <c r="I17" s="99">
        <v>379404</v>
      </c>
      <c r="J17" s="99">
        <v>134899</v>
      </c>
      <c r="K17" s="99">
        <v>127604</v>
      </c>
      <c r="L17" s="98">
        <f t="shared" si="22"/>
        <v>2455539</v>
      </c>
      <c r="M17" s="99">
        <f>C17-H17</f>
        <v>3255</v>
      </c>
      <c r="N17" s="99">
        <f t="shared" si="8"/>
        <v>62</v>
      </c>
      <c r="O17" s="99">
        <f t="shared" si="15"/>
        <v>43</v>
      </c>
      <c r="P17" s="99">
        <v>0</v>
      </c>
      <c r="Q17" s="98">
        <f t="shared" si="9"/>
        <v>3360</v>
      </c>
      <c r="R17" s="155" t="s">
        <v>276</v>
      </c>
      <c r="S17" s="99">
        <f>+'5. Financial Plan'!V17</f>
        <v>3255</v>
      </c>
      <c r="T17" s="99">
        <f>+'5. Financial Plan'!W17</f>
        <v>0</v>
      </c>
      <c r="U17" s="99">
        <f>+'5. Financial Plan'!X17</f>
        <v>0</v>
      </c>
      <c r="V17" s="99">
        <f>+'5. Financial Plan'!Y17</f>
        <v>641348</v>
      </c>
      <c r="W17" s="99">
        <f t="shared" si="10"/>
        <v>644603</v>
      </c>
      <c r="X17" s="99">
        <f t="shared" ref="X17" si="23">M17-S17</f>
        <v>0</v>
      </c>
      <c r="Y17" s="99">
        <f t="shared" si="11"/>
        <v>62</v>
      </c>
      <c r="Z17" s="99">
        <f t="shared" si="12"/>
        <v>43</v>
      </c>
      <c r="AA17" s="98">
        <v>0</v>
      </c>
      <c r="AB17" s="193">
        <f t="shared" si="21"/>
        <v>105</v>
      </c>
      <c r="AC17" s="97"/>
    </row>
    <row r="18" spans="1:30" ht="41.25" customHeight="1">
      <c r="A18" s="192" t="str">
        <f>+'5. Financial Plan'!A19</f>
        <v>1.1.2.4</v>
      </c>
      <c r="B18" s="155" t="s">
        <v>277</v>
      </c>
      <c r="C18" s="99">
        <v>142026</v>
      </c>
      <c r="D18" s="99">
        <v>73168</v>
      </c>
      <c r="E18" s="99">
        <v>146923</v>
      </c>
      <c r="F18" s="99">
        <v>0</v>
      </c>
      <c r="G18" s="99">
        <f t="shared" si="6"/>
        <v>362117</v>
      </c>
      <c r="H18" s="99">
        <v>142026</v>
      </c>
      <c r="I18" s="99">
        <v>73168</v>
      </c>
      <c r="J18" s="99">
        <v>146923</v>
      </c>
      <c r="K18" s="99">
        <v>0</v>
      </c>
      <c r="L18" s="98">
        <f t="shared" si="22"/>
        <v>362117</v>
      </c>
      <c r="M18" s="99">
        <f t="shared" si="14"/>
        <v>0</v>
      </c>
      <c r="N18" s="99">
        <f t="shared" si="8"/>
        <v>0</v>
      </c>
      <c r="O18" s="99">
        <f t="shared" si="15"/>
        <v>0</v>
      </c>
      <c r="P18" s="99">
        <v>0</v>
      </c>
      <c r="Q18" s="98">
        <f t="shared" si="9"/>
        <v>0</v>
      </c>
      <c r="R18" s="155" t="s">
        <v>277</v>
      </c>
      <c r="S18" s="99">
        <f>+'5. Financial Plan'!V18</f>
        <v>0</v>
      </c>
      <c r="T18" s="99">
        <f>+'5. Financial Plan'!W18</f>
        <v>0</v>
      </c>
      <c r="U18" s="99">
        <f>+'5. Financial Plan'!X18</f>
        <v>0</v>
      </c>
      <c r="V18" s="99">
        <f>+'5. Financial Plan'!Y18</f>
        <v>149594</v>
      </c>
      <c r="W18" s="99">
        <f t="shared" si="10"/>
        <v>149594</v>
      </c>
      <c r="X18" s="99">
        <f>M18-S18</f>
        <v>0</v>
      </c>
      <c r="Y18" s="99">
        <f t="shared" ref="Y18:Y21" si="24">SUM(N18-T18)</f>
        <v>0</v>
      </c>
      <c r="Z18" s="99">
        <f t="shared" ref="Z18:Z21" si="25">SUM(O18-U18)</f>
        <v>0</v>
      </c>
      <c r="AA18" s="99">
        <v>0</v>
      </c>
      <c r="AB18" s="193">
        <f t="shared" si="21"/>
        <v>0</v>
      </c>
    </row>
    <row r="19" spans="1:30" ht="25.5">
      <c r="A19" s="192" t="str">
        <f>+'5. Financial Plan'!A20</f>
        <v>1.1.2.5</v>
      </c>
      <c r="B19" s="155" t="s">
        <v>278</v>
      </c>
      <c r="C19" s="99">
        <v>3528</v>
      </c>
      <c r="D19" s="99">
        <f>3688-728</f>
        <v>2960</v>
      </c>
      <c r="E19" s="99">
        <v>1305</v>
      </c>
      <c r="F19" s="99">
        <v>0</v>
      </c>
      <c r="G19" s="99">
        <f t="shared" si="6"/>
        <v>7793</v>
      </c>
      <c r="H19" s="99">
        <v>3528</v>
      </c>
      <c r="I19" s="99">
        <v>2960</v>
      </c>
      <c r="J19" s="99">
        <v>676</v>
      </c>
      <c r="K19" s="99">
        <v>0</v>
      </c>
      <c r="L19" s="98">
        <f t="shared" si="22"/>
        <v>7164</v>
      </c>
      <c r="M19" s="99">
        <f>C19-H19</f>
        <v>0</v>
      </c>
      <c r="N19" s="99">
        <f t="shared" si="8"/>
        <v>0</v>
      </c>
      <c r="O19" s="99">
        <f t="shared" si="15"/>
        <v>629</v>
      </c>
      <c r="P19" s="99">
        <v>0</v>
      </c>
      <c r="Q19" s="98">
        <f t="shared" si="9"/>
        <v>629</v>
      </c>
      <c r="R19" s="155" t="s">
        <v>278</v>
      </c>
      <c r="S19" s="99">
        <f>+'5. Financial Plan'!V19</f>
        <v>0</v>
      </c>
      <c r="T19" s="99">
        <f>+'5. Financial Plan'!W19</f>
        <v>0</v>
      </c>
      <c r="U19" s="99">
        <f>+'5. Financial Plan'!X19</f>
        <v>0</v>
      </c>
      <c r="V19" s="99">
        <f>+'5. Financial Plan'!Y19</f>
        <v>0</v>
      </c>
      <c r="W19" s="99">
        <f t="shared" si="10"/>
        <v>0</v>
      </c>
      <c r="X19" s="99">
        <f>M19-S19</f>
        <v>0</v>
      </c>
      <c r="Y19" s="99">
        <f t="shared" si="24"/>
        <v>0</v>
      </c>
      <c r="Z19" s="99">
        <f t="shared" si="25"/>
        <v>629</v>
      </c>
      <c r="AA19" s="99">
        <v>0</v>
      </c>
      <c r="AB19" s="193">
        <f t="shared" si="21"/>
        <v>629</v>
      </c>
      <c r="AD19" s="97"/>
    </row>
    <row r="20" spans="1:30" ht="25.5">
      <c r="A20" s="192">
        <f>+'5. Financial Plan'!A21</f>
        <v>0</v>
      </c>
      <c r="B20" s="155" t="s">
        <v>279</v>
      </c>
      <c r="C20" s="99">
        <v>0</v>
      </c>
      <c r="D20" s="99">
        <v>2221</v>
      </c>
      <c r="E20" s="99"/>
      <c r="F20" s="99">
        <v>0</v>
      </c>
      <c r="G20" s="99">
        <f t="shared" si="6"/>
        <v>2221</v>
      </c>
      <c r="H20" s="99"/>
      <c r="I20" s="99">
        <v>2221</v>
      </c>
      <c r="J20" s="99"/>
      <c r="K20" s="99">
        <v>0</v>
      </c>
      <c r="L20" s="98">
        <f t="shared" si="22"/>
        <v>2221</v>
      </c>
      <c r="M20" s="99">
        <f t="shared" si="14"/>
        <v>0</v>
      </c>
      <c r="N20" s="99">
        <f t="shared" si="8"/>
        <v>0</v>
      </c>
      <c r="O20" s="99">
        <f t="shared" si="15"/>
        <v>0</v>
      </c>
      <c r="P20" s="99">
        <v>0</v>
      </c>
      <c r="Q20" s="98">
        <f t="shared" si="9"/>
        <v>0</v>
      </c>
      <c r="R20" s="155" t="s">
        <v>279</v>
      </c>
      <c r="S20" s="99">
        <f>+'5. Financial Plan'!V20</f>
        <v>0</v>
      </c>
      <c r="T20" s="99">
        <f>+'5. Financial Plan'!W20</f>
        <v>0</v>
      </c>
      <c r="U20" s="99">
        <f>+'5. Financial Plan'!X20</f>
        <v>0</v>
      </c>
      <c r="V20" s="99">
        <f>+'5. Financial Plan'!Y20</f>
        <v>0</v>
      </c>
      <c r="W20" s="99">
        <f t="shared" si="10"/>
        <v>0</v>
      </c>
      <c r="X20" s="99">
        <f>M20-S20</f>
        <v>0</v>
      </c>
      <c r="Y20" s="99">
        <f t="shared" si="24"/>
        <v>0</v>
      </c>
      <c r="Z20" s="99">
        <f t="shared" si="25"/>
        <v>0</v>
      </c>
      <c r="AA20" s="99">
        <v>0</v>
      </c>
      <c r="AB20" s="193">
        <f t="shared" si="21"/>
        <v>0</v>
      </c>
    </row>
    <row r="21" spans="1:30">
      <c r="A21" s="192"/>
      <c r="B21" s="140" t="s">
        <v>299</v>
      </c>
      <c r="C21" s="99">
        <v>821461</v>
      </c>
      <c r="D21" s="99">
        <f>872352+3400+3101+790+505+728+900+2200</f>
        <v>883976</v>
      </c>
      <c r="E21" s="99">
        <f>372617+103357</f>
        <v>475974</v>
      </c>
      <c r="F21" s="99">
        <v>0</v>
      </c>
      <c r="G21" s="99">
        <f t="shared" si="6"/>
        <v>2181411</v>
      </c>
      <c r="H21" s="99">
        <v>821340</v>
      </c>
      <c r="I21" s="99">
        <v>890878</v>
      </c>
      <c r="J21" s="99">
        <v>481892</v>
      </c>
      <c r="K21" s="99">
        <v>323841</v>
      </c>
      <c r="L21" s="98">
        <f t="shared" si="22"/>
        <v>2517951</v>
      </c>
      <c r="M21" s="99">
        <f t="shared" si="14"/>
        <v>121</v>
      </c>
      <c r="N21" s="99">
        <f t="shared" si="8"/>
        <v>-6902</v>
      </c>
      <c r="O21" s="99">
        <f t="shared" si="15"/>
        <v>-5918</v>
      </c>
      <c r="P21" s="99">
        <v>0</v>
      </c>
      <c r="Q21" s="98">
        <f>SUM(M21:P21)</f>
        <v>-12699</v>
      </c>
      <c r="R21" s="140" t="s">
        <v>299</v>
      </c>
      <c r="S21" s="99">
        <f>+'5. Financial Plan'!V21</f>
        <v>0</v>
      </c>
      <c r="T21" s="99">
        <f>+'5. Financial Plan'!W21</f>
        <v>0</v>
      </c>
      <c r="U21" s="99">
        <f>+'5. Financial Plan'!X21</f>
        <v>0</v>
      </c>
      <c r="V21" s="99">
        <f>+'5. Financial Plan'!Y21</f>
        <v>0</v>
      </c>
      <c r="W21" s="99">
        <f t="shared" si="10"/>
        <v>0</v>
      </c>
      <c r="X21" s="99">
        <f>M21-S21</f>
        <v>121</v>
      </c>
      <c r="Y21" s="99">
        <f t="shared" si="24"/>
        <v>-6902</v>
      </c>
      <c r="Z21" s="99">
        <f t="shared" si="25"/>
        <v>-5918</v>
      </c>
      <c r="AA21" s="99">
        <v>0</v>
      </c>
      <c r="AB21" s="193">
        <f t="shared" si="21"/>
        <v>-12699</v>
      </c>
    </row>
    <row r="22" spans="1:30" ht="24.75" customHeight="1">
      <c r="A22" s="553">
        <v>2</v>
      </c>
      <c r="B22" s="554" t="str">
        <f>+'5. Financial Plan'!B23</f>
        <v>Component 2 - Labor Market Attachment and Employability</v>
      </c>
      <c r="C22" s="547">
        <f t="shared" ref="C22:AB22" si="26">SUM(C23:C30)</f>
        <v>6051552</v>
      </c>
      <c r="D22" s="547">
        <f t="shared" si="26"/>
        <v>4363882</v>
      </c>
      <c r="E22" s="547">
        <f t="shared" si="26"/>
        <v>5318662</v>
      </c>
      <c r="F22" s="547">
        <f t="shared" si="26"/>
        <v>0</v>
      </c>
      <c r="G22" s="547">
        <f t="shared" si="26"/>
        <v>15734096</v>
      </c>
      <c r="H22" s="547">
        <f t="shared" si="26"/>
        <v>6050108</v>
      </c>
      <c r="I22" s="547">
        <f t="shared" si="26"/>
        <v>4271709</v>
      </c>
      <c r="J22" s="547">
        <f t="shared" si="26"/>
        <v>5317751</v>
      </c>
      <c r="K22" s="547">
        <f t="shared" si="26"/>
        <v>2437088</v>
      </c>
      <c r="L22" s="547">
        <f t="shared" si="26"/>
        <v>18078562</v>
      </c>
      <c r="M22" s="547">
        <f t="shared" si="26"/>
        <v>1444</v>
      </c>
      <c r="N22" s="547">
        <f t="shared" si="26"/>
        <v>92173</v>
      </c>
      <c r="O22" s="547">
        <f t="shared" si="26"/>
        <v>911</v>
      </c>
      <c r="P22" s="547">
        <f t="shared" si="26"/>
        <v>0</v>
      </c>
      <c r="Q22" s="547">
        <f t="shared" si="26"/>
        <v>94528</v>
      </c>
      <c r="R22" s="554" t="str">
        <f>+B22</f>
        <v>Component 2 - Labor Market Attachment and Employability</v>
      </c>
      <c r="S22" s="547">
        <f t="shared" si="26"/>
        <v>1033</v>
      </c>
      <c r="T22" s="547">
        <f t="shared" si="26"/>
        <v>92173</v>
      </c>
      <c r="U22" s="547">
        <f t="shared" si="26"/>
        <v>0</v>
      </c>
      <c r="V22" s="547">
        <f t="shared" si="26"/>
        <v>753262</v>
      </c>
      <c r="W22" s="547">
        <f>SUM(W23:W30)</f>
        <v>846468</v>
      </c>
      <c r="X22" s="547">
        <f t="shared" si="26"/>
        <v>411</v>
      </c>
      <c r="Y22" s="547">
        <f t="shared" si="26"/>
        <v>0</v>
      </c>
      <c r="Z22" s="547">
        <f t="shared" si="26"/>
        <v>911</v>
      </c>
      <c r="AA22" s="547">
        <f t="shared" si="26"/>
        <v>0</v>
      </c>
      <c r="AB22" s="547">
        <f t="shared" si="26"/>
        <v>1322</v>
      </c>
    </row>
    <row r="23" spans="1:30" ht="39.75" customHeight="1">
      <c r="A23" s="192" t="str">
        <f>+'5. Financial Plan'!A24</f>
        <v>1.2.1.2</v>
      </c>
      <c r="B23" s="155" t="s">
        <v>281</v>
      </c>
      <c r="C23" s="99">
        <f>2266810-1500</f>
        <v>2265310</v>
      </c>
      <c r="D23" s="99">
        <f>841054+1000</f>
        <v>842054</v>
      </c>
      <c r="E23" s="99">
        <v>2207298</v>
      </c>
      <c r="F23" s="99">
        <v>0</v>
      </c>
      <c r="G23" s="99">
        <f t="shared" si="6"/>
        <v>5314662</v>
      </c>
      <c r="H23" s="99">
        <v>2265253</v>
      </c>
      <c r="I23" s="99">
        <v>831592</v>
      </c>
      <c r="J23" s="99">
        <v>2207157</v>
      </c>
      <c r="K23" s="99">
        <v>572290</v>
      </c>
      <c r="L23" s="99">
        <f>SUM(H23:K23)</f>
        <v>5876292</v>
      </c>
      <c r="M23" s="99">
        <f t="shared" ref="M23:M26" si="27">C23-H23</f>
        <v>57</v>
      </c>
      <c r="N23" s="99">
        <f t="shared" ref="N23:N30" si="28">D23-I23</f>
        <v>10462</v>
      </c>
      <c r="O23" s="99">
        <f t="shared" ref="O23:O30" si="29">E23-J23</f>
        <v>141</v>
      </c>
      <c r="P23" s="99">
        <v>0</v>
      </c>
      <c r="Q23" s="98">
        <f>SUM(M23:P23)</f>
        <v>10660</v>
      </c>
      <c r="R23" s="155" t="s">
        <v>281</v>
      </c>
      <c r="S23" s="99"/>
      <c r="T23" s="99">
        <f>+'5. Financial Plan'!W24</f>
        <v>10462</v>
      </c>
      <c r="U23" s="99">
        <f>+'5. Financial Plan'!X24</f>
        <v>0</v>
      </c>
      <c r="V23" s="99">
        <f>+'5. Financial Plan'!Y24</f>
        <v>245251</v>
      </c>
      <c r="W23" s="99">
        <f t="shared" ref="W23:W30" si="30">SUM(S23:V23)</f>
        <v>255713</v>
      </c>
      <c r="X23" s="99">
        <f t="shared" ref="X23:X30" si="31">M23-S23</f>
        <v>57</v>
      </c>
      <c r="Y23" s="99">
        <f t="shared" ref="Y23:Y30" si="32">SUM(N23-T23)</f>
        <v>0</v>
      </c>
      <c r="Z23" s="99">
        <f t="shared" ref="Z23:Z30" si="33">SUM(O23-U23)</f>
        <v>141</v>
      </c>
      <c r="AA23" s="99">
        <v>0</v>
      </c>
      <c r="AB23" s="193">
        <f t="shared" ref="AB23:AB26" si="34">SUM(X23:AA23)</f>
        <v>198</v>
      </c>
    </row>
    <row r="24" spans="1:30" ht="38.25" customHeight="1">
      <c r="A24" s="192" t="str">
        <f>+'5. Financial Plan'!A25</f>
        <v>1.2.1.3b</v>
      </c>
      <c r="B24" s="155" t="s">
        <v>282</v>
      </c>
      <c r="C24" s="99">
        <f>877998+1500+1900+600</f>
        <v>881998</v>
      </c>
      <c r="D24" s="99">
        <v>237266</v>
      </c>
      <c r="E24" s="99">
        <v>227289</v>
      </c>
      <c r="F24" s="99">
        <v>0</v>
      </c>
      <c r="G24" s="99">
        <f t="shared" si="6"/>
        <v>1346553</v>
      </c>
      <c r="H24" s="99">
        <f>885321-4356</f>
        <v>880965</v>
      </c>
      <c r="I24" s="99">
        <v>237266</v>
      </c>
      <c r="J24" s="99">
        <v>227289</v>
      </c>
      <c r="K24" s="99">
        <v>14588</v>
      </c>
      <c r="L24" s="99">
        <f t="shared" ref="L24:L30" si="35">SUM(H24:K24)</f>
        <v>1360108</v>
      </c>
      <c r="M24" s="99">
        <f t="shared" si="27"/>
        <v>1033</v>
      </c>
      <c r="N24" s="99">
        <f t="shared" si="28"/>
        <v>0</v>
      </c>
      <c r="O24" s="99">
        <f t="shared" si="29"/>
        <v>0</v>
      </c>
      <c r="P24" s="99">
        <v>0</v>
      </c>
      <c r="Q24" s="98">
        <f t="shared" ref="Q24:Q30" si="36">SUM(M24:P24)</f>
        <v>1033</v>
      </c>
      <c r="R24" s="155" t="s">
        <v>282</v>
      </c>
      <c r="S24" s="99">
        <f>+'5. Financial Plan'!V25</f>
        <v>1033</v>
      </c>
      <c r="T24" s="99">
        <f>+'5. Financial Plan'!W25</f>
        <v>0</v>
      </c>
      <c r="U24" s="99">
        <f>+'5. Financial Plan'!X25</f>
        <v>0</v>
      </c>
      <c r="V24" s="99">
        <f>+'5. Financial Plan'!Y25</f>
        <v>2539</v>
      </c>
      <c r="W24" s="99">
        <f t="shared" si="30"/>
        <v>3572</v>
      </c>
      <c r="X24" s="99">
        <f t="shared" si="31"/>
        <v>0</v>
      </c>
      <c r="Y24" s="99">
        <f t="shared" si="32"/>
        <v>0</v>
      </c>
      <c r="Z24" s="99">
        <f t="shared" si="33"/>
        <v>0</v>
      </c>
      <c r="AA24" s="99">
        <v>0</v>
      </c>
      <c r="AB24" s="193">
        <f t="shared" si="34"/>
        <v>0</v>
      </c>
    </row>
    <row r="25" spans="1:30" ht="36" customHeight="1">
      <c r="A25" s="192" t="str">
        <f>+'5. Financial Plan'!A26</f>
        <v>1.2.1.4</v>
      </c>
      <c r="B25" s="155" t="s">
        <v>283</v>
      </c>
      <c r="C25" s="99">
        <f>698826-(50000+1900)</f>
        <v>646926</v>
      </c>
      <c r="D25" s="99">
        <f>(459281-1000)+17687</f>
        <v>475968</v>
      </c>
      <c r="E25" s="99">
        <f>496470-9225</f>
        <v>487245</v>
      </c>
      <c r="F25" s="99">
        <v>0</v>
      </c>
      <c r="G25" s="99">
        <f t="shared" si="6"/>
        <v>1610139</v>
      </c>
      <c r="H25" s="99">
        <v>646889</v>
      </c>
      <c r="I25" s="99">
        <v>448634</v>
      </c>
      <c r="J25" s="99">
        <f>497743-10997</f>
        <v>486746</v>
      </c>
      <c r="K25" s="99">
        <v>261312</v>
      </c>
      <c r="L25" s="99">
        <f t="shared" si="35"/>
        <v>1843581</v>
      </c>
      <c r="M25" s="99">
        <f t="shared" si="27"/>
        <v>37</v>
      </c>
      <c r="N25" s="99">
        <f t="shared" si="28"/>
        <v>27334</v>
      </c>
      <c r="O25" s="99">
        <f t="shared" si="29"/>
        <v>499</v>
      </c>
      <c r="P25" s="99">
        <v>0</v>
      </c>
      <c r="Q25" s="98">
        <f t="shared" si="36"/>
        <v>27870</v>
      </c>
      <c r="R25" s="155" t="s">
        <v>283</v>
      </c>
      <c r="S25" s="99">
        <f>+'5. Financial Plan'!V26</f>
        <v>0</v>
      </c>
      <c r="T25" s="99">
        <f>+'5. Financial Plan'!W26</f>
        <v>27334</v>
      </c>
      <c r="U25" s="99">
        <f>+'5. Financial Plan'!X26</f>
        <v>0</v>
      </c>
      <c r="V25" s="99">
        <f>+'5. Financial Plan'!Y26</f>
        <v>172666</v>
      </c>
      <c r="W25" s="99">
        <f t="shared" si="30"/>
        <v>200000</v>
      </c>
      <c r="X25" s="99">
        <f t="shared" si="31"/>
        <v>37</v>
      </c>
      <c r="Y25" s="99">
        <f t="shared" si="32"/>
        <v>0</v>
      </c>
      <c r="Z25" s="99">
        <f t="shared" si="33"/>
        <v>499</v>
      </c>
      <c r="AA25" s="99">
        <v>0</v>
      </c>
      <c r="AB25" s="193">
        <f t="shared" si="34"/>
        <v>536</v>
      </c>
    </row>
    <row r="26" spans="1:30" ht="38.25">
      <c r="A26" s="192" t="str">
        <f>+'5. Financial Plan'!A27</f>
        <v>1.2.2.1</v>
      </c>
      <c r="B26" s="155" t="s">
        <v>284</v>
      </c>
      <c r="C26" s="99">
        <f>102257-32700</f>
        <v>69557</v>
      </c>
      <c r="D26" s="99">
        <f>117983-17687</f>
        <v>100296</v>
      </c>
      <c r="E26" s="99">
        <v>69711</v>
      </c>
      <c r="F26" s="99">
        <v>0</v>
      </c>
      <c r="G26" s="99">
        <f t="shared" si="6"/>
        <v>239564</v>
      </c>
      <c r="H26" s="99">
        <v>69557</v>
      </c>
      <c r="I26" s="99">
        <v>100296</v>
      </c>
      <c r="J26" s="99">
        <v>69599</v>
      </c>
      <c r="K26" s="99">
        <v>12517</v>
      </c>
      <c r="L26" s="99">
        <f t="shared" si="35"/>
        <v>251969</v>
      </c>
      <c r="M26" s="99">
        <f t="shared" si="27"/>
        <v>0</v>
      </c>
      <c r="N26" s="99">
        <f t="shared" si="28"/>
        <v>0</v>
      </c>
      <c r="O26" s="99">
        <f t="shared" si="29"/>
        <v>112</v>
      </c>
      <c r="P26" s="99">
        <v>0</v>
      </c>
      <c r="Q26" s="98">
        <f t="shared" si="36"/>
        <v>112</v>
      </c>
      <c r="R26" s="155" t="s">
        <v>284</v>
      </c>
      <c r="S26" s="99">
        <f>+'5. Financial Plan'!V27</f>
        <v>0</v>
      </c>
      <c r="T26" s="99">
        <f>+'5. Financial Plan'!W27</f>
        <v>0</v>
      </c>
      <c r="U26" s="99">
        <f>+'5. Financial Plan'!X27</f>
        <v>0</v>
      </c>
      <c r="V26" s="99">
        <f>+'5. Financial Plan'!Y27</f>
        <v>9270</v>
      </c>
      <c r="W26" s="99">
        <f t="shared" si="30"/>
        <v>9270</v>
      </c>
      <c r="X26" s="99">
        <f t="shared" si="31"/>
        <v>0</v>
      </c>
      <c r="Y26" s="99">
        <f t="shared" si="32"/>
        <v>0</v>
      </c>
      <c r="Z26" s="99">
        <f t="shared" si="33"/>
        <v>112</v>
      </c>
      <c r="AA26" s="99">
        <v>0</v>
      </c>
      <c r="AB26" s="193">
        <f t="shared" si="34"/>
        <v>112</v>
      </c>
    </row>
    <row r="27" spans="1:30" ht="48" customHeight="1">
      <c r="A27" s="192" t="str">
        <f>+'5. Financial Plan'!A28</f>
        <v>1.2.2.2</v>
      </c>
      <c r="B27" s="155" t="s">
        <v>285</v>
      </c>
      <c r="C27" s="99">
        <f>950148-900</f>
        <v>949248</v>
      </c>
      <c r="D27" s="99">
        <v>605608</v>
      </c>
      <c r="E27" s="99">
        <f>652290+4700</f>
        <v>656990</v>
      </c>
      <c r="F27" s="99">
        <v>0</v>
      </c>
      <c r="G27" s="99">
        <f t="shared" si="6"/>
        <v>2211846</v>
      </c>
      <c r="H27" s="99">
        <v>949232</v>
      </c>
      <c r="I27" s="99">
        <v>572417</v>
      </c>
      <c r="J27" s="99">
        <v>656916</v>
      </c>
      <c r="K27" s="99">
        <v>1565304</v>
      </c>
      <c r="L27" s="99">
        <f t="shared" si="35"/>
        <v>3743869</v>
      </c>
      <c r="M27" s="99">
        <f t="shared" si="14"/>
        <v>16</v>
      </c>
      <c r="N27" s="99">
        <f t="shared" si="28"/>
        <v>33191</v>
      </c>
      <c r="O27" s="99">
        <f t="shared" si="29"/>
        <v>74</v>
      </c>
      <c r="P27" s="99">
        <v>0</v>
      </c>
      <c r="Q27" s="98">
        <f t="shared" si="36"/>
        <v>33281</v>
      </c>
      <c r="R27" s="155" t="s">
        <v>285</v>
      </c>
      <c r="S27" s="99">
        <f>+'5. Financial Plan'!V28</f>
        <v>0</v>
      </c>
      <c r="T27" s="99">
        <f>+'5. Financial Plan'!W28</f>
        <v>33191</v>
      </c>
      <c r="U27" s="99">
        <f>+'5. Financial Plan'!X28</f>
        <v>0</v>
      </c>
      <c r="V27" s="99">
        <f>+'5. Financial Plan'!Y28</f>
        <v>17686</v>
      </c>
      <c r="W27" s="99">
        <f t="shared" si="30"/>
        <v>50877</v>
      </c>
      <c r="X27" s="99">
        <f t="shared" si="31"/>
        <v>16</v>
      </c>
      <c r="Y27" s="99">
        <f t="shared" si="32"/>
        <v>0</v>
      </c>
      <c r="Z27" s="99">
        <f t="shared" si="33"/>
        <v>74</v>
      </c>
      <c r="AA27" s="99">
        <v>0</v>
      </c>
      <c r="AB27" s="193">
        <f t="shared" ref="AB27" si="37">SUM(X27:AA27)</f>
        <v>90</v>
      </c>
    </row>
    <row r="28" spans="1:30" ht="38.25">
      <c r="A28" s="192" t="str">
        <f>+'5. Financial Plan'!A29</f>
        <v>1.2.2.3</v>
      </c>
      <c r="B28" s="155" t="s">
        <v>286</v>
      </c>
      <c r="C28" s="99">
        <v>8751</v>
      </c>
      <c r="D28" s="99">
        <v>7260</v>
      </c>
      <c r="E28" s="99">
        <f>15144-9000</f>
        <v>6144</v>
      </c>
      <c r="F28" s="99">
        <v>0</v>
      </c>
      <c r="G28" s="99">
        <f t="shared" si="6"/>
        <v>22155</v>
      </c>
      <c r="H28" s="99">
        <v>8654</v>
      </c>
      <c r="I28" s="99">
        <v>3546</v>
      </c>
      <c r="J28" s="99">
        <v>6059</v>
      </c>
      <c r="K28" s="99">
        <v>11077</v>
      </c>
      <c r="L28" s="99">
        <v>31242</v>
      </c>
      <c r="M28" s="99">
        <f t="shared" ref="M28:M30" si="38">C28-H28</f>
        <v>97</v>
      </c>
      <c r="N28" s="99">
        <f t="shared" si="28"/>
        <v>3714</v>
      </c>
      <c r="O28" s="99">
        <f t="shared" si="29"/>
        <v>85</v>
      </c>
      <c r="P28" s="99">
        <v>0</v>
      </c>
      <c r="Q28" s="98">
        <f t="shared" si="36"/>
        <v>3896</v>
      </c>
      <c r="R28" s="155" t="s">
        <v>286</v>
      </c>
      <c r="S28" s="99">
        <f>+'5. Financial Plan'!V29</f>
        <v>0</v>
      </c>
      <c r="T28" s="99">
        <f>+'5. Financial Plan'!W29</f>
        <v>3714</v>
      </c>
      <c r="U28" s="99">
        <f>+'5. Financial Plan'!X29</f>
        <v>0</v>
      </c>
      <c r="V28" s="99">
        <f>+'5. Financial Plan'!Y29</f>
        <v>9457</v>
      </c>
      <c r="W28" s="99">
        <f t="shared" si="30"/>
        <v>13171</v>
      </c>
      <c r="X28" s="99">
        <f t="shared" si="31"/>
        <v>97</v>
      </c>
      <c r="Y28" s="99">
        <f t="shared" si="32"/>
        <v>0</v>
      </c>
      <c r="Z28" s="99">
        <f t="shared" si="33"/>
        <v>85</v>
      </c>
      <c r="AA28" s="99">
        <v>0</v>
      </c>
      <c r="AB28" s="193">
        <f t="shared" ref="AB28:AB30" si="39">SUM(X28:AA28)</f>
        <v>182</v>
      </c>
    </row>
    <row r="29" spans="1:30" ht="25.5">
      <c r="A29" s="192">
        <f>+'5. Financial Plan'!A30</f>
        <v>0</v>
      </c>
      <c r="B29" s="155" t="s">
        <v>274</v>
      </c>
      <c r="C29" s="99"/>
      <c r="D29" s="99">
        <v>25879</v>
      </c>
      <c r="E29" s="99"/>
      <c r="F29" s="99"/>
      <c r="G29" s="99">
        <f t="shared" si="6"/>
        <v>25879</v>
      </c>
      <c r="H29" s="99"/>
      <c r="I29" s="99">
        <v>25879</v>
      </c>
      <c r="J29" s="99"/>
      <c r="K29" s="99"/>
      <c r="L29" s="99">
        <f t="shared" si="35"/>
        <v>25879</v>
      </c>
      <c r="M29" s="99">
        <f t="shared" ref="M29" si="40">C29-H29</f>
        <v>0</v>
      </c>
      <c r="N29" s="99">
        <f t="shared" ref="N29" si="41">D29-I29</f>
        <v>0</v>
      </c>
      <c r="O29" s="99">
        <f t="shared" ref="O29" si="42">E29-J29</f>
        <v>0</v>
      </c>
      <c r="P29" s="99">
        <v>0</v>
      </c>
      <c r="Q29" s="98">
        <f>SUM(M29:P29)</f>
        <v>0</v>
      </c>
      <c r="R29" s="155" t="s">
        <v>274</v>
      </c>
      <c r="S29" s="99">
        <f>+'5. Financial Plan'!V30</f>
        <v>0</v>
      </c>
      <c r="T29" s="99"/>
      <c r="U29" s="99">
        <f>+'5. Financial Plan'!X30</f>
        <v>0</v>
      </c>
      <c r="V29" s="99"/>
      <c r="W29" s="99">
        <f t="shared" si="30"/>
        <v>0</v>
      </c>
      <c r="X29" s="99">
        <f t="shared" si="31"/>
        <v>0</v>
      </c>
      <c r="Y29" s="99">
        <f t="shared" si="32"/>
        <v>0</v>
      </c>
      <c r="Z29" s="99">
        <f t="shared" si="33"/>
        <v>0</v>
      </c>
      <c r="AA29" s="99">
        <v>0</v>
      </c>
      <c r="AB29" s="193"/>
    </row>
    <row r="30" spans="1:30" ht="37.5" customHeight="1">
      <c r="A30" s="192" t="str">
        <f>+'5. Financial Plan'!A31</f>
        <v>COMPONENT 2: TOTAL</v>
      </c>
      <c r="B30" s="195" t="s">
        <v>300</v>
      </c>
      <c r="C30" s="99">
        <v>1229762</v>
      </c>
      <c r="D30" s="99">
        <v>2069551</v>
      </c>
      <c r="E30" s="99">
        <f>1679818-15833</f>
        <v>1663985</v>
      </c>
      <c r="F30" s="99">
        <v>0</v>
      </c>
      <c r="G30" s="99">
        <f t="shared" si="6"/>
        <v>4963298</v>
      </c>
      <c r="H30" s="99">
        <v>1229558</v>
      </c>
      <c r="I30" s="99">
        <v>2052079</v>
      </c>
      <c r="J30" s="99">
        <v>1663985</v>
      </c>
      <c r="K30" s="99"/>
      <c r="L30" s="99">
        <f t="shared" si="35"/>
        <v>4945622</v>
      </c>
      <c r="M30" s="99">
        <f t="shared" si="38"/>
        <v>204</v>
      </c>
      <c r="N30" s="99">
        <f t="shared" si="28"/>
        <v>17472</v>
      </c>
      <c r="O30" s="99">
        <f t="shared" si="29"/>
        <v>0</v>
      </c>
      <c r="P30" s="99">
        <v>0</v>
      </c>
      <c r="Q30" s="98">
        <f t="shared" si="36"/>
        <v>17676</v>
      </c>
      <c r="R30" s="195" t="s">
        <v>300</v>
      </c>
      <c r="S30" s="99"/>
      <c r="T30" s="99">
        <f>+'5. Financial Plan'!W30</f>
        <v>17472</v>
      </c>
      <c r="U30" s="99">
        <f>+'5. Financial Plan'!X30</f>
        <v>0</v>
      </c>
      <c r="V30" s="99">
        <f>+'5. Financial Plan'!Y30</f>
        <v>296393</v>
      </c>
      <c r="W30" s="99">
        <f t="shared" si="30"/>
        <v>313865</v>
      </c>
      <c r="X30" s="99">
        <f t="shared" si="31"/>
        <v>204</v>
      </c>
      <c r="Y30" s="99">
        <f t="shared" si="32"/>
        <v>0</v>
      </c>
      <c r="Z30" s="99">
        <f t="shared" si="33"/>
        <v>0</v>
      </c>
      <c r="AA30" s="99">
        <v>0</v>
      </c>
      <c r="AB30" s="193">
        <f t="shared" si="39"/>
        <v>204</v>
      </c>
    </row>
    <row r="31" spans="1:30" ht="33.75" customHeight="1">
      <c r="A31" s="549">
        <f>+'5. Financial Plan'!A32</f>
        <v>3</v>
      </c>
      <c r="B31" s="546" t="str">
        <f>+'5. Financial Plan'!B32</f>
        <v>Community Justice Services</v>
      </c>
      <c r="C31" s="547">
        <f>SUM(C32:C37)</f>
        <v>1798619</v>
      </c>
      <c r="D31" s="547">
        <f t="shared" ref="D31:AB31" si="43">SUM(D32:D37)</f>
        <v>1601311</v>
      </c>
      <c r="E31" s="547">
        <f t="shared" si="43"/>
        <v>4183371</v>
      </c>
      <c r="F31" s="547">
        <f t="shared" si="43"/>
        <v>0</v>
      </c>
      <c r="G31" s="547">
        <f t="shared" si="43"/>
        <v>7583301</v>
      </c>
      <c r="H31" s="547">
        <f>SUM(H32:H37)</f>
        <v>1300648</v>
      </c>
      <c r="I31" s="547">
        <f>SUM(I32:I37)</f>
        <v>946825</v>
      </c>
      <c r="J31" s="547">
        <f>SUM(J32:J37)</f>
        <v>2462087</v>
      </c>
      <c r="K31" s="547">
        <f t="shared" si="43"/>
        <v>240565</v>
      </c>
      <c r="L31" s="547">
        <f>SUM(L32:L37)</f>
        <v>4950125</v>
      </c>
      <c r="M31" s="547">
        <f t="shared" si="43"/>
        <v>497971</v>
      </c>
      <c r="N31" s="547">
        <f t="shared" ref="N31" si="44">SUM(N32:N37)</f>
        <v>654486</v>
      </c>
      <c r="O31" s="547">
        <f t="shared" ref="O31" si="45">SUM(O32:O37)</f>
        <v>1721284</v>
      </c>
      <c r="P31" s="547">
        <f t="shared" si="43"/>
        <v>0</v>
      </c>
      <c r="Q31" s="547">
        <f t="shared" si="43"/>
        <v>2873741</v>
      </c>
      <c r="R31" s="546" t="str">
        <f>+B31</f>
        <v>Community Justice Services</v>
      </c>
      <c r="S31" s="547">
        <f t="shared" si="43"/>
        <v>497971</v>
      </c>
      <c r="T31" s="547">
        <f t="shared" si="43"/>
        <v>343858</v>
      </c>
      <c r="U31" s="547">
        <f t="shared" si="43"/>
        <v>1719832</v>
      </c>
      <c r="V31" s="547">
        <f t="shared" si="43"/>
        <v>203908</v>
      </c>
      <c r="W31" s="547">
        <f>SUM(W32:W37)</f>
        <v>2765569</v>
      </c>
      <c r="X31" s="547">
        <f t="shared" si="43"/>
        <v>0</v>
      </c>
      <c r="Y31" s="547">
        <f t="shared" si="43"/>
        <v>310628</v>
      </c>
      <c r="Z31" s="547">
        <f t="shared" si="43"/>
        <v>1452</v>
      </c>
      <c r="AA31" s="547"/>
      <c r="AB31" s="547">
        <f t="shared" si="43"/>
        <v>312080</v>
      </c>
    </row>
    <row r="32" spans="1:30" ht="47.25" customHeight="1">
      <c r="A32" s="196" t="str">
        <f>+'5. Financial Plan'!A33</f>
        <v>1.3.1.1a,c,d</v>
      </c>
      <c r="B32" s="155" t="s">
        <v>287</v>
      </c>
      <c r="C32" s="99">
        <f>425418.42-(80000+50000)</f>
        <v>295418.42</v>
      </c>
      <c r="D32" s="99">
        <f>325392-16476</f>
        <v>308916</v>
      </c>
      <c r="E32" s="99">
        <f>444647-(33000+16000)</f>
        <v>395647</v>
      </c>
      <c r="F32" s="99">
        <v>0</v>
      </c>
      <c r="G32" s="99">
        <f t="shared" ref="G32:G60" si="46">SUM(C32:F32)</f>
        <v>999981.41999999993</v>
      </c>
      <c r="H32" s="99">
        <v>181956</v>
      </c>
      <c r="I32" s="99">
        <v>138077</v>
      </c>
      <c r="J32" s="99">
        <f>267086+35961</f>
        <v>303047</v>
      </c>
      <c r="K32" s="99">
        <v>60160</v>
      </c>
      <c r="L32" s="99">
        <f>SUM(H32:K32)</f>
        <v>683240</v>
      </c>
      <c r="M32" s="99">
        <f t="shared" ref="M32:M37" si="47">C32-H32</f>
        <v>113462.41999999998</v>
      </c>
      <c r="N32" s="99">
        <f t="shared" ref="N32:N37" si="48">D32-I32</f>
        <v>170839</v>
      </c>
      <c r="O32" s="99">
        <f t="shared" ref="O32:O37" si="49">E32-J32</f>
        <v>92600</v>
      </c>
      <c r="P32" s="99">
        <v>0</v>
      </c>
      <c r="Q32" s="99">
        <f>SUM(M32:P32)</f>
        <v>376901.42</v>
      </c>
      <c r="R32" s="155" t="s">
        <v>287</v>
      </c>
      <c r="S32" s="99">
        <f>+'5. Financial Plan'!V33</f>
        <v>113462.41999999998</v>
      </c>
      <c r="T32" s="99">
        <f>+'5. Financial Plan'!W33</f>
        <v>76152</v>
      </c>
      <c r="U32" s="99">
        <f>+'5. Financial Plan'!X33</f>
        <v>91893</v>
      </c>
      <c r="V32" s="99">
        <f>+'5. Financial Plan'!Y33</f>
        <v>104808.58</v>
      </c>
      <c r="W32" s="99">
        <f t="shared" ref="W32:W37" si="50">SUM(S32:V32)</f>
        <v>386316</v>
      </c>
      <c r="X32" s="99">
        <f t="shared" ref="X32:X37" si="51">M32-S32</f>
        <v>0</v>
      </c>
      <c r="Y32" s="99">
        <f t="shared" ref="Y32:Y37" si="52">SUM(N32-T32)</f>
        <v>94687</v>
      </c>
      <c r="Z32" s="99">
        <f t="shared" ref="Z32:Z37" si="53">SUM(O32-U32)</f>
        <v>707</v>
      </c>
      <c r="AA32" s="99">
        <v>0</v>
      </c>
      <c r="AB32" s="193">
        <f t="shared" ref="AB32:AB36" si="54">SUM(X32:AA32)</f>
        <v>95394</v>
      </c>
    </row>
    <row r="33" spans="1:51" ht="35.25" customHeight="1">
      <c r="A33" s="196" t="str">
        <f>+'5. Financial Plan'!A34</f>
        <v>1.3.1.2c</v>
      </c>
      <c r="B33" s="155" t="s">
        <v>288</v>
      </c>
      <c r="C33" s="99">
        <v>84751</v>
      </c>
      <c r="D33" s="99">
        <v>147067</v>
      </c>
      <c r="E33" s="99">
        <f>(188772+80000)-16000</f>
        <v>252772</v>
      </c>
      <c r="F33" s="99">
        <v>0</v>
      </c>
      <c r="G33" s="99">
        <f t="shared" si="46"/>
        <v>484590</v>
      </c>
      <c r="H33" s="99">
        <v>63015</v>
      </c>
      <c r="I33" s="99">
        <v>54289</v>
      </c>
      <c r="J33" s="99">
        <v>193283</v>
      </c>
      <c r="K33" s="99">
        <v>22540</v>
      </c>
      <c r="L33" s="99">
        <f t="shared" ref="L33:L37" si="55">SUM(H33:K33)</f>
        <v>333127</v>
      </c>
      <c r="M33" s="99">
        <f t="shared" si="47"/>
        <v>21736</v>
      </c>
      <c r="N33" s="99">
        <f t="shared" si="48"/>
        <v>92778</v>
      </c>
      <c r="O33" s="99">
        <f t="shared" si="49"/>
        <v>59489</v>
      </c>
      <c r="P33" s="99">
        <v>0</v>
      </c>
      <c r="Q33" s="99">
        <f t="shared" ref="Q33:Q36" si="56">SUM(M33:P33)</f>
        <v>174003</v>
      </c>
      <c r="R33" s="155" t="s">
        <v>288</v>
      </c>
      <c r="S33" s="99">
        <f>+'5. Financial Plan'!V34</f>
        <v>21736</v>
      </c>
      <c r="T33" s="99">
        <f>+'5. Financial Plan'!W34</f>
        <v>85000</v>
      </c>
      <c r="U33" s="99">
        <f>+'5. Financial Plan'!X34</f>
        <v>59103</v>
      </c>
      <c r="V33" s="99">
        <f>+'5. Financial Plan'!Y34</f>
        <v>0</v>
      </c>
      <c r="W33" s="99">
        <f t="shared" si="50"/>
        <v>165839</v>
      </c>
      <c r="X33" s="99">
        <f t="shared" si="51"/>
        <v>0</v>
      </c>
      <c r="Y33" s="99">
        <f t="shared" si="52"/>
        <v>7778</v>
      </c>
      <c r="Z33" s="99">
        <f t="shared" si="53"/>
        <v>386</v>
      </c>
      <c r="AA33" s="99">
        <v>0</v>
      </c>
      <c r="AB33" s="193">
        <f t="shared" si="54"/>
        <v>8164</v>
      </c>
    </row>
    <row r="34" spans="1:51" ht="44.25" customHeight="1">
      <c r="A34" s="196" t="str">
        <f>+'5. Financial Plan'!A35</f>
        <v>1.3.1.3b,c</v>
      </c>
      <c r="B34" s="155" t="s">
        <v>289</v>
      </c>
      <c r="C34" s="99">
        <f>300254.58-50000</f>
        <v>250254.58000000002</v>
      </c>
      <c r="D34" s="99">
        <f>228772-100000</f>
        <v>128772</v>
      </c>
      <c r="E34" s="99">
        <f>360156+32000</f>
        <v>392156</v>
      </c>
      <c r="F34" s="99">
        <v>0</v>
      </c>
      <c r="G34" s="99">
        <f t="shared" si="46"/>
        <v>771182.58000000007</v>
      </c>
      <c r="H34" s="99">
        <v>196902</v>
      </c>
      <c r="I34" s="99">
        <v>61624</v>
      </c>
      <c r="J34" s="99">
        <v>328439</v>
      </c>
      <c r="K34" s="99">
        <v>15514</v>
      </c>
      <c r="L34" s="99">
        <f t="shared" si="55"/>
        <v>602479</v>
      </c>
      <c r="M34" s="99">
        <f t="shared" si="47"/>
        <v>53352.580000000016</v>
      </c>
      <c r="N34" s="99">
        <f t="shared" si="48"/>
        <v>67148</v>
      </c>
      <c r="O34" s="99">
        <f t="shared" si="49"/>
        <v>63717</v>
      </c>
      <c r="P34" s="99">
        <v>0</v>
      </c>
      <c r="Q34" s="99">
        <f t="shared" si="56"/>
        <v>184217.58000000002</v>
      </c>
      <c r="R34" s="155" t="s">
        <v>289</v>
      </c>
      <c r="S34" s="99">
        <f>+'5. Financial Plan'!V35</f>
        <v>53352.580000000016</v>
      </c>
      <c r="T34" s="99">
        <f>+'5. Financial Plan'!W35</f>
        <v>37000</v>
      </c>
      <c r="U34" s="99">
        <f>+'5. Financial Plan'!X35</f>
        <v>63717</v>
      </c>
      <c r="V34" s="99">
        <f>+'5. Financial Plan'!Y35</f>
        <v>18352.419999999998</v>
      </c>
      <c r="W34" s="99">
        <f t="shared" si="50"/>
        <v>172422</v>
      </c>
      <c r="X34" s="99">
        <f t="shared" si="51"/>
        <v>0</v>
      </c>
      <c r="Y34" s="99">
        <f t="shared" si="52"/>
        <v>30148</v>
      </c>
      <c r="Z34" s="99">
        <f t="shared" si="53"/>
        <v>0</v>
      </c>
      <c r="AA34" s="99">
        <v>0</v>
      </c>
      <c r="AB34" s="193">
        <f t="shared" si="54"/>
        <v>30148</v>
      </c>
    </row>
    <row r="35" spans="1:51" ht="30" customHeight="1">
      <c r="A35" s="196" t="str">
        <f>+'5. Financial Plan'!A36</f>
        <v>1.3.1.5d</v>
      </c>
      <c r="B35" s="155" t="s">
        <v>290</v>
      </c>
      <c r="C35" s="99">
        <f>793981+100000</f>
        <v>893981</v>
      </c>
      <c r="D35" s="99">
        <v>806532</v>
      </c>
      <c r="E35" s="99">
        <f>1511737+731700</f>
        <v>2243437</v>
      </c>
      <c r="F35" s="99">
        <v>0</v>
      </c>
      <c r="G35" s="99">
        <f t="shared" si="46"/>
        <v>3943950</v>
      </c>
      <c r="H35" s="99">
        <v>794164</v>
      </c>
      <c r="I35" s="99">
        <v>607352</v>
      </c>
      <c r="J35" s="99">
        <v>1469954</v>
      </c>
      <c r="K35" s="99">
        <v>123320</v>
      </c>
      <c r="L35" s="99">
        <f t="shared" si="55"/>
        <v>2994790</v>
      </c>
      <c r="M35" s="99">
        <f t="shared" si="47"/>
        <v>99817</v>
      </c>
      <c r="N35" s="99">
        <f t="shared" si="48"/>
        <v>199180</v>
      </c>
      <c r="O35" s="99">
        <f t="shared" si="49"/>
        <v>773483</v>
      </c>
      <c r="P35" s="99">
        <v>0</v>
      </c>
      <c r="Q35" s="99">
        <f t="shared" si="56"/>
        <v>1072480</v>
      </c>
      <c r="R35" s="155" t="s">
        <v>290</v>
      </c>
      <c r="S35" s="99">
        <f>+'5. Financial Plan'!V36</f>
        <v>99817</v>
      </c>
      <c r="T35" s="99">
        <f>+'5. Financial Plan'!W36</f>
        <v>37199</v>
      </c>
      <c r="U35" s="99">
        <f>+'5. Financial Plan'!X36</f>
        <v>773483</v>
      </c>
      <c r="V35" s="99">
        <f>+'5. Financial Plan'!Y36</f>
        <v>80747</v>
      </c>
      <c r="W35" s="99">
        <f t="shared" si="50"/>
        <v>991246</v>
      </c>
      <c r="X35" s="99">
        <f t="shared" si="51"/>
        <v>0</v>
      </c>
      <c r="Y35" s="99">
        <f t="shared" si="52"/>
        <v>161981</v>
      </c>
      <c r="Z35" s="99">
        <f t="shared" si="53"/>
        <v>0</v>
      </c>
      <c r="AA35" s="99">
        <v>0</v>
      </c>
      <c r="AB35" s="109">
        <f t="shared" si="54"/>
        <v>161981</v>
      </c>
    </row>
    <row r="36" spans="1:51" ht="30.75" customHeight="1">
      <c r="A36" s="196" t="str">
        <f>+'5. Financial Plan'!A37</f>
        <v>1.3.1.6c</v>
      </c>
      <c r="B36" s="155" t="s">
        <v>291</v>
      </c>
      <c r="C36" s="99">
        <f>36147+205000</f>
        <v>241147</v>
      </c>
      <c r="D36" s="99">
        <v>159072</v>
      </c>
      <c r="E36" s="99">
        <f>(867742-80000)+33000</f>
        <v>820742</v>
      </c>
      <c r="F36" s="99">
        <v>0</v>
      </c>
      <c r="G36" s="99">
        <f t="shared" si="46"/>
        <v>1220961</v>
      </c>
      <c r="H36" s="99">
        <v>35373</v>
      </c>
      <c r="I36" s="99">
        <v>48038</v>
      </c>
      <c r="J36" s="99">
        <v>105996</v>
      </c>
      <c r="K36" s="99">
        <v>16143</v>
      </c>
      <c r="L36" s="99">
        <f t="shared" si="55"/>
        <v>205550</v>
      </c>
      <c r="M36" s="99">
        <f t="shared" si="47"/>
        <v>205774</v>
      </c>
      <c r="N36" s="99">
        <f t="shared" si="48"/>
        <v>111034</v>
      </c>
      <c r="O36" s="99">
        <f t="shared" si="49"/>
        <v>714746</v>
      </c>
      <c r="P36" s="99">
        <v>0</v>
      </c>
      <c r="Q36" s="99">
        <f t="shared" si="56"/>
        <v>1031554</v>
      </c>
      <c r="R36" s="155" t="s">
        <v>291</v>
      </c>
      <c r="S36" s="99">
        <f>+'5. Financial Plan'!V37</f>
        <v>205774</v>
      </c>
      <c r="T36" s="99">
        <f>+'5. Financial Plan'!W37</f>
        <v>95000</v>
      </c>
      <c r="U36" s="99">
        <f>+'5. Financial Plan'!X37</f>
        <v>714443</v>
      </c>
      <c r="V36" s="99">
        <f>+'5. Financial Plan'!Y37</f>
        <v>0</v>
      </c>
      <c r="W36" s="99">
        <f t="shared" si="50"/>
        <v>1015217</v>
      </c>
      <c r="X36" s="99">
        <f t="shared" si="51"/>
        <v>0</v>
      </c>
      <c r="Y36" s="99">
        <f t="shared" si="52"/>
        <v>16034</v>
      </c>
      <c r="Z36" s="99">
        <f t="shared" si="53"/>
        <v>303</v>
      </c>
      <c r="AA36" s="99">
        <v>0</v>
      </c>
      <c r="AB36" s="109">
        <f t="shared" si="54"/>
        <v>16337</v>
      </c>
    </row>
    <row r="37" spans="1:51" ht="23.25" customHeight="1">
      <c r="A37" s="196" t="str">
        <f>+'5. Financial Plan'!A38</f>
        <v>1.3.1.7a</v>
      </c>
      <c r="B37" s="155" t="s">
        <v>292</v>
      </c>
      <c r="C37" s="99">
        <f>158067-125000</f>
        <v>33067</v>
      </c>
      <c r="D37" s="99">
        <v>50952</v>
      </c>
      <c r="E37" s="99">
        <f>810317-731700</f>
        <v>78617</v>
      </c>
      <c r="F37" s="99">
        <v>0</v>
      </c>
      <c r="G37" s="99">
        <f t="shared" si="46"/>
        <v>162636</v>
      </c>
      <c r="H37" s="99">
        <v>29238</v>
      </c>
      <c r="I37" s="99">
        <v>37445</v>
      </c>
      <c r="J37" s="99">
        <v>61368</v>
      </c>
      <c r="K37" s="99">
        <v>2888</v>
      </c>
      <c r="L37" s="99">
        <f t="shared" si="55"/>
        <v>130939</v>
      </c>
      <c r="M37" s="99">
        <f t="shared" si="47"/>
        <v>3829</v>
      </c>
      <c r="N37" s="99">
        <f t="shared" si="48"/>
        <v>13507</v>
      </c>
      <c r="O37" s="99">
        <f t="shared" si="49"/>
        <v>17249</v>
      </c>
      <c r="P37" s="99">
        <v>0</v>
      </c>
      <c r="Q37" s="99">
        <f>SUM(M37:P37)</f>
        <v>34585</v>
      </c>
      <c r="R37" s="155" t="s">
        <v>292</v>
      </c>
      <c r="S37" s="99">
        <f>+'5. Financial Plan'!V38</f>
        <v>3829</v>
      </c>
      <c r="T37" s="99">
        <f>+'5. Financial Plan'!W38</f>
        <v>13507</v>
      </c>
      <c r="U37" s="99">
        <f>+'5. Financial Plan'!X38</f>
        <v>17193</v>
      </c>
      <c r="V37" s="99">
        <f>+'5. Financial Plan'!Y38</f>
        <v>0</v>
      </c>
      <c r="W37" s="99">
        <f t="shared" si="50"/>
        <v>34529</v>
      </c>
      <c r="X37" s="99">
        <f t="shared" si="51"/>
        <v>0</v>
      </c>
      <c r="Y37" s="99">
        <f t="shared" si="52"/>
        <v>0</v>
      </c>
      <c r="Z37" s="99">
        <f t="shared" si="53"/>
        <v>56</v>
      </c>
      <c r="AA37" s="99">
        <v>0</v>
      </c>
      <c r="AB37" s="109">
        <f>SUM(X37:AA37)</f>
        <v>56</v>
      </c>
    </row>
    <row r="38" spans="1:51" ht="23.25" customHeight="1">
      <c r="A38" s="549">
        <v>4</v>
      </c>
      <c r="B38" s="557" t="s">
        <v>266</v>
      </c>
      <c r="C38" s="547">
        <v>131215</v>
      </c>
      <c r="D38" s="547">
        <f>137696+16646</f>
        <v>154342</v>
      </c>
      <c r="E38" s="547">
        <v>114391</v>
      </c>
      <c r="F38" s="547">
        <v>0</v>
      </c>
      <c r="G38" s="547">
        <f t="shared" si="46"/>
        <v>399948</v>
      </c>
      <c r="H38" s="547">
        <v>13438</v>
      </c>
      <c r="I38" s="547">
        <v>16646</v>
      </c>
      <c r="J38" s="547">
        <v>102853</v>
      </c>
      <c r="K38" s="547"/>
      <c r="L38" s="547">
        <f>SUM(H38:K38)</f>
        <v>132937</v>
      </c>
      <c r="M38" s="547">
        <f t="shared" ref="M38" si="57">C38-H38</f>
        <v>117777</v>
      </c>
      <c r="N38" s="547">
        <f t="shared" ref="N38" si="58">D38-I38</f>
        <v>137696</v>
      </c>
      <c r="O38" s="547">
        <f t="shared" ref="O38" si="59">E38-J38</f>
        <v>11538</v>
      </c>
      <c r="P38" s="547">
        <v>0</v>
      </c>
      <c r="Q38" s="547">
        <f>SUM(M38:P38)</f>
        <v>267011</v>
      </c>
      <c r="R38" s="557" t="s">
        <v>266</v>
      </c>
      <c r="S38" s="558">
        <f>+'5. Financial Plan'!V40</f>
        <v>117777</v>
      </c>
      <c r="T38" s="558">
        <f>+'5. Financial Plan'!W40</f>
        <v>137696</v>
      </c>
      <c r="U38" s="558">
        <f>+'5. Financial Plan'!X40</f>
        <v>11538</v>
      </c>
      <c r="V38" s="558">
        <f>+'5. Financial Plan'!Y40</f>
        <v>348771</v>
      </c>
      <c r="W38" s="558">
        <f t="shared" ref="W38" si="60">SUM(S38:V38)</f>
        <v>615782</v>
      </c>
      <c r="X38" s="547">
        <f>M38-S38</f>
        <v>0</v>
      </c>
      <c r="Y38" s="547">
        <f t="shared" ref="Y38" si="61">SUM(N38-T38)</f>
        <v>0</v>
      </c>
      <c r="Z38" s="547">
        <f t="shared" ref="Z38" si="62">SUM(O38-U38)</f>
        <v>0</v>
      </c>
      <c r="AA38" s="558">
        <v>0</v>
      </c>
      <c r="AB38" s="559">
        <f>SUM(X38:AA38)</f>
        <v>0</v>
      </c>
    </row>
    <row r="39" spans="1:51">
      <c r="A39" s="197"/>
      <c r="B39" s="100"/>
      <c r="C39" s="101"/>
      <c r="D39" s="101"/>
      <c r="E39" s="101"/>
      <c r="F39" s="101"/>
      <c r="G39" s="101"/>
      <c r="H39" s="101"/>
      <c r="I39" s="101"/>
      <c r="J39" s="101"/>
      <c r="K39" s="101"/>
      <c r="L39" s="101"/>
      <c r="M39" s="101"/>
      <c r="N39" s="101"/>
      <c r="O39" s="101"/>
      <c r="P39" s="101"/>
      <c r="Q39" s="101"/>
      <c r="R39" s="100"/>
      <c r="S39" s="98"/>
      <c r="T39" s="98"/>
      <c r="U39" s="98"/>
      <c r="V39" s="98"/>
      <c r="W39" s="99"/>
      <c r="X39" s="101"/>
      <c r="Y39" s="101"/>
      <c r="Z39" s="101"/>
      <c r="AA39" s="101"/>
      <c r="AB39" s="198"/>
    </row>
    <row r="40" spans="1:51" s="548" customFormat="1">
      <c r="A40" s="545">
        <v>5</v>
      </c>
      <c r="B40" s="546" t="str">
        <f>+'5. Financial Plan'!B41</f>
        <v>Monitoring &amp; Evaluations</v>
      </c>
      <c r="C40" s="547">
        <f>SUM(C41:C60)</f>
        <v>1491314.77</v>
      </c>
      <c r="D40" s="547">
        <f t="shared" ref="D40:AB40" si="63">SUM(D41:D60)</f>
        <v>179576</v>
      </c>
      <c r="E40" s="547">
        <f t="shared" si="63"/>
        <v>1292107</v>
      </c>
      <c r="F40" s="547">
        <f t="shared" si="63"/>
        <v>0</v>
      </c>
      <c r="G40" s="547">
        <f t="shared" si="63"/>
        <v>2962997.77</v>
      </c>
      <c r="H40" s="547">
        <f>SUM(H41:H60)</f>
        <v>1094515</v>
      </c>
      <c r="I40" s="547">
        <f t="shared" si="63"/>
        <v>179434</v>
      </c>
      <c r="J40" s="547">
        <f t="shared" si="63"/>
        <v>1291468</v>
      </c>
      <c r="K40" s="547">
        <f t="shared" si="63"/>
        <v>15565</v>
      </c>
      <c r="L40" s="547">
        <f t="shared" si="63"/>
        <v>2580982</v>
      </c>
      <c r="M40" s="547">
        <f t="shared" si="63"/>
        <v>396799.77</v>
      </c>
      <c r="N40" s="547">
        <f t="shared" si="63"/>
        <v>142</v>
      </c>
      <c r="O40" s="547">
        <f t="shared" si="63"/>
        <v>639</v>
      </c>
      <c r="P40" s="547">
        <f t="shared" si="63"/>
        <v>0</v>
      </c>
      <c r="Q40" s="547">
        <f t="shared" si="63"/>
        <v>397580.77</v>
      </c>
      <c r="R40" s="547">
        <f t="shared" si="63"/>
        <v>0</v>
      </c>
      <c r="S40" s="547">
        <f t="shared" si="63"/>
        <v>396633.77</v>
      </c>
      <c r="T40" s="547">
        <f t="shared" si="63"/>
        <v>0</v>
      </c>
      <c r="U40" s="547">
        <f t="shared" si="63"/>
        <v>0</v>
      </c>
      <c r="V40" s="547">
        <f t="shared" si="63"/>
        <v>41832</v>
      </c>
      <c r="W40" s="547">
        <f t="shared" si="63"/>
        <v>438465.77</v>
      </c>
      <c r="X40" s="547">
        <f t="shared" si="63"/>
        <v>0</v>
      </c>
      <c r="Y40" s="547">
        <f t="shared" si="63"/>
        <v>142</v>
      </c>
      <c r="Z40" s="547">
        <f t="shared" si="63"/>
        <v>496</v>
      </c>
      <c r="AA40" s="547">
        <f t="shared" si="63"/>
        <v>0</v>
      </c>
      <c r="AB40" s="547">
        <f t="shared" si="63"/>
        <v>435.0000000000291</v>
      </c>
      <c r="AC40" s="93"/>
      <c r="AD40" s="66"/>
      <c r="AE40" s="66"/>
      <c r="AF40" s="66"/>
      <c r="AG40" s="66"/>
      <c r="AH40" s="66"/>
      <c r="AI40" s="66"/>
      <c r="AJ40" s="66"/>
      <c r="AK40" s="66"/>
      <c r="AL40" s="66"/>
      <c r="AM40" s="66"/>
      <c r="AN40" s="66"/>
      <c r="AO40" s="66"/>
      <c r="AP40" s="66"/>
      <c r="AQ40" s="66"/>
      <c r="AR40" s="66"/>
      <c r="AS40" s="66"/>
      <c r="AT40" s="66"/>
      <c r="AU40" s="66"/>
      <c r="AV40" s="66"/>
      <c r="AW40" s="66"/>
      <c r="AX40" s="66"/>
      <c r="AY40" s="66"/>
    </row>
    <row r="41" spans="1:51">
      <c r="A41" s="194"/>
      <c r="B41" s="199" t="s">
        <v>307</v>
      </c>
      <c r="C41" s="99">
        <v>21614</v>
      </c>
      <c r="D41" s="99">
        <v>0</v>
      </c>
      <c r="E41" s="99">
        <v>4784</v>
      </c>
      <c r="F41" s="99">
        <v>0</v>
      </c>
      <c r="G41" s="99">
        <f t="shared" si="46"/>
        <v>26398</v>
      </c>
      <c r="H41" s="99">
        <v>21614</v>
      </c>
      <c r="I41" s="99"/>
      <c r="J41" s="99">
        <v>4784</v>
      </c>
      <c r="K41" s="99">
        <v>0</v>
      </c>
      <c r="L41" s="98">
        <f>SUM(H41:K41)</f>
        <v>26398</v>
      </c>
      <c r="M41" s="99">
        <f t="shared" ref="M41:M59" si="64">C41-H41</f>
        <v>0</v>
      </c>
      <c r="N41" s="99">
        <f t="shared" ref="N41:N59" si="65">D41-I41</f>
        <v>0</v>
      </c>
      <c r="O41" s="99">
        <f t="shared" ref="O41:O59" si="66">E41-J41</f>
        <v>0</v>
      </c>
      <c r="P41" s="99">
        <v>0</v>
      </c>
      <c r="Q41" s="98">
        <f>SUM(M41:P41)</f>
        <v>0</v>
      </c>
      <c r="R41" s="199" t="s">
        <v>307</v>
      </c>
      <c r="S41" s="99"/>
      <c r="T41" s="99"/>
      <c r="U41" s="99"/>
      <c r="V41" s="98"/>
      <c r="W41" s="99">
        <f t="shared" ref="W41:W60" si="67">SUM(S41:V41)</f>
        <v>0</v>
      </c>
      <c r="X41" s="99">
        <f t="shared" ref="X41" si="68">M41-S41</f>
        <v>0</v>
      </c>
      <c r="Y41" s="99">
        <f t="shared" ref="Y41" si="69">SUM(N41-T41)</f>
        <v>0</v>
      </c>
      <c r="Z41" s="99">
        <f t="shared" ref="Z41" si="70">SUM(O41-U41)</f>
        <v>0</v>
      </c>
      <c r="AA41" s="99">
        <v>0</v>
      </c>
      <c r="AB41" s="99">
        <f>SUM(X41:AA41)</f>
        <v>0</v>
      </c>
    </row>
    <row r="42" spans="1:51" ht="42.75" customHeight="1">
      <c r="A42" s="194" t="str">
        <f>+'5. Financial Plan'!A43</f>
        <v>1.5.1.1</v>
      </c>
      <c r="B42" s="155" t="s">
        <v>308</v>
      </c>
      <c r="C42" s="99">
        <f>104615-2634</f>
        <v>101981</v>
      </c>
      <c r="D42" s="99">
        <v>1522</v>
      </c>
      <c r="E42" s="99">
        <f>73633-2500</f>
        <v>71133</v>
      </c>
      <c r="F42" s="99">
        <v>0</v>
      </c>
      <c r="G42" s="99">
        <f t="shared" si="46"/>
        <v>174636</v>
      </c>
      <c r="H42" s="99">
        <v>92163</v>
      </c>
      <c r="I42" s="99">
        <v>1522</v>
      </c>
      <c r="J42" s="99">
        <v>71123</v>
      </c>
      <c r="K42" s="99">
        <v>2029</v>
      </c>
      <c r="L42" s="98">
        <f>SUM(H42:K42)</f>
        <v>166837</v>
      </c>
      <c r="M42" s="99">
        <f t="shared" si="64"/>
        <v>9818</v>
      </c>
      <c r="N42" s="99">
        <f t="shared" si="65"/>
        <v>0</v>
      </c>
      <c r="O42" s="99">
        <f t="shared" si="66"/>
        <v>10</v>
      </c>
      <c r="P42" s="99">
        <v>0</v>
      </c>
      <c r="Q42" s="98">
        <f t="shared" ref="Q42:Q59" si="71">SUM(M42:P42)</f>
        <v>9828</v>
      </c>
      <c r="R42" s="155" t="s">
        <v>308</v>
      </c>
      <c r="S42" s="99">
        <f>+'5. Financial Plan'!V43</f>
        <v>9818</v>
      </c>
      <c r="T42" s="99">
        <f>+'5. Financial Plan'!W42</f>
        <v>0</v>
      </c>
      <c r="U42" s="99">
        <f>+'5. Financial Plan'!X42</f>
        <v>0</v>
      </c>
      <c r="V42" s="99">
        <f>+'5. Financial Plan'!Y42</f>
        <v>0</v>
      </c>
      <c r="W42" s="99">
        <f t="shared" si="67"/>
        <v>9818</v>
      </c>
      <c r="X42" s="99">
        <f t="shared" ref="X42:X51" si="72">M42-S42</f>
        <v>0</v>
      </c>
      <c r="Y42" s="99">
        <f t="shared" ref="Y42:Y51" si="73">SUM(N42-T42)</f>
        <v>0</v>
      </c>
      <c r="Z42" s="99">
        <f t="shared" ref="Z42:Z51" si="74">SUM(O42-U42)</f>
        <v>10</v>
      </c>
      <c r="AA42" s="99">
        <v>0</v>
      </c>
      <c r="AB42" s="99">
        <f t="shared" ref="AB42:AB59" si="75">SUM(X42:AA42)</f>
        <v>10</v>
      </c>
    </row>
    <row r="43" spans="1:51" ht="25.5">
      <c r="A43" s="194"/>
      <c r="B43" s="155" t="s">
        <v>309</v>
      </c>
      <c r="C43" s="99">
        <f>52839-13135</f>
        <v>39704</v>
      </c>
      <c r="D43" s="99">
        <v>0</v>
      </c>
      <c r="E43" s="99">
        <f>6904-160</f>
        <v>6744</v>
      </c>
      <c r="F43" s="99">
        <v>0</v>
      </c>
      <c r="G43" s="99">
        <f t="shared" si="46"/>
        <v>46448</v>
      </c>
      <c r="H43" s="99">
        <v>39704</v>
      </c>
      <c r="I43" s="99"/>
      <c r="J43" s="99">
        <v>6739</v>
      </c>
      <c r="K43" s="99">
        <v>0</v>
      </c>
      <c r="L43" s="98">
        <f t="shared" ref="L43:L59" si="76">SUM(H43:K43)</f>
        <v>46443</v>
      </c>
      <c r="M43" s="99">
        <f t="shared" si="64"/>
        <v>0</v>
      </c>
      <c r="N43" s="99">
        <f t="shared" si="65"/>
        <v>0</v>
      </c>
      <c r="O43" s="98">
        <f t="shared" si="66"/>
        <v>5</v>
      </c>
      <c r="P43" s="99">
        <v>0</v>
      </c>
      <c r="Q43" s="98">
        <f t="shared" si="71"/>
        <v>5</v>
      </c>
      <c r="R43" s="155" t="s">
        <v>309</v>
      </c>
      <c r="S43" s="99">
        <f>+'5. Financial Plan'!V44</f>
        <v>0</v>
      </c>
      <c r="T43" s="99">
        <f>+'5. Financial Plan'!W44</f>
        <v>0</v>
      </c>
      <c r="U43" s="99">
        <f>+'5. Financial Plan'!X44</f>
        <v>0</v>
      </c>
      <c r="V43" s="99">
        <f>+'5. Financial Plan'!Y44</f>
        <v>0</v>
      </c>
      <c r="W43" s="99">
        <f t="shared" si="67"/>
        <v>0</v>
      </c>
      <c r="X43" s="99">
        <f t="shared" si="72"/>
        <v>0</v>
      </c>
      <c r="Y43" s="99">
        <f t="shared" si="73"/>
        <v>0</v>
      </c>
      <c r="Z43" s="99">
        <f t="shared" si="74"/>
        <v>5</v>
      </c>
      <c r="AA43" s="99">
        <v>0</v>
      </c>
      <c r="AB43" s="99">
        <f t="shared" si="75"/>
        <v>5</v>
      </c>
    </row>
    <row r="44" spans="1:51" ht="25.5">
      <c r="A44" s="194"/>
      <c r="B44" s="140" t="s">
        <v>310</v>
      </c>
      <c r="C44" s="99">
        <f>7292-(6217+1075)</f>
        <v>0</v>
      </c>
      <c r="D44" s="99">
        <v>0</v>
      </c>
      <c r="E44" s="99">
        <f>11283-300</f>
        <v>10983</v>
      </c>
      <c r="F44" s="99">
        <v>0</v>
      </c>
      <c r="G44" s="99">
        <f t="shared" si="46"/>
        <v>10983</v>
      </c>
      <c r="H44" s="99"/>
      <c r="I44" s="99"/>
      <c r="J44" s="99">
        <v>10965</v>
      </c>
      <c r="K44" s="99">
        <v>0</v>
      </c>
      <c r="L44" s="98">
        <f t="shared" si="76"/>
        <v>10965</v>
      </c>
      <c r="M44" s="99">
        <f t="shared" si="64"/>
        <v>0</v>
      </c>
      <c r="N44" s="99">
        <f t="shared" si="65"/>
        <v>0</v>
      </c>
      <c r="O44" s="99">
        <f t="shared" si="66"/>
        <v>18</v>
      </c>
      <c r="P44" s="99">
        <v>0</v>
      </c>
      <c r="Q44" s="98">
        <f t="shared" si="71"/>
        <v>18</v>
      </c>
      <c r="R44" s="140" t="s">
        <v>310</v>
      </c>
      <c r="S44" s="99">
        <f>+'5. Financial Plan'!V45</f>
        <v>0</v>
      </c>
      <c r="T44" s="99">
        <f>+'5. Financial Plan'!W45</f>
        <v>0</v>
      </c>
      <c r="U44" s="99">
        <f>+'5. Financial Plan'!X45</f>
        <v>0</v>
      </c>
      <c r="V44" s="99">
        <f>+'5. Financial Plan'!Y45</f>
        <v>0</v>
      </c>
      <c r="W44" s="99">
        <f t="shared" si="67"/>
        <v>0</v>
      </c>
      <c r="X44" s="99">
        <f t="shared" si="72"/>
        <v>0</v>
      </c>
      <c r="Y44" s="99">
        <f t="shared" si="73"/>
        <v>0</v>
      </c>
      <c r="Z44" s="99">
        <f t="shared" si="74"/>
        <v>18</v>
      </c>
      <c r="AA44" s="99">
        <v>0</v>
      </c>
      <c r="AB44" s="99">
        <f t="shared" si="75"/>
        <v>18</v>
      </c>
    </row>
    <row r="45" spans="1:51">
      <c r="A45" s="194"/>
      <c r="B45" s="140" t="s">
        <v>311</v>
      </c>
      <c r="C45" s="99">
        <v>8723</v>
      </c>
      <c r="D45" s="99">
        <v>0</v>
      </c>
      <c r="E45" s="99">
        <f>16449-700</f>
        <v>15749</v>
      </c>
      <c r="F45" s="99">
        <v>0</v>
      </c>
      <c r="G45" s="99">
        <f t="shared" si="46"/>
        <v>24472</v>
      </c>
      <c r="H45" s="99">
        <v>8723</v>
      </c>
      <c r="I45" s="99"/>
      <c r="J45" s="99">
        <v>15710</v>
      </c>
      <c r="K45" s="99">
        <v>0</v>
      </c>
      <c r="L45" s="98">
        <f t="shared" si="76"/>
        <v>24433</v>
      </c>
      <c r="M45" s="99">
        <f t="shared" si="64"/>
        <v>0</v>
      </c>
      <c r="N45" s="99">
        <f t="shared" si="65"/>
        <v>0</v>
      </c>
      <c r="O45" s="99">
        <f t="shared" si="66"/>
        <v>39</v>
      </c>
      <c r="P45" s="99">
        <v>0</v>
      </c>
      <c r="Q45" s="98">
        <f t="shared" si="71"/>
        <v>39</v>
      </c>
      <c r="R45" s="140" t="s">
        <v>311</v>
      </c>
      <c r="S45" s="99">
        <f>+'5. Financial Plan'!V46</f>
        <v>0</v>
      </c>
      <c r="T45" s="99">
        <f>+'5. Financial Plan'!W46</f>
        <v>0</v>
      </c>
      <c r="U45" s="99">
        <f>+'5. Financial Plan'!X46</f>
        <v>0</v>
      </c>
      <c r="V45" s="99">
        <f>+'5. Financial Plan'!Y46</f>
        <v>0</v>
      </c>
      <c r="W45" s="99">
        <f t="shared" si="67"/>
        <v>0</v>
      </c>
      <c r="X45" s="99">
        <f t="shared" si="72"/>
        <v>0</v>
      </c>
      <c r="Y45" s="99">
        <f t="shared" si="73"/>
        <v>0</v>
      </c>
      <c r="Z45" s="99">
        <f t="shared" si="74"/>
        <v>39</v>
      </c>
      <c r="AA45" s="99">
        <v>0</v>
      </c>
      <c r="AB45" s="99">
        <f t="shared" si="75"/>
        <v>39</v>
      </c>
    </row>
    <row r="46" spans="1:51" ht="38.25">
      <c r="A46" s="194"/>
      <c r="B46" s="155" t="s">
        <v>312</v>
      </c>
      <c r="C46" s="99">
        <f>85389-13240</f>
        <v>72149</v>
      </c>
      <c r="D46" s="99">
        <v>0</v>
      </c>
      <c r="E46" s="99">
        <f>81809-600</f>
        <v>81209</v>
      </c>
      <c r="F46" s="99">
        <v>0</v>
      </c>
      <c r="G46" s="99">
        <f t="shared" si="46"/>
        <v>153358</v>
      </c>
      <c r="H46" s="99">
        <v>64037</v>
      </c>
      <c r="I46" s="99"/>
      <c r="J46" s="99">
        <v>81126</v>
      </c>
      <c r="K46" s="99">
        <v>0</v>
      </c>
      <c r="L46" s="98">
        <f t="shared" si="76"/>
        <v>145163</v>
      </c>
      <c r="M46" s="99">
        <f t="shared" si="64"/>
        <v>8112</v>
      </c>
      <c r="N46" s="99">
        <f t="shared" si="65"/>
        <v>0</v>
      </c>
      <c r="O46" s="99">
        <f t="shared" si="66"/>
        <v>83</v>
      </c>
      <c r="P46" s="99">
        <v>0</v>
      </c>
      <c r="Q46" s="98">
        <f t="shared" si="71"/>
        <v>8195</v>
      </c>
      <c r="R46" s="155" t="s">
        <v>312</v>
      </c>
      <c r="S46" s="99">
        <f>+'5. Financial Plan'!V47</f>
        <v>8112</v>
      </c>
      <c r="T46" s="99">
        <f>+'5. Financial Plan'!W47</f>
        <v>0</v>
      </c>
      <c r="U46" s="99">
        <f>+'5. Financial Plan'!X47</f>
        <v>0</v>
      </c>
      <c r="V46" s="99">
        <f>+'5. Financial Plan'!Y47</f>
        <v>0</v>
      </c>
      <c r="W46" s="99">
        <f t="shared" si="67"/>
        <v>8112</v>
      </c>
      <c r="X46" s="99">
        <f t="shared" si="72"/>
        <v>0</v>
      </c>
      <c r="Y46" s="99">
        <f t="shared" si="73"/>
        <v>0</v>
      </c>
      <c r="Z46" s="99">
        <f t="shared" si="74"/>
        <v>83</v>
      </c>
      <c r="AA46" s="99">
        <v>0</v>
      </c>
      <c r="AB46" s="99">
        <f t="shared" si="75"/>
        <v>83</v>
      </c>
    </row>
    <row r="47" spans="1:51" ht="25.5">
      <c r="A47" s="194"/>
      <c r="B47" s="155" t="s">
        <v>313</v>
      </c>
      <c r="C47" s="99">
        <f>50491-28917</f>
        <v>21574</v>
      </c>
      <c r="D47" s="99">
        <v>107</v>
      </c>
      <c r="E47" s="99">
        <f>11331-300</f>
        <v>11031</v>
      </c>
      <c r="F47" s="99">
        <v>0</v>
      </c>
      <c r="G47" s="99">
        <f t="shared" si="46"/>
        <v>32712</v>
      </c>
      <c r="H47" s="99">
        <v>21574</v>
      </c>
      <c r="I47" s="99">
        <v>107</v>
      </c>
      <c r="J47" s="99">
        <v>10976</v>
      </c>
      <c r="K47" s="99">
        <v>509</v>
      </c>
      <c r="L47" s="98">
        <f t="shared" si="76"/>
        <v>33166</v>
      </c>
      <c r="M47" s="99">
        <f t="shared" si="64"/>
        <v>0</v>
      </c>
      <c r="N47" s="99">
        <f t="shared" si="65"/>
        <v>0</v>
      </c>
      <c r="O47" s="99">
        <f t="shared" si="66"/>
        <v>55</v>
      </c>
      <c r="P47" s="99">
        <v>0</v>
      </c>
      <c r="Q47" s="98">
        <f t="shared" si="71"/>
        <v>55</v>
      </c>
      <c r="R47" s="155" t="s">
        <v>313</v>
      </c>
      <c r="S47" s="99">
        <f>+'5. Financial Plan'!V48</f>
        <v>0</v>
      </c>
      <c r="T47" s="99">
        <f>+'5. Financial Plan'!W48</f>
        <v>0</v>
      </c>
      <c r="U47" s="99">
        <f>+'5. Financial Plan'!X48</f>
        <v>0</v>
      </c>
      <c r="V47" s="99">
        <f>+'5. Financial Plan'!Y48</f>
        <v>0</v>
      </c>
      <c r="W47" s="99">
        <f t="shared" si="67"/>
        <v>0</v>
      </c>
      <c r="X47" s="99">
        <f t="shared" si="72"/>
        <v>0</v>
      </c>
      <c r="Y47" s="99">
        <f t="shared" si="73"/>
        <v>0</v>
      </c>
      <c r="Z47" s="99">
        <f t="shared" si="74"/>
        <v>55</v>
      </c>
      <c r="AA47" s="99">
        <v>0</v>
      </c>
      <c r="AB47" s="99">
        <f t="shared" si="75"/>
        <v>55</v>
      </c>
    </row>
    <row r="48" spans="1:51" ht="38.25">
      <c r="A48" s="194"/>
      <c r="B48" s="140" t="s">
        <v>314</v>
      </c>
      <c r="C48" s="99">
        <v>238333</v>
      </c>
      <c r="D48" s="99">
        <v>159198</v>
      </c>
      <c r="E48" s="99">
        <v>110379</v>
      </c>
      <c r="F48" s="99">
        <v>0</v>
      </c>
      <c r="G48" s="99">
        <f t="shared" si="46"/>
        <v>507910</v>
      </c>
      <c r="H48" s="99">
        <v>238167</v>
      </c>
      <c r="I48" s="99">
        <v>159198</v>
      </c>
      <c r="J48" s="99">
        <v>110379</v>
      </c>
      <c r="K48" s="99">
        <v>0</v>
      </c>
      <c r="L48" s="98">
        <f t="shared" si="76"/>
        <v>507744</v>
      </c>
      <c r="M48" s="99">
        <f t="shared" si="64"/>
        <v>166</v>
      </c>
      <c r="N48" s="99">
        <f t="shared" si="65"/>
        <v>0</v>
      </c>
      <c r="O48" s="99">
        <f t="shared" si="66"/>
        <v>0</v>
      </c>
      <c r="P48" s="99">
        <v>0</v>
      </c>
      <c r="Q48" s="98">
        <f t="shared" si="71"/>
        <v>166</v>
      </c>
      <c r="R48" s="140" t="s">
        <v>314</v>
      </c>
      <c r="S48" s="99" t="s">
        <v>705</v>
      </c>
      <c r="T48" s="99" t="s">
        <v>705</v>
      </c>
      <c r="U48" s="99" t="s">
        <v>705</v>
      </c>
      <c r="V48" s="99" t="s">
        <v>705</v>
      </c>
      <c r="W48" s="99">
        <f t="shared" si="67"/>
        <v>0</v>
      </c>
      <c r="X48" s="99" t="s">
        <v>705</v>
      </c>
      <c r="Y48" s="99" t="s">
        <v>705</v>
      </c>
      <c r="Z48" s="99" t="s">
        <v>705</v>
      </c>
      <c r="AA48" s="99">
        <v>0</v>
      </c>
      <c r="AB48" s="99">
        <f t="shared" si="75"/>
        <v>0</v>
      </c>
    </row>
    <row r="49" spans="1:28" ht="38.25">
      <c r="A49" s="194"/>
      <c r="B49" s="140" t="s">
        <v>315</v>
      </c>
      <c r="C49" s="99">
        <v>136983</v>
      </c>
      <c r="D49" s="99">
        <v>0</v>
      </c>
      <c r="E49" s="99">
        <v>34692</v>
      </c>
      <c r="F49" s="99">
        <v>0</v>
      </c>
      <c r="G49" s="99">
        <f t="shared" si="46"/>
        <v>171675</v>
      </c>
      <c r="H49" s="99">
        <v>136983</v>
      </c>
      <c r="I49" s="99"/>
      <c r="J49" s="99">
        <v>34692</v>
      </c>
      <c r="K49" s="99">
        <v>0</v>
      </c>
      <c r="L49" s="98">
        <f t="shared" si="76"/>
        <v>171675</v>
      </c>
      <c r="M49" s="99">
        <f t="shared" si="64"/>
        <v>0</v>
      </c>
      <c r="N49" s="99">
        <f t="shared" si="65"/>
        <v>0</v>
      </c>
      <c r="O49" s="99">
        <f t="shared" si="66"/>
        <v>0</v>
      </c>
      <c r="P49" s="99">
        <v>0</v>
      </c>
      <c r="Q49" s="98">
        <f t="shared" si="71"/>
        <v>0</v>
      </c>
      <c r="R49" s="140" t="s">
        <v>315</v>
      </c>
      <c r="S49" s="99"/>
      <c r="T49" s="99"/>
      <c r="U49" s="99"/>
      <c r="V49" s="98"/>
      <c r="W49" s="99">
        <f t="shared" si="67"/>
        <v>0</v>
      </c>
      <c r="X49" s="99">
        <f t="shared" si="72"/>
        <v>0</v>
      </c>
      <c r="Y49" s="99">
        <f t="shared" si="73"/>
        <v>0</v>
      </c>
      <c r="Z49" s="99">
        <f t="shared" si="74"/>
        <v>0</v>
      </c>
      <c r="AA49" s="99">
        <v>0</v>
      </c>
      <c r="AB49" s="99">
        <f t="shared" si="75"/>
        <v>0</v>
      </c>
    </row>
    <row r="50" spans="1:28" ht="49.5" customHeight="1">
      <c r="A50" s="194"/>
      <c r="B50" s="155" t="s">
        <v>316</v>
      </c>
      <c r="C50" s="99"/>
      <c r="D50" s="99">
        <v>0</v>
      </c>
      <c r="E50" s="99">
        <f>182506-800</f>
        <v>181706</v>
      </c>
      <c r="F50" s="99">
        <v>0</v>
      </c>
      <c r="G50" s="99">
        <f t="shared" si="46"/>
        <v>181706</v>
      </c>
      <c r="H50" s="99"/>
      <c r="I50" s="99"/>
      <c r="J50" s="99">
        <v>181678</v>
      </c>
      <c r="K50" s="99">
        <v>0</v>
      </c>
      <c r="L50" s="98">
        <f t="shared" si="76"/>
        <v>181678</v>
      </c>
      <c r="M50" s="99">
        <f t="shared" si="64"/>
        <v>0</v>
      </c>
      <c r="N50" s="99">
        <f t="shared" si="65"/>
        <v>0</v>
      </c>
      <c r="O50" s="99">
        <f t="shared" si="66"/>
        <v>28</v>
      </c>
      <c r="P50" s="99">
        <v>0</v>
      </c>
      <c r="Q50" s="98">
        <f t="shared" si="71"/>
        <v>28</v>
      </c>
      <c r="R50" s="155" t="s">
        <v>316</v>
      </c>
      <c r="S50" s="99"/>
      <c r="T50" s="99"/>
      <c r="U50" s="99"/>
      <c r="V50" s="98"/>
      <c r="W50" s="99">
        <f t="shared" si="67"/>
        <v>0</v>
      </c>
      <c r="X50" s="99">
        <f t="shared" si="72"/>
        <v>0</v>
      </c>
      <c r="Y50" s="99">
        <f t="shared" si="73"/>
        <v>0</v>
      </c>
      <c r="Z50" s="99">
        <f t="shared" si="74"/>
        <v>28</v>
      </c>
      <c r="AA50" s="99">
        <v>0</v>
      </c>
      <c r="AB50" s="99">
        <f t="shared" si="75"/>
        <v>28</v>
      </c>
    </row>
    <row r="51" spans="1:28" ht="46.5" customHeight="1">
      <c r="A51" s="194"/>
      <c r="B51" s="155" t="s">
        <v>317</v>
      </c>
      <c r="C51" s="99">
        <f>(176967-64126)+32626+20805+13240</f>
        <v>179512</v>
      </c>
      <c r="D51" s="99">
        <v>134</v>
      </c>
      <c r="E51" s="99">
        <f>95554-(6600+2640)</f>
        <v>86314</v>
      </c>
      <c r="F51" s="99">
        <v>0</v>
      </c>
      <c r="G51" s="99">
        <f t="shared" si="46"/>
        <v>265960</v>
      </c>
      <c r="H51" s="99">
        <v>80353</v>
      </c>
      <c r="I51" s="99">
        <v>135</v>
      </c>
      <c r="J51" s="99">
        <f>88876-2600</f>
        <v>86276</v>
      </c>
      <c r="K51" s="99">
        <v>13027</v>
      </c>
      <c r="L51" s="98">
        <f t="shared" si="76"/>
        <v>179791</v>
      </c>
      <c r="M51" s="99">
        <f t="shared" si="64"/>
        <v>99159</v>
      </c>
      <c r="N51" s="99">
        <f t="shared" si="65"/>
        <v>-1</v>
      </c>
      <c r="O51" s="99">
        <f t="shared" si="66"/>
        <v>38</v>
      </c>
      <c r="P51" s="99">
        <v>0</v>
      </c>
      <c r="Q51" s="98">
        <f t="shared" si="71"/>
        <v>99196</v>
      </c>
      <c r="R51" s="155" t="s">
        <v>317</v>
      </c>
      <c r="S51" s="99">
        <f>+'5. Financial Plan'!V50</f>
        <v>99159</v>
      </c>
      <c r="T51" s="99">
        <f>+'5. Financial Plan'!W50</f>
        <v>0</v>
      </c>
      <c r="U51" s="99">
        <f>+'5. Financial Plan'!X50</f>
        <v>0</v>
      </c>
      <c r="V51" s="99">
        <f>+'5. Financial Plan'!Y50</f>
        <v>41486</v>
      </c>
      <c r="W51" s="99">
        <f t="shared" si="67"/>
        <v>140645</v>
      </c>
      <c r="X51" s="99">
        <f t="shared" si="72"/>
        <v>0</v>
      </c>
      <c r="Y51" s="99">
        <f t="shared" si="73"/>
        <v>-1</v>
      </c>
      <c r="Z51" s="99">
        <f t="shared" si="74"/>
        <v>38</v>
      </c>
      <c r="AA51" s="99">
        <v>0</v>
      </c>
      <c r="AB51" s="99">
        <f t="shared" si="75"/>
        <v>37</v>
      </c>
    </row>
    <row r="52" spans="1:28" ht="52.5" customHeight="1">
      <c r="A52" s="194"/>
      <c r="B52" s="155" t="s">
        <v>318</v>
      </c>
      <c r="C52" s="99">
        <v>33963</v>
      </c>
      <c r="D52" s="99">
        <v>0</v>
      </c>
      <c r="E52" s="99">
        <v>9483</v>
      </c>
      <c r="F52" s="99">
        <v>0</v>
      </c>
      <c r="G52" s="99">
        <f t="shared" si="46"/>
        <v>43446</v>
      </c>
      <c r="H52" s="99">
        <v>33963</v>
      </c>
      <c r="I52" s="99"/>
      <c r="J52" s="99">
        <v>9483</v>
      </c>
      <c r="K52" s="99">
        <v>0</v>
      </c>
      <c r="L52" s="98">
        <f t="shared" si="76"/>
        <v>43446</v>
      </c>
      <c r="M52" s="99">
        <f t="shared" si="64"/>
        <v>0</v>
      </c>
      <c r="N52" s="99">
        <f t="shared" si="65"/>
        <v>0</v>
      </c>
      <c r="O52" s="99">
        <f t="shared" si="66"/>
        <v>0</v>
      </c>
      <c r="P52" s="99">
        <v>0</v>
      </c>
      <c r="Q52" s="98">
        <f t="shared" si="71"/>
        <v>0</v>
      </c>
      <c r="R52" s="155" t="s">
        <v>318</v>
      </c>
      <c r="S52" s="99">
        <f>+'5. Financial Plan'!V51</f>
        <v>0</v>
      </c>
      <c r="T52" s="99">
        <f>+'5. Financial Plan'!W51</f>
        <v>0</v>
      </c>
      <c r="U52" s="99">
        <f>+'5. Financial Plan'!X51</f>
        <v>0</v>
      </c>
      <c r="V52" s="99">
        <f>+'5. Financial Plan'!Y51</f>
        <v>0</v>
      </c>
      <c r="W52" s="99">
        <f t="shared" si="67"/>
        <v>0</v>
      </c>
      <c r="X52" s="99">
        <f t="shared" ref="X52:X54" si="77">M52-S52</f>
        <v>0</v>
      </c>
      <c r="Y52" s="99">
        <f t="shared" ref="Y52:Y54" si="78">SUM(N52-T52)</f>
        <v>0</v>
      </c>
      <c r="Z52" s="99">
        <f t="shared" ref="Z52:Z54" si="79">SUM(O52-U52)</f>
        <v>0</v>
      </c>
      <c r="AA52" s="99">
        <v>0</v>
      </c>
      <c r="AB52" s="99">
        <f t="shared" si="75"/>
        <v>0</v>
      </c>
    </row>
    <row r="53" spans="1:28" ht="43.5" customHeight="1">
      <c r="A53" s="194"/>
      <c r="B53" s="155" t="s">
        <v>319</v>
      </c>
      <c r="C53" s="99">
        <f>97087.77+68001+13135</f>
        <v>178223.77000000002</v>
      </c>
      <c r="D53" s="99">
        <v>0</v>
      </c>
      <c r="E53" s="99">
        <v>143</v>
      </c>
      <c r="F53" s="99">
        <v>0</v>
      </c>
      <c r="G53" s="99">
        <f t="shared" si="46"/>
        <v>178366.77000000002</v>
      </c>
      <c r="H53" s="99"/>
      <c r="I53" s="99"/>
      <c r="J53" s="99"/>
      <c r="K53" s="99">
        <v>0</v>
      </c>
      <c r="L53" s="98">
        <f t="shared" si="76"/>
        <v>0</v>
      </c>
      <c r="M53" s="99">
        <f t="shared" si="64"/>
        <v>178223.77000000002</v>
      </c>
      <c r="N53" s="99">
        <f t="shared" si="65"/>
        <v>0</v>
      </c>
      <c r="O53" s="99">
        <f t="shared" si="66"/>
        <v>143</v>
      </c>
      <c r="P53" s="99">
        <v>0</v>
      </c>
      <c r="Q53" s="98">
        <f t="shared" si="71"/>
        <v>178366.77000000002</v>
      </c>
      <c r="R53" s="155" t="s">
        <v>319</v>
      </c>
      <c r="S53" s="99">
        <f>+'5. Financial Plan'!V49</f>
        <v>178223.77</v>
      </c>
      <c r="T53" s="99">
        <f>+'5. Financial Plan'!W49</f>
        <v>0</v>
      </c>
      <c r="U53" s="99">
        <f>+'5. Financial Plan'!X49</f>
        <v>0</v>
      </c>
      <c r="V53" s="99">
        <f>+'5. Financial Plan'!Y49</f>
        <v>346</v>
      </c>
      <c r="W53" s="99">
        <f t="shared" si="67"/>
        <v>178569.77</v>
      </c>
      <c r="X53" s="99">
        <f t="shared" si="77"/>
        <v>0</v>
      </c>
      <c r="Y53" s="99" t="s">
        <v>705</v>
      </c>
      <c r="Z53" s="99" t="s">
        <v>705</v>
      </c>
      <c r="AA53" s="99">
        <v>0</v>
      </c>
      <c r="AB53" s="99">
        <f t="shared" ref="AB53" si="80">Q53-W53</f>
        <v>-202.9999999999709</v>
      </c>
    </row>
    <row r="54" spans="1:28" ht="25.5">
      <c r="A54" s="194"/>
      <c r="B54" s="155" t="s">
        <v>320</v>
      </c>
      <c r="C54" s="99">
        <v>0</v>
      </c>
      <c r="D54" s="99">
        <v>0</v>
      </c>
      <c r="E54" s="99">
        <v>49267</v>
      </c>
      <c r="F54" s="99">
        <v>0</v>
      </c>
      <c r="G54" s="99">
        <f t="shared" si="46"/>
        <v>49267</v>
      </c>
      <c r="H54" s="99"/>
      <c r="I54" s="99"/>
      <c r="J54" s="99">
        <v>49267</v>
      </c>
      <c r="K54" s="99">
        <v>0</v>
      </c>
      <c r="L54" s="98">
        <f t="shared" si="76"/>
        <v>49267</v>
      </c>
      <c r="M54" s="99">
        <f t="shared" si="64"/>
        <v>0</v>
      </c>
      <c r="N54" s="99">
        <f>D54-I54</f>
        <v>0</v>
      </c>
      <c r="O54" s="99">
        <f t="shared" si="66"/>
        <v>0</v>
      </c>
      <c r="P54" s="99">
        <v>0</v>
      </c>
      <c r="Q54" s="98">
        <f t="shared" si="71"/>
        <v>0</v>
      </c>
      <c r="R54" s="155" t="s">
        <v>320</v>
      </c>
      <c r="S54" s="99"/>
      <c r="T54" s="99"/>
      <c r="U54" s="99"/>
      <c r="V54" s="98"/>
      <c r="W54" s="99">
        <f t="shared" si="67"/>
        <v>0</v>
      </c>
      <c r="X54" s="99">
        <f t="shared" si="77"/>
        <v>0</v>
      </c>
      <c r="Y54" s="99">
        <f t="shared" si="78"/>
        <v>0</v>
      </c>
      <c r="Z54" s="99">
        <f t="shared" si="79"/>
        <v>0</v>
      </c>
      <c r="AA54" s="99">
        <v>0</v>
      </c>
      <c r="AB54" s="99">
        <f t="shared" si="75"/>
        <v>0</v>
      </c>
    </row>
    <row r="55" spans="1:28">
      <c r="A55" s="194"/>
      <c r="B55" s="155" t="s">
        <v>321</v>
      </c>
      <c r="C55" s="99">
        <f>280302+15000+29122+6217</f>
        <v>330641</v>
      </c>
      <c r="D55" s="99">
        <v>18615</v>
      </c>
      <c r="E55" s="99">
        <f>476364-76960</f>
        <v>399404</v>
      </c>
      <c r="F55" s="99">
        <v>0</v>
      </c>
      <c r="G55" s="99">
        <f t="shared" si="46"/>
        <v>748660</v>
      </c>
      <c r="H55" s="99">
        <v>291701</v>
      </c>
      <c r="I55" s="99">
        <v>18472</v>
      </c>
      <c r="J55" s="99">
        <v>399403</v>
      </c>
      <c r="K55" s="99">
        <v>0</v>
      </c>
      <c r="L55" s="98">
        <f t="shared" si="76"/>
        <v>709576</v>
      </c>
      <c r="M55" s="99">
        <f t="shared" si="64"/>
        <v>38940</v>
      </c>
      <c r="N55" s="99">
        <f t="shared" si="65"/>
        <v>143</v>
      </c>
      <c r="O55" s="99">
        <f t="shared" si="66"/>
        <v>1</v>
      </c>
      <c r="P55" s="99">
        <v>0</v>
      </c>
      <c r="Q55" s="98">
        <f t="shared" si="71"/>
        <v>39084</v>
      </c>
      <c r="R55" s="155" t="s">
        <v>321</v>
      </c>
      <c r="S55" s="99">
        <f>+'5. Financial Plan'!V52</f>
        <v>38940</v>
      </c>
      <c r="T55" s="99">
        <f>+'5. Financial Plan'!W52</f>
        <v>0</v>
      </c>
      <c r="U55" s="99">
        <f>+'5. Financial Plan'!X52</f>
        <v>0</v>
      </c>
      <c r="V55" s="99">
        <f>+'5. Financial Plan'!Y52</f>
        <v>0</v>
      </c>
      <c r="W55" s="99">
        <f t="shared" si="67"/>
        <v>38940</v>
      </c>
      <c r="X55" s="99">
        <f t="shared" ref="X55:X60" si="81">M55-S55</f>
        <v>0</v>
      </c>
      <c r="Y55" s="99">
        <f t="shared" ref="Y55:Y60" si="82">SUM(N55-T55)</f>
        <v>143</v>
      </c>
      <c r="Z55" s="99">
        <f t="shared" ref="Z55:Z60" si="83">SUM(O55-U55)</f>
        <v>1</v>
      </c>
      <c r="AA55" s="99">
        <v>0</v>
      </c>
      <c r="AB55" s="99">
        <f t="shared" si="75"/>
        <v>144</v>
      </c>
    </row>
    <row r="56" spans="1:28">
      <c r="A56" s="194"/>
      <c r="B56" s="155" t="s">
        <v>322</v>
      </c>
      <c r="C56" s="99">
        <f>20805-20805</f>
        <v>0</v>
      </c>
      <c r="D56" s="99">
        <v>0</v>
      </c>
      <c r="E56" s="99"/>
      <c r="F56" s="99">
        <v>0</v>
      </c>
      <c r="G56" s="99">
        <f t="shared" si="46"/>
        <v>0</v>
      </c>
      <c r="H56" s="99"/>
      <c r="I56" s="99"/>
      <c r="J56" s="99"/>
      <c r="K56" s="99">
        <v>0</v>
      </c>
      <c r="L56" s="98">
        <f t="shared" si="76"/>
        <v>0</v>
      </c>
      <c r="M56" s="99">
        <f t="shared" si="64"/>
        <v>0</v>
      </c>
      <c r="N56" s="99">
        <f t="shared" si="65"/>
        <v>0</v>
      </c>
      <c r="O56" s="99">
        <f t="shared" si="66"/>
        <v>0</v>
      </c>
      <c r="P56" s="99">
        <v>0</v>
      </c>
      <c r="Q56" s="98">
        <f t="shared" si="71"/>
        <v>0</v>
      </c>
      <c r="R56" s="155" t="s">
        <v>322</v>
      </c>
      <c r="S56" s="99"/>
      <c r="T56" s="99"/>
      <c r="U56" s="99"/>
      <c r="V56" s="98"/>
      <c r="W56" s="99">
        <f t="shared" si="67"/>
        <v>0</v>
      </c>
      <c r="X56" s="99">
        <f t="shared" si="81"/>
        <v>0</v>
      </c>
      <c r="Y56" s="99">
        <f t="shared" si="82"/>
        <v>0</v>
      </c>
      <c r="Z56" s="99">
        <f t="shared" si="83"/>
        <v>0</v>
      </c>
      <c r="AA56" s="99">
        <v>0</v>
      </c>
      <c r="AB56" s="99">
        <f t="shared" si="75"/>
        <v>0</v>
      </c>
    </row>
    <row r="57" spans="1:28" ht="38.25">
      <c r="A57" s="194"/>
      <c r="B57" s="155" t="s">
        <v>323</v>
      </c>
      <c r="C57" s="99">
        <f>92910-(62381+29122)</f>
        <v>1407</v>
      </c>
      <c r="D57" s="99">
        <v>0</v>
      </c>
      <c r="E57" s="99">
        <v>214</v>
      </c>
      <c r="F57" s="99">
        <v>0</v>
      </c>
      <c r="G57" s="99">
        <f t="shared" si="46"/>
        <v>1621</v>
      </c>
      <c r="H57" s="99">
        <v>1407</v>
      </c>
      <c r="I57" s="99"/>
      <c r="J57" s="99"/>
      <c r="K57" s="99"/>
      <c r="L57" s="98">
        <f t="shared" si="76"/>
        <v>1407</v>
      </c>
      <c r="M57" s="99">
        <f t="shared" si="64"/>
        <v>0</v>
      </c>
      <c r="N57" s="99">
        <f t="shared" si="65"/>
        <v>0</v>
      </c>
      <c r="O57" s="99">
        <f t="shared" si="66"/>
        <v>214</v>
      </c>
      <c r="P57" s="99">
        <v>0</v>
      </c>
      <c r="Q57" s="98">
        <f t="shared" si="71"/>
        <v>214</v>
      </c>
      <c r="R57" s="155" t="s">
        <v>323</v>
      </c>
      <c r="S57" s="99">
        <f>+'5. Financial Plan'!V53</f>
        <v>0</v>
      </c>
      <c r="T57" s="99">
        <f>+'5. Financial Plan'!W53</f>
        <v>0</v>
      </c>
      <c r="U57" s="99">
        <f>+'5. Financial Plan'!X53</f>
        <v>0</v>
      </c>
      <c r="V57" s="99">
        <f>+'5. Financial Plan'!Y53</f>
        <v>0</v>
      </c>
      <c r="W57" s="99">
        <f t="shared" si="67"/>
        <v>0</v>
      </c>
      <c r="X57" s="99">
        <f t="shared" si="81"/>
        <v>0</v>
      </c>
      <c r="Y57" s="99">
        <f t="shared" si="82"/>
        <v>0</v>
      </c>
      <c r="Z57" s="99">
        <f t="shared" si="83"/>
        <v>214</v>
      </c>
      <c r="AA57" s="99">
        <v>0</v>
      </c>
      <c r="AB57" s="99">
        <f t="shared" si="75"/>
        <v>214</v>
      </c>
    </row>
    <row r="58" spans="1:28">
      <c r="A58" s="194"/>
      <c r="B58" s="155" t="s">
        <v>324</v>
      </c>
      <c r="C58" s="99">
        <v>0</v>
      </c>
      <c r="D58" s="99">
        <v>0</v>
      </c>
      <c r="E58" s="99">
        <v>17100</v>
      </c>
      <c r="F58" s="99">
        <v>0</v>
      </c>
      <c r="G58" s="99">
        <f t="shared" si="46"/>
        <v>17100</v>
      </c>
      <c r="H58" s="99"/>
      <c r="I58" s="99"/>
      <c r="J58" s="99">
        <v>17095</v>
      </c>
      <c r="K58" s="99">
        <v>0</v>
      </c>
      <c r="L58" s="98">
        <f t="shared" si="76"/>
        <v>17095</v>
      </c>
      <c r="M58" s="99">
        <f t="shared" si="64"/>
        <v>0</v>
      </c>
      <c r="N58" s="99">
        <f t="shared" si="65"/>
        <v>0</v>
      </c>
      <c r="O58" s="99">
        <f t="shared" si="66"/>
        <v>5</v>
      </c>
      <c r="P58" s="99">
        <v>0</v>
      </c>
      <c r="Q58" s="98">
        <f t="shared" si="71"/>
        <v>5</v>
      </c>
      <c r="R58" s="155" t="s">
        <v>324</v>
      </c>
      <c r="S58" s="99"/>
      <c r="T58" s="99"/>
      <c r="U58" s="99"/>
      <c r="V58" s="98"/>
      <c r="W58" s="99">
        <f t="shared" si="67"/>
        <v>0</v>
      </c>
      <c r="X58" s="99">
        <f t="shared" si="81"/>
        <v>0</v>
      </c>
      <c r="Y58" s="99">
        <f t="shared" si="82"/>
        <v>0</v>
      </c>
      <c r="Z58" s="99">
        <f t="shared" si="83"/>
        <v>5</v>
      </c>
      <c r="AA58" s="99">
        <v>0</v>
      </c>
      <c r="AB58" s="99">
        <f t="shared" si="75"/>
        <v>5</v>
      </c>
    </row>
    <row r="59" spans="1:28" ht="38.25">
      <c r="A59" s="194"/>
      <c r="B59" s="155" t="s">
        <v>325</v>
      </c>
      <c r="C59" s="99">
        <v>0</v>
      </c>
      <c r="D59" s="99">
        <v>0</v>
      </c>
      <c r="E59" s="99">
        <v>0</v>
      </c>
      <c r="F59" s="99">
        <v>0</v>
      </c>
      <c r="G59" s="99">
        <f t="shared" si="46"/>
        <v>0</v>
      </c>
      <c r="H59" s="99"/>
      <c r="I59" s="99"/>
      <c r="J59" s="99"/>
      <c r="K59" s="99">
        <v>0</v>
      </c>
      <c r="L59" s="98">
        <f t="shared" si="76"/>
        <v>0</v>
      </c>
      <c r="M59" s="99">
        <f t="shared" si="64"/>
        <v>0</v>
      </c>
      <c r="N59" s="99">
        <f t="shared" si="65"/>
        <v>0</v>
      </c>
      <c r="O59" s="99">
        <f t="shared" si="66"/>
        <v>0</v>
      </c>
      <c r="P59" s="99">
        <v>0</v>
      </c>
      <c r="Q59" s="98">
        <f t="shared" si="71"/>
        <v>0</v>
      </c>
      <c r="R59" s="155" t="s">
        <v>325</v>
      </c>
      <c r="S59" s="99">
        <f>+'5. Financial Plan'!V54</f>
        <v>0</v>
      </c>
      <c r="T59" s="99">
        <f>+'5. Financial Plan'!W54</f>
        <v>0</v>
      </c>
      <c r="U59" s="99">
        <f>+'5. Financial Plan'!X54</f>
        <v>0</v>
      </c>
      <c r="V59" s="99">
        <f>+'5. Financial Plan'!Y54</f>
        <v>0</v>
      </c>
      <c r="W59" s="99">
        <f t="shared" si="67"/>
        <v>0</v>
      </c>
      <c r="X59" s="99">
        <f t="shared" si="81"/>
        <v>0</v>
      </c>
      <c r="Y59" s="99">
        <f t="shared" si="82"/>
        <v>0</v>
      </c>
      <c r="Z59" s="99">
        <f t="shared" si="83"/>
        <v>0</v>
      </c>
      <c r="AA59" s="99">
        <v>0</v>
      </c>
      <c r="AB59" s="99">
        <f t="shared" si="75"/>
        <v>0</v>
      </c>
    </row>
    <row r="60" spans="1:28">
      <c r="A60" s="194"/>
      <c r="B60" s="483" t="s">
        <v>706</v>
      </c>
      <c r="C60" s="98">
        <f>64126+62381</f>
        <v>126507</v>
      </c>
      <c r="D60" s="98"/>
      <c r="E60" s="98">
        <f>219300-17528</f>
        <v>201772</v>
      </c>
      <c r="F60" s="98"/>
      <c r="G60" s="99">
        <f t="shared" si="46"/>
        <v>328279</v>
      </c>
      <c r="H60" s="98">
        <v>64126</v>
      </c>
      <c r="I60" s="98"/>
      <c r="J60" s="98">
        <v>201772</v>
      </c>
      <c r="K60" s="98"/>
      <c r="L60" s="98">
        <f>SUM(H60:K60)</f>
        <v>265898</v>
      </c>
      <c r="M60" s="99">
        <f t="shared" ref="M60" si="84">C60-H60</f>
        <v>62381</v>
      </c>
      <c r="N60" s="99">
        <f t="shared" ref="N60" si="85">D60-I60</f>
        <v>0</v>
      </c>
      <c r="O60" s="99">
        <f t="shared" ref="O60" si="86">E60-J60</f>
        <v>0</v>
      </c>
      <c r="P60" s="99">
        <v>0</v>
      </c>
      <c r="Q60" s="98">
        <f t="shared" ref="Q60" si="87">SUM(M60:P60)</f>
        <v>62381</v>
      </c>
      <c r="R60" s="483" t="s">
        <v>706</v>
      </c>
      <c r="S60" s="99">
        <f>+'5. Financial Plan'!V42</f>
        <v>62381</v>
      </c>
      <c r="T60" s="99">
        <f>+'5. Financial Plan'!W42</f>
        <v>0</v>
      </c>
      <c r="U60" s="99">
        <f>+'5. Financial Plan'!X42</f>
        <v>0</v>
      </c>
      <c r="V60" s="99">
        <f>+'5. Financial Plan'!Y42</f>
        <v>0</v>
      </c>
      <c r="W60" s="99">
        <f t="shared" si="67"/>
        <v>62381</v>
      </c>
      <c r="X60" s="99">
        <f t="shared" si="81"/>
        <v>0</v>
      </c>
      <c r="Y60" s="99">
        <f t="shared" si="82"/>
        <v>0</v>
      </c>
      <c r="Z60" s="99">
        <f t="shared" si="83"/>
        <v>0</v>
      </c>
      <c r="AA60" s="99">
        <v>0</v>
      </c>
      <c r="AB60" s="109"/>
    </row>
    <row r="61" spans="1:28" s="548" customFormat="1">
      <c r="A61" s="545">
        <v>6</v>
      </c>
      <c r="B61" s="546" t="s">
        <v>558</v>
      </c>
      <c r="C61" s="547">
        <f>SUM(C62:C64)</f>
        <v>4353383</v>
      </c>
      <c r="D61" s="547">
        <f t="shared" ref="D61:F61" si="88">SUM(D62:D64)</f>
        <v>1076754</v>
      </c>
      <c r="E61" s="547">
        <f t="shared" si="88"/>
        <v>1179862</v>
      </c>
      <c r="F61" s="547">
        <f t="shared" si="88"/>
        <v>0</v>
      </c>
      <c r="G61" s="547">
        <f t="shared" ref="G61:AB61" si="89">SUM(G62:G64)</f>
        <v>6609999</v>
      </c>
      <c r="H61" s="547">
        <f>SUM(H62:H64)</f>
        <v>3800808</v>
      </c>
      <c r="I61" s="547">
        <f t="shared" ref="I61" si="90">SUM(I62:I64)</f>
        <v>1076418</v>
      </c>
      <c r="J61" s="547">
        <f t="shared" ref="J61" si="91">SUM(J62:J64)</f>
        <v>1179784</v>
      </c>
      <c r="K61" s="547">
        <f t="shared" si="89"/>
        <v>94334</v>
      </c>
      <c r="L61" s="547">
        <f>SUM(L62:L64)</f>
        <v>6151344</v>
      </c>
      <c r="M61" s="547">
        <f>SUM(M62:M64)</f>
        <v>552575</v>
      </c>
      <c r="N61" s="547">
        <f t="shared" ref="N61" si="92">SUM(N62:N64)</f>
        <v>336</v>
      </c>
      <c r="O61" s="547">
        <f t="shared" ref="O61" si="93">SUM(O62:O64)</f>
        <v>78</v>
      </c>
      <c r="P61" s="547">
        <f t="shared" ref="P61" si="94">SUM(P62:P64)</f>
        <v>0</v>
      </c>
      <c r="Q61" s="547">
        <f t="shared" ref="Q61" si="95">SUM(Q62:Q64)</f>
        <v>552989</v>
      </c>
      <c r="R61" s="546" t="s">
        <v>558</v>
      </c>
      <c r="S61" s="547">
        <f t="shared" ref="S61:U61" si="96">SUM(S62:S64)</f>
        <v>552645</v>
      </c>
      <c r="T61" s="547">
        <f t="shared" si="96"/>
        <v>0</v>
      </c>
      <c r="U61" s="547">
        <f t="shared" si="96"/>
        <v>0</v>
      </c>
      <c r="V61" s="547">
        <f t="shared" si="89"/>
        <v>135033</v>
      </c>
      <c r="W61" s="547">
        <f>SUM(S61:V61)</f>
        <v>687678</v>
      </c>
      <c r="X61" s="547">
        <f t="shared" ref="X61:X65" si="97">M61-S61</f>
        <v>-70</v>
      </c>
      <c r="Y61" s="547">
        <f t="shared" si="89"/>
        <v>336</v>
      </c>
      <c r="Z61" s="547">
        <f t="shared" si="89"/>
        <v>78</v>
      </c>
      <c r="AA61" s="547">
        <f t="shared" si="89"/>
        <v>0</v>
      </c>
      <c r="AB61" s="547">
        <f t="shared" si="89"/>
        <v>344</v>
      </c>
    </row>
    <row r="62" spans="1:28" ht="38.25">
      <c r="A62" s="194"/>
      <c r="B62" s="140" t="s">
        <v>330</v>
      </c>
      <c r="C62" s="99">
        <f>1781723-23359</f>
        <v>1758364</v>
      </c>
      <c r="D62" s="99">
        <v>394966</v>
      </c>
      <c r="E62" s="99">
        <v>460729</v>
      </c>
      <c r="F62" s="99">
        <v>0</v>
      </c>
      <c r="G62" s="99">
        <f t="shared" ref="G62:G64" si="98">SUM(C62:F62)</f>
        <v>2614059</v>
      </c>
      <c r="H62" s="99">
        <v>1535583</v>
      </c>
      <c r="I62" s="99">
        <v>394926</v>
      </c>
      <c r="J62" s="99">
        <v>460729</v>
      </c>
      <c r="K62" s="99">
        <v>54440</v>
      </c>
      <c r="L62" s="98">
        <f>SUM(H62:K62)</f>
        <v>2445678</v>
      </c>
      <c r="M62" s="99">
        <f t="shared" ref="M62:M64" si="99">C62-H62</f>
        <v>222781</v>
      </c>
      <c r="N62" s="99">
        <f t="shared" ref="N62:N66" si="100">D62-I62</f>
        <v>40</v>
      </c>
      <c r="O62" s="99">
        <f t="shared" ref="O62:O64" si="101">E62-J62</f>
        <v>0</v>
      </c>
      <c r="P62" s="99">
        <v>0</v>
      </c>
      <c r="Q62" s="98">
        <f t="shared" ref="Q62:Q68" si="102">SUM(M62:P62)</f>
        <v>222821</v>
      </c>
      <c r="R62" s="140" t="s">
        <v>330</v>
      </c>
      <c r="S62" s="99">
        <f>+'5. Financial Plan'!V58</f>
        <v>222851</v>
      </c>
      <c r="T62" s="99">
        <f>+'5. Financial Plan'!W58</f>
        <v>0</v>
      </c>
      <c r="U62" s="99">
        <f>+'5. Financial Plan'!X58</f>
        <v>0</v>
      </c>
      <c r="V62" s="99">
        <f>+'5. Financial Plan'!Y58</f>
        <v>7676</v>
      </c>
      <c r="W62" s="99">
        <f>SUM(S62:V62)</f>
        <v>230527</v>
      </c>
      <c r="X62" s="99">
        <f t="shared" si="97"/>
        <v>-70</v>
      </c>
      <c r="Y62" s="99">
        <f t="shared" ref="Y62:Y64" si="103">SUM(N62-T62)</f>
        <v>40</v>
      </c>
      <c r="Z62" s="99">
        <f t="shared" ref="Z62:Z64" si="104">SUM(O62-U62)</f>
        <v>0</v>
      </c>
      <c r="AA62" s="99">
        <v>0</v>
      </c>
      <c r="AB62" s="109">
        <f>SUM(X62:AA62)</f>
        <v>-30</v>
      </c>
    </row>
    <row r="63" spans="1:28">
      <c r="A63" s="194"/>
      <c r="B63" s="140" t="s">
        <v>321</v>
      </c>
      <c r="C63" s="99">
        <f>2513322+17659</f>
        <v>2530981</v>
      </c>
      <c r="D63" s="99">
        <v>681788</v>
      </c>
      <c r="E63" s="99">
        <v>699567</v>
      </c>
      <c r="F63" s="99">
        <v>0</v>
      </c>
      <c r="G63" s="99">
        <f t="shared" si="98"/>
        <v>3912336</v>
      </c>
      <c r="H63" s="99">
        <v>2217173</v>
      </c>
      <c r="I63" s="99">
        <v>681492</v>
      </c>
      <c r="J63" s="99">
        <v>699567</v>
      </c>
      <c r="K63" s="99">
        <v>39894</v>
      </c>
      <c r="L63" s="98">
        <f t="shared" ref="L63:L64" si="105">SUM(H63:K63)</f>
        <v>3638126</v>
      </c>
      <c r="M63" s="99">
        <f t="shared" si="99"/>
        <v>313808</v>
      </c>
      <c r="N63" s="99">
        <f t="shared" si="100"/>
        <v>296</v>
      </c>
      <c r="O63" s="99">
        <f t="shared" si="101"/>
        <v>0</v>
      </c>
      <c r="P63" s="99">
        <v>0</v>
      </c>
      <c r="Q63" s="98">
        <f t="shared" si="102"/>
        <v>314104</v>
      </c>
      <c r="R63" s="140" t="s">
        <v>321</v>
      </c>
      <c r="S63" s="99">
        <f>+'5. Financial Plan'!V59</f>
        <v>313808</v>
      </c>
      <c r="T63" s="99">
        <f>+'5. Financial Plan'!W59</f>
        <v>0</v>
      </c>
      <c r="U63" s="99">
        <f>+'5. Financial Plan'!X59</f>
        <v>0</v>
      </c>
      <c r="V63" s="99">
        <f>+'5. Financial Plan'!Y59</f>
        <v>127357</v>
      </c>
      <c r="W63" s="99">
        <f t="shared" ref="W63:W64" si="106">SUM(S63:V63)</f>
        <v>441165</v>
      </c>
      <c r="X63" s="99">
        <f t="shared" si="97"/>
        <v>0</v>
      </c>
      <c r="Y63" s="99">
        <f t="shared" si="103"/>
        <v>296</v>
      </c>
      <c r="Z63" s="99">
        <f t="shared" si="104"/>
        <v>0</v>
      </c>
      <c r="AA63" s="99">
        <v>0</v>
      </c>
      <c r="AB63" s="109">
        <f t="shared" ref="AB63:AB64" si="107">SUM(X63:AA63)</f>
        <v>296</v>
      </c>
    </row>
    <row r="64" spans="1:28">
      <c r="A64" s="194"/>
      <c r="B64" s="140" t="s">
        <v>324</v>
      </c>
      <c r="C64" s="99">
        <f>58338+5700</f>
        <v>64038</v>
      </c>
      <c r="D64" s="99">
        <v>0</v>
      </c>
      <c r="E64" s="99">
        <v>19566</v>
      </c>
      <c r="F64" s="99">
        <v>0</v>
      </c>
      <c r="G64" s="99">
        <f t="shared" si="98"/>
        <v>83604</v>
      </c>
      <c r="H64" s="99">
        <v>48052</v>
      </c>
      <c r="I64" s="99"/>
      <c r="J64" s="99">
        <v>19488</v>
      </c>
      <c r="K64" s="99">
        <v>0</v>
      </c>
      <c r="L64" s="98">
        <f t="shared" si="105"/>
        <v>67540</v>
      </c>
      <c r="M64" s="99">
        <f t="shared" si="99"/>
        <v>15986</v>
      </c>
      <c r="N64" s="99">
        <f t="shared" si="100"/>
        <v>0</v>
      </c>
      <c r="O64" s="99">
        <f t="shared" si="101"/>
        <v>78</v>
      </c>
      <c r="P64" s="99">
        <v>0</v>
      </c>
      <c r="Q64" s="98">
        <f t="shared" si="102"/>
        <v>16064</v>
      </c>
      <c r="R64" s="140" t="s">
        <v>324</v>
      </c>
      <c r="S64" s="99">
        <f>+'5. Financial Plan'!V60</f>
        <v>15986</v>
      </c>
      <c r="T64" s="99">
        <f>+'5. Financial Plan'!W60</f>
        <v>0</v>
      </c>
      <c r="U64" s="99">
        <f>+'5. Financial Plan'!X60</f>
        <v>0</v>
      </c>
      <c r="V64" s="99">
        <f>+'5. Financial Plan'!Y60</f>
        <v>0</v>
      </c>
      <c r="W64" s="99">
        <f t="shared" si="106"/>
        <v>15986</v>
      </c>
      <c r="X64" s="99">
        <f t="shared" si="97"/>
        <v>0</v>
      </c>
      <c r="Y64" s="99">
        <f t="shared" si="103"/>
        <v>0</v>
      </c>
      <c r="Z64" s="99">
        <f t="shared" si="104"/>
        <v>78</v>
      </c>
      <c r="AA64" s="99">
        <v>0</v>
      </c>
      <c r="AB64" s="109">
        <f t="shared" si="107"/>
        <v>78</v>
      </c>
    </row>
    <row r="65" spans="1:28">
      <c r="A65" s="236"/>
      <c r="B65" s="234"/>
      <c r="C65" s="235"/>
      <c r="D65" s="235"/>
      <c r="E65" s="235"/>
      <c r="F65" s="113"/>
      <c r="G65" s="98"/>
      <c r="H65" s="113"/>
      <c r="I65" s="113"/>
      <c r="J65" s="113"/>
      <c r="K65" s="113"/>
      <c r="L65" s="113"/>
      <c r="M65" s="113"/>
      <c r="N65" s="113"/>
      <c r="O65" s="113"/>
      <c r="P65" s="113"/>
      <c r="Q65" s="113"/>
      <c r="R65" s="234"/>
      <c r="S65" s="235"/>
      <c r="T65" s="235"/>
      <c r="U65" s="235"/>
      <c r="V65" s="113"/>
      <c r="W65" s="113"/>
      <c r="X65" s="99">
        <f t="shared" si="97"/>
        <v>0</v>
      </c>
      <c r="Y65" s="113"/>
      <c r="Z65" s="113"/>
      <c r="AA65" s="99">
        <v>0</v>
      </c>
      <c r="AB65" s="200"/>
    </row>
    <row r="66" spans="1:28">
      <c r="A66" s="151">
        <v>5</v>
      </c>
      <c r="B66" s="111" t="s">
        <v>327</v>
      </c>
      <c r="C66" s="98">
        <v>0</v>
      </c>
      <c r="D66" s="98">
        <f>600000+4778</f>
        <v>604778</v>
      </c>
      <c r="E66" s="98">
        <v>0</v>
      </c>
      <c r="F66" s="98">
        <v>0</v>
      </c>
      <c r="G66" s="98">
        <f>SUM(C66:F66)</f>
        <v>604778</v>
      </c>
      <c r="H66" s="98">
        <v>0</v>
      </c>
      <c r="I66" s="98">
        <v>573591</v>
      </c>
      <c r="J66" s="98">
        <v>0</v>
      </c>
      <c r="K66" s="98"/>
      <c r="L66" s="98">
        <f>SUM(H66:K66)</f>
        <v>573591</v>
      </c>
      <c r="M66" s="98">
        <v>0</v>
      </c>
      <c r="N66" s="99">
        <f t="shared" si="100"/>
        <v>31187</v>
      </c>
      <c r="O66" s="98"/>
      <c r="P66" s="98">
        <v>0</v>
      </c>
      <c r="Q66" s="98">
        <f t="shared" si="102"/>
        <v>31187</v>
      </c>
      <c r="R66" s="111" t="s">
        <v>327</v>
      </c>
      <c r="S66" s="98"/>
      <c r="T66" s="98">
        <f>+'5. Financial Plan'!W62</f>
        <v>0</v>
      </c>
      <c r="U66" s="98"/>
      <c r="V66" s="98"/>
      <c r="W66" s="98">
        <f t="shared" ref="W66:W67" si="108">SUM(S66:U66)</f>
        <v>0</v>
      </c>
      <c r="X66" s="98">
        <f t="shared" ref="X66:X67" si="109">M66-S66</f>
        <v>0</v>
      </c>
      <c r="Y66" s="98">
        <f t="shared" ref="Y66:Y67" si="110">SUM(N66-T66)</f>
        <v>31187</v>
      </c>
      <c r="Z66" s="99">
        <f t="shared" ref="Z66:Z67" si="111">SUM(O66-U66)</f>
        <v>0</v>
      </c>
      <c r="AA66" s="99">
        <v>0</v>
      </c>
      <c r="AB66" s="200">
        <f t="shared" ref="AB66:AB67" si="112">SUM(X66:AA66)</f>
        <v>31187</v>
      </c>
    </row>
    <row r="67" spans="1:28">
      <c r="A67" s="201"/>
      <c r="B67" s="105" t="s">
        <v>577</v>
      </c>
      <c r="C67" s="106"/>
      <c r="D67" s="106"/>
      <c r="E67" s="106"/>
      <c r="F67" s="106"/>
      <c r="G67" s="106"/>
      <c r="H67" s="106"/>
      <c r="I67" s="560">
        <v>32051</v>
      </c>
      <c r="J67" s="106"/>
      <c r="K67" s="106">
        <v>18020</v>
      </c>
      <c r="L67" s="106"/>
      <c r="M67" s="98">
        <v>0</v>
      </c>
      <c r="N67" s="99">
        <f t="shared" ref="N67" si="113">D67-I67</f>
        <v>-32051</v>
      </c>
      <c r="O67" s="98"/>
      <c r="P67" s="98">
        <v>0</v>
      </c>
      <c r="Q67" s="98">
        <f>SUM(M67:P67)</f>
        <v>-32051</v>
      </c>
      <c r="R67" s="105" t="s">
        <v>577</v>
      </c>
      <c r="S67" s="287"/>
      <c r="T67" s="511">
        <f>+'5. Financial Plan'!W63</f>
        <v>0</v>
      </c>
      <c r="U67" s="287"/>
      <c r="V67" s="98"/>
      <c r="W67" s="98">
        <f t="shared" si="108"/>
        <v>0</v>
      </c>
      <c r="X67" s="98">
        <f t="shared" si="109"/>
        <v>0</v>
      </c>
      <c r="Y67" s="98">
        <f t="shared" si="110"/>
        <v>-32051</v>
      </c>
      <c r="Z67" s="99">
        <f t="shared" si="111"/>
        <v>0</v>
      </c>
      <c r="AA67" s="99">
        <v>0</v>
      </c>
      <c r="AB67" s="200">
        <f t="shared" si="112"/>
        <v>-32051</v>
      </c>
    </row>
    <row r="68" spans="1:28" ht="35.25" customHeight="1">
      <c r="A68" s="202"/>
      <c r="B68" s="111" t="s">
        <v>176</v>
      </c>
      <c r="C68" s="98"/>
      <c r="D68" s="98"/>
      <c r="E68" s="98"/>
      <c r="F68" s="98">
        <v>0</v>
      </c>
      <c r="G68" s="99">
        <f>SUM(C68:F68)</f>
        <v>0</v>
      </c>
      <c r="H68" s="98">
        <f>SUM(H69)</f>
        <v>0</v>
      </c>
      <c r="I68" s="98"/>
      <c r="J68" s="98">
        <f t="shared" ref="J68" si="114">SUM(J69)</f>
        <v>0</v>
      </c>
      <c r="K68" s="98">
        <v>0</v>
      </c>
      <c r="L68" s="98">
        <f>SUM(H68:K68)</f>
        <v>0</v>
      </c>
      <c r="M68" s="113">
        <f t="shared" ref="M68" si="115">C68-H68</f>
        <v>0</v>
      </c>
      <c r="N68" s="113">
        <f>D68-I68</f>
        <v>0</v>
      </c>
      <c r="O68" s="113">
        <f t="shared" ref="O68" si="116">E68-J68</f>
        <v>0</v>
      </c>
      <c r="P68" s="113">
        <v>0</v>
      </c>
      <c r="Q68" s="98">
        <f t="shared" si="102"/>
        <v>0</v>
      </c>
      <c r="R68" s="111" t="s">
        <v>176</v>
      </c>
      <c r="S68" s="99"/>
      <c r="T68" s="99"/>
      <c r="U68" s="99"/>
      <c r="V68" s="98"/>
      <c r="W68" s="99"/>
      <c r="X68" s="99">
        <f t="shared" ref="X68" si="117">M68-S68</f>
        <v>0</v>
      </c>
      <c r="Y68" s="99">
        <f t="shared" ref="Y68" si="118">SUM(N68-T68)</f>
        <v>0</v>
      </c>
      <c r="Z68" s="99">
        <f t="shared" ref="Z68" si="119">SUM(O68-U68)</f>
        <v>0</v>
      </c>
      <c r="AA68" s="99">
        <v>0</v>
      </c>
      <c r="AB68" s="200">
        <f t="shared" ref="AB68" si="120">SUM(X68:AA68)</f>
        <v>0</v>
      </c>
    </row>
    <row r="69" spans="1:28">
      <c r="A69" s="203"/>
      <c r="B69" s="103"/>
      <c r="C69" s="107">
        <v>0</v>
      </c>
      <c r="D69" s="107"/>
      <c r="E69" s="107"/>
      <c r="F69" s="107"/>
      <c r="G69" s="107"/>
      <c r="H69" s="107"/>
      <c r="I69" s="107"/>
      <c r="J69" s="107"/>
      <c r="K69" s="107"/>
      <c r="L69" s="99"/>
      <c r="M69" s="204"/>
      <c r="N69" s="204"/>
      <c r="O69" s="204"/>
      <c r="P69" s="204"/>
      <c r="Q69" s="204"/>
      <c r="R69" s="103"/>
      <c r="S69" s="102"/>
      <c r="T69" s="102"/>
      <c r="U69" s="102"/>
      <c r="V69" s="102"/>
      <c r="W69" s="102"/>
      <c r="X69" s="102"/>
      <c r="Y69" s="102"/>
      <c r="Z69" s="102"/>
      <c r="AA69" s="204"/>
      <c r="AB69" s="205">
        <f>SUM(X69:AA69)</f>
        <v>0</v>
      </c>
    </row>
    <row r="70" spans="1:28">
      <c r="A70" s="203"/>
      <c r="B70" s="103" t="s">
        <v>331</v>
      </c>
      <c r="C70" s="107"/>
      <c r="D70" s="107">
        <v>837475</v>
      </c>
      <c r="E70" s="107">
        <v>917670</v>
      </c>
      <c r="F70" s="107"/>
      <c r="G70" s="107">
        <f>SUM(C70:F70)</f>
        <v>1755145</v>
      </c>
      <c r="H70" s="99">
        <v>0</v>
      </c>
      <c r="I70" s="99">
        <v>611202</v>
      </c>
      <c r="J70" s="99">
        <v>917670</v>
      </c>
      <c r="K70" s="99">
        <v>0</v>
      </c>
      <c r="L70" s="98">
        <f>SUM(H70:K70)</f>
        <v>1528872</v>
      </c>
      <c r="M70" s="113">
        <f t="shared" ref="M70" si="121">C70-H70</f>
        <v>0</v>
      </c>
      <c r="N70" s="113">
        <f t="shared" ref="N70" si="122">D70-I70</f>
        <v>226273</v>
      </c>
      <c r="O70" s="113">
        <f t="shared" ref="O70" si="123">E70-J70</f>
        <v>0</v>
      </c>
      <c r="P70" s="113">
        <v>0</v>
      </c>
      <c r="Q70" s="98">
        <f t="shared" ref="Q70" si="124">SUM(M70:P70)</f>
        <v>226273</v>
      </c>
      <c r="R70" s="103" t="s">
        <v>331</v>
      </c>
      <c r="S70" s="102"/>
      <c r="T70" s="102">
        <f>+'5. Financial Plan'!W64</f>
        <v>226273</v>
      </c>
      <c r="U70" s="102"/>
      <c r="V70" s="102"/>
      <c r="W70" s="99">
        <f>SUM(S70:U70)</f>
        <v>226273</v>
      </c>
      <c r="X70" s="99">
        <f t="shared" ref="X70" si="125">M70-S70</f>
        <v>0</v>
      </c>
      <c r="Y70" s="99">
        <f t="shared" ref="Y70" si="126">SUM(N70-T70)</f>
        <v>0</v>
      </c>
      <c r="Z70" s="99">
        <f t="shared" ref="Z70" si="127">SUM(O70-U70)</f>
        <v>0</v>
      </c>
      <c r="AA70" s="99">
        <f t="shared" ref="AA70" si="128">SUM(P70-V70)</f>
        <v>0</v>
      </c>
      <c r="AB70" s="200">
        <f t="shared" ref="AB70" si="129">SUM(X70:AA70)</f>
        <v>0</v>
      </c>
    </row>
    <row r="71" spans="1:28">
      <c r="A71" s="197"/>
      <c r="B71" s="108"/>
      <c r="C71" s="98"/>
      <c r="D71" s="98"/>
      <c r="E71" s="98"/>
      <c r="F71" s="98"/>
      <c r="G71" s="98"/>
      <c r="H71" s="98"/>
      <c r="I71" s="98"/>
      <c r="J71" s="98"/>
      <c r="K71" s="98"/>
      <c r="L71" s="98"/>
      <c r="M71" s="98"/>
      <c r="N71" s="98"/>
      <c r="O71" s="98"/>
      <c r="P71" s="98"/>
      <c r="Q71" s="98"/>
      <c r="R71" s="108"/>
      <c r="S71" s="98"/>
      <c r="T71" s="98"/>
      <c r="U71" s="98"/>
      <c r="V71" s="98"/>
      <c r="W71" s="98"/>
      <c r="X71" s="98"/>
      <c r="Y71" s="98"/>
      <c r="Z71" s="98"/>
      <c r="AA71" s="98"/>
      <c r="AB71" s="109"/>
    </row>
    <row r="72" spans="1:28" ht="13.5" thickBot="1">
      <c r="A72" s="206"/>
      <c r="B72" s="110" t="s">
        <v>177</v>
      </c>
      <c r="C72" s="207">
        <f t="shared" ref="C72:G72" si="130">+C70+C68+C66+C61+C40+C38+C31+C22+C6</f>
        <v>19999999.77</v>
      </c>
      <c r="D72" s="207">
        <f>+D70+D68+D66+D61+D40+D38+D31+D22+D6</f>
        <v>13361477</v>
      </c>
      <c r="E72" s="207">
        <f t="shared" si="130"/>
        <v>16043708</v>
      </c>
      <c r="F72" s="207">
        <f t="shared" si="130"/>
        <v>0</v>
      </c>
      <c r="G72" s="207">
        <f t="shared" si="130"/>
        <v>49405184.769999996</v>
      </c>
      <c r="H72" s="207">
        <f>+H70+H68+H66+H61+H40+H38+H31+H22+H6+H67</f>
        <v>18426777</v>
      </c>
      <c r="I72" s="207">
        <f t="shared" ref="I72:AB72" si="131">+I70+I68+I66+I61+I40+I38+I31+I22+I6+I67</f>
        <v>12257810</v>
      </c>
      <c r="J72" s="207">
        <f t="shared" si="131"/>
        <v>14313769</v>
      </c>
      <c r="K72" s="207">
        <f t="shared" si="131"/>
        <v>4452086</v>
      </c>
      <c r="L72" s="207">
        <f t="shared" si="131"/>
        <v>49402277</v>
      </c>
      <c r="M72" s="207">
        <f>+M70+M68+M66+M61+M40+M38+M31+M22+M6+M67</f>
        <v>1573222.77</v>
      </c>
      <c r="N72" s="207">
        <f t="shared" si="131"/>
        <v>1103667</v>
      </c>
      <c r="O72" s="207">
        <f t="shared" si="131"/>
        <v>1729939</v>
      </c>
      <c r="P72" s="207">
        <f t="shared" si="131"/>
        <v>0</v>
      </c>
      <c r="Q72" s="207">
        <f t="shared" si="131"/>
        <v>4406828.7699999996</v>
      </c>
      <c r="R72" s="207"/>
      <c r="S72" s="207">
        <f t="shared" si="131"/>
        <v>1572561.77</v>
      </c>
      <c r="T72" s="207">
        <f t="shared" si="131"/>
        <v>800000</v>
      </c>
      <c r="U72" s="207">
        <f t="shared" si="131"/>
        <v>1731370</v>
      </c>
      <c r="V72" s="207">
        <f t="shared" si="131"/>
        <v>3289583</v>
      </c>
      <c r="W72" s="207">
        <f>+W70+W68+W66+W61+W40+W38+W31+W22+W6+W67</f>
        <v>7393514.7699999996</v>
      </c>
      <c r="X72" s="207">
        <f t="shared" si="131"/>
        <v>467</v>
      </c>
      <c r="Y72" s="207">
        <f t="shared" si="131"/>
        <v>303590</v>
      </c>
      <c r="Z72" s="207">
        <f t="shared" si="131"/>
        <v>-1574</v>
      </c>
      <c r="AA72" s="207">
        <f t="shared" si="131"/>
        <v>0</v>
      </c>
      <c r="AB72" s="207">
        <f t="shared" si="131"/>
        <v>302280</v>
      </c>
    </row>
    <row r="73" spans="1:28">
      <c r="A73" s="202"/>
      <c r="B73" s="202"/>
      <c r="C73" s="881"/>
      <c r="D73" s="881"/>
      <c r="E73" s="881"/>
      <c r="F73" s="202"/>
      <c r="G73" s="202"/>
      <c r="H73" s="882"/>
      <c r="I73" s="882"/>
      <c r="J73" s="882"/>
      <c r="K73" s="202"/>
      <c r="L73" s="208"/>
      <c r="M73" s="208"/>
      <c r="N73" s="208"/>
      <c r="O73" s="208"/>
      <c r="P73" s="202"/>
      <c r="Q73" s="202"/>
      <c r="R73" s="202"/>
      <c r="S73" s="209"/>
      <c r="T73" s="202"/>
      <c r="U73" s="202"/>
      <c r="V73" s="202"/>
      <c r="W73" s="202"/>
      <c r="X73" s="202"/>
      <c r="Y73" s="202"/>
      <c r="Z73" s="202"/>
      <c r="AA73" s="202"/>
      <c r="AB73" s="202"/>
    </row>
    <row r="74" spans="1:28">
      <c r="A74" s="202"/>
      <c r="B74" s="202"/>
      <c r="C74" s="210"/>
      <c r="D74" s="210"/>
      <c r="E74" s="210"/>
      <c r="F74" s="202"/>
      <c r="G74" s="202"/>
      <c r="H74" s="882"/>
      <c r="I74" s="882"/>
      <c r="J74" s="882"/>
      <c r="K74" s="208"/>
      <c r="L74" s="208"/>
      <c r="M74" s="881"/>
      <c r="N74" s="881"/>
      <c r="O74" s="881"/>
      <c r="P74" s="202"/>
      <c r="Q74" s="202"/>
      <c r="R74" s="202"/>
      <c r="S74" s="209"/>
      <c r="T74" s="209"/>
      <c r="U74" s="209"/>
      <c r="V74" s="209"/>
      <c r="W74" s="288"/>
      <c r="X74" s="208"/>
      <c r="Y74" s="208"/>
      <c r="Z74" s="208"/>
      <c r="AA74" s="202"/>
      <c r="AB74" s="202"/>
    </row>
    <row r="75" spans="1:28">
      <c r="A75" s="202"/>
      <c r="B75" s="202"/>
      <c r="C75" s="881"/>
      <c r="D75" s="881"/>
      <c r="E75" s="881"/>
      <c r="F75" s="202"/>
      <c r="G75" s="202"/>
      <c r="H75" s="882"/>
      <c r="I75" s="882"/>
      <c r="J75" s="882"/>
      <c r="K75" s="208"/>
      <c r="L75" s="208"/>
      <c r="M75" s="210"/>
      <c r="N75" s="210"/>
      <c r="O75" s="210"/>
      <c r="P75" s="202"/>
      <c r="Q75" s="202"/>
      <c r="R75" s="202"/>
      <c r="S75" s="209"/>
      <c r="T75" s="209"/>
      <c r="U75" s="209"/>
      <c r="V75" s="209"/>
      <c r="W75" s="209"/>
      <c r="X75" s="208"/>
      <c r="Y75" s="208"/>
      <c r="Z75" s="208"/>
      <c r="AA75" s="202"/>
      <c r="AB75" s="202"/>
    </row>
    <row r="76" spans="1:28">
      <c r="A76" s="202"/>
      <c r="B76" s="202"/>
      <c r="C76" s="202"/>
      <c r="D76" s="208"/>
      <c r="E76" s="202"/>
      <c r="F76" s="202"/>
      <c r="G76" s="202"/>
      <c r="H76" s="208"/>
      <c r="I76" s="202"/>
      <c r="J76" s="202"/>
      <c r="K76" s="202"/>
      <c r="L76" s="208"/>
      <c r="M76" s="881"/>
      <c r="N76" s="881"/>
      <c r="O76" s="881"/>
      <c r="P76" s="202"/>
      <c r="Q76" s="202"/>
      <c r="R76" s="202"/>
      <c r="S76" s="209"/>
      <c r="T76" s="202"/>
      <c r="U76" s="565"/>
      <c r="V76" s="202"/>
      <c r="W76" s="288"/>
      <c r="X76" s="202"/>
      <c r="Y76" s="202"/>
      <c r="Z76" s="202"/>
      <c r="AA76" s="202"/>
      <c r="AB76" s="202"/>
    </row>
    <row r="77" spans="1:28">
      <c r="A77" s="202"/>
      <c r="B77" s="202"/>
      <c r="C77" s="202"/>
      <c r="D77" s="202"/>
      <c r="E77" s="202"/>
      <c r="F77" s="202"/>
      <c r="G77" s="202"/>
      <c r="H77" s="202"/>
      <c r="I77" s="202"/>
      <c r="J77" s="202"/>
      <c r="K77" s="202"/>
      <c r="L77" s="208"/>
      <c r="M77" s="565"/>
      <c r="N77" s="202"/>
      <c r="O77" s="202"/>
      <c r="P77" s="202"/>
      <c r="Q77" s="202"/>
      <c r="R77" s="202"/>
      <c r="S77" s="209"/>
      <c r="T77" s="202"/>
      <c r="U77" s="202"/>
      <c r="V77" s="202"/>
      <c r="W77" s="202"/>
      <c r="X77" s="202"/>
      <c r="Y77" s="202"/>
      <c r="Z77" s="202"/>
      <c r="AA77" s="202"/>
      <c r="AB77" s="202"/>
    </row>
    <row r="78" spans="1:28">
      <c r="A78" s="202"/>
      <c r="B78" s="202"/>
      <c r="C78" s="202"/>
      <c r="D78" s="202"/>
      <c r="E78" s="202"/>
      <c r="F78" s="202"/>
      <c r="G78" s="202"/>
      <c r="H78" s="210"/>
      <c r="I78" s="210"/>
      <c r="J78" s="210"/>
      <c r="K78" s="210"/>
      <c r="L78" s="208"/>
      <c r="M78" s="208"/>
      <c r="N78" s="208"/>
      <c r="O78" s="208"/>
      <c r="P78" s="202"/>
      <c r="Q78" s="208"/>
      <c r="R78" s="208"/>
      <c r="S78" s="209"/>
      <c r="T78" s="209"/>
      <c r="U78" s="209"/>
      <c r="V78" s="209"/>
      <c r="W78" s="209"/>
      <c r="X78" s="202"/>
      <c r="Y78" s="202"/>
      <c r="Z78" s="202"/>
      <c r="AA78" s="202"/>
      <c r="AB78" s="202"/>
    </row>
    <row r="79" spans="1:28">
      <c r="D79" s="93"/>
      <c r="H79" s="154"/>
      <c r="I79" s="154"/>
      <c r="J79" s="154"/>
      <c r="K79" s="154"/>
      <c r="L79" s="93"/>
      <c r="M79" s="93"/>
      <c r="N79" s="93"/>
      <c r="Q79" s="93"/>
      <c r="R79" s="93"/>
      <c r="S79" s="211"/>
      <c r="T79" s="185"/>
      <c r="U79" s="185"/>
      <c r="V79" s="185"/>
      <c r="W79" s="185"/>
    </row>
    <row r="80" spans="1:28">
      <c r="H80" s="233"/>
    </row>
    <row r="81" spans="4:9">
      <c r="H81" s="233"/>
    </row>
    <row r="82" spans="4:9">
      <c r="H82" s="211"/>
      <c r="I82" s="211"/>
    </row>
    <row r="83" spans="4:9">
      <c r="D83" s="93"/>
      <c r="I83" s="211"/>
    </row>
  </sheetData>
  <mergeCells count="7">
    <mergeCell ref="S4:W4"/>
    <mergeCell ref="X4:AB4"/>
    <mergeCell ref="A4:A5"/>
    <mergeCell ref="B4:B5"/>
    <mergeCell ref="C4:G4"/>
    <mergeCell ref="H4:L4"/>
    <mergeCell ref="M4:Q4"/>
  </mergeCells>
  <printOptions gridLines="1"/>
  <pageMargins left="0.7" right="0.7" top="0.75" bottom="0.75" header="0.3" footer="0.3"/>
  <pageSetup paperSize="5" scale="8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76"/>
  <sheetViews>
    <sheetView workbookViewId="0">
      <selection activeCell="D7" sqref="D7"/>
    </sheetView>
  </sheetViews>
  <sheetFormatPr defaultColWidth="8.875" defaultRowHeight="15.75"/>
  <cols>
    <col min="1" max="1" width="8.875" customWidth="1"/>
    <col min="2" max="2" width="30.375" customWidth="1"/>
    <col min="3" max="3" width="10.875" customWidth="1"/>
    <col min="4" max="4" width="31.875" bestFit="1" customWidth="1"/>
    <col min="5" max="5" width="17.125" customWidth="1"/>
    <col min="6" max="6" width="8.375" customWidth="1"/>
    <col min="7" max="7" width="9.375" customWidth="1"/>
    <col min="8" max="8" width="8.875" customWidth="1"/>
    <col min="9" max="9" width="8.625" customWidth="1"/>
    <col min="10" max="10" width="11.125" customWidth="1"/>
    <col min="11" max="11" width="45.75" customWidth="1"/>
    <col min="12" max="12" width="26.125" customWidth="1"/>
    <col min="13" max="13" width="24.125" customWidth="1"/>
    <col min="15" max="15" width="37.5" customWidth="1"/>
    <col min="16" max="16" width="28.875" hidden="1" customWidth="1"/>
    <col min="17" max="17" width="0" hidden="1" customWidth="1"/>
  </cols>
  <sheetData>
    <row r="2" spans="1:13" ht="21">
      <c r="A2" s="20" t="s">
        <v>258</v>
      </c>
    </row>
    <row r="3" spans="1:13" ht="21">
      <c r="A3" s="20" t="s">
        <v>552</v>
      </c>
    </row>
    <row r="4" spans="1:13" ht="16.5" thickBot="1">
      <c r="A4" s="132" t="s">
        <v>246</v>
      </c>
      <c r="C4" s="427"/>
      <c r="D4" s="427"/>
    </row>
    <row r="5" spans="1:13" ht="42" customHeight="1" thickBot="1">
      <c r="B5" s="996" t="s">
        <v>656</v>
      </c>
      <c r="C5" s="996" t="s">
        <v>657</v>
      </c>
      <c r="D5" s="996" t="s">
        <v>658</v>
      </c>
      <c r="E5" s="996" t="s">
        <v>659</v>
      </c>
      <c r="F5" s="996" t="s">
        <v>660</v>
      </c>
      <c r="G5" s="996" t="s">
        <v>661</v>
      </c>
      <c r="H5" s="996" t="s">
        <v>662</v>
      </c>
      <c r="I5" s="1320" t="s">
        <v>663</v>
      </c>
      <c r="J5" s="1321"/>
      <c r="K5" s="552" t="s">
        <v>664</v>
      </c>
      <c r="L5" s="996" t="s">
        <v>665</v>
      </c>
      <c r="M5" s="996" t="s">
        <v>666</v>
      </c>
    </row>
    <row r="6" spans="1:13" ht="118.5" customHeight="1" thickBot="1">
      <c r="B6" s="997"/>
      <c r="C6" s="997"/>
      <c r="D6" s="997"/>
      <c r="E6" s="997"/>
      <c r="F6" s="997"/>
      <c r="G6" s="997"/>
      <c r="H6" s="997"/>
      <c r="I6" s="22" t="s">
        <v>667</v>
      </c>
      <c r="J6" s="22" t="s">
        <v>668</v>
      </c>
      <c r="K6" s="551"/>
      <c r="L6" s="997"/>
      <c r="M6" s="997"/>
    </row>
    <row r="7" spans="1:13" ht="370.5" thickBot="1">
      <c r="A7" s="1319"/>
      <c r="B7" s="470">
        <v>1</v>
      </c>
      <c r="C7" s="459"/>
      <c r="D7" s="459" t="s">
        <v>752</v>
      </c>
      <c r="E7" s="459" t="s">
        <v>759</v>
      </c>
      <c r="F7" s="470">
        <v>3</v>
      </c>
      <c r="G7" s="470">
        <v>3</v>
      </c>
      <c r="H7" s="470">
        <f t="shared" ref="H7:H15" si="0">SUM(F7*G7)</f>
        <v>9</v>
      </c>
      <c r="I7" s="470">
        <v>3</v>
      </c>
      <c r="J7" s="472" t="s">
        <v>758</v>
      </c>
      <c r="K7" s="459" t="s">
        <v>689</v>
      </c>
      <c r="L7" s="459" t="s">
        <v>757</v>
      </c>
      <c r="M7" s="459" t="s">
        <v>521</v>
      </c>
    </row>
    <row r="8" spans="1:13" ht="115.5" thickBot="1">
      <c r="A8" s="1319"/>
      <c r="B8" s="470">
        <v>2</v>
      </c>
      <c r="C8" s="459"/>
      <c r="D8" s="459" t="s">
        <v>752</v>
      </c>
      <c r="E8" s="459" t="s">
        <v>756</v>
      </c>
      <c r="F8" s="470">
        <v>2</v>
      </c>
      <c r="G8" s="470">
        <v>2</v>
      </c>
      <c r="H8" s="470">
        <f t="shared" si="0"/>
        <v>4</v>
      </c>
      <c r="I8" s="470">
        <v>2</v>
      </c>
      <c r="J8" s="473" t="s">
        <v>179</v>
      </c>
      <c r="K8" s="459" t="s">
        <v>674</v>
      </c>
      <c r="L8" s="459" t="s">
        <v>755</v>
      </c>
      <c r="M8" s="459" t="s">
        <v>754</v>
      </c>
    </row>
    <row r="9" spans="1:13" ht="255.75" thickBot="1">
      <c r="A9" s="1319"/>
      <c r="B9" s="470">
        <v>3</v>
      </c>
      <c r="C9" s="459" t="s">
        <v>753</v>
      </c>
      <c r="D9" s="459" t="s">
        <v>752</v>
      </c>
      <c r="E9" s="459" t="s">
        <v>751</v>
      </c>
      <c r="F9" s="470">
        <v>2</v>
      </c>
      <c r="G9" s="470">
        <v>2</v>
      </c>
      <c r="H9" s="470">
        <f t="shared" si="0"/>
        <v>4</v>
      </c>
      <c r="I9" s="470">
        <v>2</v>
      </c>
      <c r="J9" s="473" t="s">
        <v>179</v>
      </c>
      <c r="K9" s="459" t="s">
        <v>674</v>
      </c>
      <c r="L9" s="459" t="s">
        <v>750</v>
      </c>
      <c r="M9" s="459" t="s">
        <v>749</v>
      </c>
    </row>
    <row r="10" spans="1:13" ht="217.5" thickBot="1">
      <c r="A10" s="1319"/>
      <c r="B10" s="470">
        <v>4</v>
      </c>
      <c r="C10" s="459"/>
      <c r="D10" s="459" t="s">
        <v>748</v>
      </c>
      <c r="E10" s="459" t="s">
        <v>747</v>
      </c>
      <c r="F10" s="470">
        <v>2</v>
      </c>
      <c r="G10" s="470">
        <v>3</v>
      </c>
      <c r="H10" s="470">
        <f t="shared" si="0"/>
        <v>6</v>
      </c>
      <c r="I10" s="470">
        <v>3</v>
      </c>
      <c r="J10" s="472" t="s">
        <v>178</v>
      </c>
      <c r="K10" s="459" t="s">
        <v>674</v>
      </c>
      <c r="L10" s="459" t="s">
        <v>746</v>
      </c>
      <c r="M10" s="459" t="s">
        <v>521</v>
      </c>
    </row>
    <row r="11" spans="1:13" ht="112.5" thickBot="1">
      <c r="A11" s="575"/>
      <c r="B11" s="470">
        <v>5</v>
      </c>
      <c r="C11" s="459"/>
      <c r="D11" s="459" t="s">
        <v>56</v>
      </c>
      <c r="E11" s="5" t="s">
        <v>745</v>
      </c>
      <c r="F11" s="470">
        <v>2</v>
      </c>
      <c r="G11" s="470">
        <v>3</v>
      </c>
      <c r="H11" s="470">
        <f t="shared" si="0"/>
        <v>6</v>
      </c>
      <c r="I11" s="470"/>
      <c r="J11" s="472" t="s">
        <v>744</v>
      </c>
      <c r="K11" s="459" t="s">
        <v>689</v>
      </c>
      <c r="L11" s="459" t="s">
        <v>743</v>
      </c>
      <c r="M11" s="459"/>
    </row>
    <row r="12" spans="1:13" ht="115.5" thickBot="1">
      <c r="A12" s="44"/>
      <c r="B12" s="470">
        <v>6</v>
      </c>
      <c r="C12" s="459"/>
      <c r="D12" s="459" t="s">
        <v>56</v>
      </c>
      <c r="E12" s="459" t="s">
        <v>670</v>
      </c>
      <c r="F12" s="470">
        <v>2</v>
      </c>
      <c r="G12" s="470">
        <v>3</v>
      </c>
      <c r="H12" s="470">
        <f t="shared" si="0"/>
        <v>6</v>
      </c>
      <c r="I12" s="470">
        <v>3</v>
      </c>
      <c r="J12" s="472" t="s">
        <v>178</v>
      </c>
      <c r="K12" s="459" t="s">
        <v>671</v>
      </c>
      <c r="L12" s="459" t="s">
        <v>672</v>
      </c>
      <c r="M12" s="459" t="s">
        <v>267</v>
      </c>
    </row>
    <row r="13" spans="1:13" ht="204.75" thickBot="1">
      <c r="A13" s="44"/>
      <c r="B13" s="470">
        <v>7</v>
      </c>
      <c r="C13" s="459"/>
      <c r="D13" s="459" t="s">
        <v>669</v>
      </c>
      <c r="E13" s="459" t="s">
        <v>673</v>
      </c>
      <c r="F13" s="470">
        <v>2</v>
      </c>
      <c r="G13" s="470">
        <v>2</v>
      </c>
      <c r="H13" s="470">
        <f t="shared" si="0"/>
        <v>4</v>
      </c>
      <c r="I13" s="470">
        <v>2</v>
      </c>
      <c r="J13" s="471" t="s">
        <v>179</v>
      </c>
      <c r="K13" s="459" t="s">
        <v>674</v>
      </c>
      <c r="L13" s="459" t="s">
        <v>675</v>
      </c>
      <c r="M13" s="459" t="s">
        <v>676</v>
      </c>
    </row>
    <row r="14" spans="1:13" ht="230.25" thickBot="1">
      <c r="A14" s="44"/>
      <c r="B14" s="470">
        <v>8</v>
      </c>
      <c r="C14" s="459" t="s">
        <v>543</v>
      </c>
      <c r="D14" s="459" t="s">
        <v>669</v>
      </c>
      <c r="E14" s="459" t="s">
        <v>557</v>
      </c>
      <c r="F14" s="470">
        <v>3</v>
      </c>
      <c r="G14" s="470">
        <v>3</v>
      </c>
      <c r="H14" s="470">
        <f t="shared" si="0"/>
        <v>9</v>
      </c>
      <c r="I14" s="470">
        <v>3</v>
      </c>
      <c r="J14" s="472" t="s">
        <v>178</v>
      </c>
      <c r="K14" s="459" t="s">
        <v>674</v>
      </c>
      <c r="L14" s="459" t="s">
        <v>742</v>
      </c>
      <c r="M14" s="459" t="s">
        <v>677</v>
      </c>
    </row>
    <row r="15" spans="1:13" ht="294" thickBot="1">
      <c r="A15" s="576"/>
      <c r="B15" s="470">
        <v>9</v>
      </c>
      <c r="C15" s="459" t="s">
        <v>678</v>
      </c>
      <c r="D15" s="459" t="s">
        <v>257</v>
      </c>
      <c r="E15" s="459" t="s">
        <v>679</v>
      </c>
      <c r="F15" s="470">
        <v>2</v>
      </c>
      <c r="G15" s="470">
        <v>2</v>
      </c>
      <c r="H15" s="470">
        <f t="shared" si="0"/>
        <v>4</v>
      </c>
      <c r="I15" s="470">
        <v>2</v>
      </c>
      <c r="J15" s="471" t="s">
        <v>179</v>
      </c>
      <c r="K15" s="459" t="s">
        <v>674</v>
      </c>
      <c r="L15" s="459" t="s">
        <v>680</v>
      </c>
      <c r="M15" s="459" t="s">
        <v>681</v>
      </c>
    </row>
    <row r="18" spans="5:13" ht="18.75" thickBot="1">
      <c r="E18" s="1322" t="s">
        <v>683</v>
      </c>
      <c r="F18" s="1322"/>
      <c r="G18" s="1322"/>
      <c r="K18" s="460" t="s">
        <v>684</v>
      </c>
      <c r="L18" s="460"/>
    </row>
    <row r="19" spans="5:13" ht="16.5" thickBot="1">
      <c r="E19" s="1323" t="s">
        <v>685</v>
      </c>
      <c r="F19" s="1325" t="s">
        <v>686</v>
      </c>
      <c r="G19" s="1326"/>
      <c r="K19" s="461" t="s">
        <v>687</v>
      </c>
      <c r="L19" s="461" t="s">
        <v>688</v>
      </c>
      <c r="M19" s="460"/>
    </row>
    <row r="20" spans="5:13" ht="30.75" thickBot="1">
      <c r="E20" s="1324"/>
      <c r="F20" s="462" t="s">
        <v>667</v>
      </c>
      <c r="G20" s="462" t="s">
        <v>668</v>
      </c>
      <c r="K20" s="463" t="s">
        <v>689</v>
      </c>
      <c r="L20" s="474" t="s">
        <v>690</v>
      </c>
    </row>
    <row r="21" spans="5:13" ht="30.75" thickBot="1">
      <c r="E21" s="465">
        <v>9</v>
      </c>
      <c r="F21" s="466">
        <v>3</v>
      </c>
      <c r="G21" s="467" t="s">
        <v>178</v>
      </c>
      <c r="K21" s="463" t="s">
        <v>691</v>
      </c>
      <c r="L21" s="474" t="s">
        <v>692</v>
      </c>
    </row>
    <row r="22" spans="5:13" ht="16.5" thickBot="1">
      <c r="E22" s="465">
        <v>6</v>
      </c>
      <c r="F22" s="466">
        <v>3</v>
      </c>
      <c r="G22" s="467" t="s">
        <v>178</v>
      </c>
      <c r="K22" s="463" t="s">
        <v>693</v>
      </c>
      <c r="L22" s="475" t="s">
        <v>694</v>
      </c>
    </row>
    <row r="23" spans="5:13" ht="16.5" thickBot="1">
      <c r="E23" s="465">
        <v>4</v>
      </c>
      <c r="F23" s="466">
        <v>2</v>
      </c>
      <c r="G23" s="468" t="s">
        <v>179</v>
      </c>
      <c r="K23" s="463" t="s">
        <v>674</v>
      </c>
      <c r="L23" s="475" t="s">
        <v>695</v>
      </c>
    </row>
    <row r="24" spans="5:13" ht="60.75" thickBot="1">
      <c r="E24" s="465">
        <v>3</v>
      </c>
      <c r="F24" s="466">
        <v>2</v>
      </c>
      <c r="G24" s="468" t="s">
        <v>179</v>
      </c>
      <c r="K24" s="463" t="s">
        <v>671</v>
      </c>
      <c r="L24" s="474" t="s">
        <v>696</v>
      </c>
    </row>
    <row r="25" spans="5:13" ht="16.5" thickBot="1">
      <c r="E25" s="465">
        <v>2</v>
      </c>
      <c r="F25" s="466">
        <v>1</v>
      </c>
      <c r="G25" s="469" t="s">
        <v>697</v>
      </c>
      <c r="K25" s="463" t="s">
        <v>698</v>
      </c>
      <c r="L25" s="475" t="s">
        <v>699</v>
      </c>
    </row>
    <row r="26" spans="5:13" ht="16.5" thickBot="1">
      <c r="E26" s="465">
        <v>1</v>
      </c>
      <c r="F26" s="466">
        <v>1</v>
      </c>
      <c r="G26" s="469" t="s">
        <v>697</v>
      </c>
      <c r="K26" s="463" t="s">
        <v>700</v>
      </c>
      <c r="L26" s="475" t="s">
        <v>701</v>
      </c>
    </row>
    <row r="27" spans="5:13">
      <c r="K27" s="463" t="s">
        <v>682</v>
      </c>
      <c r="L27" s="475" t="s">
        <v>702</v>
      </c>
    </row>
    <row r="28" spans="5:13">
      <c r="E28" s="460" t="s">
        <v>703</v>
      </c>
      <c r="F28" s="460"/>
      <c r="G28" s="460"/>
    </row>
    <row r="29" spans="5:13">
      <c r="E29" s="461" t="s">
        <v>687</v>
      </c>
      <c r="F29" s="461"/>
      <c r="G29" s="461" t="s">
        <v>688</v>
      </c>
    </row>
    <row r="30" spans="5:13">
      <c r="E30" s="463">
        <v>1</v>
      </c>
      <c r="F30" s="463"/>
      <c r="G30" s="464" t="s">
        <v>697</v>
      </c>
    </row>
    <row r="31" spans="5:13">
      <c r="E31" s="463">
        <v>2</v>
      </c>
      <c r="F31" s="463"/>
      <c r="G31" s="464" t="s">
        <v>179</v>
      </c>
    </row>
    <row r="32" spans="5:13">
      <c r="E32" s="463">
        <v>3</v>
      </c>
      <c r="F32" s="463"/>
      <c r="G32" s="464" t="s">
        <v>178</v>
      </c>
    </row>
    <row r="34" spans="4:6">
      <c r="D34" s="577" t="s">
        <v>913</v>
      </c>
      <c r="E34" s="577"/>
      <c r="F34" s="577"/>
    </row>
    <row r="35" spans="4:6">
      <c r="D35" s="578" t="s">
        <v>687</v>
      </c>
      <c r="E35" s="578" t="s">
        <v>688</v>
      </c>
      <c r="F35" s="578"/>
    </row>
    <row r="36" spans="4:6">
      <c r="D36" s="578"/>
      <c r="E36" s="578"/>
      <c r="F36" s="578"/>
    </row>
    <row r="37" spans="4:6">
      <c r="D37" s="578"/>
      <c r="E37" s="578"/>
      <c r="F37" s="578"/>
    </row>
    <row r="38" spans="4:6">
      <c r="D38" s="463">
        <v>1</v>
      </c>
      <c r="E38" s="579" t="s">
        <v>914</v>
      </c>
      <c r="F38" s="579"/>
    </row>
    <row r="39" spans="4:6" ht="18">
      <c r="D39" s="463">
        <v>1</v>
      </c>
      <c r="E39" s="580" t="s">
        <v>915</v>
      </c>
      <c r="F39" s="580"/>
    </row>
    <row r="40" spans="4:6" ht="18">
      <c r="D40" s="463">
        <v>2</v>
      </c>
      <c r="E40" s="580" t="s">
        <v>916</v>
      </c>
      <c r="F40" s="580"/>
    </row>
    <row r="41" spans="4:6" ht="18">
      <c r="D41" s="463">
        <v>3</v>
      </c>
      <c r="E41" s="580" t="s">
        <v>917</v>
      </c>
      <c r="F41" s="580"/>
    </row>
    <row r="42" spans="4:6" ht="18">
      <c r="D42" s="463">
        <v>3</v>
      </c>
      <c r="E42" s="580" t="s">
        <v>918</v>
      </c>
      <c r="F42" s="580"/>
    </row>
    <row r="71" spans="2:2">
      <c r="B71" t="s">
        <v>919</v>
      </c>
    </row>
    <row r="72" spans="2:2">
      <c r="B72" t="s">
        <v>920</v>
      </c>
    </row>
    <row r="73" spans="2:2">
      <c r="B73" t="s">
        <v>921</v>
      </c>
    </row>
    <row r="74" spans="2:2">
      <c r="B74" t="s">
        <v>922</v>
      </c>
    </row>
    <row r="75" spans="2:2">
      <c r="B75" t="s">
        <v>923</v>
      </c>
    </row>
    <row r="76" spans="2:2">
      <c r="B76" t="s">
        <v>924</v>
      </c>
    </row>
  </sheetData>
  <dataConsolidate/>
  <mergeCells count="14">
    <mergeCell ref="E19:E20"/>
    <mergeCell ref="F19:G19"/>
    <mergeCell ref="D5:D6"/>
    <mergeCell ref="C5:C6"/>
    <mergeCell ref="L5:L6"/>
    <mergeCell ref="E5:E6"/>
    <mergeCell ref="F5:F6"/>
    <mergeCell ref="G5:G6"/>
    <mergeCell ref="A7:A10"/>
    <mergeCell ref="M5:M6"/>
    <mergeCell ref="I5:J5"/>
    <mergeCell ref="H5:H6"/>
    <mergeCell ref="E18:G18"/>
    <mergeCell ref="B5:B6"/>
  </mergeCells>
  <dataValidations count="2">
    <dataValidation type="list" allowBlank="1" showInputMessage="1" showErrorMessage="1" sqref="D7:D15">
      <formula1>$P$8:$P$16</formula1>
    </dataValidation>
    <dataValidation type="list" allowBlank="1" showInputMessage="1" showErrorMessage="1" sqref="K7:K15">
      <formula1>$Q$8:$Q$15</formula1>
    </dataValidation>
  </dataValidations>
  <pageMargins left="0.7" right="0.7" top="0.75" bottom="0.75" header="0.3" footer="0.3"/>
  <pageSetup paperSize="5" scale="7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2"/>
  <sheetViews>
    <sheetView topLeftCell="A19" workbookViewId="0">
      <selection activeCell="B29" sqref="B29"/>
    </sheetView>
  </sheetViews>
  <sheetFormatPr defaultColWidth="8.875" defaultRowHeight="15.75"/>
  <cols>
    <col min="1" max="1" width="3.875" customWidth="1"/>
    <col min="2" max="2" width="75.875" customWidth="1"/>
  </cols>
  <sheetData>
    <row r="1" spans="1:2" ht="18.75">
      <c r="A1" s="114" t="s">
        <v>234</v>
      </c>
    </row>
    <row r="2" spans="1:2" ht="39.75" customHeight="1">
      <c r="A2" s="1327" t="s">
        <v>181</v>
      </c>
      <c r="B2" s="1327"/>
    </row>
    <row r="3" spans="1:2" ht="15" customHeight="1">
      <c r="A3" s="1328" t="s">
        <v>182</v>
      </c>
      <c r="B3" s="1329"/>
    </row>
    <row r="4" spans="1:2">
      <c r="A4" s="115"/>
      <c r="B4" s="116" t="s">
        <v>183</v>
      </c>
    </row>
    <row r="5" spans="1:2">
      <c r="A5" s="117">
        <v>1</v>
      </c>
      <c r="B5" s="117" t="s">
        <v>184</v>
      </c>
    </row>
    <row r="6" spans="1:2" ht="18.75" customHeight="1">
      <c r="A6" s="118"/>
      <c r="B6" s="119" t="s">
        <v>185</v>
      </c>
    </row>
    <row r="7" spans="1:2">
      <c r="A7" s="118"/>
      <c r="B7" s="120" t="s">
        <v>186</v>
      </c>
    </row>
    <row r="8" spans="1:2">
      <c r="A8" s="118"/>
      <c r="B8" s="120" t="s">
        <v>187</v>
      </c>
    </row>
    <row r="9" spans="1:2">
      <c r="A9" s="118"/>
      <c r="B9" s="120" t="s">
        <v>188</v>
      </c>
    </row>
    <row r="10" spans="1:2">
      <c r="A10" s="118"/>
      <c r="B10" s="121"/>
    </row>
    <row r="11" spans="1:2">
      <c r="A11" s="117">
        <v>2</v>
      </c>
      <c r="B11" s="122" t="s">
        <v>189</v>
      </c>
    </row>
    <row r="12" spans="1:2">
      <c r="A12" s="118"/>
      <c r="B12" s="121"/>
    </row>
    <row r="13" spans="1:2">
      <c r="A13" s="117">
        <v>3</v>
      </c>
      <c r="B13" s="123" t="s">
        <v>190</v>
      </c>
    </row>
    <row r="14" spans="1:2">
      <c r="A14" s="118"/>
      <c r="B14" s="120" t="s">
        <v>191</v>
      </c>
    </row>
    <row r="15" spans="1:2">
      <c r="A15" s="118"/>
      <c r="B15" s="119" t="s">
        <v>192</v>
      </c>
    </row>
    <row r="16" spans="1:2">
      <c r="A16" s="117"/>
      <c r="B16" s="119" t="s">
        <v>193</v>
      </c>
    </row>
    <row r="17" spans="1:2" ht="16.5" thickBot="1">
      <c r="A17" s="124"/>
      <c r="B17" s="125"/>
    </row>
    <row r="18" spans="1:2" ht="16.5" thickTop="1">
      <c r="A18" s="126"/>
      <c r="B18" s="127" t="s">
        <v>61</v>
      </c>
    </row>
    <row r="19" spans="1:2">
      <c r="A19" s="117">
        <v>4</v>
      </c>
      <c r="B19" s="123" t="s">
        <v>194</v>
      </c>
    </row>
    <row r="20" spans="1:2">
      <c r="A20" s="118"/>
      <c r="B20" s="120" t="s">
        <v>195</v>
      </c>
    </row>
    <row r="21" spans="1:2">
      <c r="A21" s="118"/>
      <c r="B21" s="120" t="s">
        <v>196</v>
      </c>
    </row>
    <row r="22" spans="1:2">
      <c r="A22" s="118"/>
      <c r="B22" s="120" t="s">
        <v>197</v>
      </c>
    </row>
    <row r="23" spans="1:2">
      <c r="A23" s="118"/>
      <c r="B23" s="120" t="s">
        <v>198</v>
      </c>
    </row>
    <row r="24" spans="1:2" ht="16.5" thickBot="1">
      <c r="A24" s="118"/>
      <c r="B24" s="120"/>
    </row>
    <row r="25" spans="1:2" ht="16.5" thickTop="1">
      <c r="A25" s="126"/>
      <c r="B25" s="127" t="s">
        <v>199</v>
      </c>
    </row>
    <row r="26" spans="1:2">
      <c r="A26" s="117">
        <v>5</v>
      </c>
      <c r="B26" s="123" t="s">
        <v>200</v>
      </c>
    </row>
    <row r="27" spans="1:2">
      <c r="A27" s="118"/>
      <c r="B27" s="120" t="s">
        <v>201</v>
      </c>
    </row>
    <row r="28" spans="1:2">
      <c r="A28" s="118"/>
      <c r="B28" s="120" t="s">
        <v>202</v>
      </c>
    </row>
    <row r="29" spans="1:2">
      <c r="A29" s="118"/>
      <c r="B29" s="120" t="s">
        <v>195</v>
      </c>
    </row>
    <row r="30" spans="1:2">
      <c r="A30" s="118"/>
      <c r="B30" s="120" t="s">
        <v>203</v>
      </c>
    </row>
    <row r="31" spans="1:2" ht="16.5" thickBot="1">
      <c r="A31" s="118"/>
      <c r="B31" s="120"/>
    </row>
    <row r="32" spans="1:2" ht="16.5" thickTop="1">
      <c r="A32" s="126"/>
      <c r="B32" s="127" t="s">
        <v>204</v>
      </c>
    </row>
    <row r="33" spans="1:2">
      <c r="A33" s="117">
        <v>6</v>
      </c>
      <c r="B33" s="123" t="s">
        <v>205</v>
      </c>
    </row>
    <row r="34" spans="1:2">
      <c r="A34" s="118"/>
      <c r="B34" s="119" t="s">
        <v>206</v>
      </c>
    </row>
    <row r="35" spans="1:2">
      <c r="A35" s="118"/>
      <c r="B35" s="120" t="s">
        <v>207</v>
      </c>
    </row>
    <row r="36" spans="1:2" ht="16.5" thickBot="1">
      <c r="A36" s="118"/>
      <c r="B36" s="121"/>
    </row>
    <row r="37" spans="1:2" ht="16.5" thickTop="1">
      <c r="A37" s="126"/>
      <c r="B37" s="127" t="s">
        <v>208</v>
      </c>
    </row>
    <row r="38" spans="1:2">
      <c r="A38" s="117">
        <v>7</v>
      </c>
      <c r="B38" s="122" t="s">
        <v>209</v>
      </c>
    </row>
    <row r="39" spans="1:2">
      <c r="A39" s="118"/>
      <c r="B39" s="120" t="s">
        <v>210</v>
      </c>
    </row>
    <row r="40" spans="1:2">
      <c r="A40" s="118"/>
      <c r="B40" s="121"/>
    </row>
    <row r="41" spans="1:2">
      <c r="A41" s="117">
        <v>8</v>
      </c>
      <c r="B41" s="123" t="s">
        <v>211</v>
      </c>
    </row>
    <row r="42" spans="1:2">
      <c r="A42" s="118"/>
      <c r="B42" s="120" t="s">
        <v>212</v>
      </c>
    </row>
    <row r="43" spans="1:2">
      <c r="A43" s="118"/>
      <c r="B43" s="120" t="s">
        <v>213</v>
      </c>
    </row>
    <row r="44" spans="1:2">
      <c r="A44" s="118"/>
      <c r="B44" s="121"/>
    </row>
    <row r="45" spans="1:2" ht="20.25" customHeight="1">
      <c r="A45" s="123">
        <v>9</v>
      </c>
      <c r="B45" s="128" t="s">
        <v>214</v>
      </c>
    </row>
    <row r="46" spans="1:2">
      <c r="A46" s="118"/>
      <c r="B46" s="120" t="s">
        <v>215</v>
      </c>
    </row>
    <row r="47" spans="1:2">
      <c r="A47" s="118"/>
      <c r="B47" s="120" t="s">
        <v>216</v>
      </c>
    </row>
    <row r="48" spans="1:2">
      <c r="A48" s="118"/>
      <c r="B48" s="120" t="s">
        <v>217</v>
      </c>
    </row>
    <row r="49" spans="1:2">
      <c r="A49" s="118"/>
      <c r="B49" s="120" t="s">
        <v>218</v>
      </c>
    </row>
    <row r="50" spans="1:2">
      <c r="A50" s="118"/>
      <c r="B50" s="120" t="s">
        <v>219</v>
      </c>
    </row>
    <row r="51" spans="1:2">
      <c r="A51" s="118"/>
      <c r="B51" s="121"/>
    </row>
    <row r="52" spans="1:2">
      <c r="A52" s="117">
        <v>10</v>
      </c>
      <c r="B52" s="122" t="s">
        <v>220</v>
      </c>
    </row>
  </sheetData>
  <mergeCells count="2">
    <mergeCell ref="A2:B2"/>
    <mergeCell ref="A3:B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9378BE49A58CC24D97BF6698074AC88D" ma:contentTypeVersion="1029" ma:contentTypeDescription="A content type to manage public (operations) IDB documents" ma:contentTypeScope="" ma:versionID="303938861822b59a7951d6ceb02bd640">
  <xsd:schema xmlns:xsd="http://www.w3.org/2001/XMLSchema" xmlns:xs="http://www.w3.org/2001/XMLSchema" xmlns:p="http://schemas.microsoft.com/office/2006/metadata/properties" xmlns:ns2="cdc7663a-08f0-4737-9e8c-148ce897a09c" targetNamespace="http://schemas.microsoft.com/office/2006/metadata/properties" ma:root="true" ma:fieldsID="07815eee7cfa7497c30fe4a887331c5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JA-L1043"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I-CCB/CJA-994/2020-A</SISCOR_x0020_Number>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Jamaica</TermName>
          <TermId xmlns="http://schemas.microsoft.com/office/infopath/2007/PartnerControls">284b90e7-9693-4db7-a23e-8f79c831fe9a</TermId>
        </TermInfo>
      </Terms>
    </ic46d7e087fd4a108fb86518ca413cc6>
    <IDBDocs_x0020_Number xmlns="cdc7663a-08f0-4737-9e8c-148ce897a09c" xsi:nil="true"/>
    <Division_x0020_or_x0020_Unit xmlns="cdc7663a-08f0-4737-9e8c-148ce897a09c">CCB/CJA</Division_x0020_or_x0020_Unit>
    <Fiscal_x0020_Year_x0020_IDB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3191/OC-JA;</Approval_x0020_Number>
    <Phase xmlns="cdc7663a-08f0-4737-9e8c-148ce897a09c" xsi:nil="true"/>
    <Document_x0020_Author xmlns="cdc7663a-08f0-4737-9e8c-148ce897a09c">Samuels Rochelle Kaye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CITIZEN SAFETY</TermName>
          <TermId xmlns="http://schemas.microsoft.com/office/infopath/2007/PartnerControls">954fe912-dcd8-47cc-a622-637d228b7304</TermId>
        </TermInfo>
      </Terms>
    </b2ec7cfb18674cb8803df6b262e8b107>
    <Business_x0020_Area xmlns="cdc7663a-08f0-4737-9e8c-148ce897a09c" xsi:nil="true"/>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59</Value>
      <Value>60</Value>
      <Value>24</Value>
      <Value>9</Value>
      <Value>25</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JA-L1043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 xsi:nil="true"/>
    <_dlc_DocId xmlns="cdc7663a-08f0-4737-9e8c-148ce897a09c">EZSHARE-360873412-1656</_dlc_DocId>
    <_dlc_DocIdUrl xmlns="cdc7663a-08f0-4737-9e8c-148ce897a09c">
      <Url>https://idbg.sharepoint.com/teams/EZ-JA-LON/JA-L1043/_layouts/15/DocIdRedir.aspx?ID=EZSHARE-360873412-1656</Url>
      <Description>EZSHARE-360873412-1656</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AAFD2E5D-77C4-4C1F-B10F-B78A45734ACD}"/>
</file>

<file path=customXml/itemProps2.xml><?xml version="1.0" encoding="utf-8"?>
<ds:datastoreItem xmlns:ds="http://schemas.openxmlformats.org/officeDocument/2006/customXml" ds:itemID="{87A35772-9C17-4E78-A74D-1DCF956EE233}"/>
</file>

<file path=customXml/itemProps3.xml><?xml version="1.0" encoding="utf-8"?>
<ds:datastoreItem xmlns:ds="http://schemas.openxmlformats.org/officeDocument/2006/customXml" ds:itemID="{71AF16FD-3F11-4CD6-B395-BF91ADE3391B}"/>
</file>

<file path=customXml/itemProps4.xml><?xml version="1.0" encoding="utf-8"?>
<ds:datastoreItem xmlns:ds="http://schemas.openxmlformats.org/officeDocument/2006/customXml" ds:itemID="{8427976E-8C7E-4D90-B0C6-4E0168161F22}"/>
</file>

<file path=customXml/itemProps5.xml><?xml version="1.0" encoding="utf-8"?>
<ds:datastoreItem xmlns:ds="http://schemas.openxmlformats.org/officeDocument/2006/customXml" ds:itemID="{394B4AA9-744F-403C-A09E-06B84E201322}"/>
</file>

<file path=customXml/itemProps6.xml><?xml version="1.0" encoding="utf-8"?>
<ds:datastoreItem xmlns:ds="http://schemas.openxmlformats.org/officeDocument/2006/customXml" ds:itemID="{B2C16B0A-32B7-4582-AE77-6F80D530783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Smart Guide</vt:lpstr>
      <vt:lpstr>1. Project Overview</vt:lpstr>
      <vt:lpstr>2. Results Matrix</vt:lpstr>
      <vt:lpstr>3. Implementation Plan</vt:lpstr>
      <vt:lpstr>4. Procurement Plan</vt:lpstr>
      <vt:lpstr>5. Financial Plan</vt:lpstr>
      <vt:lpstr>6. Consolidated Financial Plan</vt:lpstr>
      <vt:lpstr>7. Risk Plan</vt:lpstr>
      <vt:lpstr>AOP Checklist</vt:lpstr>
      <vt:lpstr>Table of Contents</vt:lpstr>
      <vt:lpstr>'2. Results Matrix'!Print_Titles</vt:lpstr>
      <vt:lpstr>'3. Implementation Plan'!Print_Titles</vt:lpstr>
      <vt:lpstr>'5. Financial Plan'!Print_Titles</vt:lpstr>
      <vt:lpstr>'6. Consolidated Financial Plan'!Print_Titles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Menno Valkenburg</dc:creator>
  <cp:keywords/>
  <cp:lastModifiedBy>kedine lawrence</cp:lastModifiedBy>
  <cp:lastPrinted>2020-05-28T14:41:45Z</cp:lastPrinted>
  <dcterms:created xsi:type="dcterms:W3CDTF">2018-10-05T20:10:44Z</dcterms:created>
  <dcterms:modified xsi:type="dcterms:W3CDTF">2020-07-30T19:59:42Z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25;#Jamaica|284b90e7-9693-4db7-a23e-8f79c831fe9a</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9;#Goods and Services|5bfebf1b-9f1f-4411-b1dd-4c19b807b799</vt:lpwstr>
  </property>
  <property fmtid="{D5CDD505-2E9C-101B-9397-08002B2CF9AE}" pid="10" name="Sector_x0020_IDB">
    <vt:lpwstr/>
  </property>
  <property fmtid="{D5CDD505-2E9C-101B-9397-08002B2CF9AE}" pid="11" name="Sub-Sector">
    <vt:lpwstr>60;#CITIZEN SAFETY|954fe912-dcd8-47cc-a622-637d228b7304</vt:lpwstr>
  </property>
  <property fmtid="{D5CDD505-2E9C-101B-9397-08002B2CF9AE}" pid="13" name="Fund IDB">
    <vt:lpwstr>24;#ORC|c028a4b2-ad8b-4cf4-9cac-a2ae6a778e23</vt:lpwstr>
  </property>
  <property fmtid="{D5CDD505-2E9C-101B-9397-08002B2CF9AE}" pid="14" name="Sector IDB">
    <vt:lpwstr>59;#SOCIAL INVESTMENT|3f908695-d5b5-49f6-941f-76876b39564f</vt:lpwstr>
  </property>
  <property fmtid="{D5CDD505-2E9C-101B-9397-08002B2CF9AE}" pid="15" name="_dlc_DocIdItemGuid">
    <vt:lpwstr>34ceba60-2777-496d-822c-ad6446b6a782</vt:lpwstr>
  </property>
  <property fmtid="{D5CDD505-2E9C-101B-9397-08002B2CF9AE}" pid="16" name="Disclosure Activity">
    <vt:lpwstr>Procurement Plan</vt:lpwstr>
  </property>
  <property fmtid="{D5CDD505-2E9C-101B-9397-08002B2CF9AE}" pid="17" name="ContentTypeId">
    <vt:lpwstr>0x0101001A458A224826124E8B45B1D613300CFC009378BE49A58CC24D97BF6698074AC88D</vt:lpwstr>
  </property>
  <property fmtid="{D5CDD505-2E9C-101B-9397-08002B2CF9AE}" pid="18" name="Series Operations IDB">
    <vt:lpwstr/>
  </property>
</Properties>
</file>