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840" windowWidth="15240" windowHeight="6690"/>
  </bookViews>
  <sheets>
    <sheet name="Plan Adqui FOMIN 2016" sheetId="5" r:id="rId1"/>
    <sheet name="ANT. Detailed budget " sheetId="2" state="hidden" r:id="rId2"/>
    <sheet name="Hoja1" sheetId="3" state="hidden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82" i="5" l="1"/>
  <c r="J62" i="5" l="1"/>
  <c r="J64" i="5" l="1"/>
  <c r="F84" i="5"/>
  <c r="K84" i="5" s="1"/>
  <c r="M84" i="5" s="1"/>
  <c r="F83" i="5"/>
  <c r="K83" i="5" s="1"/>
  <c r="K82" i="5"/>
  <c r="M82" i="5" s="1"/>
  <c r="F80" i="5"/>
  <c r="K80" i="5"/>
  <c r="F79" i="5"/>
  <c r="K79" i="5"/>
  <c r="F78" i="5"/>
  <c r="K78" i="5"/>
  <c r="F76" i="5"/>
  <c r="K76" i="5"/>
  <c r="F75" i="5"/>
  <c r="K75" i="5"/>
  <c r="L74" i="5"/>
  <c r="F73" i="5"/>
  <c r="K73" i="5" s="1"/>
  <c r="F72" i="5"/>
  <c r="K72" i="5" s="1"/>
  <c r="F71" i="5"/>
  <c r="K71" i="5" s="1"/>
  <c r="M71" i="5" s="1"/>
  <c r="F70" i="5"/>
  <c r="K70" i="5" s="1"/>
  <c r="F69" i="5"/>
  <c r="K69" i="5" s="1"/>
  <c r="L68" i="5"/>
  <c r="F67" i="5"/>
  <c r="F65" i="5"/>
  <c r="M63" i="5"/>
  <c r="H61" i="5"/>
  <c r="E61" i="5"/>
  <c r="F61" i="5" s="1"/>
  <c r="H60" i="5"/>
  <c r="E60" i="5"/>
  <c r="F60" i="5" s="1"/>
  <c r="H59" i="5"/>
  <c r="E59" i="5"/>
  <c r="F59" i="5" s="1"/>
  <c r="H58" i="5"/>
  <c r="E58" i="5"/>
  <c r="F58" i="5" s="1"/>
  <c r="H57" i="5"/>
  <c r="E57" i="5"/>
  <c r="F57" i="5" s="1"/>
  <c r="E56" i="5"/>
  <c r="F56" i="5"/>
  <c r="L55" i="5"/>
  <c r="F54" i="5"/>
  <c r="K54" i="5" s="1"/>
  <c r="E53" i="5"/>
  <c r="F53" i="5" s="1"/>
  <c r="E52" i="5"/>
  <c r="F52" i="5" s="1"/>
  <c r="H51" i="5"/>
  <c r="F51" i="5"/>
  <c r="J51" i="5"/>
  <c r="E50" i="5"/>
  <c r="F50" i="5"/>
  <c r="K50" i="5" s="1"/>
  <c r="E49" i="5"/>
  <c r="F49" i="5" s="1"/>
  <c r="E48" i="5"/>
  <c r="F48" i="5"/>
  <c r="K48" i="5" s="1"/>
  <c r="L47" i="5"/>
  <c r="F46" i="5"/>
  <c r="J46" i="5"/>
  <c r="E45" i="5"/>
  <c r="F45" i="5"/>
  <c r="E44" i="5"/>
  <c r="F44" i="5"/>
  <c r="K44" i="5" s="1"/>
  <c r="M44" i="5" s="1"/>
  <c r="E43" i="5"/>
  <c r="F43" i="5" s="1"/>
  <c r="H42" i="5"/>
  <c r="E42" i="5"/>
  <c r="F42" i="5"/>
  <c r="E41" i="5"/>
  <c r="F41" i="5"/>
  <c r="K41" i="5" s="1"/>
  <c r="M41" i="5" s="1"/>
  <c r="E40" i="5"/>
  <c r="F40" i="5" s="1"/>
  <c r="E39" i="5"/>
  <c r="F39" i="5" s="1"/>
  <c r="L38" i="5"/>
  <c r="M37" i="5"/>
  <c r="F35" i="5"/>
  <c r="J35" i="5"/>
  <c r="F34" i="5"/>
  <c r="J34" i="5"/>
  <c r="L33" i="5"/>
  <c r="F32" i="5"/>
  <c r="K32" i="5" s="1"/>
  <c r="E31" i="5"/>
  <c r="F31" i="5" s="1"/>
  <c r="E30" i="5"/>
  <c r="F30" i="5" s="1"/>
  <c r="L29" i="5"/>
  <c r="E28" i="5"/>
  <c r="F28" i="5" s="1"/>
  <c r="E27" i="5"/>
  <c r="F27" i="5"/>
  <c r="F25" i="5"/>
  <c r="K25" i="5"/>
  <c r="K24" i="5"/>
  <c r="J24" i="5"/>
  <c r="M23" i="5"/>
  <c r="F23" i="5"/>
  <c r="F20" i="5" s="1"/>
  <c r="K22" i="5"/>
  <c r="J22" i="5"/>
  <c r="K21" i="5"/>
  <c r="J21" i="5"/>
  <c r="L20" i="5"/>
  <c r="J20" i="5"/>
  <c r="J19" i="5"/>
  <c r="E18" i="5"/>
  <c r="F18" i="5" s="1"/>
  <c r="E17" i="5"/>
  <c r="F17" i="5"/>
  <c r="F16" i="5"/>
  <c r="J16" i="5" s="1"/>
  <c r="M15" i="5"/>
  <c r="M12" i="5"/>
  <c r="L11" i="5"/>
  <c r="L13" i="5" s="1"/>
  <c r="D7" i="5"/>
  <c r="F68" i="5"/>
  <c r="J25" i="5"/>
  <c r="J79" i="5"/>
  <c r="L36" i="5"/>
  <c r="L62" i="5"/>
  <c r="M21" i="5"/>
  <c r="M22" i="5"/>
  <c r="M24" i="5"/>
  <c r="J32" i="5"/>
  <c r="M32" i="5" s="1"/>
  <c r="K51" i="5"/>
  <c r="F64" i="5"/>
  <c r="F62" i="5" s="1"/>
  <c r="K64" i="5"/>
  <c r="J69" i="5"/>
  <c r="J70" i="5"/>
  <c r="M70" i="5" s="1"/>
  <c r="J71" i="5"/>
  <c r="J72" i="5"/>
  <c r="J73" i="5"/>
  <c r="M73" i="5" s="1"/>
  <c r="K74" i="5"/>
  <c r="F77" i="5"/>
  <c r="L79" i="5"/>
  <c r="K20" i="5"/>
  <c r="K27" i="5"/>
  <c r="J27" i="5"/>
  <c r="J33" i="5"/>
  <c r="K42" i="5"/>
  <c r="J42" i="5"/>
  <c r="K17" i="5"/>
  <c r="J17" i="5"/>
  <c r="M25" i="5"/>
  <c r="J45" i="5"/>
  <c r="K45" i="5"/>
  <c r="K19" i="5"/>
  <c r="K34" i="5"/>
  <c r="K35" i="5"/>
  <c r="M35" i="5"/>
  <c r="F33" i="5"/>
  <c r="J41" i="5"/>
  <c r="J44" i="5"/>
  <c r="K46" i="5"/>
  <c r="M46" i="5"/>
  <c r="J48" i="5"/>
  <c r="J50" i="5"/>
  <c r="M50" i="5" s="1"/>
  <c r="M51" i="5"/>
  <c r="M65" i="5"/>
  <c r="I65" i="5"/>
  <c r="K77" i="5"/>
  <c r="M79" i="5"/>
  <c r="L81" i="5"/>
  <c r="J56" i="5"/>
  <c r="K56" i="5"/>
  <c r="J54" i="5"/>
  <c r="M66" i="5"/>
  <c r="M67" i="5"/>
  <c r="J68" i="5"/>
  <c r="F74" i="5"/>
  <c r="J75" i="5"/>
  <c r="J76" i="5"/>
  <c r="M76" i="5"/>
  <c r="J78" i="5"/>
  <c r="L78" i="5"/>
  <c r="J80" i="5"/>
  <c r="L80" i="5"/>
  <c r="J83" i="5"/>
  <c r="M83" i="5" s="1"/>
  <c r="J84" i="5"/>
  <c r="K33" i="5"/>
  <c r="M33" i="5" s="1"/>
  <c r="M17" i="5"/>
  <c r="L77" i="5"/>
  <c r="M80" i="5"/>
  <c r="J77" i="5"/>
  <c r="J74" i="5"/>
  <c r="M75" i="5"/>
  <c r="M56" i="5"/>
  <c r="L85" i="5"/>
  <c r="M45" i="5"/>
  <c r="M42" i="5"/>
  <c r="M34" i="5"/>
  <c r="M27" i="5"/>
  <c r="M13" i="5"/>
  <c r="I11" i="5"/>
  <c r="N15" i="2"/>
  <c r="N17" i="2"/>
  <c r="O17" i="2"/>
  <c r="P17" i="2"/>
  <c r="F16" i="2"/>
  <c r="D18" i="3"/>
  <c r="D15" i="3"/>
  <c r="D17" i="3"/>
  <c r="D16" i="3"/>
  <c r="F14" i="2"/>
  <c r="C4" i="3"/>
  <c r="D8" i="3"/>
  <c r="D9" i="3"/>
  <c r="D7" i="3"/>
  <c r="D5" i="3"/>
  <c r="D4" i="3"/>
  <c r="D3" i="3"/>
  <c r="D2" i="3"/>
  <c r="D6" i="3"/>
  <c r="D19" i="3"/>
  <c r="F56" i="2"/>
  <c r="E20" i="2"/>
  <c r="F20" i="2"/>
  <c r="E19" i="2"/>
  <c r="E23" i="2"/>
  <c r="J20" i="2"/>
  <c r="K20" i="2"/>
  <c r="M20" i="2"/>
  <c r="F12" i="2"/>
  <c r="E22" i="2"/>
  <c r="F23" i="2"/>
  <c r="F24" i="2"/>
  <c r="F63" i="2"/>
  <c r="F19" i="2"/>
  <c r="K24" i="2"/>
  <c r="J24" i="2"/>
  <c r="F22" i="2"/>
  <c r="D4" i="2"/>
  <c r="F9" i="2"/>
  <c r="E10" i="2"/>
  <c r="F10" i="2"/>
  <c r="E11" i="2"/>
  <c r="F11" i="2"/>
  <c r="L13" i="2"/>
  <c r="F15" i="2"/>
  <c r="K16" i="2"/>
  <c r="F17" i="2"/>
  <c r="J17" i="2"/>
  <c r="L21" i="2"/>
  <c r="L25" i="2"/>
  <c r="F26" i="2"/>
  <c r="J26" i="2"/>
  <c r="F27" i="2"/>
  <c r="J27" i="2"/>
  <c r="L29" i="2"/>
  <c r="E30" i="2"/>
  <c r="F30" i="2"/>
  <c r="E31" i="2"/>
  <c r="F31" i="2"/>
  <c r="E32" i="2"/>
  <c r="F32" i="2"/>
  <c r="E33" i="2"/>
  <c r="F33" i="2"/>
  <c r="J33" i="2"/>
  <c r="H33" i="2"/>
  <c r="E34" i="2"/>
  <c r="F34" i="2"/>
  <c r="E35" i="2"/>
  <c r="F35" i="2"/>
  <c r="K35" i="2"/>
  <c r="E36" i="2"/>
  <c r="F36" i="2"/>
  <c r="J36" i="2"/>
  <c r="F37" i="2"/>
  <c r="J37" i="2"/>
  <c r="L38" i="2"/>
  <c r="E39" i="2"/>
  <c r="F39" i="2"/>
  <c r="J39" i="2"/>
  <c r="E40" i="2"/>
  <c r="F40" i="2"/>
  <c r="E41" i="2"/>
  <c r="F41" i="2"/>
  <c r="F42" i="2"/>
  <c r="J42" i="2"/>
  <c r="H42" i="2"/>
  <c r="E43" i="2"/>
  <c r="F43" i="2"/>
  <c r="K43" i="2"/>
  <c r="E44" i="2"/>
  <c r="F44" i="2"/>
  <c r="F45" i="2"/>
  <c r="K45" i="2"/>
  <c r="L46" i="2"/>
  <c r="E47" i="2"/>
  <c r="F47" i="2"/>
  <c r="E48" i="2"/>
  <c r="F48" i="2"/>
  <c r="J48" i="2"/>
  <c r="H48" i="2"/>
  <c r="E49" i="2"/>
  <c r="F49" i="2"/>
  <c r="H49" i="2"/>
  <c r="E50" i="2"/>
  <c r="F50" i="2"/>
  <c r="H50" i="2"/>
  <c r="E51" i="2"/>
  <c r="F51" i="2"/>
  <c r="J51" i="2"/>
  <c r="H51" i="2"/>
  <c r="E52" i="2"/>
  <c r="F52" i="2"/>
  <c r="J52" i="2"/>
  <c r="H52" i="2"/>
  <c r="F55" i="2"/>
  <c r="J55" i="2"/>
  <c r="K56" i="2"/>
  <c r="F57" i="2"/>
  <c r="L58" i="2"/>
  <c r="F59" i="2"/>
  <c r="F60" i="2"/>
  <c r="K60" i="2"/>
  <c r="F61" i="2"/>
  <c r="J61" i="2"/>
  <c r="F62" i="2"/>
  <c r="K62" i="2"/>
  <c r="L64" i="2"/>
  <c r="F65" i="2"/>
  <c r="J65" i="2"/>
  <c r="F66" i="2"/>
  <c r="J66" i="2"/>
  <c r="K66" i="2"/>
  <c r="F68" i="2"/>
  <c r="J68" i="2"/>
  <c r="F69" i="2"/>
  <c r="L69" i="2"/>
  <c r="F70" i="2"/>
  <c r="K70" i="2"/>
  <c r="F72" i="2"/>
  <c r="J72" i="2"/>
  <c r="F73" i="2"/>
  <c r="F74" i="2"/>
  <c r="J74" i="2"/>
  <c r="F75" i="2"/>
  <c r="J75" i="2"/>
  <c r="K75" i="2"/>
  <c r="F76" i="2"/>
  <c r="K76" i="2"/>
  <c r="J76" i="2"/>
  <c r="K48" i="2"/>
  <c r="M48" i="2"/>
  <c r="K14" i="2"/>
  <c r="F13" i="2"/>
  <c r="K23" i="2"/>
  <c r="F21" i="2"/>
  <c r="F18" i="2"/>
  <c r="J31" i="2"/>
  <c r="K31" i="2"/>
  <c r="L68" i="2"/>
  <c r="M76" i="2"/>
  <c r="M75" i="2"/>
  <c r="J70" i="2"/>
  <c r="K68" i="2"/>
  <c r="M68" i="2"/>
  <c r="F64" i="2"/>
  <c r="J16" i="2"/>
  <c r="M16" i="2"/>
  <c r="K36" i="2"/>
  <c r="M36" i="2"/>
  <c r="M66" i="2"/>
  <c r="J25" i="2"/>
  <c r="K65" i="2"/>
  <c r="M65" i="2"/>
  <c r="J60" i="2"/>
  <c r="M60" i="2"/>
  <c r="K37" i="2"/>
  <c r="M37" i="2"/>
  <c r="L28" i="2"/>
  <c r="L53" i="2"/>
  <c r="J62" i="2"/>
  <c r="M62" i="2"/>
  <c r="K27" i="2"/>
  <c r="M27" i="2"/>
  <c r="K17" i="2"/>
  <c r="M17" i="2"/>
  <c r="J14" i="2"/>
  <c r="M14" i="2"/>
  <c r="K34" i="2"/>
  <c r="J34" i="2"/>
  <c r="J11" i="2"/>
  <c r="K11" i="2"/>
  <c r="K74" i="2"/>
  <c r="M74" i="2"/>
  <c r="K72" i="2"/>
  <c r="M72" i="2"/>
  <c r="J69" i="2"/>
  <c r="K61" i="2"/>
  <c r="M61" i="2"/>
  <c r="J45" i="2"/>
  <c r="M45" i="2"/>
  <c r="J43" i="2"/>
  <c r="M43" i="2"/>
  <c r="J56" i="2"/>
  <c r="M56" i="2"/>
  <c r="J35" i="2"/>
  <c r="M35" i="2"/>
  <c r="K26" i="2"/>
  <c r="K25" i="2"/>
  <c r="J23" i="2"/>
  <c r="J63" i="2"/>
  <c r="K63" i="2"/>
  <c r="K57" i="2"/>
  <c r="J57" i="2"/>
  <c r="J9" i="2"/>
  <c r="K9" i="2"/>
  <c r="J73" i="2"/>
  <c r="K73" i="2"/>
  <c r="K32" i="2"/>
  <c r="J32" i="2"/>
  <c r="K41" i="2"/>
  <c r="J41" i="2"/>
  <c r="K33" i="2"/>
  <c r="M33" i="2"/>
  <c r="J30" i="2"/>
  <c r="F29" i="2"/>
  <c r="K30" i="2"/>
  <c r="J12" i="2"/>
  <c r="K12" i="2"/>
  <c r="J44" i="2"/>
  <c r="K44" i="2"/>
  <c r="J40" i="2"/>
  <c r="K40" i="2"/>
  <c r="J19" i="2"/>
  <c r="K19" i="2"/>
  <c r="J15" i="2"/>
  <c r="K15" i="2"/>
  <c r="L8" i="2"/>
  <c r="J59" i="2"/>
  <c r="K59" i="2"/>
  <c r="F58" i="2"/>
  <c r="K22" i="2"/>
  <c r="J22" i="2"/>
  <c r="J50" i="2"/>
  <c r="K50" i="2"/>
  <c r="K47" i="2"/>
  <c r="F46" i="2"/>
  <c r="J47" i="2"/>
  <c r="F38" i="2"/>
  <c r="J10" i="2"/>
  <c r="K10" i="2"/>
  <c r="F67" i="2"/>
  <c r="K49" i="2"/>
  <c r="J64" i="2"/>
  <c r="K52" i="2"/>
  <c r="M52" i="2"/>
  <c r="K51" i="2"/>
  <c r="M51" i="2"/>
  <c r="F25" i="2"/>
  <c r="L70" i="2"/>
  <c r="M70" i="2"/>
  <c r="K69" i="2"/>
  <c r="F54" i="2"/>
  <c r="K55" i="2"/>
  <c r="J49" i="2"/>
  <c r="K42" i="2"/>
  <c r="M42" i="2"/>
  <c r="K39" i="2"/>
  <c r="F53" i="2"/>
  <c r="K67" i="2"/>
  <c r="M31" i="2"/>
  <c r="F8" i="2"/>
  <c r="K21" i="2"/>
  <c r="K18" i="2"/>
  <c r="K13" i="2"/>
  <c r="M23" i="2"/>
  <c r="J21" i="2"/>
  <c r="J18" i="2"/>
  <c r="L71" i="2"/>
  <c r="L77" i="2"/>
  <c r="M25" i="2"/>
  <c r="J67" i="2"/>
  <c r="J13" i="2"/>
  <c r="K29" i="2"/>
  <c r="M26" i="2"/>
  <c r="M34" i="2"/>
  <c r="K58" i="2"/>
  <c r="K64" i="2"/>
  <c r="M64" i="2"/>
  <c r="M11" i="2"/>
  <c r="M73" i="2"/>
  <c r="M10" i="2"/>
  <c r="M15" i="2"/>
  <c r="M41" i="2"/>
  <c r="M69" i="2"/>
  <c r="M67" i="2"/>
  <c r="G67" i="2"/>
  <c r="M44" i="2"/>
  <c r="K38" i="2"/>
  <c r="J54" i="2"/>
  <c r="F28" i="2"/>
  <c r="L67" i="2"/>
  <c r="M59" i="2"/>
  <c r="J58" i="2"/>
  <c r="M19" i="2"/>
  <c r="M40" i="2"/>
  <c r="J38" i="2"/>
  <c r="J29" i="2"/>
  <c r="M30" i="2"/>
  <c r="M39" i="2"/>
  <c r="M32" i="2"/>
  <c r="M63" i="2"/>
  <c r="K54" i="2"/>
  <c r="K53" i="2"/>
  <c r="M55" i="2"/>
  <c r="I55" i="2"/>
  <c r="M9" i="2"/>
  <c r="K46" i="2"/>
  <c r="M22" i="2"/>
  <c r="M12" i="2"/>
  <c r="M49" i="2"/>
  <c r="J46" i="2"/>
  <c r="M47" i="2"/>
  <c r="M50" i="2"/>
  <c r="M57" i="2"/>
  <c r="M21" i="2"/>
  <c r="M13" i="2"/>
  <c r="I13" i="2"/>
  <c r="K8" i="2"/>
  <c r="H64" i="2"/>
  <c r="G64" i="2"/>
  <c r="K28" i="2"/>
  <c r="J53" i="2"/>
  <c r="M53" i="2"/>
  <c r="I53" i="2"/>
  <c r="I9" i="2"/>
  <c r="H67" i="2"/>
  <c r="J28" i="2"/>
  <c r="M29" i="2"/>
  <c r="G29" i="2"/>
  <c r="M38" i="2"/>
  <c r="M58" i="2"/>
  <c r="H58" i="2"/>
  <c r="M46" i="2"/>
  <c r="I46" i="2"/>
  <c r="M54" i="2"/>
  <c r="I54" i="2"/>
  <c r="I67" i="2"/>
  <c r="F71" i="2"/>
  <c r="G80" i="2"/>
  <c r="G13" i="2"/>
  <c r="H13" i="2"/>
  <c r="K71" i="2"/>
  <c r="K77" i="2"/>
  <c r="G46" i="2"/>
  <c r="F77" i="2"/>
  <c r="G82" i="2"/>
  <c r="H53" i="2"/>
  <c r="I38" i="2"/>
  <c r="H38" i="2"/>
  <c r="G38" i="2"/>
  <c r="G58" i="2"/>
  <c r="H46" i="2"/>
  <c r="M28" i="2"/>
  <c r="I29" i="2"/>
  <c r="H29" i="2"/>
  <c r="M18" i="2"/>
  <c r="J8" i="2"/>
  <c r="J71" i="2"/>
  <c r="G53" i="2"/>
  <c r="J77" i="2"/>
  <c r="I18" i="2"/>
  <c r="H18" i="2"/>
  <c r="M8" i="2"/>
  <c r="M71" i="2"/>
  <c r="I28" i="2"/>
  <c r="H28" i="2"/>
  <c r="G28" i="2"/>
  <c r="G18" i="2"/>
  <c r="G8" i="2"/>
  <c r="M77" i="2"/>
  <c r="G77" i="2"/>
  <c r="I71" i="2"/>
  <c r="H71" i="2"/>
  <c r="G71" i="2"/>
  <c r="I8" i="2"/>
  <c r="H8" i="2"/>
  <c r="I77" i="2"/>
  <c r="H77" i="2"/>
  <c r="M19" i="5" l="1"/>
  <c r="J40" i="5"/>
  <c r="K40" i="5"/>
  <c r="J49" i="5"/>
  <c r="M49" i="5" s="1"/>
  <c r="F47" i="5"/>
  <c r="K49" i="5"/>
  <c r="F55" i="5"/>
  <c r="K57" i="5"/>
  <c r="J57" i="5"/>
  <c r="M57" i="5" s="1"/>
  <c r="K59" i="5"/>
  <c r="J59" i="5"/>
  <c r="K61" i="5"/>
  <c r="J61" i="5"/>
  <c r="M61" i="5" s="1"/>
  <c r="F29" i="5"/>
  <c r="F26" i="5" s="1"/>
  <c r="K30" i="5"/>
  <c r="K29" i="5" s="1"/>
  <c r="J30" i="5"/>
  <c r="J31" i="5"/>
  <c r="M31" i="5" s="1"/>
  <c r="K31" i="5"/>
  <c r="J43" i="5"/>
  <c r="M43" i="5" s="1"/>
  <c r="K43" i="5"/>
  <c r="M48" i="5"/>
  <c r="J52" i="5"/>
  <c r="M52" i="5" s="1"/>
  <c r="K52" i="5"/>
  <c r="J58" i="5"/>
  <c r="M58" i="5" s="1"/>
  <c r="K58" i="5"/>
  <c r="K60" i="5"/>
  <c r="J60" i="5"/>
  <c r="J55" i="5"/>
  <c r="J18" i="5"/>
  <c r="M18" i="5" s="1"/>
  <c r="K18" i="5"/>
  <c r="J28" i="5"/>
  <c r="M28" i="5" s="1"/>
  <c r="K28" i="5"/>
  <c r="K39" i="5"/>
  <c r="K38" i="5" s="1"/>
  <c r="F38" i="5"/>
  <c r="F36" i="5" s="1"/>
  <c r="J39" i="5"/>
  <c r="K53" i="5"/>
  <c r="K47" i="5" s="1"/>
  <c r="J53" i="5"/>
  <c r="M53" i="5" s="1"/>
  <c r="M69" i="5"/>
  <c r="K68" i="5"/>
  <c r="K16" i="5"/>
  <c r="F11" i="5"/>
  <c r="F81" i="5" s="1"/>
  <c r="K62" i="5" l="1"/>
  <c r="M68" i="5"/>
  <c r="M39" i="5"/>
  <c r="J38" i="5"/>
  <c r="M60" i="5"/>
  <c r="J29" i="5"/>
  <c r="J26" i="5" s="1"/>
  <c r="J11" i="5" s="1"/>
  <c r="K55" i="5"/>
  <c r="K36" i="5"/>
  <c r="K26" i="5"/>
  <c r="K11" i="5" s="1"/>
  <c r="J47" i="5"/>
  <c r="M47" i="5" s="1"/>
  <c r="M40" i="5"/>
  <c r="F85" i="5"/>
  <c r="M16" i="5"/>
  <c r="I16" i="5" s="1"/>
  <c r="G11" i="5" l="1"/>
  <c r="J13" i="5"/>
  <c r="L14" i="5"/>
  <c r="K81" i="5"/>
  <c r="K85" i="5" s="1"/>
  <c r="K13" i="5"/>
  <c r="K14" i="5" s="1"/>
  <c r="H11" i="5"/>
  <c r="G47" i="5"/>
  <c r="I47" i="5"/>
  <c r="H68" i="5"/>
  <c r="G68" i="5"/>
  <c r="M55" i="5"/>
  <c r="M26" i="5"/>
  <c r="I26" i="5" s="1"/>
  <c r="J36" i="5"/>
  <c r="J81" i="5" s="1"/>
  <c r="J85" i="5" s="1"/>
  <c r="H47" i="5"/>
  <c r="M14" i="5" l="1"/>
  <c r="I55" i="5"/>
  <c r="G55" i="5"/>
  <c r="G26" i="5"/>
  <c r="H55" i="5"/>
  <c r="H26" i="5"/>
  <c r="M72" i="5" l="1"/>
  <c r="M29" i="5"/>
  <c r="M30" i="5"/>
  <c r="M78" i="5"/>
  <c r="M77" i="5" s="1"/>
  <c r="M59" i="5"/>
  <c r="M20" i="5"/>
  <c r="H20" i="5" s="1"/>
  <c r="M74" i="5"/>
  <c r="G74" i="5" s="1"/>
  <c r="M38" i="5"/>
  <c r="I38" i="5" s="1"/>
  <c r="M62" i="5"/>
  <c r="I62" i="5" s="1"/>
  <c r="M54" i="5"/>
  <c r="M64" i="5"/>
  <c r="I64" i="5" s="1"/>
  <c r="M36" i="5" l="1"/>
  <c r="I36" i="5" s="1"/>
  <c r="G20" i="5"/>
  <c r="I77" i="5"/>
  <c r="G77" i="5"/>
  <c r="H77" i="5"/>
  <c r="G62" i="5"/>
  <c r="M81" i="5"/>
  <c r="H62" i="5"/>
  <c r="H74" i="5"/>
  <c r="G38" i="5"/>
  <c r="H38" i="5"/>
  <c r="I20" i="5"/>
  <c r="G36" i="5"/>
  <c r="H36" i="5"/>
  <c r="G81" i="5" l="1"/>
  <c r="M85" i="5"/>
  <c r="I81" i="5"/>
  <c r="H81" i="5"/>
  <c r="H85" i="5" l="1"/>
  <c r="G85" i="5"/>
  <c r="I85" i="5"/>
</calcChain>
</file>

<file path=xl/comments1.xml><?xml version="1.0" encoding="utf-8"?>
<comments xmlns="http://schemas.openxmlformats.org/spreadsheetml/2006/main">
  <authors>
    <author>Adriana H</author>
  </authors>
  <commentList>
    <comment ref="F21" authorId="0">
      <text>
        <r>
          <rPr>
            <b/>
            <sz val="11"/>
            <color indexed="81"/>
            <rFont val="Tahoma"/>
            <family val="2"/>
          </rPr>
          <t>Antes 18,550</t>
        </r>
      </text>
    </comment>
    <comment ref="F22" authorId="0">
      <text>
        <r>
          <rPr>
            <b/>
            <sz val="11"/>
            <color indexed="81"/>
            <rFont val="Tahoma"/>
            <family val="2"/>
          </rPr>
          <t>Antes 28,944</t>
        </r>
      </text>
    </comment>
    <comment ref="F23" authorId="0">
      <text>
        <r>
          <rPr>
            <b/>
            <sz val="11"/>
            <color indexed="81"/>
            <rFont val="Tahoma"/>
            <family val="2"/>
          </rPr>
          <t>Antes 6,912</t>
        </r>
      </text>
    </comment>
  </commentList>
</comments>
</file>

<file path=xl/comments2.xml><?xml version="1.0" encoding="utf-8"?>
<comments xmlns="http://schemas.openxmlformats.org/spreadsheetml/2006/main">
  <authors>
    <author>Adriana Halgraves</author>
  </authors>
  <commentList>
    <comment ref="F12" authorId="0">
      <text>
        <r>
          <rPr>
            <b/>
            <sz val="9"/>
            <color indexed="81"/>
            <rFont val="Tahoma"/>
            <family val="2"/>
          </rPr>
          <t>before:5,906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before: 22,680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before: 9936</t>
        </r>
      </text>
    </comment>
    <comment ref="F19" authorId="0">
      <text>
        <r>
          <rPr>
            <b/>
            <sz val="9"/>
            <color indexed="81"/>
            <rFont val="Tahoma"/>
            <family val="2"/>
          </rPr>
          <t>before: 22,925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0" authorId="0">
      <text>
        <r>
          <rPr>
            <b/>
            <sz val="9"/>
            <color indexed="81"/>
            <rFont val="Tahoma"/>
            <family val="2"/>
          </rPr>
          <t>nuevo</t>
        </r>
      </text>
    </comment>
    <comment ref="F22" authorId="0">
      <text>
        <r>
          <rPr>
            <b/>
            <sz val="9"/>
            <color indexed="81"/>
            <rFont val="Tahoma"/>
            <family val="2"/>
          </rPr>
          <t>before: 18,277</t>
        </r>
      </text>
    </comment>
    <comment ref="F23" authorId="0">
      <text>
        <r>
          <rPr>
            <b/>
            <sz val="9"/>
            <color indexed="81"/>
            <rFont val="Tahoma"/>
            <family val="2"/>
          </rPr>
          <t>before: 5645</t>
        </r>
      </text>
    </comment>
    <comment ref="F56" authorId="0">
      <text>
        <r>
          <rPr>
            <b/>
            <sz val="9"/>
            <color indexed="81"/>
            <rFont val="Tahoma"/>
            <family val="2"/>
          </rPr>
          <t>before: 4312</t>
        </r>
      </text>
    </comment>
  </commentList>
</comments>
</file>

<file path=xl/sharedStrings.xml><?xml version="1.0" encoding="utf-8"?>
<sst xmlns="http://schemas.openxmlformats.org/spreadsheetml/2006/main" count="748" uniqueCount="241">
  <si>
    <t>Description</t>
  </si>
  <si>
    <t>BID</t>
  </si>
  <si>
    <t>1.7.3.1 Video elaboration</t>
  </si>
  <si>
    <t>CD</t>
  </si>
  <si>
    <t>1.7.3.2 Use of platform</t>
  </si>
  <si>
    <t>SD</t>
  </si>
  <si>
    <t>1.5.2 Create scripts for multimedia rescources</t>
  </si>
  <si>
    <t>1.4 Higher level design of course modules</t>
  </si>
  <si>
    <t>1.5.1 Generate content</t>
  </si>
  <si>
    <t>3.1.2 Development of assessments</t>
  </si>
  <si>
    <t>3.1.1 Definition of evaluation methodology</t>
  </si>
  <si>
    <t>1.7.1 Production of academic content and programing of course template</t>
  </si>
  <si>
    <t>1.7.2.1 Production of video</t>
  </si>
  <si>
    <t>1.7.2.2 Production of audio</t>
  </si>
  <si>
    <t>2.1.3  Development and testing</t>
  </si>
  <si>
    <t>2.2.3  Development and testing</t>
  </si>
  <si>
    <t>2.3.3 Development and testing</t>
  </si>
  <si>
    <t>1.2 Operational process mapping</t>
  </si>
  <si>
    <t>2.3.6 Integration with CMS</t>
  </si>
  <si>
    <t>2.1.5  Implementation of final CMS</t>
  </si>
  <si>
    <t>2.2.6 Integration with CMS</t>
  </si>
  <si>
    <t>2.2.5 Implementation of final LMS</t>
  </si>
  <si>
    <t>2.3.5 Implementation of final SIE</t>
  </si>
  <si>
    <t>Total</t>
  </si>
  <si>
    <t>* Covered by the facility and executed by the MIF</t>
  </si>
  <si>
    <t xml:space="preserve">Total Approved </t>
  </si>
  <si>
    <t>Agenda Account*</t>
  </si>
  <si>
    <t>Fixed</t>
  </si>
  <si>
    <t>Consultancy expenses x 1 external evaluator</t>
  </si>
  <si>
    <t>Impact Evaluation Account (5%)*</t>
  </si>
  <si>
    <t>Contingency expenses</t>
  </si>
  <si>
    <t>Contingencies</t>
  </si>
  <si>
    <t>Evaluación</t>
  </si>
  <si>
    <t>Ex post reviews</t>
  </si>
  <si>
    <t xml:space="preserve">Sub-Total Approved </t>
  </si>
  <si>
    <t>Monthly * 15% of workload</t>
  </si>
  <si>
    <t>Junior project analyst (Enova)</t>
  </si>
  <si>
    <t>Junior project analyst</t>
  </si>
  <si>
    <t>Monthly *10% of workload</t>
  </si>
  <si>
    <t>Senior project manager (Enova)</t>
  </si>
  <si>
    <t>Senior project manager</t>
  </si>
  <si>
    <t>Monthly *15 of workload</t>
  </si>
  <si>
    <t>Controller</t>
  </si>
  <si>
    <t>Project control</t>
  </si>
  <si>
    <t>Project management services for monitoring execution of process and reporting</t>
  </si>
  <si>
    <t>Administration</t>
  </si>
  <si>
    <t>Monthly * 10% of workload</t>
  </si>
  <si>
    <t>Data analyst (ENOVA)</t>
  </si>
  <si>
    <t>3.4.2 Evaluation system technical support</t>
  </si>
  <si>
    <t>Monthly * 20% of workload</t>
  </si>
  <si>
    <t>3.4.1 Reporting on teacher performance</t>
  </si>
  <si>
    <t>3.4. Teacher  performance evaluation and reporting</t>
  </si>
  <si>
    <t>Monthly * 75% of workload</t>
  </si>
  <si>
    <t>Training expert (ENOVA)</t>
  </si>
  <si>
    <t>3.3. Teacher training</t>
  </si>
  <si>
    <t>Webmaster (ENOVA)</t>
  </si>
  <si>
    <t>3.2.4 LMS technical support</t>
  </si>
  <si>
    <t>Monthly * 30% of workload</t>
  </si>
  <si>
    <t>3.2.3 LMS maintenance</t>
  </si>
  <si>
    <t>3.2.2 Portal technical support</t>
  </si>
  <si>
    <t>Monthly * 90% of workload</t>
  </si>
  <si>
    <t>3.2.1 Portal maintenance</t>
  </si>
  <si>
    <t>3.2 IT Support and Maintenance of VTC</t>
  </si>
  <si>
    <t>Exam questions</t>
  </si>
  <si>
    <t>Consultancy expenses</t>
  </si>
  <si>
    <t>3.1.3 Style revision and editing</t>
  </si>
  <si>
    <t>Monthly</t>
  </si>
  <si>
    <t>3.1 Elaboration of evaluation methodology</t>
  </si>
  <si>
    <t>3. Implementation of VTC and Teacher Evaluation</t>
  </si>
  <si>
    <t>Project</t>
  </si>
  <si>
    <t>Certificate</t>
  </si>
  <si>
    <t>Purchase of certificates for secure web</t>
  </si>
  <si>
    <t>2.3.4 SSL Web Server Certificates</t>
  </si>
  <si>
    <t>2.3.2 Graphical design, mockups and templates</t>
  </si>
  <si>
    <t>2.3.1 Design of hight availability and hight demand service</t>
  </si>
  <si>
    <t>2.3 Configuration, development and implementation of Information and Statistics System (SIE)</t>
  </si>
  <si>
    <t>2.2.7 Load of courses</t>
  </si>
  <si>
    <t>2.2.4 SSL Web Server Certificates</t>
  </si>
  <si>
    <t>2.2.2 Graphical design, themes and mockups</t>
  </si>
  <si>
    <t>2.2.1 Design of hight availability and hight demand service</t>
  </si>
  <si>
    <t>2.2 Configuration, development and implementation of Learning Management System</t>
  </si>
  <si>
    <t>2.1.8  Load of content</t>
  </si>
  <si>
    <t>2.1.7  Integration with SIE</t>
  </si>
  <si>
    <t>2.1.6  Integration with LMS</t>
  </si>
  <si>
    <t>2.1.4  SSL Web Server Certificates</t>
  </si>
  <si>
    <t>2.1.2 Graphical design and mockups</t>
  </si>
  <si>
    <t>2.1.1  Design of hight availability and hight demand service</t>
  </si>
  <si>
    <t>2.1 Configuration, development and implementation of Content Management System</t>
  </si>
  <si>
    <t>2. Development of a Virtual Training Center</t>
  </si>
  <si>
    <t>Number of licences</t>
  </si>
  <si>
    <t>Purchase of software licence</t>
  </si>
  <si>
    <t>1.7.3 Purchase of software licences</t>
  </si>
  <si>
    <t>1.7.2 Production of videos and graphic design</t>
  </si>
  <si>
    <t>Monthly * 3 consultants</t>
  </si>
  <si>
    <t>1.7 Production of courses and software</t>
  </si>
  <si>
    <t>Montly * 1 consultant</t>
  </si>
  <si>
    <t>1.6 Instructional quality assurance and supervision</t>
  </si>
  <si>
    <t>Hour of instruction</t>
  </si>
  <si>
    <t>1.5.3 Style revision and editing</t>
  </si>
  <si>
    <t>1.5 Design of course modules</t>
  </si>
  <si>
    <t>1.3 Elaboration of training program</t>
  </si>
  <si>
    <t>1.1 Diagnosis of training needs for teachers</t>
  </si>
  <si>
    <t>Consultancy services to develop final version of training program according to comprehensive diagnosis</t>
  </si>
  <si>
    <t>1. Diagnosis of Training Needs and Training Program Design</t>
  </si>
  <si>
    <t>In-kind</t>
  </si>
  <si>
    <t>Cash</t>
  </si>
  <si>
    <t>Executing Agency</t>
  </si>
  <si>
    <t>Total value</t>
  </si>
  <si>
    <t>Unit value</t>
  </si>
  <si>
    <t>Quantity</t>
  </si>
  <si>
    <t>Unit</t>
  </si>
  <si>
    <t>Detailed budget</t>
  </si>
  <si>
    <t>Values in US $</t>
  </si>
  <si>
    <t>TOTAL</t>
  </si>
  <si>
    <t>PERCENT</t>
  </si>
  <si>
    <t>1.7.2.3 Actors, Production video</t>
  </si>
  <si>
    <t>number of calls</t>
  </si>
  <si>
    <t>Monthly * 2 consultants</t>
  </si>
  <si>
    <t>1.7.1.1 Production of academic content and programing of course template</t>
  </si>
  <si>
    <t>sub-total approved original</t>
  </si>
  <si>
    <t>total approved origina</t>
  </si>
  <si>
    <t>1.5.1</t>
  </si>
  <si>
    <t>3.1.2</t>
  </si>
  <si>
    <t>%</t>
  </si>
  <si>
    <t>90-10</t>
  </si>
  <si>
    <t>50-50</t>
  </si>
  <si>
    <t>1.5.3</t>
  </si>
  <si>
    <t>1.7.2.1</t>
  </si>
  <si>
    <t>1.7.2.2</t>
  </si>
  <si>
    <t>1.7.1</t>
  </si>
  <si>
    <t>1.7.1.1</t>
  </si>
  <si>
    <t>este componente es nuevo (1.7.1.1) y se considera para la ampliación de contrato de dos diseñadoras graficas que están asignadas hasta julio al componente 1.7.1, se creó el componente por que el % de asignación cambia de 90-10 a 50-10</t>
  </si>
  <si>
    <t>COMPONENTE</t>
  </si>
  <si>
    <t>BEFORE</t>
  </si>
  <si>
    <t>AFTER</t>
  </si>
  <si>
    <t>RESTA</t>
  </si>
  <si>
    <t>recursos</t>
  </si>
  <si>
    <t>meses</t>
  </si>
  <si>
    <t>monto</t>
  </si>
  <si>
    <t>1 productor de video</t>
  </si>
  <si>
    <t>1 productor de audio</t>
  </si>
  <si>
    <t>1 desarrollador web</t>
  </si>
  <si>
    <t>2 diseñadoras gráficas</t>
  </si>
  <si>
    <t>2 c/u</t>
  </si>
  <si>
    <t>Total:</t>
  </si>
  <si>
    <t>1.7.2.1 y 1.7.2.2</t>
  </si>
  <si>
    <t>ASIGNACIÓN A:</t>
  </si>
  <si>
    <t>1.5.4 Create scripts for multimedia rescources</t>
  </si>
  <si>
    <t>4.-Administration</t>
  </si>
  <si>
    <t>5.-Ex post reviews</t>
  </si>
  <si>
    <t>6.-Evaluación</t>
  </si>
  <si>
    <t>7.-Contingencies</t>
  </si>
  <si>
    <t>Fecha estimada del Anuncio de Adquisición o del inicio de la contratación</t>
  </si>
  <si>
    <t>Revisión técnica del JEP (4)</t>
  </si>
  <si>
    <t>Nombre de la firma consultora/ consultor indiv/proveedor</t>
  </si>
  <si>
    <t>Fecha firma del contrato</t>
  </si>
  <si>
    <t>Fecha terminación del contrato</t>
  </si>
  <si>
    <t>Número de registro
BID</t>
  </si>
  <si>
    <t>Status 
(pendiente, en proceso, adjudicado, cancelado)</t>
  </si>
  <si>
    <t>Comentarios</t>
  </si>
  <si>
    <t>PLAN DE ADQUISICIONES DE COOPERACIONES TECNICAS NO REEMBOLSABLES</t>
  </si>
  <si>
    <t xml:space="preserve">Monto límite para revisión ex post de adquisiciones: </t>
  </si>
  <si>
    <t>Concepto</t>
  </si>
  <si>
    <t>Método de Adquisición (2)</t>
  </si>
  <si>
    <t xml:space="preserve">Revisión   
ex-ante o 
ex-postde adquisiciones (3) </t>
  </si>
  <si>
    <r>
      <rPr>
        <b/>
        <sz val="12"/>
        <color indexed="8"/>
        <rFont val="Euphemia"/>
        <family val="2"/>
      </rPr>
      <t xml:space="preserve">País: </t>
    </r>
    <r>
      <rPr>
        <sz val="12"/>
        <color indexed="8"/>
        <rFont val="Euphemia"/>
        <family val="2"/>
      </rPr>
      <t>México</t>
    </r>
  </si>
  <si>
    <t>N/A</t>
  </si>
  <si>
    <t>Ex ante</t>
  </si>
  <si>
    <t>Ex post</t>
  </si>
  <si>
    <t>NO</t>
  </si>
  <si>
    <t>SI</t>
  </si>
  <si>
    <r>
      <rPr>
        <b/>
        <sz val="12"/>
        <color indexed="8"/>
        <rFont val="Euphemia"/>
        <family val="2"/>
      </rPr>
      <t>Número de Proyecto:</t>
    </r>
    <r>
      <rPr>
        <sz val="12"/>
        <color indexed="8"/>
        <rFont val="Euphemia"/>
        <family val="2"/>
      </rPr>
      <t xml:space="preserve"> </t>
    </r>
    <r>
      <rPr>
        <b/>
        <sz val="12"/>
        <color indexed="8"/>
        <rFont val="Euphemia"/>
        <family val="2"/>
      </rPr>
      <t xml:space="preserve">ATN/ME-14341-ME   ME-M1093 </t>
    </r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</si>
  <si>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</si>
  <si>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</si>
  <si>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consultoría</t>
    </r>
    <r>
      <rPr>
        <b/>
        <sz val="10"/>
        <rFont val="Arial"/>
        <family val="2"/>
      </rPr>
      <t>: SCC</t>
    </r>
    <r>
      <rPr>
        <sz val="10"/>
        <rFont val="Arial"/>
        <family val="2"/>
      </rPr>
      <t xml:space="preserve">: Selección Basada en la Calificación de los Consultores; </t>
    </r>
    <r>
      <rPr>
        <b/>
        <sz val="10"/>
        <rFont val="Arial"/>
        <family val="2"/>
      </rPr>
      <t>SBCC</t>
    </r>
    <r>
      <rPr>
        <sz val="10"/>
        <rFont val="Arial"/>
        <family val="2"/>
      </rPr>
      <t xml:space="preserve">: Selección Basada en Calidad y el Costo; </t>
    </r>
    <r>
      <rPr>
        <b/>
        <sz val="10"/>
        <rFont val="Arial"/>
        <family val="2"/>
      </rPr>
      <t>SBMC</t>
    </r>
    <r>
      <rPr>
        <sz val="10"/>
        <rFont val="Arial"/>
        <family val="2"/>
      </rPr>
      <t xml:space="preserve">:Selección Basada en el Menor Costo; </t>
    </r>
    <r>
      <rPr>
        <b/>
        <sz val="10"/>
        <rFont val="Arial"/>
        <family val="2"/>
      </rPr>
      <t>SBPF</t>
    </r>
    <r>
      <rPr>
        <sz val="10"/>
        <rFont val="Arial"/>
        <family val="2"/>
      </rPr>
      <t xml:space="preserve">: Selección Basada en Presupuesto Fijo; </t>
    </r>
    <r>
      <rPr>
        <b/>
        <sz val="10"/>
        <rFont val="Arial"/>
        <family val="2"/>
      </rPr>
      <t>SD:</t>
    </r>
    <r>
      <rPr>
        <sz val="10"/>
        <rFont val="Arial"/>
        <family val="2"/>
      </rPr>
      <t xml:space="preserve"> Selección Directa;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 xml:space="preserve">: Selección Basada en la Calidad   </t>
    </r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</si>
  <si>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Consultores Individuales</t>
    </r>
    <r>
      <rPr>
        <b/>
        <sz val="10"/>
        <rFont val="Arial"/>
        <family val="2"/>
      </rPr>
      <t>: CCIN</t>
    </r>
    <r>
      <rPr>
        <sz val="10"/>
        <rFont val="Arial"/>
        <family val="2"/>
      </rPr>
      <t xml:space="preserve">: Selección Basada en la Comparación de Calificaciones Consultor IndividualNacional;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>: Selección Directa.</t>
    </r>
  </si>
  <si>
    <r>
      <t>3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ex ante/ ex post:</t>
    </r>
    <r>
      <rPr>
        <sz val="10"/>
        <rFont val="Arial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</si>
  <si>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Arial"/>
        <family val="2"/>
      </rPr>
      <t xml:space="preserve">  </t>
    </r>
    <r>
      <rPr>
        <b/>
        <sz val="10"/>
        <rFont val="Arial"/>
        <family val="2"/>
      </rPr>
      <t>Revisión técnica:</t>
    </r>
    <r>
      <rPr>
        <sz val="10"/>
        <rFont val="Arial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</si>
  <si>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>1. 8/02/2015
2. 8/01/2015
3. 20/01/2015
4. 8/10/2014
5. 4/03/2015</t>
  </si>
  <si>
    <t>1. 15/04/2015
2. 20/02/2015
3. 15/03/2015
4.23/12/204
5. 15/04/2015</t>
  </si>
  <si>
    <t>1. Spanda Human Source
2.Concius conusltores en tecnología y educación
3. Enrique Lepe
4. Ma. Luisa Castañeda
5. Marcela Santillan</t>
  </si>
  <si>
    <t>1. Mónica Marlik Mariaud Ricardez</t>
  </si>
  <si>
    <t>1. Miguel Peréz</t>
  </si>
  <si>
    <t>Publicidad e Imagen Corpten, S.A. de C.V.</t>
  </si>
  <si>
    <t>1. Network Information Center México, S.C.
2. Thawte</t>
  </si>
  <si>
    <t>compras via on line</t>
  </si>
  <si>
    <t>1. 16-jun-2015
2. 23-jul-2015</t>
  </si>
  <si>
    <t>1. 1/sep/2015
1.1. 24/nov/2015</t>
  </si>
  <si>
    <t>1. 31/oct/2015
1.1. 15/dic/2015</t>
  </si>
  <si>
    <t>1. Alberto Horacio Ramirez Lara
2. Luis Fco. Aguilar Hidalgo
3. Oscar Rodrigo Galan Rivero</t>
  </si>
  <si>
    <t>1. 3/nov/2014
1.1  1/jul/2015
2. 24/sep/2015
3. 18/mar/2015</t>
  </si>
  <si>
    <t>1. 30/jun/2015
1.1 31/ago/2015
2. 23/oct/2015
3. 31/ago/2015</t>
  </si>
  <si>
    <t>Adjudicado</t>
  </si>
  <si>
    <t>1. 141,088.40
1.1 42,920
2. 15,000
3. 77,000</t>
  </si>
  <si>
    <t>Mario César Jesús Ríos Jaime</t>
  </si>
  <si>
    <t>en proceso</t>
  </si>
  <si>
    <t>Adjundicada</t>
  </si>
  <si>
    <t xml:space="preserve">
1. 1 jul 2015
1.1. 3 dic 2014</t>
  </si>
  <si>
    <t xml:space="preserve">
1. 31 ago 2015
1.1. 30 jun 2015</t>
  </si>
  <si>
    <t xml:space="preserve">
1. 21,000
1.1 . 72,800</t>
  </si>
  <si>
    <t>Ana Livier Zuñiga Galan</t>
  </si>
  <si>
    <t>18,965,52</t>
  </si>
  <si>
    <t>NA</t>
  </si>
  <si>
    <t>1. Laura Gabriela Guevara Casarrubias
2. Nayeli Alejandra Rangel Espinosa</t>
  </si>
  <si>
    <t xml:space="preserve">
1. 1 ago 2015
1.1. 18 mar 2015
2. 1 jul 2015
3. 1 jul 2015</t>
  </si>
  <si>
    <t>1. Oscar Omar Escorza Larrea
2. Laura Gabriela Guevara Casarrubias
3. Nayeli Alejandra Rangel Espinosa</t>
  </si>
  <si>
    <t xml:space="preserve">
1. 31 ago 2015
1.1. 31 jul 2015
2. 31 ago 2015
3. 30 ago 2015</t>
  </si>
  <si>
    <t xml:space="preserve">
1. 12,224.14
1.1. 55,008.62
2.. 24,815
3 24,815</t>
  </si>
  <si>
    <t>1. 30,000
1.1. 15,000</t>
  </si>
  <si>
    <t>Valor Final de la adquisición
PESOS</t>
  </si>
  <si>
    <t>1. 95,100
2. 78,000
3. 87,000
4. 64,575.86
5. 67,327.59</t>
  </si>
  <si>
    <t>De los contratos del punto 1.4  también son parte de este punto</t>
  </si>
  <si>
    <t xml:space="preserve"> </t>
  </si>
  <si>
    <t>INTELIMETRICA S A P I DE CV</t>
  </si>
  <si>
    <t>1. 3 nov 2014
2. 12 nov 2014</t>
  </si>
  <si>
    <t>1. 30 jun 2015
2. 30 jun 2015</t>
  </si>
  <si>
    <t>1. 113,440
2. 107,768</t>
  </si>
  <si>
    <t>1. Marcia Cortés Almaguer
2. Haydeé Urbina
3. Daniela Peréz
4. Miguel Peréz
5. Guadalupe  Antonieta Aguilar Ibarra</t>
  </si>
  <si>
    <t>1. 05/01/2015 y
01/06/2015
2. 22 dic 2014
3. 6/01/2015
4. 3/11/2014
5. 6 mar 2015</t>
  </si>
  <si>
    <t>1. 90,000 y 36,000
2. 37,428
3. 37,428
4. 120,000
5. 43,416.48</t>
  </si>
  <si>
    <t>1. 31/05/2015
y 31/07/2015
2. 30/04/2015
3. 30/04/2015
4. 30/jun/2015
5. 15 may 2015</t>
  </si>
  <si>
    <t xml:space="preserve">1. 13/02/2015
</t>
  </si>
  <si>
    <t xml:space="preserve">1. 13/07/2015
</t>
  </si>
  <si>
    <t xml:space="preserve">
1. 104,400
</t>
  </si>
  <si>
    <t>1. Mario César Jesús Ríos Jaime
2. Oscar Omar Escorza Larrea
3. Laura Casarrubias Guevara
4. Monica Marlik</t>
  </si>
  <si>
    <t>1. Spanda
2. Concius</t>
  </si>
  <si>
    <t>1. 14 sep 2015
2. 1. 14 sep 2015
3. 14 sep 2015
4. 1/sep/2015</t>
  </si>
  <si>
    <t>1. 31 oct 2015
2. 1. 31 oct 2015
3. 13 oct 2015
4. 31/oct/2015</t>
  </si>
  <si>
    <t>1. 10,500
2. 12,224.14
3. 16,448.8
4. 20,880</t>
  </si>
  <si>
    <t xml:space="preserve">01. Rosa Fernanda Meraz Rodriguez
</t>
  </si>
  <si>
    <t>1. Mónica Marlik Mariaud Ricardez
2. Jennifer Cosgrove</t>
  </si>
  <si>
    <t xml:space="preserve">1. 15/11/2014
</t>
  </si>
  <si>
    <t>1. 16/07/2015
2. 4 feb 2015</t>
  </si>
  <si>
    <t xml:space="preserve">1. 31/03/2015
</t>
  </si>
  <si>
    <t>1. 15/08/2015
2. 15 abr 2015</t>
  </si>
  <si>
    <t xml:space="preserve">1. 69,020
</t>
  </si>
  <si>
    <t xml:space="preserve">
1. 20,800
2. 7,000</t>
  </si>
  <si>
    <t>Febrero 2015</t>
  </si>
  <si>
    <t>Sept -Nov 2015</t>
  </si>
  <si>
    <t>Noviembre 2014</t>
  </si>
  <si>
    <r>
      <t xml:space="preserve">Período del Plan: De  2 julio de 2014 a 4 de junio  2016 </t>
    </r>
    <r>
      <rPr>
        <sz val="12"/>
        <color theme="1"/>
        <rFont val="Euphemia"/>
        <family val="2"/>
      </rPr>
      <t>fecha de ejecución del proyecto.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</si>
</sst>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* #,##0_);_(* \(#,##0\);_(* &quot;-&quot;??_);_(@_)"/>
    <numFmt numFmtId="166" formatCode="#,##0.000000000"/>
  </numFmts>
  <fonts count="3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881F24"/>
      <name val="Calibri"/>
      <family val="2"/>
      <scheme val="minor"/>
    </font>
    <font>
      <b/>
      <sz val="12"/>
      <color rgb="FF4F742B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 tint="-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indexed="81"/>
      <name val="Tahoma"/>
      <family val="2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sz val="12"/>
      <color theme="1"/>
      <name val="Euphemia"/>
      <family val="2"/>
    </font>
    <font>
      <b/>
      <sz val="16"/>
      <color theme="1"/>
      <name val="Euphemia"/>
      <family val="2"/>
    </font>
    <font>
      <b/>
      <sz val="12"/>
      <color indexed="8"/>
      <name val="Euphemia"/>
      <family val="2"/>
    </font>
    <font>
      <sz val="12"/>
      <color indexed="8"/>
      <name val="Euphemia"/>
      <family val="2"/>
    </font>
    <font>
      <b/>
      <sz val="12"/>
      <color theme="1"/>
      <name val="Euphemia"/>
      <family val="2"/>
    </font>
    <font>
      <sz val="12"/>
      <name val="Euphemia"/>
      <family val="2"/>
    </font>
    <font>
      <b/>
      <sz val="10"/>
      <name val="Euphemia"/>
      <family val="2"/>
    </font>
    <font>
      <b/>
      <sz val="12"/>
      <color rgb="FF4F742B"/>
      <name val="Euphemia"/>
      <family val="2"/>
    </font>
    <font>
      <b/>
      <sz val="12"/>
      <color rgb="FFFF0000"/>
      <name val="Euphemia"/>
      <family val="2"/>
    </font>
    <font>
      <b/>
      <sz val="12"/>
      <name val="Euphemia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vertAlign val="superscript"/>
      <sz val="10"/>
      <name val="Arial"/>
      <family val="2"/>
    </font>
    <font>
      <sz val="11"/>
      <color theme="1"/>
      <name val="Euphemia"/>
      <family val="2"/>
    </font>
    <font>
      <sz val="10"/>
      <color rgb="FF222222"/>
      <name val="Arial"/>
      <family val="2"/>
    </font>
    <font>
      <sz val="10"/>
      <color rgb="FF222222"/>
      <name val="Euphemi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Trellis">
        <bgColor theme="0"/>
      </patternFill>
    </fill>
    <fill>
      <patternFill patternType="gray125">
        <bgColor theme="0" tint="-4.9989318521683403E-2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8">
    <xf numFmtId="0" fontId="0" fillId="0" borderId="0" xfId="0"/>
    <xf numFmtId="0" fontId="0" fillId="2" borderId="0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165" fontId="0" fillId="2" borderId="0" xfId="1" applyNumberFormat="1" applyFont="1" applyFill="1"/>
    <xf numFmtId="3" fontId="0" fillId="2" borderId="0" xfId="0" applyNumberFormat="1" applyFill="1"/>
    <xf numFmtId="0" fontId="0" fillId="2" borderId="0" xfId="0" applyFill="1" applyAlignment="1">
      <alignment wrapText="1"/>
    </xf>
    <xf numFmtId="3" fontId="3" fillId="4" borderId="1" xfId="0" applyNumberFormat="1" applyFont="1" applyFill="1" applyBorder="1"/>
    <xf numFmtId="9" fontId="3" fillId="4" borderId="1" xfId="0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3" fillId="4" borderId="1" xfId="0" applyFont="1" applyFill="1" applyBorder="1"/>
    <xf numFmtId="3" fontId="0" fillId="0" borderId="1" xfId="0" applyNumberFormat="1" applyFill="1" applyBorder="1"/>
    <xf numFmtId="9" fontId="0" fillId="0" borderId="1" xfId="0" applyNumberFormat="1" applyFill="1" applyBorder="1"/>
    <xf numFmtId="3" fontId="0" fillId="2" borderId="0" xfId="0" applyNumberFormat="1" applyFill="1" applyBorder="1"/>
    <xf numFmtId="166" fontId="0" fillId="2" borderId="0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0" fillId="0" borderId="0" xfId="0" applyFill="1" applyBorder="1"/>
    <xf numFmtId="3" fontId="0" fillId="3" borderId="1" xfId="0" applyNumberFormat="1" applyFill="1" applyBorder="1"/>
    <xf numFmtId="0" fontId="0" fillId="3" borderId="1" xfId="0" applyFill="1" applyBorder="1"/>
    <xf numFmtId="0" fontId="5" fillId="3" borderId="1" xfId="0" applyFont="1" applyFill="1" applyBorder="1" applyAlignment="1"/>
    <xf numFmtId="165" fontId="0" fillId="0" borderId="1" xfId="1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/>
    <xf numFmtId="3" fontId="4" fillId="0" borderId="1" xfId="0" applyNumberFormat="1" applyFont="1" applyFill="1" applyBorder="1"/>
    <xf numFmtId="0" fontId="0" fillId="3" borderId="1" xfId="0" applyFill="1" applyBorder="1" applyAlignment="1">
      <alignment horizontal="left" wrapText="1"/>
    </xf>
    <xf numFmtId="3" fontId="0" fillId="0" borderId="0" xfId="0" applyNumberFormat="1" applyFill="1" applyBorder="1"/>
    <xf numFmtId="3" fontId="0" fillId="0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/>
    <xf numFmtId="0" fontId="5" fillId="2" borderId="6" xfId="0" applyFont="1" applyFill="1" applyBorder="1"/>
    <xf numFmtId="0" fontId="5" fillId="2" borderId="7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0" fontId="0" fillId="0" borderId="0" xfId="0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43" fontId="0" fillId="2" borderId="0" xfId="1" applyFont="1" applyFill="1"/>
    <xf numFmtId="0" fontId="2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9" fontId="0" fillId="0" borderId="1" xfId="0" applyNumberFormat="1" applyFill="1" applyBorder="1" applyAlignment="1">
      <alignment horizontal="left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3" fontId="0" fillId="2" borderId="1" xfId="0" applyNumberFormat="1" applyFill="1" applyBorder="1"/>
    <xf numFmtId="9" fontId="0" fillId="2" borderId="1" xfId="0" applyNumberFormat="1" applyFill="1" applyBorder="1"/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/>
    <xf numFmtId="164" fontId="0" fillId="2" borderId="0" xfId="2" applyFont="1" applyFill="1" applyAlignment="1">
      <alignment horizontal="center" vertical="center"/>
    </xf>
    <xf numFmtId="3" fontId="4" fillId="2" borderId="1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9" fontId="0" fillId="3" borderId="1" xfId="0" applyNumberFormat="1" applyFill="1" applyBorder="1"/>
    <xf numFmtId="0" fontId="5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/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/>
    <xf numFmtId="3" fontId="5" fillId="3" borderId="1" xfId="0" applyNumberFormat="1" applyFont="1" applyFill="1" applyBorder="1"/>
    <xf numFmtId="9" fontId="5" fillId="3" borderId="1" xfId="0" applyNumberFormat="1" applyFont="1" applyFill="1" applyBorder="1"/>
    <xf numFmtId="0" fontId="5" fillId="0" borderId="0" xfId="0" applyFont="1" applyFill="1" applyBorder="1"/>
    <xf numFmtId="3" fontId="9" fillId="3" borderId="1" xfId="0" applyNumberFormat="1" applyFont="1" applyFill="1" applyBorder="1"/>
    <xf numFmtId="0" fontId="0" fillId="3" borderId="1" xfId="0" applyFill="1" applyBorder="1" applyAlignment="1">
      <alignment horizontal="left"/>
    </xf>
    <xf numFmtId="165" fontId="0" fillId="3" borderId="1" xfId="1" applyNumberFormat="1" applyFont="1" applyFill="1" applyBorder="1" applyAlignment="1">
      <alignment horizontal="center"/>
    </xf>
    <xf numFmtId="3" fontId="10" fillId="4" borderId="1" xfId="0" applyNumberFormat="1" applyFont="1" applyFill="1" applyBorder="1"/>
    <xf numFmtId="0" fontId="10" fillId="4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9" fontId="4" fillId="0" borderId="1" xfId="0" applyNumberFormat="1" applyFont="1" applyFill="1" applyBorder="1"/>
    <xf numFmtId="0" fontId="4" fillId="0" borderId="0" xfId="0" applyFont="1" applyFill="1" applyBorder="1"/>
    <xf numFmtId="0" fontId="5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left" wrapText="1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/>
    <xf numFmtId="9" fontId="5" fillId="4" borderId="1" xfId="0" applyNumberFormat="1" applyFont="1" applyFill="1" applyBorder="1"/>
    <xf numFmtId="0" fontId="0" fillId="2" borderId="0" xfId="0" applyFont="1" applyFill="1" applyBorder="1"/>
    <xf numFmtId="9" fontId="0" fillId="2" borderId="1" xfId="0" applyNumberFormat="1" applyFont="1" applyFill="1" applyBorder="1"/>
    <xf numFmtId="3" fontId="0" fillId="2" borderId="1" xfId="0" applyNumberFormat="1" applyFont="1" applyFill="1" applyBorder="1"/>
    <xf numFmtId="3" fontId="0" fillId="5" borderId="1" xfId="0" applyNumberFormat="1" applyFont="1" applyFill="1" applyBorder="1"/>
    <xf numFmtId="164" fontId="0" fillId="2" borderId="0" xfId="2" applyFont="1" applyFill="1"/>
    <xf numFmtId="3" fontId="12" fillId="7" borderId="1" xfId="0" applyNumberFormat="1" applyFont="1" applyFill="1" applyBorder="1"/>
    <xf numFmtId="0" fontId="0" fillId="2" borderId="1" xfId="0" applyFill="1" applyBorder="1"/>
    <xf numFmtId="3" fontId="4" fillId="5" borderId="1" xfId="0" applyNumberFormat="1" applyFont="1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0" fillId="0" borderId="0" xfId="0" applyFill="1" applyBorder="1"/>
    <xf numFmtId="0" fontId="0" fillId="2" borderId="0" xfId="0" applyFill="1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/>
    <xf numFmtId="3" fontId="0" fillId="0" borderId="1" xfId="0" applyNumberFormat="1" applyFill="1" applyBorder="1"/>
    <xf numFmtId="9" fontId="0" fillId="0" borderId="1" xfId="0" applyNumberFormat="1" applyFill="1" applyBorder="1"/>
    <xf numFmtId="3" fontId="0" fillId="5" borderId="1" xfId="0" applyNumberFormat="1" applyFill="1" applyBorder="1"/>
    <xf numFmtId="164" fontId="0" fillId="2" borderId="0" xfId="0" applyNumberFormat="1" applyFill="1"/>
    <xf numFmtId="0" fontId="0" fillId="0" borderId="0" xfId="0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2" applyFont="1" applyBorder="1"/>
    <xf numFmtId="164" fontId="0" fillId="0" borderId="22" xfId="2" applyFont="1" applyBorder="1"/>
    <xf numFmtId="0" fontId="0" fillId="0" borderId="1" xfId="0" applyBorder="1" applyAlignment="1">
      <alignment horizontal="center" vertical="center"/>
    </xf>
    <xf numFmtId="164" fontId="0" fillId="0" borderId="1" xfId="2" applyFont="1" applyBorder="1" applyAlignment="1">
      <alignment horizontal="center" vertical="center"/>
    </xf>
    <xf numFmtId="164" fontId="0" fillId="0" borderId="17" xfId="2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2" xfId="2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164" fontId="0" fillId="0" borderId="25" xfId="2" applyFont="1" applyBorder="1"/>
    <xf numFmtId="164" fontId="0" fillId="0" borderId="0" xfId="0" applyNumberFormat="1"/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7" xfId="0" applyBorder="1" applyAlignment="1">
      <alignment horizontal="center"/>
    </xf>
    <xf numFmtId="164" fontId="0" fillId="0" borderId="20" xfId="0" applyNumberFormat="1" applyBorder="1"/>
    <xf numFmtId="164" fontId="0" fillId="0" borderId="23" xfId="0" applyNumberFormat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0" fillId="0" borderId="0" xfId="0" applyNumberFormat="1" applyFill="1" applyBorder="1"/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9" fillId="2" borderId="0" xfId="0" applyFont="1" applyFill="1" applyAlignment="1">
      <alignment horizontal="right"/>
    </xf>
    <xf numFmtId="0" fontId="18" fillId="10" borderId="1" xfId="0" applyFont="1" applyFill="1" applyBorder="1" applyAlignment="1">
      <alignment vertical="center" wrapText="1"/>
    </xf>
    <xf numFmtId="0" fontId="18" fillId="10" borderId="1" xfId="0" applyFont="1" applyFill="1" applyBorder="1" applyAlignment="1">
      <alignment horizontal="left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/>
    </xf>
    <xf numFmtId="3" fontId="18" fillId="10" borderId="1" xfId="0" applyNumberFormat="1" applyFont="1" applyFill="1" applyBorder="1" applyAlignment="1">
      <alignment vertical="center"/>
    </xf>
    <xf numFmtId="9" fontId="18" fillId="10" borderId="1" xfId="0" applyNumberFormat="1" applyFont="1" applyFill="1" applyBorder="1" applyAlignment="1">
      <alignment vertical="center"/>
    </xf>
    <xf numFmtId="0" fontId="14" fillId="12" borderId="1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21" fillId="4" borderId="1" xfId="0" applyFont="1" applyFill="1" applyBorder="1" applyAlignment="1">
      <alignment wrapText="1"/>
    </xf>
    <xf numFmtId="0" fontId="19" fillId="4" borderId="1" xfId="0" applyFont="1" applyFill="1" applyBorder="1" applyAlignment="1">
      <alignment horizontal="left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3" fontId="21" fillId="4" borderId="1" xfId="0" applyNumberFormat="1" applyFont="1" applyFill="1" applyBorder="1"/>
    <xf numFmtId="9" fontId="21" fillId="4" borderId="1" xfId="0" applyNumberFormat="1" applyFont="1" applyFill="1" applyBorder="1"/>
    <xf numFmtId="164" fontId="22" fillId="9" borderId="1" xfId="2" applyFont="1" applyFill="1" applyBorder="1"/>
    <xf numFmtId="0" fontId="14" fillId="2" borderId="1" xfId="0" applyFont="1" applyFill="1" applyBorder="1"/>
    <xf numFmtId="0" fontId="21" fillId="9" borderId="1" xfId="0" applyFont="1" applyFill="1" applyBorder="1" applyAlignment="1">
      <alignment wrapText="1"/>
    </xf>
    <xf numFmtId="0" fontId="19" fillId="9" borderId="1" xfId="0" applyFont="1" applyFill="1" applyBorder="1" applyAlignment="1">
      <alignment horizontal="left" wrapText="1"/>
    </xf>
    <xf numFmtId="0" fontId="21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/>
    </xf>
    <xf numFmtId="3" fontId="21" fillId="9" borderId="1" xfId="0" applyNumberFormat="1" applyFont="1" applyFill="1" applyBorder="1"/>
    <xf numFmtId="9" fontId="21" fillId="9" borderId="1" xfId="0" applyNumberFormat="1" applyFont="1" applyFill="1" applyBorder="1"/>
    <xf numFmtId="164" fontId="23" fillId="9" borderId="1" xfId="2" applyFont="1" applyFill="1" applyBorder="1"/>
    <xf numFmtId="0" fontId="18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3" fontId="14" fillId="3" borderId="1" xfId="0" applyNumberFormat="1" applyFont="1" applyFill="1" applyBorder="1"/>
    <xf numFmtId="9" fontId="14" fillId="3" borderId="1" xfId="0" applyNumberFormat="1" applyFont="1" applyFill="1" applyBorder="1"/>
    <xf numFmtId="0" fontId="14" fillId="0" borderId="1" xfId="0" applyFont="1" applyFill="1" applyBorder="1"/>
    <xf numFmtId="0" fontId="19" fillId="3" borderId="1" xfId="0" applyFont="1" applyFill="1" applyBorder="1" applyAlignment="1">
      <alignment horizontal="center" vertical="center"/>
    </xf>
    <xf numFmtId="3" fontId="19" fillId="3" borderId="1" xfId="0" applyNumberFormat="1" applyFont="1" applyFill="1" applyBorder="1"/>
    <xf numFmtId="0" fontId="18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3" fontId="19" fillId="0" borderId="1" xfId="0" applyNumberFormat="1" applyFont="1" applyFill="1" applyBorder="1"/>
    <xf numFmtId="9" fontId="14" fillId="0" borderId="1" xfId="0" applyNumberFormat="1" applyFont="1" applyFill="1" applyBorder="1"/>
    <xf numFmtId="3" fontId="14" fillId="0" borderId="1" xfId="0" applyNumberFormat="1" applyFont="1" applyFill="1" applyBorder="1"/>
    <xf numFmtId="0" fontId="14" fillId="0" borderId="1" xfId="0" applyFont="1" applyFill="1" applyBorder="1" applyAlignment="1">
      <alignment horizontal="center" vertical="center"/>
    </xf>
    <xf numFmtId="3" fontId="14" fillId="2" borderId="1" xfId="0" applyNumberFormat="1" applyFont="1" applyFill="1" applyBorder="1"/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9" fontId="14" fillId="2" borderId="1" xfId="0" applyNumberFormat="1" applyFont="1" applyFill="1" applyBorder="1"/>
    <xf numFmtId="0" fontId="14" fillId="8" borderId="0" xfId="0" applyFont="1" applyFill="1" applyBorder="1"/>
    <xf numFmtId="0" fontId="18" fillId="3" borderId="1" xfId="0" applyFont="1" applyFill="1" applyBorder="1" applyAlignment="1"/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wrapText="1"/>
    </xf>
    <xf numFmtId="0" fontId="18" fillId="3" borderId="1" xfId="0" applyFont="1" applyFill="1" applyBorder="1" applyAlignment="1">
      <alignment horizontal="center" vertical="center"/>
    </xf>
    <xf numFmtId="3" fontId="18" fillId="3" borderId="1" xfId="0" applyNumberFormat="1" applyFont="1" applyFill="1" applyBorder="1"/>
    <xf numFmtId="9" fontId="18" fillId="3" borderId="1" xfId="0" applyNumberFormat="1" applyFont="1" applyFill="1" applyBorder="1"/>
    <xf numFmtId="0" fontId="19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/>
    <xf numFmtId="9" fontId="19" fillId="0" borderId="1" xfId="0" applyNumberFormat="1" applyFont="1" applyFill="1" applyBorder="1"/>
    <xf numFmtId="0" fontId="19" fillId="0" borderId="1" xfId="0" applyFont="1" applyFill="1" applyBorder="1"/>
    <xf numFmtId="0" fontId="19" fillId="0" borderId="0" xfId="0" applyFont="1" applyFill="1" applyBorder="1"/>
    <xf numFmtId="0" fontId="18" fillId="0" borderId="0" xfId="0" applyFont="1" applyFill="1" applyBorder="1"/>
    <xf numFmtId="0" fontId="18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/>
    </xf>
    <xf numFmtId="3" fontId="18" fillId="11" borderId="1" xfId="0" applyNumberFormat="1" applyFont="1" applyFill="1" applyBorder="1" applyAlignment="1">
      <alignment horizontal="center" vertical="center"/>
    </xf>
    <xf numFmtId="9" fontId="18" fillId="11" borderId="1" xfId="0" applyNumberFormat="1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right"/>
    </xf>
    <xf numFmtId="0" fontId="18" fillId="11" borderId="1" xfId="0" applyFont="1" applyFill="1" applyBorder="1" applyAlignment="1">
      <alignment horizontal="left" vertical="center" wrapText="1"/>
    </xf>
    <xf numFmtId="3" fontId="23" fillId="3" borderId="1" xfId="0" applyNumberFormat="1" applyFont="1" applyFill="1" applyBorder="1"/>
    <xf numFmtId="1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Border="1" applyAlignment="1">
      <alignment horizontal="center"/>
    </xf>
    <xf numFmtId="0" fontId="14" fillId="3" borderId="1" xfId="0" applyFont="1" applyFill="1" applyBorder="1" applyAlignment="1">
      <alignment horizontal="left"/>
    </xf>
    <xf numFmtId="165" fontId="14" fillId="3" borderId="1" xfId="1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8" fillId="11" borderId="1" xfId="0" applyFont="1" applyFill="1" applyBorder="1" applyAlignment="1">
      <alignment wrapText="1"/>
    </xf>
    <xf numFmtId="3" fontId="18" fillId="11" borderId="1" xfId="0" applyNumberFormat="1" applyFont="1" applyFill="1" applyBorder="1"/>
    <xf numFmtId="9" fontId="18" fillId="11" borderId="1" xfId="0" applyNumberFormat="1" applyFont="1" applyFill="1" applyBorder="1"/>
    <xf numFmtId="0" fontId="14" fillId="12" borderId="1" xfId="0" applyFont="1" applyFill="1" applyBorder="1"/>
    <xf numFmtId="0" fontId="18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horizontal="left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3" fontId="18" fillId="4" borderId="1" xfId="0" applyNumberFormat="1" applyFont="1" applyFill="1" applyBorder="1"/>
    <xf numFmtId="9" fontId="18" fillId="4" borderId="1" xfId="0" applyNumberFormat="1" applyFont="1" applyFill="1" applyBorder="1"/>
    <xf numFmtId="9" fontId="18" fillId="11" borderId="1" xfId="0" applyNumberFormat="1" applyFont="1" applyFill="1" applyBorder="1" applyAlignment="1">
      <alignment horizontal="left" wrapText="1"/>
    </xf>
    <xf numFmtId="9" fontId="14" fillId="11" borderId="1" xfId="0" applyNumberFormat="1" applyFont="1" applyFill="1" applyBorder="1"/>
    <xf numFmtId="9" fontId="14" fillId="11" borderId="1" xfId="0" applyNumberFormat="1" applyFont="1" applyFill="1" applyBorder="1" applyAlignment="1">
      <alignment horizontal="center" vertical="center" wrapText="1"/>
    </xf>
    <xf numFmtId="3" fontId="14" fillId="11" borderId="1" xfId="0" applyNumberFormat="1" applyFont="1" applyFill="1" applyBorder="1" applyAlignment="1">
      <alignment horizontal="center" vertical="center"/>
    </xf>
    <xf numFmtId="3" fontId="14" fillId="11" borderId="1" xfId="0" applyNumberFormat="1" applyFont="1" applyFill="1" applyBorder="1"/>
    <xf numFmtId="165" fontId="14" fillId="2" borderId="0" xfId="1" applyNumberFormat="1" applyFont="1" applyFill="1"/>
    <xf numFmtId="3" fontId="14" fillId="2" borderId="0" xfId="0" applyNumberFormat="1" applyFont="1" applyFill="1"/>
    <xf numFmtId="164" fontId="14" fillId="2" borderId="0" xfId="2" applyFont="1" applyFill="1" applyAlignment="1">
      <alignment horizontal="center" vertical="center"/>
    </xf>
    <xf numFmtId="164" fontId="14" fillId="2" borderId="0" xfId="2" applyFont="1" applyFill="1"/>
    <xf numFmtId="164" fontId="14" fillId="2" borderId="0" xfId="0" applyNumberFormat="1" applyFont="1" applyFill="1"/>
    <xf numFmtId="0" fontId="18" fillId="6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3" fontId="18" fillId="10" borderId="1" xfId="0" applyNumberFormat="1" applyFont="1" applyFill="1" applyBorder="1" applyAlignment="1">
      <alignment horizontal="center" vertical="center"/>
    </xf>
    <xf numFmtId="164" fontId="22" fillId="9" borderId="1" xfId="2" applyFont="1" applyFill="1" applyBorder="1" applyAlignment="1">
      <alignment horizontal="center"/>
    </xf>
    <xf numFmtId="164" fontId="23" fillId="9" borderId="1" xfId="2" applyFont="1" applyFill="1" applyBorder="1" applyAlignment="1">
      <alignment horizontal="center"/>
    </xf>
    <xf numFmtId="3" fontId="14" fillId="3" borderId="1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4" fillId="2" borderId="1" xfId="0" applyNumberFormat="1" applyFont="1" applyFill="1" applyBorder="1" applyAlignment="1">
      <alignment horizontal="center"/>
    </xf>
    <xf numFmtId="3" fontId="18" fillId="3" borderId="1" xfId="0" applyNumberFormat="1" applyFont="1" applyFill="1" applyBorder="1" applyAlignment="1">
      <alignment horizontal="center"/>
    </xf>
    <xf numFmtId="3" fontId="18" fillId="11" borderId="1" xfId="0" applyNumberFormat="1" applyFont="1" applyFill="1" applyBorder="1" applyAlignment="1">
      <alignment horizontal="center"/>
    </xf>
    <xf numFmtId="3" fontId="18" fillId="4" borderId="1" xfId="0" applyNumberFormat="1" applyFont="1" applyFill="1" applyBorder="1" applyAlignment="1">
      <alignment horizontal="center"/>
    </xf>
    <xf numFmtId="3" fontId="14" fillId="11" borderId="1" xfId="0" applyNumberFormat="1" applyFont="1" applyFill="1" applyBorder="1" applyAlignment="1">
      <alignment horizontal="center"/>
    </xf>
    <xf numFmtId="3" fontId="21" fillId="4" borderId="1" xfId="0" applyNumberFormat="1" applyFont="1" applyFill="1" applyBorder="1" applyAlignment="1">
      <alignment horizontal="center"/>
    </xf>
    <xf numFmtId="3" fontId="14" fillId="2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/>
    </xf>
    <xf numFmtId="3" fontId="14" fillId="13" borderId="1" xfId="0" applyNumberFormat="1" applyFont="1" applyFill="1" applyBorder="1" applyAlignment="1">
      <alignment horizontal="center"/>
    </xf>
    <xf numFmtId="0" fontId="14" fillId="1" borderId="1" xfId="0" applyFont="1" applyFill="1" applyBorder="1"/>
    <xf numFmtId="0" fontId="14" fillId="2" borderId="1" xfId="0" applyFont="1" applyFill="1" applyBorder="1" applyAlignment="1">
      <alignment horizontal="center"/>
    </xf>
    <xf numFmtId="0" fontId="14" fillId="8" borderId="0" xfId="0" applyFont="1" applyFill="1"/>
    <xf numFmtId="164" fontId="22" fillId="8" borderId="1" xfId="2" applyFont="1" applyFill="1" applyBorder="1"/>
    <xf numFmtId="164" fontId="23" fillId="8" borderId="1" xfId="2" applyFont="1" applyFill="1" applyBorder="1"/>
    <xf numFmtId="3" fontId="14" fillId="8" borderId="1" xfId="0" applyNumberFormat="1" applyFont="1" applyFill="1" applyBorder="1"/>
    <xf numFmtId="3" fontId="18" fillId="8" borderId="1" xfId="0" applyNumberFormat="1" applyFont="1" applyFill="1" applyBorder="1"/>
    <xf numFmtId="3" fontId="19" fillId="8" borderId="1" xfId="0" applyNumberFormat="1" applyFont="1" applyFill="1" applyBorder="1"/>
    <xf numFmtId="3" fontId="23" fillId="8" borderId="1" xfId="0" applyNumberFormat="1" applyFont="1" applyFill="1" applyBorder="1"/>
    <xf numFmtId="0" fontId="14" fillId="5" borderId="0" xfId="0" applyFont="1" applyFill="1" applyAlignment="1">
      <alignment horizontal="center"/>
    </xf>
    <xf numFmtId="164" fontId="22" fillId="5" borderId="1" xfId="2" applyFont="1" applyFill="1" applyBorder="1" applyAlignment="1">
      <alignment horizontal="center"/>
    </xf>
    <xf numFmtId="164" fontId="23" fillId="5" borderId="1" xfId="2" applyFont="1" applyFill="1" applyBorder="1" applyAlignment="1">
      <alignment horizontal="center"/>
    </xf>
    <xf numFmtId="3" fontId="23" fillId="4" borderId="1" xfId="0" applyNumberFormat="1" applyFont="1" applyFill="1" applyBorder="1"/>
    <xf numFmtId="3" fontId="19" fillId="0" borderId="1" xfId="0" applyNumberFormat="1" applyFont="1" applyFill="1" applyBorder="1" applyAlignment="1">
      <alignment horizontal="center"/>
    </xf>
    <xf numFmtId="3" fontId="23" fillId="4" borderId="1" xfId="0" applyNumberFormat="1" applyFont="1" applyFill="1" applyBorder="1" applyAlignment="1">
      <alignment horizontal="center"/>
    </xf>
    <xf numFmtId="0" fontId="17" fillId="0" borderId="35" xfId="0" applyFont="1" applyBorder="1" applyAlignment="1"/>
    <xf numFmtId="0" fontId="17" fillId="0" borderId="0" xfId="0" applyFont="1" applyBorder="1" applyAlignment="1"/>
    <xf numFmtId="0" fontId="18" fillId="4" borderId="35" xfId="0" applyFont="1" applyFill="1" applyBorder="1" applyAlignment="1"/>
    <xf numFmtId="0" fontId="18" fillId="4" borderId="0" xfId="0" applyFont="1" applyFill="1" applyBorder="1" applyAlignment="1"/>
    <xf numFmtId="165" fontId="18" fillId="11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14" fontId="30" fillId="2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15" fontId="14" fillId="0" borderId="1" xfId="0" applyNumberFormat="1" applyFont="1" applyFill="1" applyBorder="1"/>
    <xf numFmtId="15" fontId="14" fillId="2" borderId="1" xfId="0" applyNumberFormat="1" applyFont="1" applyFill="1" applyBorder="1" applyAlignment="1">
      <alignment wrapText="1"/>
    </xf>
    <xf numFmtId="17" fontId="14" fillId="0" borderId="1" xfId="0" applyNumberFormat="1" applyFont="1" applyFill="1" applyBorder="1"/>
    <xf numFmtId="15" fontId="19" fillId="0" borderId="1" xfId="0" applyNumberFormat="1" applyFont="1" applyFill="1" applyBorder="1"/>
    <xf numFmtId="0" fontId="17" fillId="0" borderId="0" xfId="0" applyFont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3" fontId="14" fillId="13" borderId="1" xfId="0" applyNumberFormat="1" applyFont="1" applyFill="1" applyBorder="1" applyAlignment="1">
      <alignment horizontal="center" vertical="center"/>
    </xf>
    <xf numFmtId="0" fontId="14" fillId="1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wrapText="1"/>
    </xf>
    <xf numFmtId="15" fontId="14" fillId="0" borderId="1" xfId="0" applyNumberFormat="1" applyFont="1" applyFill="1" applyBorder="1" applyAlignment="1">
      <alignment wrapText="1"/>
    </xf>
    <xf numFmtId="0" fontId="31" fillId="0" borderId="0" xfId="0" applyFont="1"/>
    <xf numFmtId="0" fontId="14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wrapText="1"/>
    </xf>
    <xf numFmtId="0" fontId="20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3" xfId="0" applyFont="1" applyBorder="1" applyAlignment="1">
      <alignment horizontal="left"/>
    </xf>
    <xf numFmtId="0" fontId="25" fillId="0" borderId="13" xfId="0" applyFont="1" applyBorder="1" applyAlignment="1">
      <alignment horizontal="left"/>
    </xf>
    <xf numFmtId="0" fontId="24" fillId="0" borderId="2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15" fillId="10" borderId="35" xfId="0" applyFont="1" applyFill="1" applyBorder="1" applyAlignment="1">
      <alignment horizontal="center"/>
    </xf>
    <xf numFmtId="0" fontId="15" fillId="10" borderId="0" xfId="0" applyFont="1" applyFill="1" applyBorder="1" applyAlignment="1">
      <alignment horizontal="center"/>
    </xf>
    <xf numFmtId="0" fontId="18" fillId="6" borderId="36" xfId="0" applyFont="1" applyFill="1" applyBorder="1" applyAlignment="1">
      <alignment horizontal="center" vertical="center" wrapText="1"/>
    </xf>
    <xf numFmtId="0" fontId="18" fillId="6" borderId="37" xfId="0" applyFont="1" applyFill="1" applyBorder="1" applyAlignment="1">
      <alignment horizontal="center" vertical="center" wrapText="1"/>
    </xf>
    <xf numFmtId="0" fontId="18" fillId="8" borderId="36" xfId="0" applyFont="1" applyFill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center" vertical="center" wrapText="1"/>
    </xf>
    <xf numFmtId="0" fontId="20" fillId="14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15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0" fontId="14" fillId="0" borderId="35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5" fillId="0" borderId="1" xfId="0" applyFont="1" applyBorder="1" applyAlignment="1">
      <alignment horizontal="left" vertical="top" wrapText="1"/>
    </xf>
    <xf numFmtId="0" fontId="0" fillId="2" borderId="0" xfId="0" applyFill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1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 vertical="center" wrapText="1"/>
    </xf>
    <xf numFmtId="3" fontId="21" fillId="2" borderId="0" xfId="0" applyNumberFormat="1" applyFont="1" applyFill="1" applyBorder="1"/>
    <xf numFmtId="9" fontId="21" fillId="2" borderId="0" xfId="0" applyNumberFormat="1" applyFont="1" applyFill="1" applyBorder="1"/>
    <xf numFmtId="3" fontId="21" fillId="2" borderId="0" xfId="0" applyNumberFormat="1" applyFont="1" applyFill="1" applyBorder="1" applyAlignment="1">
      <alignment horizontal="center"/>
    </xf>
    <xf numFmtId="0" fontId="25" fillId="2" borderId="0" xfId="0" applyFont="1" applyFill="1" applyBorder="1" applyAlignment="1"/>
    <xf numFmtId="0" fontId="25" fillId="2" borderId="0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 vertical="center"/>
    </xf>
    <xf numFmtId="15" fontId="19" fillId="0" borderId="1" xfId="0" applyNumberFormat="1" applyFont="1" applyFill="1" applyBorder="1" applyAlignment="1">
      <alignment horizontal="center"/>
    </xf>
    <xf numFmtId="43" fontId="14" fillId="0" borderId="1" xfId="1" applyFont="1" applyFill="1" applyBorder="1" applyAlignment="1"/>
    <xf numFmtId="0" fontId="32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103</xdr:row>
      <xdr:rowOff>732</xdr:rowOff>
    </xdr:from>
    <xdr:to>
      <xdr:col>17</xdr:col>
      <xdr:colOff>1473540</xdr:colOff>
      <xdr:row>132</xdr:row>
      <xdr:rowOff>150992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978768"/>
          <a:ext cx="13416643" cy="68585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177800</xdr:rowOff>
    </xdr:from>
    <xdr:ext cx="1190625" cy="772319"/>
    <xdr:pic>
      <xdr:nvPicPr>
        <xdr:cNvPr id="2" name="Picture 3" descr="NewBI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0800000" flipH="1" flipV="1">
          <a:off x="0" y="177800"/>
          <a:ext cx="1190625" cy="772319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EDINAR/AppData/Local/Microsoft/Windows/Temporary%20Internet%20Files/Content.Outlook/BO5Q7XQQ/a%20-%20Registro%20BID%20-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(2)"/>
      <sheetName val="DETALLE (3)"/>
      <sheetName val="resumen"/>
      <sheetName val="Modelo D-1 - detalle de pagos"/>
      <sheetName val="INDAVA"/>
      <sheetName val="Hoja1 (2)"/>
      <sheetName val="2.2.7"/>
      <sheetName val="1.7.1"/>
      <sheetName val="1.7.2.1"/>
      <sheetName val="1.5.2"/>
      <sheetName val="DETALLE (4)"/>
      <sheetName val="Hoja1"/>
    </sheetNames>
    <sheetDataSet>
      <sheetData sheetId="0"/>
      <sheetData sheetId="1">
        <row r="12">
          <cell r="Y12">
            <v>6427.0300000000007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2:X103"/>
  <sheetViews>
    <sheetView tabSelected="1" zoomScale="80" zoomScaleNormal="80" zoomScalePageLayoutView="90" workbookViewId="0">
      <pane xSplit="1" ySplit="15" topLeftCell="F77" activePane="bottomRight" state="frozen"/>
      <selection pane="topRight" activeCell="B1" sqref="B1"/>
      <selection pane="bottomLeft" activeCell="A13" sqref="A13"/>
      <selection pane="bottomRight" activeCell="J81" sqref="J81"/>
    </sheetView>
  </sheetViews>
  <sheetFormatPr defaultColWidth="10.625" defaultRowHeight="18" x14ac:dyDescent="0.35"/>
  <cols>
    <col min="1" max="1" width="38.375" style="153" customWidth="1"/>
    <col min="2" max="2" width="31" style="154" hidden="1" customWidth="1"/>
    <col min="3" max="3" width="18.375" style="155" hidden="1" customWidth="1"/>
    <col min="4" max="4" width="10.375" style="156" hidden="1" customWidth="1"/>
    <col min="5" max="5" width="10.625" style="157" hidden="1" customWidth="1"/>
    <col min="6" max="6" width="10.875" style="157" customWidth="1"/>
    <col min="7" max="7" width="9.625" style="157" hidden="1" customWidth="1"/>
    <col min="8" max="8" width="10.625" style="157" hidden="1" customWidth="1"/>
    <col min="9" max="9" width="5.5" style="157" hidden="1" customWidth="1"/>
    <col min="10" max="10" width="12.625" style="277" customWidth="1"/>
    <col min="11" max="11" width="14.875" style="157" customWidth="1"/>
    <col min="12" max="12" width="14.25" style="259" hidden="1" customWidth="1"/>
    <col min="13" max="13" width="16.375" style="157" customWidth="1"/>
    <col min="14" max="14" width="13.125" style="284" customWidth="1"/>
    <col min="15" max="15" width="13.125" style="259" customWidth="1"/>
    <col min="16" max="16" width="22.125" style="158" customWidth="1"/>
    <col min="17" max="17" width="14.875" style="158" customWidth="1"/>
    <col min="18" max="18" width="33.875" style="158" customWidth="1"/>
    <col min="19" max="19" width="25.125" style="158" bestFit="1" customWidth="1"/>
    <col min="20" max="20" width="22.25" style="158" bestFit="1" customWidth="1"/>
    <col min="21" max="21" width="12.375" style="158" customWidth="1"/>
    <col min="22" max="22" width="22.75" style="158" customWidth="1"/>
    <col min="23" max="23" width="17" style="162" customWidth="1"/>
    <col min="24" max="24" width="39.75" style="158" customWidth="1"/>
    <col min="25" max="16384" width="10.625" style="158"/>
  </cols>
  <sheetData>
    <row r="2" spans="1:24" ht="24.75" x14ac:dyDescent="0.5">
      <c r="A2" s="320" t="s">
        <v>160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</row>
    <row r="3" spans="1:24" x14ac:dyDescent="0.35">
      <c r="A3" s="332" t="s">
        <v>165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</row>
    <row r="4" spans="1:24" x14ac:dyDescent="0.35">
      <c r="A4" s="290" t="s">
        <v>171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303"/>
      <c r="X4" s="291"/>
    </row>
    <row r="5" spans="1:24" x14ac:dyDescent="0.35">
      <c r="A5" s="292" t="s">
        <v>240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304"/>
      <c r="X5" s="293"/>
    </row>
    <row r="6" spans="1:24" x14ac:dyDescent="0.35">
      <c r="A6" s="334" t="s">
        <v>161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</row>
    <row r="7" spans="1:24" ht="15.75" customHeight="1" x14ac:dyDescent="0.35">
      <c r="B7" s="159"/>
      <c r="D7" s="156" t="e">
        <f>#REF!-C7</f>
        <v>#REF!</v>
      </c>
      <c r="N7" s="260"/>
    </row>
    <row r="8" spans="1:24" ht="18" customHeight="1" x14ac:dyDescent="0.35">
      <c r="A8" s="159"/>
      <c r="B8" s="160"/>
      <c r="C8" s="161"/>
      <c r="D8" s="162"/>
      <c r="E8" s="163"/>
      <c r="F8" s="158"/>
      <c r="G8" s="327" t="s">
        <v>114</v>
      </c>
      <c r="H8" s="328"/>
      <c r="I8" s="329"/>
      <c r="J8" s="330" t="s">
        <v>113</v>
      </c>
      <c r="K8" s="328"/>
      <c r="L8" s="331"/>
      <c r="M8" s="164" t="s">
        <v>112</v>
      </c>
      <c r="N8" s="260"/>
      <c r="O8" s="260"/>
    </row>
    <row r="9" spans="1:24" ht="37.5" customHeight="1" x14ac:dyDescent="0.35">
      <c r="A9" s="322" t="s">
        <v>0</v>
      </c>
      <c r="B9" s="322" t="s">
        <v>162</v>
      </c>
      <c r="C9" s="322" t="s">
        <v>110</v>
      </c>
      <c r="D9" s="322" t="s">
        <v>109</v>
      </c>
      <c r="E9" s="322" t="s">
        <v>108</v>
      </c>
      <c r="F9" s="322" t="s">
        <v>107</v>
      </c>
      <c r="G9" s="322" t="s">
        <v>1</v>
      </c>
      <c r="H9" s="313" t="s">
        <v>106</v>
      </c>
      <c r="I9" s="313"/>
      <c r="J9" s="324" t="s">
        <v>1</v>
      </c>
      <c r="K9" s="313" t="s">
        <v>106</v>
      </c>
      <c r="L9" s="313"/>
      <c r="M9" s="313" t="s">
        <v>23</v>
      </c>
      <c r="N9" s="312" t="s">
        <v>163</v>
      </c>
      <c r="O9" s="312" t="s">
        <v>164</v>
      </c>
      <c r="P9" s="312" t="s">
        <v>152</v>
      </c>
      <c r="Q9" s="312" t="s">
        <v>153</v>
      </c>
      <c r="R9" s="312" t="s">
        <v>154</v>
      </c>
      <c r="S9" s="312" t="s">
        <v>155</v>
      </c>
      <c r="T9" s="312" t="s">
        <v>156</v>
      </c>
      <c r="U9" s="312" t="s">
        <v>157</v>
      </c>
      <c r="V9" s="326" t="s">
        <v>209</v>
      </c>
      <c r="W9" s="312" t="s">
        <v>158</v>
      </c>
      <c r="X9" s="312" t="s">
        <v>159</v>
      </c>
    </row>
    <row r="10" spans="1:24" ht="35.25" customHeight="1" x14ac:dyDescent="0.35">
      <c r="A10" s="323"/>
      <c r="B10" s="323"/>
      <c r="C10" s="323"/>
      <c r="D10" s="323"/>
      <c r="E10" s="323"/>
      <c r="F10" s="323"/>
      <c r="G10" s="323"/>
      <c r="H10" s="258" t="s">
        <v>105</v>
      </c>
      <c r="I10" s="258" t="s">
        <v>104</v>
      </c>
      <c r="J10" s="325"/>
      <c r="K10" s="258" t="s">
        <v>105</v>
      </c>
      <c r="L10" s="258" t="s">
        <v>104</v>
      </c>
      <c r="M10" s="313"/>
      <c r="N10" s="312"/>
      <c r="O10" s="312"/>
      <c r="P10" s="312"/>
      <c r="Q10" s="312"/>
      <c r="R10" s="312"/>
      <c r="S10" s="312"/>
      <c r="T10" s="312"/>
      <c r="U10" s="312"/>
      <c r="V10" s="326"/>
      <c r="W10" s="312"/>
      <c r="X10" s="312"/>
    </row>
    <row r="11" spans="1:24" s="172" customFormat="1" ht="53.25" customHeight="1" x14ac:dyDescent="0.25">
      <c r="A11" s="165" t="s">
        <v>103</v>
      </c>
      <c r="B11" s="166" t="s">
        <v>102</v>
      </c>
      <c r="C11" s="167"/>
      <c r="D11" s="168"/>
      <c r="E11" s="169"/>
      <c r="F11" s="169">
        <f>F16+F19+F18+F20+F26+F25+F17</f>
        <v>201648.41119493829</v>
      </c>
      <c r="G11" s="170">
        <f>J11/$M11</f>
        <v>0.50827314160669357</v>
      </c>
      <c r="H11" s="170">
        <f>K11/$M11</f>
        <v>0.4922151302610232</v>
      </c>
      <c r="I11" s="170">
        <f>L11/$M11</f>
        <v>0</v>
      </c>
      <c r="J11" s="169">
        <f>+J16+J17+J18+J19+J20+J25+J26</f>
        <v>102442.4516908291</v>
      </c>
      <c r="K11" s="169">
        <f>K16+K19+K18+K20+K26+K25+K17</f>
        <v>99205.959504109225</v>
      </c>
      <c r="L11" s="261">
        <f>L16+L19+L18+L20+L26</f>
        <v>0</v>
      </c>
      <c r="M11" s="169">
        <v>201550</v>
      </c>
      <c r="N11" s="169"/>
      <c r="O11" s="261"/>
      <c r="P11" s="171"/>
      <c r="Q11" s="171"/>
      <c r="R11" s="171"/>
      <c r="S11" s="171"/>
      <c r="T11" s="171"/>
      <c r="U11" s="171"/>
      <c r="V11" s="171"/>
      <c r="W11" s="228"/>
      <c r="X11" s="171"/>
    </row>
    <row r="12" spans="1:24" hidden="1" x14ac:dyDescent="0.35">
      <c r="A12" s="173"/>
      <c r="B12" s="174"/>
      <c r="C12" s="175"/>
      <c r="D12" s="176"/>
      <c r="E12" s="177"/>
      <c r="F12" s="177"/>
      <c r="G12" s="178"/>
      <c r="H12" s="178"/>
      <c r="I12" s="178"/>
      <c r="J12" s="278">
        <v>102442</v>
      </c>
      <c r="K12" s="179">
        <v>70641</v>
      </c>
      <c r="L12" s="262"/>
      <c r="M12" s="179">
        <f>+K12+J12</f>
        <v>173083</v>
      </c>
      <c r="N12" s="285"/>
      <c r="O12" s="262"/>
      <c r="P12" s="180"/>
      <c r="Q12" s="180"/>
      <c r="R12" s="180"/>
      <c r="S12" s="180"/>
      <c r="T12" s="180"/>
      <c r="U12" s="180"/>
      <c r="V12" s="180"/>
      <c r="W12" s="208"/>
      <c r="X12" s="180"/>
    </row>
    <row r="13" spans="1:24" hidden="1" x14ac:dyDescent="0.35">
      <c r="A13" s="173"/>
      <c r="B13" s="174"/>
      <c r="C13" s="175"/>
      <c r="D13" s="176"/>
      <c r="E13" s="177"/>
      <c r="F13" s="177"/>
      <c r="G13" s="178"/>
      <c r="H13" s="178"/>
      <c r="I13" s="178"/>
      <c r="J13" s="278">
        <f>+J12-J11</f>
        <v>-0.45169082909706049</v>
      </c>
      <c r="K13" s="179">
        <f>+K12-K11</f>
        <v>-28564.959504109225</v>
      </c>
      <c r="L13" s="262">
        <f t="shared" ref="L13:M13" si="0">+L12-L11</f>
        <v>0</v>
      </c>
      <c r="M13" s="179">
        <f t="shared" si="0"/>
        <v>-28467</v>
      </c>
      <c r="N13" s="285"/>
      <c r="O13" s="262"/>
      <c r="P13" s="180"/>
      <c r="Q13" s="180"/>
      <c r="R13" s="180"/>
      <c r="S13" s="180"/>
      <c r="T13" s="180"/>
      <c r="U13" s="180"/>
      <c r="V13" s="180"/>
      <c r="W13" s="208"/>
      <c r="X13" s="180"/>
    </row>
    <row r="14" spans="1:24" hidden="1" x14ac:dyDescent="0.35">
      <c r="A14" s="173"/>
      <c r="B14" s="174"/>
      <c r="C14" s="175"/>
      <c r="D14" s="176"/>
      <c r="E14" s="177"/>
      <c r="F14" s="177"/>
      <c r="G14" s="178"/>
      <c r="H14" s="178"/>
      <c r="I14" s="178"/>
      <c r="J14" s="278"/>
      <c r="K14" s="179">
        <f>+(-K13)</f>
        <v>28564.959504109225</v>
      </c>
      <c r="L14" s="262">
        <f>+J11+K12-(M12)</f>
        <v>0.45169082909706049</v>
      </c>
      <c r="M14" s="179">
        <f>+M12-K14+(J13)</f>
        <v>144517.58880506168</v>
      </c>
      <c r="N14" s="285"/>
      <c r="O14" s="262"/>
      <c r="P14" s="180"/>
      <c r="Q14" s="180"/>
      <c r="R14" s="180"/>
      <c r="S14" s="180"/>
      <c r="T14" s="180"/>
      <c r="U14" s="180"/>
      <c r="V14" s="180"/>
      <c r="W14" s="208"/>
      <c r="X14" s="180"/>
    </row>
    <row r="15" spans="1:24" ht="18" hidden="1" customHeight="1" x14ac:dyDescent="0.35">
      <c r="A15" s="181"/>
      <c r="B15" s="182"/>
      <c r="C15" s="183"/>
      <c r="D15" s="184"/>
      <c r="E15" s="185"/>
      <c r="F15" s="185"/>
      <c r="G15" s="186"/>
      <c r="H15" s="186"/>
      <c r="I15" s="186"/>
      <c r="J15" s="279">
        <v>101632</v>
      </c>
      <c r="K15" s="187">
        <v>99294</v>
      </c>
      <c r="L15" s="263"/>
      <c r="M15" s="187">
        <f>+K15+J15</f>
        <v>200926</v>
      </c>
      <c r="N15" s="286"/>
      <c r="O15" s="263"/>
      <c r="P15" s="180"/>
      <c r="Q15" s="180"/>
      <c r="R15" s="180"/>
      <c r="S15" s="180"/>
      <c r="T15" s="180"/>
      <c r="U15" s="180"/>
      <c r="V15" s="180"/>
      <c r="W15" s="208"/>
      <c r="X15" s="180"/>
    </row>
    <row r="16" spans="1:24" s="163" customFormat="1" ht="36" x14ac:dyDescent="0.35">
      <c r="A16" s="188" t="s">
        <v>101</v>
      </c>
      <c r="B16" s="189" t="s">
        <v>64</v>
      </c>
      <c r="C16" s="190" t="s">
        <v>95</v>
      </c>
      <c r="D16" s="191">
        <v>2</v>
      </c>
      <c r="E16" s="192">
        <v>2677</v>
      </c>
      <c r="F16" s="192">
        <f>E16*D16</f>
        <v>5354</v>
      </c>
      <c r="G16" s="193">
        <v>0</v>
      </c>
      <c r="H16" s="193">
        <v>1</v>
      </c>
      <c r="I16" s="193">
        <f>L16/$M16</f>
        <v>0</v>
      </c>
      <c r="J16" s="280">
        <f>F16*G16</f>
        <v>0</v>
      </c>
      <c r="K16" s="192">
        <f>F16*H16</f>
        <v>5354</v>
      </c>
      <c r="L16" s="264">
        <v>0</v>
      </c>
      <c r="M16" s="192">
        <f t="shared" ref="M16:M22" si="1">SUM(J16:L16)</f>
        <v>5354</v>
      </c>
      <c r="N16" s="264" t="s">
        <v>166</v>
      </c>
      <c r="O16" s="264" t="s">
        <v>166</v>
      </c>
      <c r="P16" s="194"/>
      <c r="Q16" s="264" t="s">
        <v>166</v>
      </c>
      <c r="R16" s="194"/>
      <c r="S16" s="194"/>
      <c r="T16" s="194"/>
      <c r="U16" s="264" t="s">
        <v>166</v>
      </c>
      <c r="V16" s="194"/>
      <c r="W16" s="204"/>
      <c r="X16" s="194"/>
    </row>
    <row r="17" spans="1:24" s="163" customFormat="1" x14ac:dyDescent="0.35">
      <c r="A17" s="188" t="s">
        <v>17</v>
      </c>
      <c r="B17" s="189" t="s">
        <v>64</v>
      </c>
      <c r="C17" s="190" t="s">
        <v>69</v>
      </c>
      <c r="D17" s="191">
        <v>1</v>
      </c>
      <c r="E17" s="192">
        <f>605000/13</f>
        <v>46538.461538461539</v>
      </c>
      <c r="F17" s="192">
        <f>E17*D17</f>
        <v>46538.461538461539</v>
      </c>
      <c r="G17" s="193">
        <v>0</v>
      </c>
      <c r="H17" s="193">
        <v>1</v>
      </c>
      <c r="I17" s="193">
        <v>0</v>
      </c>
      <c r="J17" s="280">
        <f>F17*G17</f>
        <v>0</v>
      </c>
      <c r="K17" s="192">
        <f>F17*H17</f>
        <v>46538.461538461539</v>
      </c>
      <c r="L17" s="264">
        <v>0</v>
      </c>
      <c r="M17" s="192">
        <f t="shared" si="1"/>
        <v>46538.461538461539</v>
      </c>
      <c r="N17" s="264" t="s">
        <v>166</v>
      </c>
      <c r="O17" s="264" t="s">
        <v>166</v>
      </c>
      <c r="P17" s="194"/>
      <c r="Q17" s="264" t="s">
        <v>166</v>
      </c>
      <c r="R17" s="194"/>
      <c r="S17" s="194"/>
      <c r="T17" s="194"/>
      <c r="U17" s="264" t="s">
        <v>166</v>
      </c>
      <c r="V17" s="194"/>
      <c r="W17" s="204"/>
      <c r="X17" s="194"/>
    </row>
    <row r="18" spans="1:24" s="163" customFormat="1" ht="36" x14ac:dyDescent="0.35">
      <c r="A18" s="188" t="s">
        <v>100</v>
      </c>
      <c r="B18" s="189" t="s">
        <v>64</v>
      </c>
      <c r="C18" s="190" t="s">
        <v>95</v>
      </c>
      <c r="D18" s="191">
        <v>1</v>
      </c>
      <c r="E18" s="192">
        <f>2677+183</f>
        <v>2860</v>
      </c>
      <c r="F18" s="192">
        <f>E18*D18</f>
        <v>2860</v>
      </c>
      <c r="G18" s="193">
        <v>0</v>
      </c>
      <c r="H18" s="193">
        <v>1</v>
      </c>
      <c r="I18" s="193">
        <v>0</v>
      </c>
      <c r="J18" s="280">
        <f>F18*G18</f>
        <v>0</v>
      </c>
      <c r="K18" s="192">
        <f>F18*H18</f>
        <v>2860</v>
      </c>
      <c r="L18" s="264">
        <v>0</v>
      </c>
      <c r="M18" s="192">
        <f t="shared" si="1"/>
        <v>2860</v>
      </c>
      <c r="N18" s="264" t="s">
        <v>166</v>
      </c>
      <c r="O18" s="264" t="s">
        <v>166</v>
      </c>
      <c r="P18" s="194"/>
      <c r="Q18" s="264" t="s">
        <v>166</v>
      </c>
      <c r="R18" s="194"/>
      <c r="S18" s="194"/>
      <c r="T18" s="194"/>
      <c r="U18" s="264" t="s">
        <v>166</v>
      </c>
      <c r="V18" s="194"/>
      <c r="W18" s="204"/>
      <c r="X18" s="194"/>
    </row>
    <row r="19" spans="1:24" ht="112.5" x14ac:dyDescent="0.4">
      <c r="A19" s="188" t="s">
        <v>7</v>
      </c>
      <c r="B19" s="189" t="s">
        <v>64</v>
      </c>
      <c r="C19" s="190" t="s">
        <v>97</v>
      </c>
      <c r="D19" s="195">
        <v>120</v>
      </c>
      <c r="E19" s="196">
        <v>49.22</v>
      </c>
      <c r="F19" s="196">
        <v>6486.45</v>
      </c>
      <c r="G19" s="193">
        <v>0.9</v>
      </c>
      <c r="H19" s="193">
        <v>0.1</v>
      </c>
      <c r="I19" s="193">
        <v>0</v>
      </c>
      <c r="J19" s="280">
        <f>F19*G19</f>
        <v>5837.8050000000003</v>
      </c>
      <c r="K19" s="192">
        <f>F19*H19</f>
        <v>648.64499999999998</v>
      </c>
      <c r="L19" s="264">
        <v>0</v>
      </c>
      <c r="M19" s="192">
        <f t="shared" si="1"/>
        <v>6486.4500000000007</v>
      </c>
      <c r="N19" s="264" t="s">
        <v>5</v>
      </c>
      <c r="O19" s="264" t="s">
        <v>168</v>
      </c>
      <c r="P19" s="297" t="s">
        <v>178</v>
      </c>
      <c r="Q19" s="273" t="s">
        <v>169</v>
      </c>
      <c r="R19" s="296" t="s">
        <v>180</v>
      </c>
      <c r="S19" s="297" t="s">
        <v>178</v>
      </c>
      <c r="T19" s="297" t="s">
        <v>179</v>
      </c>
      <c r="U19" s="264" t="s">
        <v>166</v>
      </c>
      <c r="V19" s="159" t="s">
        <v>210</v>
      </c>
      <c r="W19" s="208" t="s">
        <v>192</v>
      </c>
      <c r="X19" s="180"/>
    </row>
    <row r="20" spans="1:24" s="163" customFormat="1" x14ac:dyDescent="0.35">
      <c r="A20" s="197" t="s">
        <v>99</v>
      </c>
      <c r="B20" s="189"/>
      <c r="C20" s="190"/>
      <c r="D20" s="195"/>
      <c r="E20" s="196"/>
      <c r="F20" s="196">
        <f>F21+F22+F23+F24</f>
        <v>54153.03</v>
      </c>
      <c r="G20" s="193">
        <f>J20/$M20</f>
        <v>0.87742791123599173</v>
      </c>
      <c r="H20" s="193">
        <f>K20/$M20</f>
        <v>0.12257208876400821</v>
      </c>
      <c r="I20" s="193">
        <f>L20/$M20</f>
        <v>0</v>
      </c>
      <c r="J20" s="280">
        <f>J21+J22+J23+J24</f>
        <v>47515.38</v>
      </c>
      <c r="K20" s="192">
        <f>K21+K22+K23+K24</f>
        <v>6637.65</v>
      </c>
      <c r="L20" s="264">
        <f>SUM(L21:L23)</f>
        <v>0</v>
      </c>
      <c r="M20" s="192">
        <f t="shared" si="1"/>
        <v>54153.03</v>
      </c>
      <c r="N20" s="274"/>
      <c r="O20" s="274"/>
      <c r="P20" s="274"/>
      <c r="Q20" s="274"/>
      <c r="R20" s="274"/>
      <c r="S20" s="274"/>
      <c r="T20" s="274"/>
      <c r="U20" s="274"/>
      <c r="V20" s="274"/>
      <c r="W20" s="305"/>
      <c r="X20" s="274"/>
    </row>
    <row r="21" spans="1:24" s="163" customFormat="1" ht="112.5" x14ac:dyDescent="0.4">
      <c r="A21" s="198" t="s">
        <v>8</v>
      </c>
      <c r="B21" s="198" t="s">
        <v>64</v>
      </c>
      <c r="C21" s="199" t="s">
        <v>97</v>
      </c>
      <c r="D21" s="200">
        <v>100</v>
      </c>
      <c r="E21" s="201">
        <v>185.5</v>
      </c>
      <c r="F21" s="201">
        <v>17913</v>
      </c>
      <c r="G21" s="202">
        <v>0.9</v>
      </c>
      <c r="H21" s="202">
        <v>0.1</v>
      </c>
      <c r="I21" s="202">
        <v>0</v>
      </c>
      <c r="J21" s="280">
        <f>F21*G21</f>
        <v>16121.7</v>
      </c>
      <c r="K21" s="203">
        <f>F21*H21</f>
        <v>1791.3000000000002</v>
      </c>
      <c r="L21" s="265">
        <v>0</v>
      </c>
      <c r="M21" s="203">
        <f t="shared" si="1"/>
        <v>17913</v>
      </c>
      <c r="N21" s="264" t="s">
        <v>5</v>
      </c>
      <c r="O21" s="264" t="s">
        <v>168</v>
      </c>
      <c r="P21" s="194"/>
      <c r="Q21" s="194"/>
      <c r="R21" s="296" t="s">
        <v>180</v>
      </c>
      <c r="S21" s="194"/>
      <c r="T21" s="194"/>
      <c r="U21" s="264" t="s">
        <v>166</v>
      </c>
      <c r="V21" s="194"/>
      <c r="W21" s="204"/>
      <c r="X21" s="207" t="s">
        <v>211</v>
      </c>
    </row>
    <row r="22" spans="1:24" s="163" customFormat="1" ht="108" x14ac:dyDescent="0.35">
      <c r="A22" s="198" t="s">
        <v>6</v>
      </c>
      <c r="B22" s="198" t="s">
        <v>64</v>
      </c>
      <c r="C22" s="199" t="s">
        <v>97</v>
      </c>
      <c r="D22" s="204">
        <v>216</v>
      </c>
      <c r="E22" s="203">
        <v>134</v>
      </c>
      <c r="F22" s="205">
        <v>28762</v>
      </c>
      <c r="G22" s="202">
        <v>0.9</v>
      </c>
      <c r="H22" s="202">
        <v>0.1</v>
      </c>
      <c r="I22" s="202">
        <v>0</v>
      </c>
      <c r="J22" s="280">
        <f>F22*G22</f>
        <v>25885.8</v>
      </c>
      <c r="K22" s="203">
        <f>F22*H22</f>
        <v>2876.2000000000003</v>
      </c>
      <c r="L22" s="265">
        <v>0</v>
      </c>
      <c r="M22" s="203">
        <f t="shared" si="1"/>
        <v>28762</v>
      </c>
      <c r="N22" s="264" t="s">
        <v>5</v>
      </c>
      <c r="O22" s="264" t="s">
        <v>168</v>
      </c>
      <c r="P22" s="298" t="s">
        <v>218</v>
      </c>
      <c r="Q22" s="273" t="s">
        <v>169</v>
      </c>
      <c r="R22" s="298" t="s">
        <v>217</v>
      </c>
      <c r="S22" s="298" t="s">
        <v>218</v>
      </c>
      <c r="T22" s="298" t="s">
        <v>220</v>
      </c>
      <c r="U22" s="264" t="s">
        <v>166</v>
      </c>
      <c r="V22" s="298" t="s">
        <v>219</v>
      </c>
      <c r="W22" s="208" t="s">
        <v>192</v>
      </c>
      <c r="X22" s="194"/>
    </row>
    <row r="23" spans="1:24" ht="54" x14ac:dyDescent="0.35">
      <c r="A23" s="206" t="s">
        <v>98</v>
      </c>
      <c r="B23" s="206" t="s">
        <v>64</v>
      </c>
      <c r="C23" s="207" t="s">
        <v>97</v>
      </c>
      <c r="D23" s="208">
        <v>216</v>
      </c>
      <c r="E23" s="205">
        <v>32</v>
      </c>
      <c r="F23" s="205">
        <f>+J23+K23</f>
        <v>6428.0300000000007</v>
      </c>
      <c r="G23" s="209">
        <v>0.7</v>
      </c>
      <c r="H23" s="209">
        <v>0.3</v>
      </c>
      <c r="I23" s="209">
        <v>0</v>
      </c>
      <c r="J23" s="280">
        <v>4772.88</v>
      </c>
      <c r="K23" s="203">
        <v>1655.15</v>
      </c>
      <c r="L23" s="266">
        <v>0</v>
      </c>
      <c r="M23" s="205">
        <f>+K23+J23</f>
        <v>6428.0300000000007</v>
      </c>
      <c r="N23" s="264" t="s">
        <v>5</v>
      </c>
      <c r="O23" s="264" t="s">
        <v>168</v>
      </c>
      <c r="P23" s="180" t="s">
        <v>237</v>
      </c>
      <c r="Q23" s="273" t="s">
        <v>169</v>
      </c>
      <c r="R23" s="295" t="s">
        <v>181</v>
      </c>
      <c r="S23" s="295" t="s">
        <v>221</v>
      </c>
      <c r="T23" s="295" t="s">
        <v>222</v>
      </c>
      <c r="U23" s="264" t="s">
        <v>166</v>
      </c>
      <c r="V23" s="295" t="s">
        <v>223</v>
      </c>
      <c r="W23" s="208" t="s">
        <v>192</v>
      </c>
      <c r="X23" s="180"/>
    </row>
    <row r="24" spans="1:24" ht="36" x14ac:dyDescent="0.35">
      <c r="A24" s="206" t="s">
        <v>147</v>
      </c>
      <c r="B24" s="206" t="s">
        <v>64</v>
      </c>
      <c r="C24" s="207" t="s">
        <v>97</v>
      </c>
      <c r="D24" s="208">
        <v>1</v>
      </c>
      <c r="E24" s="205">
        <v>1040</v>
      </c>
      <c r="F24" s="205">
        <v>1050</v>
      </c>
      <c r="G24" s="209">
        <v>0.7</v>
      </c>
      <c r="H24" s="209">
        <v>0.3</v>
      </c>
      <c r="I24" s="209">
        <v>0</v>
      </c>
      <c r="J24" s="280">
        <f>F24*G24</f>
        <v>735</v>
      </c>
      <c r="K24" s="205">
        <f>F24*H24</f>
        <v>315</v>
      </c>
      <c r="L24" s="266">
        <v>0</v>
      </c>
      <c r="M24" s="205">
        <f>SUM(J24:L24)</f>
        <v>1050</v>
      </c>
      <c r="N24" s="264" t="s">
        <v>5</v>
      </c>
      <c r="O24" s="266" t="s">
        <v>168</v>
      </c>
      <c r="P24" s="180" t="s">
        <v>238</v>
      </c>
      <c r="Q24" s="273" t="s">
        <v>169</v>
      </c>
      <c r="R24" s="180" t="s">
        <v>182</v>
      </c>
      <c r="S24" s="295" t="s">
        <v>187</v>
      </c>
      <c r="T24" s="300" t="s">
        <v>188</v>
      </c>
      <c r="U24" s="264" t="s">
        <v>166</v>
      </c>
      <c r="V24" s="295" t="s">
        <v>208</v>
      </c>
      <c r="W24" s="208" t="s">
        <v>192</v>
      </c>
      <c r="X24" s="180"/>
    </row>
    <row r="25" spans="1:24" s="163" customFormat="1" ht="34.5" customHeight="1" x14ac:dyDescent="0.35">
      <c r="A25" s="188" t="s">
        <v>96</v>
      </c>
      <c r="B25" s="189" t="s">
        <v>64</v>
      </c>
      <c r="C25" s="190" t="s">
        <v>95</v>
      </c>
      <c r="D25" s="191">
        <v>9</v>
      </c>
      <c r="E25" s="192">
        <v>2677</v>
      </c>
      <c r="F25" s="192">
        <f>E25*D25</f>
        <v>24093</v>
      </c>
      <c r="G25" s="193">
        <v>0</v>
      </c>
      <c r="H25" s="193">
        <v>1</v>
      </c>
      <c r="I25" s="193">
        <v>0</v>
      </c>
      <c r="J25" s="280">
        <f>F25*G25</f>
        <v>0</v>
      </c>
      <c r="K25" s="192">
        <f>F25*H25</f>
        <v>24093</v>
      </c>
      <c r="L25" s="264">
        <v>0</v>
      </c>
      <c r="M25" s="192">
        <f>SUM(J25:L25)</f>
        <v>24093</v>
      </c>
      <c r="N25" s="264" t="s">
        <v>166</v>
      </c>
      <c r="O25" s="264" t="s">
        <v>166</v>
      </c>
      <c r="P25" s="194"/>
      <c r="Q25" s="264" t="s">
        <v>166</v>
      </c>
      <c r="R25" s="194"/>
      <c r="S25" s="194"/>
      <c r="T25" s="194"/>
      <c r="U25" s="264" t="s">
        <v>166</v>
      </c>
      <c r="V25" s="194"/>
      <c r="W25" s="204"/>
      <c r="X25" s="194"/>
    </row>
    <row r="26" spans="1:24" s="163" customFormat="1" ht="36" x14ac:dyDescent="0.35">
      <c r="A26" s="188" t="s">
        <v>94</v>
      </c>
      <c r="B26" s="211"/>
      <c r="C26" s="212"/>
      <c r="D26" s="191"/>
      <c r="E26" s="192"/>
      <c r="F26" s="192">
        <f>F27+F29+F33+F28</f>
        <v>62163.469656476766</v>
      </c>
      <c r="G26" s="193">
        <f>J26/$M26</f>
        <v>0.78968028911678545</v>
      </c>
      <c r="H26" s="193">
        <f>K26/$M26</f>
        <v>0.21031971088321461</v>
      </c>
      <c r="I26" s="193">
        <f>L26/$M26</f>
        <v>0</v>
      </c>
      <c r="J26" s="280">
        <f>J27+J29+J33+J28</f>
        <v>49089.266690829092</v>
      </c>
      <c r="K26" s="192">
        <f>K27+K29+K33+K28</f>
        <v>13074.202965647677</v>
      </c>
      <c r="L26" s="264">
        <v>0</v>
      </c>
      <c r="M26" s="192">
        <f>SUM(J26:L26)</f>
        <v>62163.469656476766</v>
      </c>
      <c r="N26" s="274"/>
      <c r="O26" s="274"/>
      <c r="P26" s="275"/>
      <c r="Q26" s="275"/>
      <c r="R26" s="275"/>
      <c r="S26" s="275"/>
      <c r="T26" s="275"/>
      <c r="U26" s="275"/>
      <c r="V26" s="275"/>
      <c r="W26" s="306"/>
      <c r="X26" s="275"/>
    </row>
    <row r="27" spans="1:24" s="163" customFormat="1" ht="84" customHeight="1" x14ac:dyDescent="0.35">
      <c r="A27" s="198" t="s">
        <v>11</v>
      </c>
      <c r="B27" s="198" t="s">
        <v>64</v>
      </c>
      <c r="C27" s="199" t="s">
        <v>93</v>
      </c>
      <c r="D27" s="204">
        <v>22.5</v>
      </c>
      <c r="E27" s="203">
        <f>(1099.52*15.5)+(5.5*1069.52)+368.59</f>
        <v>23293.510000000002</v>
      </c>
      <c r="F27" s="203">
        <f>E27</f>
        <v>23293.510000000002</v>
      </c>
      <c r="G27" s="202">
        <v>0.9</v>
      </c>
      <c r="H27" s="202">
        <v>0.1</v>
      </c>
      <c r="I27" s="202">
        <v>0</v>
      </c>
      <c r="J27" s="280">
        <f>F27*G27</f>
        <v>20964.159000000003</v>
      </c>
      <c r="K27" s="203">
        <f>F27*H27</f>
        <v>2329.3510000000001</v>
      </c>
      <c r="L27" s="265">
        <v>0</v>
      </c>
      <c r="M27" s="203">
        <f>SUM(J27:L27)</f>
        <v>23293.510000000002</v>
      </c>
      <c r="N27" s="265" t="s">
        <v>5</v>
      </c>
      <c r="O27" s="265" t="s">
        <v>168</v>
      </c>
      <c r="P27" s="194" t="s">
        <v>239</v>
      </c>
      <c r="Q27" s="273" t="s">
        <v>169</v>
      </c>
      <c r="R27" s="298" t="s">
        <v>203</v>
      </c>
      <c r="S27" s="298" t="s">
        <v>214</v>
      </c>
      <c r="T27" s="298" t="s">
        <v>215</v>
      </c>
      <c r="U27" s="264" t="s">
        <v>202</v>
      </c>
      <c r="V27" s="298" t="s">
        <v>216</v>
      </c>
      <c r="W27" s="204"/>
      <c r="X27" s="194"/>
    </row>
    <row r="28" spans="1:24" s="163" customFormat="1" ht="108" x14ac:dyDescent="0.35">
      <c r="A28" s="198" t="s">
        <v>118</v>
      </c>
      <c r="B28" s="198" t="s">
        <v>64</v>
      </c>
      <c r="C28" s="199" t="s">
        <v>117</v>
      </c>
      <c r="D28" s="204">
        <v>2</v>
      </c>
      <c r="E28" s="203">
        <f>2164.32*D28</f>
        <v>4328.6400000000003</v>
      </c>
      <c r="F28" s="203">
        <f>E28</f>
        <v>4328.6400000000003</v>
      </c>
      <c r="G28" s="202">
        <v>0.5</v>
      </c>
      <c r="H28" s="202">
        <v>0.5</v>
      </c>
      <c r="I28" s="202">
        <v>0</v>
      </c>
      <c r="J28" s="280">
        <f>F28*G28</f>
        <v>2164.3200000000002</v>
      </c>
      <c r="K28" s="203">
        <f>F28*H28</f>
        <v>2164.3200000000002</v>
      </c>
      <c r="L28" s="265"/>
      <c r="M28" s="203">
        <f>J28+K28</f>
        <v>4328.6400000000003</v>
      </c>
      <c r="N28" s="265" t="s">
        <v>5</v>
      </c>
      <c r="O28" s="265" t="s">
        <v>168</v>
      </c>
      <c r="P28" s="298" t="s">
        <v>204</v>
      </c>
      <c r="Q28" s="273" t="s">
        <v>169</v>
      </c>
      <c r="R28" s="298" t="s">
        <v>205</v>
      </c>
      <c r="S28" s="298" t="s">
        <v>204</v>
      </c>
      <c r="T28" s="298" t="s">
        <v>206</v>
      </c>
      <c r="U28" s="264" t="s">
        <v>166</v>
      </c>
      <c r="V28" s="298" t="s">
        <v>207</v>
      </c>
      <c r="W28" s="204"/>
      <c r="X28" s="194"/>
    </row>
    <row r="29" spans="1:24" s="163" customFormat="1" ht="36" x14ac:dyDescent="0.35">
      <c r="A29" s="213" t="s">
        <v>92</v>
      </c>
      <c r="B29" s="213"/>
      <c r="C29" s="212"/>
      <c r="D29" s="214"/>
      <c r="E29" s="215"/>
      <c r="F29" s="215">
        <f>F30+F31+F32</f>
        <v>28845.319656476764</v>
      </c>
      <c r="G29" s="216">
        <v>0.9</v>
      </c>
      <c r="H29" s="216">
        <v>0.1</v>
      </c>
      <c r="I29" s="216">
        <v>0</v>
      </c>
      <c r="J29" s="281">
        <f>J30+J31+J32</f>
        <v>25960.787690829085</v>
      </c>
      <c r="K29" s="215">
        <f>K30+K31+K32</f>
        <v>2884.5319656476768</v>
      </c>
      <c r="L29" s="267">
        <f>SUM(L30:L31)</f>
        <v>0</v>
      </c>
      <c r="M29" s="215">
        <f t="shared" ref="M29:M35" si="2">SUM(J29:L29)</f>
        <v>28845.319656476764</v>
      </c>
      <c r="N29" s="275"/>
      <c r="O29" s="275"/>
      <c r="P29" s="275"/>
      <c r="Q29" s="275"/>
      <c r="R29" s="275"/>
      <c r="S29" s="275"/>
      <c r="T29" s="275"/>
      <c r="U29" s="275"/>
      <c r="V29" s="275"/>
      <c r="W29" s="306"/>
      <c r="X29" s="275"/>
    </row>
    <row r="30" spans="1:24" s="163" customFormat="1" ht="77.25" customHeight="1" x14ac:dyDescent="0.35">
      <c r="A30" s="198" t="s">
        <v>12</v>
      </c>
      <c r="B30" s="198" t="s">
        <v>64</v>
      </c>
      <c r="C30" s="199" t="s">
        <v>66</v>
      </c>
      <c r="D30" s="200">
        <v>17.5</v>
      </c>
      <c r="E30" s="201">
        <f>((1434.49*8)+(1236.63*5.5) )+1835.37</f>
        <v>20112.755000000001</v>
      </c>
      <c r="F30" s="201">
        <f>E30</f>
        <v>20112.755000000001</v>
      </c>
      <c r="G30" s="202">
        <v>0.9</v>
      </c>
      <c r="H30" s="202">
        <v>0.1</v>
      </c>
      <c r="I30" s="202">
        <v>0</v>
      </c>
      <c r="J30" s="280">
        <f>F30*G30</f>
        <v>18101.479500000001</v>
      </c>
      <c r="K30" s="203">
        <f>F30*H30</f>
        <v>2011.2755000000002</v>
      </c>
      <c r="L30" s="265">
        <v>0</v>
      </c>
      <c r="M30" s="203">
        <f t="shared" si="2"/>
        <v>20112.755000000001</v>
      </c>
      <c r="N30" s="265" t="s">
        <v>5</v>
      </c>
      <c r="O30" s="265" t="s">
        <v>168</v>
      </c>
      <c r="P30" s="298" t="s">
        <v>190</v>
      </c>
      <c r="Q30" s="273" t="s">
        <v>169</v>
      </c>
      <c r="R30" s="298" t="s">
        <v>189</v>
      </c>
      <c r="S30" s="298" t="s">
        <v>190</v>
      </c>
      <c r="T30" s="298" t="s">
        <v>191</v>
      </c>
      <c r="U30" s="264" t="s">
        <v>166</v>
      </c>
      <c r="V30" s="298" t="s">
        <v>193</v>
      </c>
      <c r="W30" s="208" t="s">
        <v>192</v>
      </c>
      <c r="X30" s="194"/>
    </row>
    <row r="31" spans="1:24" s="163" customFormat="1" ht="52.5" customHeight="1" x14ac:dyDescent="0.35">
      <c r="A31" s="198" t="s">
        <v>13</v>
      </c>
      <c r="B31" s="198" t="s">
        <v>64</v>
      </c>
      <c r="C31" s="199" t="s">
        <v>66</v>
      </c>
      <c r="D31" s="200">
        <v>9</v>
      </c>
      <c r="E31" s="201">
        <f>((814.17*6)+759.89)+1543.73</f>
        <v>7188.6399999999994</v>
      </c>
      <c r="F31" s="201">
        <f>E31</f>
        <v>7188.6399999999994</v>
      </c>
      <c r="G31" s="202">
        <v>0.9</v>
      </c>
      <c r="H31" s="202">
        <v>0.1</v>
      </c>
      <c r="I31" s="202">
        <v>0</v>
      </c>
      <c r="J31" s="280">
        <f>F31*G31</f>
        <v>6469.7759999999998</v>
      </c>
      <c r="K31" s="203">
        <f>F31*H31</f>
        <v>718.86400000000003</v>
      </c>
      <c r="L31" s="265">
        <v>0</v>
      </c>
      <c r="M31" s="203">
        <f t="shared" si="2"/>
        <v>7188.6399999999994</v>
      </c>
      <c r="N31" s="265" t="s">
        <v>5</v>
      </c>
      <c r="O31" s="265" t="s">
        <v>168</v>
      </c>
      <c r="P31" s="298" t="s">
        <v>197</v>
      </c>
      <c r="Q31" s="273" t="s">
        <v>169</v>
      </c>
      <c r="R31" s="194" t="s">
        <v>194</v>
      </c>
      <c r="S31" s="298" t="s">
        <v>197</v>
      </c>
      <c r="T31" s="298" t="s">
        <v>198</v>
      </c>
      <c r="U31" s="264" t="s">
        <v>166</v>
      </c>
      <c r="V31" s="298" t="s">
        <v>199</v>
      </c>
      <c r="W31" s="204"/>
      <c r="X31" s="194"/>
    </row>
    <row r="32" spans="1:24" s="222" customFormat="1" ht="32.25" customHeight="1" x14ac:dyDescent="0.35">
      <c r="A32" s="217" t="s">
        <v>115</v>
      </c>
      <c r="B32" s="217" t="s">
        <v>64</v>
      </c>
      <c r="C32" s="218" t="s">
        <v>116</v>
      </c>
      <c r="D32" s="200">
        <v>5</v>
      </c>
      <c r="E32" s="201">
        <v>308.78493129535275</v>
      </c>
      <c r="F32" s="219">
        <f>D32*E32</f>
        <v>1543.9246564767636</v>
      </c>
      <c r="G32" s="220">
        <v>0.9</v>
      </c>
      <c r="H32" s="220">
        <v>0.1</v>
      </c>
      <c r="I32" s="220"/>
      <c r="J32" s="282">
        <f>G32*F32</f>
        <v>1389.5321908290873</v>
      </c>
      <c r="K32" s="201">
        <f>H32*F32</f>
        <v>154.39246564767637</v>
      </c>
      <c r="L32" s="288"/>
      <c r="M32" s="203">
        <f t="shared" si="2"/>
        <v>1543.9246564767636</v>
      </c>
      <c r="N32" s="265" t="s">
        <v>5</v>
      </c>
      <c r="O32" s="265" t="s">
        <v>168</v>
      </c>
      <c r="P32" s="355">
        <v>42087</v>
      </c>
      <c r="Q32" s="273" t="s">
        <v>169</v>
      </c>
      <c r="R32" s="221" t="s">
        <v>200</v>
      </c>
      <c r="S32" s="355">
        <v>42087</v>
      </c>
      <c r="T32" s="302">
        <v>42216</v>
      </c>
      <c r="U32" s="264" t="s">
        <v>166</v>
      </c>
      <c r="V32" s="221" t="s">
        <v>201</v>
      </c>
      <c r="W32" s="200"/>
      <c r="X32" s="221"/>
    </row>
    <row r="33" spans="1:24" s="223" customFormat="1" ht="36" x14ac:dyDescent="0.35">
      <c r="A33" s="213" t="s">
        <v>91</v>
      </c>
      <c r="B33" s="213"/>
      <c r="C33" s="212"/>
      <c r="D33" s="214"/>
      <c r="E33" s="215"/>
      <c r="F33" s="215">
        <f>F34+F35</f>
        <v>5696</v>
      </c>
      <c r="G33" s="216">
        <v>0</v>
      </c>
      <c r="H33" s="216">
        <v>1</v>
      </c>
      <c r="I33" s="216">
        <v>0</v>
      </c>
      <c r="J33" s="281">
        <f>J34+J35</f>
        <v>0</v>
      </c>
      <c r="K33" s="215">
        <f>K34+K35</f>
        <v>5696</v>
      </c>
      <c r="L33" s="267">
        <f>SUM(L34:L35)</f>
        <v>0</v>
      </c>
      <c r="M33" s="215">
        <f t="shared" si="2"/>
        <v>5696</v>
      </c>
      <c r="N33" s="275"/>
      <c r="O33" s="275"/>
      <c r="P33" s="275"/>
      <c r="Q33" s="275"/>
      <c r="R33" s="275"/>
      <c r="S33" s="275"/>
      <c r="T33" s="275"/>
      <c r="U33" s="275"/>
      <c r="V33" s="275"/>
      <c r="W33" s="306"/>
      <c r="X33" s="275"/>
    </row>
    <row r="34" spans="1:24" s="163" customFormat="1" ht="36" x14ac:dyDescent="0.35">
      <c r="A34" s="198" t="s">
        <v>2</v>
      </c>
      <c r="B34" s="198" t="s">
        <v>90</v>
      </c>
      <c r="C34" s="199" t="s">
        <v>89</v>
      </c>
      <c r="D34" s="204">
        <v>4</v>
      </c>
      <c r="E34" s="203">
        <v>299</v>
      </c>
      <c r="F34" s="205">
        <f>E34*D34</f>
        <v>1196</v>
      </c>
      <c r="G34" s="202">
        <v>0</v>
      </c>
      <c r="H34" s="202">
        <v>1</v>
      </c>
      <c r="I34" s="202">
        <v>0</v>
      </c>
      <c r="J34" s="280">
        <f>F34*G34</f>
        <v>0</v>
      </c>
      <c r="K34" s="203">
        <f>F34*H34</f>
        <v>1196</v>
      </c>
      <c r="L34" s="265">
        <v>0</v>
      </c>
      <c r="M34" s="203">
        <f t="shared" si="2"/>
        <v>1196</v>
      </c>
      <c r="N34" s="265" t="s">
        <v>3</v>
      </c>
      <c r="O34" s="265" t="s">
        <v>168</v>
      </c>
      <c r="P34" s="194"/>
      <c r="Q34" s="266" t="s">
        <v>169</v>
      </c>
      <c r="R34" s="194"/>
      <c r="S34" s="194"/>
      <c r="T34" s="194"/>
      <c r="U34" s="264" t="s">
        <v>166</v>
      </c>
      <c r="V34" s="356">
        <v>1196</v>
      </c>
      <c r="W34" s="204"/>
      <c r="X34" s="194"/>
    </row>
    <row r="35" spans="1:24" s="163" customFormat="1" ht="36" x14ac:dyDescent="0.35">
      <c r="A35" s="198" t="s">
        <v>4</v>
      </c>
      <c r="B35" s="198" t="s">
        <v>90</v>
      </c>
      <c r="C35" s="199" t="s">
        <v>89</v>
      </c>
      <c r="D35" s="204">
        <v>2</v>
      </c>
      <c r="E35" s="203">
        <v>2250</v>
      </c>
      <c r="F35" s="205">
        <f>E35*D35</f>
        <v>4500</v>
      </c>
      <c r="G35" s="202">
        <v>0</v>
      </c>
      <c r="H35" s="202">
        <v>1</v>
      </c>
      <c r="I35" s="202">
        <v>0</v>
      </c>
      <c r="J35" s="280">
        <f>F35*G35</f>
        <v>0</v>
      </c>
      <c r="K35" s="203">
        <f>F35*H35</f>
        <v>4500</v>
      </c>
      <c r="L35" s="265">
        <v>0</v>
      </c>
      <c r="M35" s="203">
        <f t="shared" si="2"/>
        <v>4500</v>
      </c>
      <c r="N35" s="265" t="s">
        <v>3</v>
      </c>
      <c r="O35" s="265" t="s">
        <v>168</v>
      </c>
      <c r="P35" s="194"/>
      <c r="Q35" s="266" t="s">
        <v>169</v>
      </c>
      <c r="R35" s="194"/>
      <c r="S35" s="194"/>
      <c r="T35" s="194"/>
      <c r="U35" s="264" t="s">
        <v>166</v>
      </c>
      <c r="V35" s="194"/>
      <c r="W35" s="204"/>
      <c r="X35" s="194"/>
    </row>
    <row r="36" spans="1:24" s="162" customFormat="1" ht="36" x14ac:dyDescent="0.25">
      <c r="A36" s="224" t="s">
        <v>88</v>
      </c>
      <c r="B36" s="224"/>
      <c r="C36" s="224"/>
      <c r="D36" s="225"/>
      <c r="E36" s="226"/>
      <c r="F36" s="226">
        <f>(F38+F47+F55)</f>
        <v>195501</v>
      </c>
      <c r="G36" s="227">
        <f>J36/$M36</f>
        <v>0.72514473071749008</v>
      </c>
      <c r="H36" s="227">
        <f>K36/$M36</f>
        <v>0.27485526928251003</v>
      </c>
      <c r="I36" s="227">
        <f>L36/$M36</f>
        <v>0</v>
      </c>
      <c r="J36" s="294">
        <f>(J38+J47+J55)</f>
        <v>141766.52000000002</v>
      </c>
      <c r="K36" s="226">
        <f>(K38+K47+K55)</f>
        <v>53734.479999999996</v>
      </c>
      <c r="L36" s="226">
        <f>L38+L47+L55</f>
        <v>0</v>
      </c>
      <c r="M36" s="226">
        <f>(M38+M47+M55)</f>
        <v>195501</v>
      </c>
      <c r="N36" s="226"/>
      <c r="O36" s="226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24" hidden="1" x14ac:dyDescent="0.35">
      <c r="A37" s="181"/>
      <c r="B37" s="182"/>
      <c r="C37" s="183"/>
      <c r="D37" s="184"/>
      <c r="E37" s="185"/>
      <c r="F37" s="185"/>
      <c r="G37" s="186"/>
      <c r="H37" s="186"/>
      <c r="I37" s="186"/>
      <c r="J37" s="278">
        <v>141767</v>
      </c>
      <c r="K37" s="179">
        <v>53734</v>
      </c>
      <c r="L37" s="262"/>
      <c r="M37" s="179">
        <f>+K37+J37</f>
        <v>195501</v>
      </c>
      <c r="N37" s="285"/>
      <c r="O37" s="262"/>
      <c r="P37" s="180"/>
      <c r="Q37" s="180"/>
      <c r="R37" s="180"/>
      <c r="S37" s="180"/>
      <c r="T37" s="180"/>
      <c r="U37" s="180"/>
      <c r="V37" s="180"/>
      <c r="W37" s="208"/>
      <c r="X37" s="180"/>
    </row>
    <row r="38" spans="1:24" s="163" customFormat="1" ht="57.75" customHeight="1" x14ac:dyDescent="0.35">
      <c r="A38" s="188" t="s">
        <v>87</v>
      </c>
      <c r="B38" s="189"/>
      <c r="C38" s="190"/>
      <c r="D38" s="191"/>
      <c r="E38" s="192"/>
      <c r="F38" s="192">
        <f>SUM(F39:F46)</f>
        <v>63665</v>
      </c>
      <c r="G38" s="193">
        <f>J38/$M38</f>
        <v>0.82045596481583283</v>
      </c>
      <c r="H38" s="193">
        <f>K38/$M38</f>
        <v>0.17954403518416712</v>
      </c>
      <c r="I38" s="193">
        <f>L38/$M38</f>
        <v>0</v>
      </c>
      <c r="J38" s="280">
        <f>SUM(J39:J46)</f>
        <v>52234.329000000005</v>
      </c>
      <c r="K38" s="192">
        <f>SUM(K39:K46)</f>
        <v>11430.671</v>
      </c>
      <c r="L38" s="264">
        <f>SUM(L39:L46)</f>
        <v>0</v>
      </c>
      <c r="M38" s="192">
        <f t="shared" ref="M38:M62" si="3">SUM(J38:L38)</f>
        <v>63665.000000000007</v>
      </c>
      <c r="N38" s="275"/>
      <c r="O38" s="275"/>
      <c r="P38" s="275"/>
      <c r="Q38" s="275"/>
      <c r="R38" s="275"/>
      <c r="S38" s="275"/>
      <c r="T38" s="275"/>
      <c r="U38" s="275"/>
      <c r="V38" s="275"/>
      <c r="W38" s="306"/>
      <c r="X38" s="275"/>
    </row>
    <row r="39" spans="1:24" s="163" customFormat="1" ht="36" x14ac:dyDescent="0.35">
      <c r="A39" s="206" t="s">
        <v>86</v>
      </c>
      <c r="B39" s="198" t="s">
        <v>64</v>
      </c>
      <c r="C39" s="199" t="s">
        <v>69</v>
      </c>
      <c r="D39" s="204">
        <v>2</v>
      </c>
      <c r="E39" s="203">
        <f>6000</f>
        <v>6000</v>
      </c>
      <c r="F39" s="205">
        <f t="shared" ref="F39:F46" si="4">E39*D39</f>
        <v>12000</v>
      </c>
      <c r="G39" s="202">
        <v>0.5</v>
      </c>
      <c r="H39" s="202">
        <v>0.5</v>
      </c>
      <c r="I39" s="202">
        <v>0</v>
      </c>
      <c r="J39" s="280">
        <f t="shared" ref="J39:J46" si="5">F39*G39</f>
        <v>6000</v>
      </c>
      <c r="K39" s="203">
        <f t="shared" ref="K39:K46" si="6">F39*H39</f>
        <v>6000</v>
      </c>
      <c r="L39" s="265">
        <v>0</v>
      </c>
      <c r="M39" s="203">
        <f t="shared" si="3"/>
        <v>12000</v>
      </c>
      <c r="N39" s="265" t="s">
        <v>5</v>
      </c>
      <c r="O39" s="265" t="s">
        <v>168</v>
      </c>
      <c r="P39" s="301">
        <v>42491</v>
      </c>
      <c r="Q39" s="273" t="s">
        <v>169</v>
      </c>
      <c r="R39" s="309" t="s">
        <v>213</v>
      </c>
      <c r="S39" s="194"/>
      <c r="T39" s="194"/>
      <c r="U39" s="264" t="s">
        <v>166</v>
      </c>
      <c r="V39" s="194"/>
      <c r="W39" s="204"/>
      <c r="X39" s="194"/>
    </row>
    <row r="40" spans="1:24" s="163" customFormat="1" x14ac:dyDescent="0.35">
      <c r="A40" s="206" t="s">
        <v>85</v>
      </c>
      <c r="B40" s="198" t="s">
        <v>64</v>
      </c>
      <c r="C40" s="199" t="s">
        <v>69</v>
      </c>
      <c r="D40" s="204">
        <v>1</v>
      </c>
      <c r="E40" s="203">
        <f>9652</f>
        <v>9652</v>
      </c>
      <c r="F40" s="205">
        <f t="shared" si="4"/>
        <v>9652</v>
      </c>
      <c r="G40" s="202">
        <v>0.9</v>
      </c>
      <c r="H40" s="202">
        <v>0.1</v>
      </c>
      <c r="I40" s="202">
        <v>0</v>
      </c>
      <c r="J40" s="280">
        <f t="shared" si="5"/>
        <v>8686.8000000000011</v>
      </c>
      <c r="K40" s="203">
        <f t="shared" si="6"/>
        <v>965.2</v>
      </c>
      <c r="L40" s="265">
        <v>0</v>
      </c>
      <c r="M40" s="203">
        <f t="shared" si="3"/>
        <v>9652.0000000000018</v>
      </c>
      <c r="N40" s="265" t="s">
        <v>5</v>
      </c>
      <c r="O40" s="265" t="s">
        <v>168</v>
      </c>
      <c r="P40" s="301">
        <v>42491</v>
      </c>
      <c r="Q40" s="273" t="s">
        <v>169</v>
      </c>
      <c r="R40" s="295"/>
      <c r="S40" s="194"/>
      <c r="T40" s="194"/>
      <c r="U40" s="264" t="s">
        <v>166</v>
      </c>
      <c r="V40" s="194"/>
      <c r="W40" s="204"/>
      <c r="X40" s="194"/>
    </row>
    <row r="41" spans="1:24" s="163" customFormat="1" x14ac:dyDescent="0.35">
      <c r="A41" s="206" t="s">
        <v>14</v>
      </c>
      <c r="B41" s="198" t="s">
        <v>64</v>
      </c>
      <c r="C41" s="199" t="s">
        <v>66</v>
      </c>
      <c r="D41" s="204">
        <v>6</v>
      </c>
      <c r="E41" s="203">
        <f>3750</f>
        <v>3750</v>
      </c>
      <c r="F41" s="205">
        <f t="shared" si="4"/>
        <v>22500</v>
      </c>
      <c r="G41" s="202">
        <v>0.9</v>
      </c>
      <c r="H41" s="202">
        <v>0.1</v>
      </c>
      <c r="I41" s="202">
        <v>0</v>
      </c>
      <c r="J41" s="280">
        <f t="shared" si="5"/>
        <v>20250</v>
      </c>
      <c r="K41" s="203">
        <f t="shared" si="6"/>
        <v>2250</v>
      </c>
      <c r="L41" s="265">
        <v>0</v>
      </c>
      <c r="M41" s="203">
        <f t="shared" si="3"/>
        <v>22500</v>
      </c>
      <c r="N41" s="265" t="s">
        <v>5</v>
      </c>
      <c r="O41" s="265" t="s">
        <v>168</v>
      </c>
      <c r="P41" s="301">
        <v>42491</v>
      </c>
      <c r="Q41" s="273" t="s">
        <v>169</v>
      </c>
      <c r="R41" s="309" t="s">
        <v>213</v>
      </c>
      <c r="S41" s="194"/>
      <c r="T41" s="194"/>
      <c r="U41" s="264" t="s">
        <v>166</v>
      </c>
      <c r="V41" s="194"/>
      <c r="W41" s="204"/>
      <c r="X41" s="194"/>
    </row>
    <row r="42" spans="1:24" ht="54" x14ac:dyDescent="0.35">
      <c r="A42" s="206" t="s">
        <v>84</v>
      </c>
      <c r="B42" s="206" t="s">
        <v>71</v>
      </c>
      <c r="C42" s="207" t="s">
        <v>70</v>
      </c>
      <c r="D42" s="208">
        <v>2</v>
      </c>
      <c r="E42" s="205">
        <f>519</f>
        <v>519</v>
      </c>
      <c r="F42" s="205">
        <f t="shared" si="4"/>
        <v>1038</v>
      </c>
      <c r="G42" s="209">
        <v>0.64549999999999996</v>
      </c>
      <c r="H42" s="209">
        <f>1-G42</f>
        <v>0.35450000000000004</v>
      </c>
      <c r="I42" s="209">
        <v>0</v>
      </c>
      <c r="J42" s="280">
        <f t="shared" si="5"/>
        <v>670.029</v>
      </c>
      <c r="K42" s="205">
        <f t="shared" si="6"/>
        <v>367.97100000000006</v>
      </c>
      <c r="L42" s="266">
        <v>0</v>
      </c>
      <c r="M42" s="205">
        <f t="shared" si="3"/>
        <v>1038</v>
      </c>
      <c r="N42" s="265" t="s">
        <v>3</v>
      </c>
      <c r="O42" s="265" t="s">
        <v>168</v>
      </c>
      <c r="P42" s="180"/>
      <c r="Q42" s="273" t="s">
        <v>169</v>
      </c>
      <c r="R42" s="295" t="s">
        <v>184</v>
      </c>
      <c r="S42" s="295" t="s">
        <v>186</v>
      </c>
      <c r="T42" s="180"/>
      <c r="U42" s="264" t="s">
        <v>166</v>
      </c>
      <c r="V42" s="180"/>
      <c r="W42" s="208"/>
      <c r="X42" s="180" t="s">
        <v>185</v>
      </c>
    </row>
    <row r="43" spans="1:24" s="163" customFormat="1" x14ac:dyDescent="0.35">
      <c r="A43" s="206" t="s">
        <v>19</v>
      </c>
      <c r="B43" s="198" t="s">
        <v>64</v>
      </c>
      <c r="C43" s="199" t="s">
        <v>69</v>
      </c>
      <c r="D43" s="204">
        <v>1</v>
      </c>
      <c r="E43" s="203">
        <f>5225</f>
        <v>5225</v>
      </c>
      <c r="F43" s="205">
        <f t="shared" si="4"/>
        <v>5225</v>
      </c>
      <c r="G43" s="202">
        <v>0.9</v>
      </c>
      <c r="H43" s="202">
        <v>0.1</v>
      </c>
      <c r="I43" s="202">
        <v>0</v>
      </c>
      <c r="J43" s="280">
        <f t="shared" si="5"/>
        <v>4702.5</v>
      </c>
      <c r="K43" s="203">
        <f t="shared" si="6"/>
        <v>522.5</v>
      </c>
      <c r="L43" s="265">
        <v>0</v>
      </c>
      <c r="M43" s="203">
        <f t="shared" si="3"/>
        <v>5225</v>
      </c>
      <c r="N43" s="265" t="s">
        <v>5</v>
      </c>
      <c r="O43" s="265" t="s">
        <v>168</v>
      </c>
      <c r="P43" s="301">
        <v>42491</v>
      </c>
      <c r="Q43" s="273" t="s">
        <v>169</v>
      </c>
      <c r="R43" s="357" t="s">
        <v>213</v>
      </c>
      <c r="S43" s="194"/>
      <c r="T43" s="194"/>
      <c r="U43" s="264" t="s">
        <v>166</v>
      </c>
      <c r="V43" s="194"/>
      <c r="W43" s="204"/>
      <c r="X43" s="194"/>
    </row>
    <row r="44" spans="1:24" s="163" customFormat="1" x14ac:dyDescent="0.35">
      <c r="A44" s="206" t="s">
        <v>83</v>
      </c>
      <c r="B44" s="198" t="s">
        <v>64</v>
      </c>
      <c r="C44" s="199" t="s">
        <v>69</v>
      </c>
      <c r="D44" s="204">
        <v>1</v>
      </c>
      <c r="E44" s="203">
        <f>3600</f>
        <v>3600</v>
      </c>
      <c r="F44" s="205">
        <f t="shared" si="4"/>
        <v>3600</v>
      </c>
      <c r="G44" s="202">
        <v>0.9</v>
      </c>
      <c r="H44" s="202">
        <v>0.1</v>
      </c>
      <c r="I44" s="202">
        <v>0</v>
      </c>
      <c r="J44" s="280">
        <f t="shared" si="5"/>
        <v>3240</v>
      </c>
      <c r="K44" s="203">
        <f t="shared" si="6"/>
        <v>360</v>
      </c>
      <c r="L44" s="265">
        <v>0</v>
      </c>
      <c r="M44" s="203">
        <f t="shared" si="3"/>
        <v>3600</v>
      </c>
      <c r="N44" s="265" t="s">
        <v>5</v>
      </c>
      <c r="O44" s="265" t="s">
        <v>168</v>
      </c>
      <c r="P44" s="301">
        <v>42491</v>
      </c>
      <c r="Q44" s="273" t="s">
        <v>169</v>
      </c>
      <c r="R44" s="357" t="s">
        <v>213</v>
      </c>
      <c r="S44" s="194"/>
      <c r="T44" s="194"/>
      <c r="U44" s="264" t="s">
        <v>166</v>
      </c>
      <c r="V44" s="194"/>
      <c r="W44" s="204"/>
      <c r="X44" s="194"/>
    </row>
    <row r="45" spans="1:24" s="163" customFormat="1" x14ac:dyDescent="0.35">
      <c r="A45" s="206" t="s">
        <v>82</v>
      </c>
      <c r="B45" s="198" t="s">
        <v>64</v>
      </c>
      <c r="C45" s="199" t="s">
        <v>69</v>
      </c>
      <c r="D45" s="204">
        <v>1</v>
      </c>
      <c r="E45" s="203">
        <f>3600</f>
        <v>3600</v>
      </c>
      <c r="F45" s="205">
        <f t="shared" si="4"/>
        <v>3600</v>
      </c>
      <c r="G45" s="202">
        <v>0.9</v>
      </c>
      <c r="H45" s="202">
        <v>0.1</v>
      </c>
      <c r="I45" s="202">
        <v>0</v>
      </c>
      <c r="J45" s="280">
        <f t="shared" si="5"/>
        <v>3240</v>
      </c>
      <c r="K45" s="203">
        <f t="shared" si="6"/>
        <v>360</v>
      </c>
      <c r="L45" s="265">
        <v>0</v>
      </c>
      <c r="M45" s="203">
        <f t="shared" si="3"/>
        <v>3600</v>
      </c>
      <c r="N45" s="265" t="s">
        <v>5</v>
      </c>
      <c r="O45" s="265" t="s">
        <v>168</v>
      </c>
      <c r="P45" s="301">
        <v>42491</v>
      </c>
      <c r="Q45" s="273" t="s">
        <v>169</v>
      </c>
      <c r="R45" s="357" t="s">
        <v>213</v>
      </c>
      <c r="S45" s="194"/>
      <c r="T45" s="194"/>
      <c r="U45" s="264" t="s">
        <v>166</v>
      </c>
      <c r="V45" s="194"/>
      <c r="W45" s="204"/>
      <c r="X45" s="194"/>
    </row>
    <row r="46" spans="1:24" s="163" customFormat="1" x14ac:dyDescent="0.35">
      <c r="A46" s="206" t="s">
        <v>81</v>
      </c>
      <c r="B46" s="198" t="s">
        <v>64</v>
      </c>
      <c r="C46" s="199" t="s">
        <v>69</v>
      </c>
      <c r="D46" s="204">
        <v>1</v>
      </c>
      <c r="E46" s="203">
        <v>6050</v>
      </c>
      <c r="F46" s="205">
        <f t="shared" si="4"/>
        <v>6050</v>
      </c>
      <c r="G46" s="202">
        <v>0.9</v>
      </c>
      <c r="H46" s="202">
        <v>0.1</v>
      </c>
      <c r="I46" s="202">
        <v>0</v>
      </c>
      <c r="J46" s="280">
        <f t="shared" si="5"/>
        <v>5445</v>
      </c>
      <c r="K46" s="203">
        <f t="shared" si="6"/>
        <v>605</v>
      </c>
      <c r="L46" s="265">
        <v>0</v>
      </c>
      <c r="M46" s="203">
        <f t="shared" si="3"/>
        <v>6050</v>
      </c>
      <c r="N46" s="265" t="s">
        <v>5</v>
      </c>
      <c r="O46" s="265" t="s">
        <v>168</v>
      </c>
      <c r="P46" s="301">
        <v>42491</v>
      </c>
      <c r="Q46" s="273" t="s">
        <v>169</v>
      </c>
      <c r="R46" s="357"/>
      <c r="S46" s="194"/>
      <c r="T46" s="194"/>
      <c r="U46" s="264" t="s">
        <v>166</v>
      </c>
      <c r="V46" s="194"/>
      <c r="W46" s="204"/>
      <c r="X46" s="194"/>
    </row>
    <row r="47" spans="1:24" s="163" customFormat="1" ht="63.75" customHeight="1" x14ac:dyDescent="0.35">
      <c r="A47" s="188" t="s">
        <v>80</v>
      </c>
      <c r="B47" s="213"/>
      <c r="C47" s="212"/>
      <c r="D47" s="214"/>
      <c r="E47" s="215"/>
      <c r="F47" s="215">
        <f>SUM(F48:F54)</f>
        <v>76738</v>
      </c>
      <c r="G47" s="216">
        <f>J47/$M47</f>
        <v>0.68951535093434801</v>
      </c>
      <c r="H47" s="216">
        <f>K47/$M47</f>
        <v>0.31048464906565199</v>
      </c>
      <c r="I47" s="216">
        <f>L47/$M47</f>
        <v>0</v>
      </c>
      <c r="J47" s="281">
        <f>SUM(J48:J54)</f>
        <v>52912.028999999995</v>
      </c>
      <c r="K47" s="215">
        <f>SUM(K48:K54)</f>
        <v>23825.971000000001</v>
      </c>
      <c r="L47" s="267">
        <f>SUM(L48:L54)</f>
        <v>0</v>
      </c>
      <c r="M47" s="215">
        <f t="shared" si="3"/>
        <v>76738</v>
      </c>
      <c r="N47" s="275"/>
      <c r="O47" s="275"/>
      <c r="P47" s="275"/>
      <c r="Q47" s="275"/>
      <c r="R47" s="275"/>
      <c r="S47" s="275"/>
      <c r="T47" s="275"/>
      <c r="U47" s="275"/>
      <c r="V47" s="275"/>
      <c r="W47" s="306"/>
      <c r="X47" s="275"/>
    </row>
    <row r="48" spans="1:24" s="163" customFormat="1" ht="36" x14ac:dyDescent="0.35">
      <c r="A48" s="206" t="s">
        <v>79</v>
      </c>
      <c r="B48" s="198" t="s">
        <v>64</v>
      </c>
      <c r="C48" s="199" t="s">
        <v>69</v>
      </c>
      <c r="D48" s="204">
        <v>2</v>
      </c>
      <c r="E48" s="203">
        <f>6000</f>
        <v>6000</v>
      </c>
      <c r="F48" s="229">
        <f t="shared" ref="F48:F54" si="7">E48*D48</f>
        <v>12000</v>
      </c>
      <c r="G48" s="202">
        <v>0.5</v>
      </c>
      <c r="H48" s="202">
        <v>0.5</v>
      </c>
      <c r="I48" s="202">
        <v>0</v>
      </c>
      <c r="J48" s="280">
        <f t="shared" ref="J48:J54" si="8">F48*G48</f>
        <v>6000</v>
      </c>
      <c r="K48" s="203">
        <f t="shared" ref="K48:K54" si="9">F48*H48</f>
        <v>6000</v>
      </c>
      <c r="L48" s="265">
        <v>0</v>
      </c>
      <c r="M48" s="203">
        <f t="shared" si="3"/>
        <v>12000</v>
      </c>
      <c r="N48" s="265" t="s">
        <v>5</v>
      </c>
      <c r="O48" s="265" t="s">
        <v>168</v>
      </c>
      <c r="P48" s="301">
        <v>42491</v>
      </c>
      <c r="Q48" s="273" t="s">
        <v>169</v>
      </c>
      <c r="R48" s="194" t="s">
        <v>213</v>
      </c>
      <c r="S48" s="194"/>
      <c r="T48" s="194"/>
      <c r="U48" s="264" t="s">
        <v>166</v>
      </c>
      <c r="V48" s="194"/>
      <c r="W48" s="204"/>
      <c r="X48" s="194"/>
    </row>
    <row r="49" spans="1:24" s="163" customFormat="1" ht="36" x14ac:dyDescent="0.35">
      <c r="A49" s="206" t="s">
        <v>78</v>
      </c>
      <c r="B49" s="198" t="s">
        <v>64</v>
      </c>
      <c r="C49" s="199" t="s">
        <v>69</v>
      </c>
      <c r="D49" s="204">
        <v>1</v>
      </c>
      <c r="E49" s="203">
        <f>12100</f>
        <v>12100</v>
      </c>
      <c r="F49" s="205">
        <f t="shared" si="7"/>
        <v>12100</v>
      </c>
      <c r="G49" s="202">
        <v>0.9</v>
      </c>
      <c r="H49" s="202">
        <v>0.1</v>
      </c>
      <c r="I49" s="202">
        <v>0</v>
      </c>
      <c r="J49" s="280">
        <f t="shared" si="8"/>
        <v>10890</v>
      </c>
      <c r="K49" s="203">
        <f t="shared" si="9"/>
        <v>1210</v>
      </c>
      <c r="L49" s="265">
        <v>0</v>
      </c>
      <c r="M49" s="203">
        <f t="shared" si="3"/>
        <v>12100</v>
      </c>
      <c r="N49" s="265" t="s">
        <v>5</v>
      </c>
      <c r="O49" s="265" t="s">
        <v>168</v>
      </c>
      <c r="P49" s="301">
        <v>42491</v>
      </c>
      <c r="Q49" s="273" t="s">
        <v>169</v>
      </c>
      <c r="R49" s="194"/>
      <c r="S49" s="194"/>
      <c r="T49" s="194"/>
      <c r="U49" s="264" t="s">
        <v>166</v>
      </c>
      <c r="V49" s="194"/>
      <c r="W49" s="204"/>
      <c r="X49" s="194"/>
    </row>
    <row r="50" spans="1:24" s="163" customFormat="1" x14ac:dyDescent="0.35">
      <c r="A50" s="206" t="s">
        <v>15</v>
      </c>
      <c r="B50" s="198" t="s">
        <v>64</v>
      </c>
      <c r="C50" s="199" t="s">
        <v>66</v>
      </c>
      <c r="D50" s="204">
        <v>6</v>
      </c>
      <c r="E50" s="203">
        <f>3950</f>
        <v>3950</v>
      </c>
      <c r="F50" s="205">
        <f t="shared" si="7"/>
        <v>23700</v>
      </c>
      <c r="G50" s="202">
        <v>0.56999999999999995</v>
      </c>
      <c r="H50" s="202">
        <v>0.43</v>
      </c>
      <c r="I50" s="202">
        <v>0</v>
      </c>
      <c r="J50" s="280">
        <f t="shared" si="8"/>
        <v>13508.999999999998</v>
      </c>
      <c r="K50" s="203">
        <f t="shared" si="9"/>
        <v>10191</v>
      </c>
      <c r="L50" s="265">
        <v>0</v>
      </c>
      <c r="M50" s="203">
        <f t="shared" si="3"/>
        <v>23700</v>
      </c>
      <c r="N50" s="265" t="s">
        <v>5</v>
      </c>
      <c r="O50" s="265" t="s">
        <v>168</v>
      </c>
      <c r="P50" s="194"/>
      <c r="Q50" s="273" t="s">
        <v>169</v>
      </c>
      <c r="R50" s="194" t="s">
        <v>183</v>
      </c>
      <c r="S50" s="299">
        <v>42334</v>
      </c>
      <c r="T50" s="299">
        <v>42700</v>
      </c>
      <c r="U50" s="264" t="s">
        <v>166</v>
      </c>
      <c r="V50" s="265">
        <v>58000</v>
      </c>
      <c r="W50" s="204" t="s">
        <v>196</v>
      </c>
      <c r="X50" s="194"/>
    </row>
    <row r="51" spans="1:24" s="163" customFormat="1" ht="36" x14ac:dyDescent="0.35">
      <c r="A51" s="206" t="s">
        <v>77</v>
      </c>
      <c r="B51" s="198" t="s">
        <v>71</v>
      </c>
      <c r="C51" s="199" t="s">
        <v>70</v>
      </c>
      <c r="D51" s="204">
        <v>2</v>
      </c>
      <c r="E51" s="203">
        <v>519</v>
      </c>
      <c r="F51" s="205">
        <f t="shared" si="7"/>
        <v>1038</v>
      </c>
      <c r="G51" s="202">
        <v>0.64549999999999996</v>
      </c>
      <c r="H51" s="202">
        <f>1-G51</f>
        <v>0.35450000000000004</v>
      </c>
      <c r="I51" s="202">
        <v>0</v>
      </c>
      <c r="J51" s="280">
        <f t="shared" si="8"/>
        <v>670.029</v>
      </c>
      <c r="K51" s="203">
        <f t="shared" si="9"/>
        <v>367.97100000000006</v>
      </c>
      <c r="L51" s="265">
        <v>0</v>
      </c>
      <c r="M51" s="203">
        <f t="shared" si="3"/>
        <v>1038</v>
      </c>
      <c r="N51" s="265" t="s">
        <v>3</v>
      </c>
      <c r="O51" s="265" t="s">
        <v>168</v>
      </c>
      <c r="P51" s="301">
        <v>42491</v>
      </c>
      <c r="Q51" s="273" t="s">
        <v>169</v>
      </c>
      <c r="R51" s="194" t="s">
        <v>213</v>
      </c>
      <c r="S51" s="194"/>
      <c r="T51" s="194"/>
      <c r="U51" s="264" t="s">
        <v>166</v>
      </c>
      <c r="V51" s="194"/>
      <c r="W51" s="204" t="s">
        <v>195</v>
      </c>
      <c r="X51" s="194"/>
    </row>
    <row r="52" spans="1:24" s="163" customFormat="1" x14ac:dyDescent="0.35">
      <c r="A52" s="206" t="s">
        <v>21</v>
      </c>
      <c r="B52" s="198" t="s">
        <v>64</v>
      </c>
      <c r="C52" s="199" t="s">
        <v>69</v>
      </c>
      <c r="D52" s="204">
        <v>1</v>
      </c>
      <c r="E52" s="203">
        <f>4500</f>
        <v>4500</v>
      </c>
      <c r="F52" s="205">
        <f t="shared" si="7"/>
        <v>4500</v>
      </c>
      <c r="G52" s="202">
        <v>0.56999999999999995</v>
      </c>
      <c r="H52" s="202">
        <v>0.43</v>
      </c>
      <c r="I52" s="202">
        <v>0</v>
      </c>
      <c r="J52" s="280">
        <f t="shared" si="8"/>
        <v>2565</v>
      </c>
      <c r="K52" s="203">
        <f t="shared" si="9"/>
        <v>1935</v>
      </c>
      <c r="L52" s="265">
        <v>0</v>
      </c>
      <c r="M52" s="203">
        <f t="shared" si="3"/>
        <v>4500</v>
      </c>
      <c r="N52" s="265" t="s">
        <v>5</v>
      </c>
      <c r="O52" s="265" t="s">
        <v>168</v>
      </c>
      <c r="P52" s="301">
        <v>42491</v>
      </c>
      <c r="Q52" s="273" t="s">
        <v>169</v>
      </c>
      <c r="R52" s="194" t="s">
        <v>213</v>
      </c>
      <c r="S52" s="194"/>
      <c r="T52" s="194"/>
      <c r="U52" s="264" t="s">
        <v>166</v>
      </c>
      <c r="V52" s="194"/>
      <c r="W52" s="204"/>
      <c r="X52" s="194"/>
    </row>
    <row r="53" spans="1:24" s="163" customFormat="1" x14ac:dyDescent="0.35">
      <c r="A53" s="206" t="s">
        <v>20</v>
      </c>
      <c r="B53" s="198" t="s">
        <v>64</v>
      </c>
      <c r="C53" s="199" t="s">
        <v>69</v>
      </c>
      <c r="D53" s="204">
        <v>1</v>
      </c>
      <c r="E53" s="203">
        <f>5400</f>
        <v>5400</v>
      </c>
      <c r="F53" s="205">
        <f t="shared" si="7"/>
        <v>5400</v>
      </c>
      <c r="G53" s="202">
        <v>0.56999999999999995</v>
      </c>
      <c r="H53" s="202">
        <v>0.43</v>
      </c>
      <c r="I53" s="202">
        <v>0</v>
      </c>
      <c r="J53" s="280">
        <f t="shared" si="8"/>
        <v>3077.9999999999995</v>
      </c>
      <c r="K53" s="203">
        <f t="shared" si="9"/>
        <v>2322</v>
      </c>
      <c r="L53" s="265">
        <v>0</v>
      </c>
      <c r="M53" s="203">
        <f t="shared" si="3"/>
        <v>5400</v>
      </c>
      <c r="N53" s="265" t="s">
        <v>5</v>
      </c>
      <c r="O53" s="265" t="s">
        <v>168</v>
      </c>
      <c r="P53" s="301">
        <v>42491</v>
      </c>
      <c r="Q53" s="273" t="s">
        <v>169</v>
      </c>
      <c r="R53" s="194" t="s">
        <v>213</v>
      </c>
      <c r="S53" s="194"/>
      <c r="T53" s="194"/>
      <c r="U53" s="264" t="s">
        <v>166</v>
      </c>
      <c r="V53" s="194"/>
      <c r="W53" s="204"/>
      <c r="X53" s="194"/>
    </row>
    <row r="54" spans="1:24" s="163" customFormat="1" ht="72" x14ac:dyDescent="0.35">
      <c r="A54" s="206" t="s">
        <v>76</v>
      </c>
      <c r="B54" s="198" t="s">
        <v>64</v>
      </c>
      <c r="C54" s="199" t="s">
        <v>69</v>
      </c>
      <c r="D54" s="204">
        <v>1</v>
      </c>
      <c r="E54" s="203">
        <v>18000</v>
      </c>
      <c r="F54" s="205">
        <f t="shared" si="7"/>
        <v>18000</v>
      </c>
      <c r="G54" s="202">
        <v>0.9</v>
      </c>
      <c r="H54" s="202">
        <v>0.1</v>
      </c>
      <c r="I54" s="202">
        <v>0</v>
      </c>
      <c r="J54" s="280">
        <f t="shared" si="8"/>
        <v>16200</v>
      </c>
      <c r="K54" s="203">
        <f t="shared" si="9"/>
        <v>1800</v>
      </c>
      <c r="L54" s="265">
        <v>0</v>
      </c>
      <c r="M54" s="203">
        <f t="shared" si="3"/>
        <v>18000</v>
      </c>
      <c r="N54" s="265" t="s">
        <v>5</v>
      </c>
      <c r="O54" s="265" t="s">
        <v>168</v>
      </c>
      <c r="P54" s="194"/>
      <c r="Q54" s="273" t="s">
        <v>169</v>
      </c>
      <c r="R54" s="295" t="s">
        <v>224</v>
      </c>
      <c r="S54" s="298" t="s">
        <v>226</v>
      </c>
      <c r="T54" s="298" t="s">
        <v>227</v>
      </c>
      <c r="U54" s="264" t="s">
        <v>166</v>
      </c>
      <c r="V54" s="298" t="s">
        <v>228</v>
      </c>
      <c r="W54" s="204"/>
      <c r="X54" s="194"/>
    </row>
    <row r="55" spans="1:24" s="163" customFormat="1" ht="72" x14ac:dyDescent="0.35">
      <c r="A55" s="188" t="s">
        <v>75</v>
      </c>
      <c r="B55" s="213"/>
      <c r="C55" s="212"/>
      <c r="D55" s="214"/>
      <c r="E55" s="215"/>
      <c r="F55" s="215">
        <f>SUM(F56:F61)</f>
        <v>55098</v>
      </c>
      <c r="G55" s="216">
        <f>J55/$M55</f>
        <v>0.66463686522196819</v>
      </c>
      <c r="H55" s="216">
        <f>K55/$M55</f>
        <v>0.33536313477803181</v>
      </c>
      <c r="I55" s="216">
        <f>L55/$M55</f>
        <v>0</v>
      </c>
      <c r="J55" s="281">
        <f>SUM(J56:J61)</f>
        <v>36620.162000000004</v>
      </c>
      <c r="K55" s="215">
        <f>SUM(K56:K61)</f>
        <v>18477.837999999996</v>
      </c>
      <c r="L55" s="267">
        <f>SUM(L56:L61)</f>
        <v>0</v>
      </c>
      <c r="M55" s="215">
        <f t="shared" si="3"/>
        <v>55098</v>
      </c>
      <c r="N55" s="275"/>
      <c r="O55" s="275"/>
      <c r="P55" s="275"/>
      <c r="Q55" s="275"/>
      <c r="R55" s="275"/>
      <c r="S55" s="275"/>
      <c r="T55" s="275"/>
      <c r="U55" s="275"/>
      <c r="V55" s="275"/>
      <c r="W55" s="306"/>
      <c r="X55" s="275"/>
    </row>
    <row r="56" spans="1:24" s="163" customFormat="1" ht="36" x14ac:dyDescent="0.35">
      <c r="A56" s="206" t="s">
        <v>74</v>
      </c>
      <c r="B56" s="198" t="s">
        <v>64</v>
      </c>
      <c r="C56" s="199" t="s">
        <v>69</v>
      </c>
      <c r="D56" s="204">
        <v>2</v>
      </c>
      <c r="E56" s="203">
        <f>6000</f>
        <v>6000</v>
      </c>
      <c r="F56" s="205">
        <f t="shared" ref="F56:F61" si="10">E56*D56</f>
        <v>12000</v>
      </c>
      <c r="G56" s="202">
        <v>0.5</v>
      </c>
      <c r="H56" s="202">
        <v>0.5</v>
      </c>
      <c r="I56" s="202">
        <v>0</v>
      </c>
      <c r="J56" s="280">
        <f t="shared" ref="J56:J61" si="11">F56*G56</f>
        <v>6000</v>
      </c>
      <c r="K56" s="203">
        <f t="shared" ref="K56:K61" si="12">F56*H56</f>
        <v>6000</v>
      </c>
      <c r="L56" s="265">
        <v>0</v>
      </c>
      <c r="M56" s="203">
        <f t="shared" si="3"/>
        <v>12000</v>
      </c>
      <c r="N56" s="265" t="s">
        <v>5</v>
      </c>
      <c r="O56" s="265" t="s">
        <v>168</v>
      </c>
      <c r="P56" s="301">
        <v>42491</v>
      </c>
      <c r="Q56" s="273" t="s">
        <v>169</v>
      </c>
      <c r="R56" s="295" t="s">
        <v>213</v>
      </c>
      <c r="S56" s="194"/>
      <c r="T56" s="194"/>
      <c r="U56" s="264" t="s">
        <v>166</v>
      </c>
      <c r="V56" s="194"/>
      <c r="W56" s="204"/>
      <c r="X56" s="194"/>
    </row>
    <row r="57" spans="1:24" s="163" customFormat="1" ht="36" x14ac:dyDescent="0.35">
      <c r="A57" s="206" t="s">
        <v>73</v>
      </c>
      <c r="B57" s="198" t="s">
        <v>64</v>
      </c>
      <c r="C57" s="199" t="s">
        <v>69</v>
      </c>
      <c r="D57" s="204">
        <v>1</v>
      </c>
      <c r="E57" s="203">
        <f>10700</f>
        <v>10700</v>
      </c>
      <c r="F57" s="205">
        <f t="shared" si="10"/>
        <v>10700</v>
      </c>
      <c r="G57" s="202">
        <v>0.9</v>
      </c>
      <c r="H57" s="202">
        <f>1-G57</f>
        <v>9.9999999999999978E-2</v>
      </c>
      <c r="I57" s="202">
        <v>0</v>
      </c>
      <c r="J57" s="280">
        <f t="shared" si="11"/>
        <v>9630</v>
      </c>
      <c r="K57" s="203">
        <f t="shared" si="12"/>
        <v>1069.9999999999998</v>
      </c>
      <c r="L57" s="265">
        <v>0</v>
      </c>
      <c r="M57" s="203">
        <f t="shared" si="3"/>
        <v>10700</v>
      </c>
      <c r="N57" s="265" t="s">
        <v>5</v>
      </c>
      <c r="O57" s="265" t="s">
        <v>168</v>
      </c>
      <c r="P57" s="301">
        <v>42491</v>
      </c>
      <c r="Q57" s="273" t="s">
        <v>169</v>
      </c>
      <c r="R57" s="295"/>
      <c r="S57" s="194"/>
      <c r="T57" s="194"/>
      <c r="U57" s="264" t="s">
        <v>166</v>
      </c>
      <c r="V57" s="194"/>
      <c r="W57" s="204"/>
      <c r="X57" s="194"/>
    </row>
    <row r="58" spans="1:24" s="163" customFormat="1" x14ac:dyDescent="0.35">
      <c r="A58" s="206" t="s">
        <v>16</v>
      </c>
      <c r="B58" s="198" t="s">
        <v>64</v>
      </c>
      <c r="C58" s="199" t="s">
        <v>66</v>
      </c>
      <c r="D58" s="204">
        <v>4</v>
      </c>
      <c r="E58" s="203">
        <f>3874</f>
        <v>3874</v>
      </c>
      <c r="F58" s="205">
        <f t="shared" si="10"/>
        <v>15496</v>
      </c>
      <c r="G58" s="202">
        <v>0.65</v>
      </c>
      <c r="H58" s="202">
        <f>1-G58</f>
        <v>0.35</v>
      </c>
      <c r="I58" s="202">
        <v>0</v>
      </c>
      <c r="J58" s="280">
        <f t="shared" si="11"/>
        <v>10072.4</v>
      </c>
      <c r="K58" s="203">
        <f t="shared" si="12"/>
        <v>5423.5999999999995</v>
      </c>
      <c r="L58" s="265">
        <v>0</v>
      </c>
      <c r="M58" s="203">
        <f t="shared" si="3"/>
        <v>15496</v>
      </c>
      <c r="N58" s="265" t="s">
        <v>5</v>
      </c>
      <c r="O58" s="265" t="s">
        <v>168</v>
      </c>
      <c r="P58" s="301">
        <v>42491</v>
      </c>
      <c r="Q58" s="273" t="s">
        <v>169</v>
      </c>
      <c r="R58" s="295" t="s">
        <v>213</v>
      </c>
      <c r="S58" s="194"/>
      <c r="T58" s="194"/>
      <c r="U58" s="264" t="s">
        <v>166</v>
      </c>
      <c r="V58" s="194"/>
      <c r="W58" s="204"/>
      <c r="X58" s="194"/>
    </row>
    <row r="59" spans="1:24" s="163" customFormat="1" ht="36" x14ac:dyDescent="0.35">
      <c r="A59" s="206" t="s">
        <v>72</v>
      </c>
      <c r="B59" s="198" t="s">
        <v>71</v>
      </c>
      <c r="C59" s="199" t="s">
        <v>70</v>
      </c>
      <c r="D59" s="204">
        <v>2</v>
      </c>
      <c r="E59" s="203">
        <f>519</f>
        <v>519</v>
      </c>
      <c r="F59" s="205">
        <f t="shared" si="10"/>
        <v>1038</v>
      </c>
      <c r="G59" s="202">
        <v>0.64900000000000002</v>
      </c>
      <c r="H59" s="202">
        <f>1-G59</f>
        <v>0.35099999999999998</v>
      </c>
      <c r="I59" s="202">
        <v>0</v>
      </c>
      <c r="J59" s="280">
        <f t="shared" si="11"/>
        <v>673.66200000000003</v>
      </c>
      <c r="K59" s="203">
        <f t="shared" si="12"/>
        <v>364.33799999999997</v>
      </c>
      <c r="L59" s="265">
        <v>0</v>
      </c>
      <c r="M59" s="203">
        <f t="shared" si="3"/>
        <v>1038</v>
      </c>
      <c r="N59" s="265" t="s">
        <v>3</v>
      </c>
      <c r="O59" s="265" t="s">
        <v>168</v>
      </c>
      <c r="P59" s="301">
        <v>42491</v>
      </c>
      <c r="Q59" s="273" t="s">
        <v>169</v>
      </c>
      <c r="R59" s="295" t="s">
        <v>213</v>
      </c>
      <c r="S59" s="194"/>
      <c r="T59" s="194"/>
      <c r="U59" s="264" t="s">
        <v>166</v>
      </c>
      <c r="V59" s="194"/>
      <c r="W59" s="204"/>
      <c r="X59" s="194"/>
    </row>
    <row r="60" spans="1:24" s="163" customFormat="1" x14ac:dyDescent="0.35">
      <c r="A60" s="206" t="s">
        <v>22</v>
      </c>
      <c r="B60" s="198" t="s">
        <v>64</v>
      </c>
      <c r="C60" s="199" t="s">
        <v>69</v>
      </c>
      <c r="D60" s="204">
        <v>1</v>
      </c>
      <c r="E60" s="203">
        <f>9114</f>
        <v>9114</v>
      </c>
      <c r="F60" s="205">
        <f t="shared" si="10"/>
        <v>9114</v>
      </c>
      <c r="G60" s="202">
        <v>0.65</v>
      </c>
      <c r="H60" s="202">
        <f>1-G60</f>
        <v>0.35</v>
      </c>
      <c r="I60" s="202">
        <v>0</v>
      </c>
      <c r="J60" s="280">
        <f t="shared" si="11"/>
        <v>5924.1</v>
      </c>
      <c r="K60" s="203">
        <f t="shared" si="12"/>
        <v>3189.8999999999996</v>
      </c>
      <c r="L60" s="265">
        <v>0</v>
      </c>
      <c r="M60" s="203">
        <f t="shared" si="3"/>
        <v>9114</v>
      </c>
      <c r="N60" s="265" t="s">
        <v>5</v>
      </c>
      <c r="O60" s="265" t="s">
        <v>168</v>
      </c>
      <c r="P60" s="301">
        <v>42491</v>
      </c>
      <c r="Q60" s="273" t="s">
        <v>169</v>
      </c>
      <c r="R60" s="295" t="s">
        <v>213</v>
      </c>
      <c r="S60" s="194"/>
      <c r="T60" s="194"/>
      <c r="U60" s="264" t="s">
        <v>166</v>
      </c>
      <c r="V60" s="194"/>
      <c r="W60" s="204"/>
      <c r="X60" s="194"/>
    </row>
    <row r="61" spans="1:24" s="163" customFormat="1" x14ac:dyDescent="0.35">
      <c r="A61" s="206" t="s">
        <v>18</v>
      </c>
      <c r="B61" s="198" t="s">
        <v>64</v>
      </c>
      <c r="C61" s="199" t="s">
        <v>69</v>
      </c>
      <c r="D61" s="204">
        <v>1</v>
      </c>
      <c r="E61" s="203">
        <f>6750</f>
        <v>6750</v>
      </c>
      <c r="F61" s="205">
        <f t="shared" si="10"/>
        <v>6750</v>
      </c>
      <c r="G61" s="202">
        <v>0.64</v>
      </c>
      <c r="H61" s="202">
        <f>1-G61</f>
        <v>0.36</v>
      </c>
      <c r="I61" s="202">
        <v>0</v>
      </c>
      <c r="J61" s="280">
        <f t="shared" si="11"/>
        <v>4320</v>
      </c>
      <c r="K61" s="203">
        <f t="shared" si="12"/>
        <v>2430</v>
      </c>
      <c r="L61" s="265">
        <v>0</v>
      </c>
      <c r="M61" s="203">
        <f t="shared" si="3"/>
        <v>6750</v>
      </c>
      <c r="N61" s="265" t="s">
        <v>5</v>
      </c>
      <c r="O61" s="265" t="s">
        <v>168</v>
      </c>
      <c r="P61" s="301">
        <v>42491</v>
      </c>
      <c r="Q61" s="273" t="s">
        <v>169</v>
      </c>
      <c r="R61" s="295" t="s">
        <v>213</v>
      </c>
      <c r="S61" s="194"/>
      <c r="T61" s="194"/>
      <c r="U61" s="264" t="s">
        <v>166</v>
      </c>
      <c r="V61" s="194"/>
      <c r="W61" s="204"/>
      <c r="X61" s="194"/>
    </row>
    <row r="62" spans="1:24" s="162" customFormat="1" ht="36" x14ac:dyDescent="0.25">
      <c r="A62" s="230" t="s">
        <v>68</v>
      </c>
      <c r="B62" s="224"/>
      <c r="C62" s="224"/>
      <c r="D62" s="225"/>
      <c r="E62" s="226"/>
      <c r="F62" s="226">
        <f>F64+F68+F73+F74</f>
        <v>36504.563663918627</v>
      </c>
      <c r="G62" s="227">
        <f>J62/$M62</f>
        <v>0.15863769947547315</v>
      </c>
      <c r="H62" s="227">
        <f>K62/$M62</f>
        <v>0.84136230052452676</v>
      </c>
      <c r="I62" s="227">
        <f>L62/$M62</f>
        <v>0</v>
      </c>
      <c r="J62" s="226">
        <f>+J68+J73+J74+J64</f>
        <v>5791</v>
      </c>
      <c r="K62" s="226">
        <f>K64+K68+K73+K74</f>
        <v>30713.563663918623</v>
      </c>
      <c r="L62" s="226">
        <f>L64+L25+L68+L73+L74</f>
        <v>0</v>
      </c>
      <c r="M62" s="226">
        <f t="shared" si="3"/>
        <v>36504.563663918627</v>
      </c>
      <c r="N62" s="226"/>
      <c r="O62" s="226"/>
      <c r="P62" s="228"/>
      <c r="Q62" s="228"/>
      <c r="R62" s="228"/>
      <c r="S62" s="228"/>
      <c r="T62" s="228"/>
      <c r="U62" s="228"/>
      <c r="V62" s="228"/>
      <c r="W62" s="228"/>
      <c r="X62" s="228"/>
    </row>
    <row r="63" spans="1:24" hidden="1" x14ac:dyDescent="0.35">
      <c r="A63" s="181"/>
      <c r="B63" s="182"/>
      <c r="C63" s="183"/>
      <c r="D63" s="184"/>
      <c r="E63" s="185"/>
      <c r="F63" s="185"/>
      <c r="G63" s="186"/>
      <c r="H63" s="186"/>
      <c r="I63" s="186"/>
      <c r="J63" s="278">
        <v>5791</v>
      </c>
      <c r="K63" s="179">
        <v>30714</v>
      </c>
      <c r="L63" s="262"/>
      <c r="M63" s="179">
        <f>+K63+J63</f>
        <v>36505</v>
      </c>
      <c r="N63" s="285"/>
      <c r="O63" s="262"/>
      <c r="P63" s="180"/>
      <c r="Q63" s="180"/>
      <c r="R63" s="180"/>
      <c r="S63" s="180"/>
      <c r="T63" s="180"/>
      <c r="U63" s="180"/>
      <c r="V63" s="180"/>
      <c r="W63" s="208"/>
      <c r="X63" s="180"/>
    </row>
    <row r="64" spans="1:24" s="163" customFormat="1" ht="36" x14ac:dyDescent="0.35">
      <c r="A64" s="188" t="s">
        <v>67</v>
      </c>
      <c r="B64" s="211"/>
      <c r="C64" s="212"/>
      <c r="D64" s="214"/>
      <c r="E64" s="211"/>
      <c r="F64" s="215">
        <f>SUM(F65:F67)</f>
        <v>11582</v>
      </c>
      <c r="G64" s="216">
        <v>0.5</v>
      </c>
      <c r="H64" s="216">
        <v>0.5</v>
      </c>
      <c r="I64" s="216">
        <f>L64/$M64</f>
        <v>0</v>
      </c>
      <c r="J64" s="283">
        <f>SUM(J65:J67)</f>
        <v>5791</v>
      </c>
      <c r="K64" s="231">
        <f>SUM(K65:K67)</f>
        <v>5791</v>
      </c>
      <c r="L64" s="267">
        <v>0</v>
      </c>
      <c r="M64" s="215">
        <f t="shared" ref="M64:M76" si="13">SUM(J64:L64)</f>
        <v>11582</v>
      </c>
      <c r="N64" s="275"/>
      <c r="O64" s="275"/>
      <c r="P64" s="275"/>
      <c r="Q64" s="275"/>
      <c r="R64" s="275"/>
      <c r="S64" s="275"/>
      <c r="T64" s="275"/>
      <c r="U64" s="275"/>
      <c r="V64" s="275"/>
      <c r="W64" s="306"/>
      <c r="X64" s="275"/>
    </row>
    <row r="65" spans="1:24" s="163" customFormat="1" ht="52.5" customHeight="1" x14ac:dyDescent="0.35">
      <c r="A65" s="198" t="s">
        <v>10</v>
      </c>
      <c r="B65" s="198" t="s">
        <v>64</v>
      </c>
      <c r="C65" s="199" t="s">
        <v>66</v>
      </c>
      <c r="D65" s="232">
        <v>3</v>
      </c>
      <c r="E65" s="203">
        <v>1770</v>
      </c>
      <c r="F65" s="205">
        <f>E65*D65</f>
        <v>5310</v>
      </c>
      <c r="G65" s="209">
        <v>0.5</v>
      </c>
      <c r="H65" s="202">
        <v>0.5</v>
      </c>
      <c r="I65" s="202">
        <f>L65/$M65</f>
        <v>0</v>
      </c>
      <c r="J65" s="282">
        <v>2655</v>
      </c>
      <c r="K65" s="201">
        <v>2655</v>
      </c>
      <c r="L65" s="265">
        <v>0</v>
      </c>
      <c r="M65" s="203">
        <f t="shared" si="13"/>
        <v>5310</v>
      </c>
      <c r="N65" s="266" t="s">
        <v>5</v>
      </c>
      <c r="O65" s="265" t="s">
        <v>168</v>
      </c>
      <c r="Q65" s="273" t="s">
        <v>169</v>
      </c>
      <c r="R65" s="298" t="s">
        <v>229</v>
      </c>
      <c r="S65" s="308" t="s">
        <v>231</v>
      </c>
      <c r="T65" s="308" t="s">
        <v>233</v>
      </c>
      <c r="U65" s="264" t="s">
        <v>166</v>
      </c>
      <c r="V65" s="307" t="s">
        <v>235</v>
      </c>
      <c r="W65" s="204"/>
      <c r="X65" s="194"/>
    </row>
    <row r="66" spans="1:24" s="163" customFormat="1" ht="36" x14ac:dyDescent="0.35">
      <c r="A66" s="198" t="s">
        <v>9</v>
      </c>
      <c r="B66" s="198" t="s">
        <v>64</v>
      </c>
      <c r="C66" s="199" t="s">
        <v>63</v>
      </c>
      <c r="D66" s="204">
        <v>392</v>
      </c>
      <c r="E66" s="203">
        <v>11</v>
      </c>
      <c r="F66" s="205">
        <v>4312</v>
      </c>
      <c r="G66" s="209">
        <v>0.5</v>
      </c>
      <c r="H66" s="202">
        <v>0.5</v>
      </c>
      <c r="I66" s="202">
        <v>0</v>
      </c>
      <c r="J66" s="282">
        <v>2156</v>
      </c>
      <c r="K66" s="201">
        <v>2156</v>
      </c>
      <c r="L66" s="265">
        <v>0</v>
      </c>
      <c r="M66" s="203">
        <f t="shared" si="13"/>
        <v>4312</v>
      </c>
      <c r="N66" s="266" t="s">
        <v>5</v>
      </c>
      <c r="O66" s="265" t="s">
        <v>168</v>
      </c>
      <c r="P66" s="194"/>
      <c r="Q66" s="273" t="s">
        <v>169</v>
      </c>
      <c r="R66" s="298" t="s">
        <v>225</v>
      </c>
      <c r="S66" s="194"/>
      <c r="T66" s="194" t="s">
        <v>212</v>
      </c>
      <c r="U66" s="264" t="s">
        <v>166</v>
      </c>
      <c r="V66" s="194"/>
      <c r="W66" s="204"/>
      <c r="X66" s="310" t="s">
        <v>211</v>
      </c>
    </row>
    <row r="67" spans="1:24" ht="54" x14ac:dyDescent="0.35">
      <c r="A67" s="206" t="s">
        <v>65</v>
      </c>
      <c r="B67" s="206" t="s">
        <v>64</v>
      </c>
      <c r="C67" s="207" t="s">
        <v>63</v>
      </c>
      <c r="D67" s="208">
        <v>392</v>
      </c>
      <c r="E67" s="205">
        <v>5</v>
      </c>
      <c r="F67" s="205">
        <f>E67*D67</f>
        <v>1960</v>
      </c>
      <c r="G67" s="209">
        <v>0.5</v>
      </c>
      <c r="H67" s="209">
        <v>0.5</v>
      </c>
      <c r="I67" s="209">
        <v>0</v>
      </c>
      <c r="J67" s="280">
        <v>980</v>
      </c>
      <c r="K67" s="205">
        <v>980</v>
      </c>
      <c r="L67" s="266">
        <v>0</v>
      </c>
      <c r="M67" s="205">
        <f t="shared" si="13"/>
        <v>1960</v>
      </c>
      <c r="N67" s="266" t="s">
        <v>5</v>
      </c>
      <c r="O67" s="265" t="s">
        <v>168</v>
      </c>
      <c r="P67" s="180"/>
      <c r="Q67" s="273" t="s">
        <v>169</v>
      </c>
      <c r="R67" s="295" t="s">
        <v>230</v>
      </c>
      <c r="S67" s="300" t="s">
        <v>232</v>
      </c>
      <c r="T67" s="300" t="s">
        <v>234</v>
      </c>
      <c r="U67" s="264" t="s">
        <v>166</v>
      </c>
      <c r="V67" s="295" t="s">
        <v>236</v>
      </c>
      <c r="W67" s="208"/>
      <c r="X67" s="180"/>
    </row>
    <row r="68" spans="1:24" s="163" customFormat="1" ht="45" customHeight="1" x14ac:dyDescent="0.35">
      <c r="A68" s="188" t="s">
        <v>62</v>
      </c>
      <c r="B68" s="211"/>
      <c r="C68" s="212"/>
      <c r="D68" s="191"/>
      <c r="E68" s="192"/>
      <c r="F68" s="192">
        <f>SUM(F69:F72)</f>
        <v>12165.294432233852</v>
      </c>
      <c r="G68" s="193">
        <f>J68/$M68</f>
        <v>0</v>
      </c>
      <c r="H68" s="193">
        <f>K68/$M68</f>
        <v>1</v>
      </c>
      <c r="I68" s="193">
        <v>0</v>
      </c>
      <c r="J68" s="280">
        <f>SUM(J69:J72)</f>
        <v>0</v>
      </c>
      <c r="K68" s="192">
        <f>SUM(K69:K72)</f>
        <v>12165.294432233852</v>
      </c>
      <c r="L68" s="264">
        <f>SUM(L69:L72)</f>
        <v>0</v>
      </c>
      <c r="M68" s="192">
        <f t="shared" si="13"/>
        <v>12165.294432233852</v>
      </c>
      <c r="N68" s="275"/>
      <c r="O68" s="275"/>
      <c r="P68" s="275"/>
      <c r="Q68" s="275"/>
      <c r="R68" s="194"/>
      <c r="S68" s="275"/>
      <c r="T68" s="275"/>
      <c r="U68" s="275"/>
      <c r="V68" s="275"/>
      <c r="W68" s="306"/>
      <c r="X68" s="275"/>
    </row>
    <row r="69" spans="1:24" s="163" customFormat="1" ht="36" x14ac:dyDescent="0.35">
      <c r="A69" s="198" t="s">
        <v>61</v>
      </c>
      <c r="B69" s="198" t="s">
        <v>55</v>
      </c>
      <c r="C69" s="199" t="s">
        <v>60</v>
      </c>
      <c r="D69" s="204">
        <v>6</v>
      </c>
      <c r="E69" s="233">
        <v>1142.5941648350777</v>
      </c>
      <c r="F69" s="205">
        <f>E69*D69</f>
        <v>6855.564989010466</v>
      </c>
      <c r="G69" s="202">
        <v>0</v>
      </c>
      <c r="H69" s="202">
        <v>1</v>
      </c>
      <c r="I69" s="202">
        <v>0</v>
      </c>
      <c r="J69" s="280">
        <f>F69*G69</f>
        <v>0</v>
      </c>
      <c r="K69" s="203">
        <f>F69*H69</f>
        <v>6855.564989010466</v>
      </c>
      <c r="L69" s="265">
        <v>0</v>
      </c>
      <c r="M69" s="203">
        <f t="shared" si="13"/>
        <v>6855.564989010466</v>
      </c>
      <c r="N69" s="266" t="s">
        <v>166</v>
      </c>
      <c r="O69" s="266" t="s">
        <v>166</v>
      </c>
      <c r="P69" s="194"/>
      <c r="Q69" s="266" t="s">
        <v>166</v>
      </c>
      <c r="R69" s="194"/>
      <c r="S69" s="194"/>
      <c r="T69" s="194"/>
      <c r="U69" s="264" t="s">
        <v>166</v>
      </c>
      <c r="V69" s="194"/>
      <c r="W69" s="204"/>
      <c r="X69" s="194"/>
    </row>
    <row r="70" spans="1:24" s="163" customFormat="1" ht="36" x14ac:dyDescent="0.35">
      <c r="A70" s="198" t="s">
        <v>59</v>
      </c>
      <c r="B70" s="198" t="s">
        <v>55</v>
      </c>
      <c r="C70" s="199" t="s">
        <v>46</v>
      </c>
      <c r="D70" s="204">
        <v>6</v>
      </c>
      <c r="E70" s="233">
        <v>126.95490720389751</v>
      </c>
      <c r="F70" s="205">
        <f>E70*D70</f>
        <v>761.72944322338503</v>
      </c>
      <c r="G70" s="202">
        <v>0</v>
      </c>
      <c r="H70" s="202">
        <v>1</v>
      </c>
      <c r="I70" s="202">
        <v>0</v>
      </c>
      <c r="J70" s="280">
        <f>F70*G70</f>
        <v>0</v>
      </c>
      <c r="K70" s="203">
        <f>F70*H70</f>
        <v>761.72944322338503</v>
      </c>
      <c r="L70" s="265">
        <v>0</v>
      </c>
      <c r="M70" s="203">
        <f t="shared" si="13"/>
        <v>761.72944322338503</v>
      </c>
      <c r="N70" s="266" t="s">
        <v>166</v>
      </c>
      <c r="O70" s="266" t="s">
        <v>166</v>
      </c>
      <c r="P70" s="194"/>
      <c r="Q70" s="266" t="s">
        <v>166</v>
      </c>
      <c r="R70" s="194"/>
      <c r="S70" s="194"/>
      <c r="T70" s="194"/>
      <c r="U70" s="264" t="s">
        <v>166</v>
      </c>
      <c r="V70" s="194"/>
      <c r="W70" s="204"/>
      <c r="X70" s="194"/>
    </row>
    <row r="71" spans="1:24" s="163" customFormat="1" ht="36" x14ac:dyDescent="0.35">
      <c r="A71" s="198" t="s">
        <v>58</v>
      </c>
      <c r="B71" s="198" t="s">
        <v>55</v>
      </c>
      <c r="C71" s="199" t="s">
        <v>57</v>
      </c>
      <c r="D71" s="204">
        <v>6</v>
      </c>
      <c r="E71" s="233">
        <v>569</v>
      </c>
      <c r="F71" s="205">
        <f>E71*D71</f>
        <v>3414</v>
      </c>
      <c r="G71" s="202">
        <v>0</v>
      </c>
      <c r="H71" s="202">
        <v>1</v>
      </c>
      <c r="I71" s="202">
        <v>0</v>
      </c>
      <c r="J71" s="280">
        <f>F71*G71</f>
        <v>0</v>
      </c>
      <c r="K71" s="203">
        <f>F71*H71</f>
        <v>3414</v>
      </c>
      <c r="L71" s="265">
        <v>0</v>
      </c>
      <c r="M71" s="203">
        <f t="shared" si="13"/>
        <v>3414</v>
      </c>
      <c r="N71" s="266" t="s">
        <v>166</v>
      </c>
      <c r="O71" s="266" t="s">
        <v>166</v>
      </c>
      <c r="P71" s="194"/>
      <c r="Q71" s="266" t="s">
        <v>166</v>
      </c>
      <c r="R71" s="194"/>
      <c r="S71" s="194"/>
      <c r="T71" s="194"/>
      <c r="U71" s="264" t="s">
        <v>166</v>
      </c>
      <c r="V71" s="194"/>
      <c r="W71" s="204"/>
      <c r="X71" s="194"/>
    </row>
    <row r="72" spans="1:24" s="163" customFormat="1" ht="36" x14ac:dyDescent="0.35">
      <c r="A72" s="198" t="s">
        <v>56</v>
      </c>
      <c r="B72" s="198" t="s">
        <v>55</v>
      </c>
      <c r="C72" s="199" t="s">
        <v>46</v>
      </c>
      <c r="D72" s="204">
        <v>6</v>
      </c>
      <c r="E72" s="233">
        <v>189</v>
      </c>
      <c r="F72" s="205">
        <f>E72*D72</f>
        <v>1134</v>
      </c>
      <c r="G72" s="202">
        <v>0</v>
      </c>
      <c r="H72" s="202">
        <v>1</v>
      </c>
      <c r="I72" s="202">
        <v>0</v>
      </c>
      <c r="J72" s="280">
        <f>F72*G72</f>
        <v>0</v>
      </c>
      <c r="K72" s="203">
        <f>F72*H72</f>
        <v>1134</v>
      </c>
      <c r="L72" s="265">
        <v>0</v>
      </c>
      <c r="M72" s="203">
        <f t="shared" si="13"/>
        <v>1134</v>
      </c>
      <c r="N72" s="266" t="s">
        <v>166</v>
      </c>
      <c r="O72" s="266" t="s">
        <v>166</v>
      </c>
      <c r="P72" s="194"/>
      <c r="Q72" s="266" t="s">
        <v>166</v>
      </c>
      <c r="R72" s="194"/>
      <c r="S72" s="194"/>
      <c r="T72" s="194"/>
      <c r="U72" s="264" t="s">
        <v>166</v>
      </c>
      <c r="V72" s="194"/>
      <c r="W72" s="204"/>
      <c r="X72" s="194"/>
    </row>
    <row r="73" spans="1:24" s="163" customFormat="1" ht="51" customHeight="1" x14ac:dyDescent="0.35">
      <c r="A73" s="188" t="s">
        <v>54</v>
      </c>
      <c r="B73" s="234" t="s">
        <v>53</v>
      </c>
      <c r="C73" s="190" t="s">
        <v>52</v>
      </c>
      <c r="D73" s="191">
        <v>6</v>
      </c>
      <c r="E73" s="235">
        <v>1666</v>
      </c>
      <c r="F73" s="192">
        <f>E73*D73</f>
        <v>9996</v>
      </c>
      <c r="G73" s="193">
        <v>0</v>
      </c>
      <c r="H73" s="193">
        <v>1</v>
      </c>
      <c r="I73" s="193">
        <v>0</v>
      </c>
      <c r="J73" s="280">
        <f>F73*G73</f>
        <v>0</v>
      </c>
      <c r="K73" s="192">
        <f>F73*H73</f>
        <v>9996</v>
      </c>
      <c r="L73" s="264">
        <v>0</v>
      </c>
      <c r="M73" s="192">
        <f t="shared" si="13"/>
        <v>9996</v>
      </c>
      <c r="N73" s="264" t="s">
        <v>166</v>
      </c>
      <c r="O73" s="264" t="s">
        <v>166</v>
      </c>
      <c r="P73" s="194"/>
      <c r="Q73" s="266" t="s">
        <v>166</v>
      </c>
      <c r="R73" s="194"/>
      <c r="S73" s="194"/>
      <c r="T73" s="194"/>
      <c r="U73" s="264" t="s">
        <v>166</v>
      </c>
      <c r="V73" s="194"/>
      <c r="W73" s="204"/>
      <c r="X73" s="194"/>
    </row>
    <row r="74" spans="1:24" s="163" customFormat="1" ht="51" customHeight="1" x14ac:dyDescent="0.35">
      <c r="A74" s="188" t="s">
        <v>51</v>
      </c>
      <c r="B74" s="211"/>
      <c r="C74" s="212"/>
      <c r="D74" s="191"/>
      <c r="E74" s="192"/>
      <c r="F74" s="192">
        <f>SUM(F75:F76)</f>
        <v>2761.2692316847715</v>
      </c>
      <c r="G74" s="193">
        <f>J74/$M74</f>
        <v>0</v>
      </c>
      <c r="H74" s="193">
        <f>K74/$M74</f>
        <v>1</v>
      </c>
      <c r="I74" s="193">
        <v>0</v>
      </c>
      <c r="J74" s="280">
        <f>SUM(J75:J76)</f>
        <v>0</v>
      </c>
      <c r="K74" s="192">
        <f>SUM(K75:K76)</f>
        <v>2761.2692316847715</v>
      </c>
      <c r="L74" s="264">
        <f>SUM(L75:L76)</f>
        <v>0</v>
      </c>
      <c r="M74" s="192">
        <f t="shared" si="13"/>
        <v>2761.2692316847715</v>
      </c>
      <c r="N74" s="275"/>
      <c r="O74" s="275"/>
      <c r="P74" s="275"/>
      <c r="Q74" s="275"/>
      <c r="R74" s="275"/>
      <c r="S74" s="275"/>
      <c r="T74" s="275"/>
      <c r="U74" s="275"/>
      <c r="V74" s="275"/>
      <c r="W74" s="306"/>
      <c r="X74" s="275"/>
    </row>
    <row r="75" spans="1:24" s="163" customFormat="1" ht="36" x14ac:dyDescent="0.35">
      <c r="A75" s="236" t="s">
        <v>50</v>
      </c>
      <c r="B75" s="198" t="s">
        <v>47</v>
      </c>
      <c r="C75" s="199" t="s">
        <v>49</v>
      </c>
      <c r="D75" s="204">
        <v>6</v>
      </c>
      <c r="E75" s="203">
        <v>364.99535821120537</v>
      </c>
      <c r="F75" s="205">
        <f>E75*D75</f>
        <v>2189.9721492672325</v>
      </c>
      <c r="G75" s="202">
        <v>0</v>
      </c>
      <c r="H75" s="202">
        <v>1</v>
      </c>
      <c r="I75" s="202">
        <v>0</v>
      </c>
      <c r="J75" s="280">
        <f>F75*G75</f>
        <v>0</v>
      </c>
      <c r="K75" s="203">
        <f>F75*H75</f>
        <v>2189.9721492672325</v>
      </c>
      <c r="L75" s="265">
        <v>0</v>
      </c>
      <c r="M75" s="203">
        <f t="shared" si="13"/>
        <v>2189.9721492672325</v>
      </c>
      <c r="N75" s="266" t="s">
        <v>166</v>
      </c>
      <c r="O75" s="266" t="s">
        <v>166</v>
      </c>
      <c r="P75" s="194"/>
      <c r="Q75" s="266" t="s">
        <v>166</v>
      </c>
      <c r="R75" s="194"/>
      <c r="S75" s="194"/>
      <c r="T75" s="194"/>
      <c r="U75" s="264" t="s">
        <v>166</v>
      </c>
      <c r="V75" s="194"/>
      <c r="W75" s="204"/>
      <c r="X75" s="194"/>
    </row>
    <row r="76" spans="1:24" s="163" customFormat="1" ht="36" x14ac:dyDescent="0.35">
      <c r="A76" s="236" t="s">
        <v>48</v>
      </c>
      <c r="B76" s="198" t="s">
        <v>47</v>
      </c>
      <c r="C76" s="199" t="s">
        <v>46</v>
      </c>
      <c r="D76" s="204">
        <v>6</v>
      </c>
      <c r="E76" s="203">
        <v>95.216180402923143</v>
      </c>
      <c r="F76" s="205">
        <f>E76*D76</f>
        <v>571.29708241753883</v>
      </c>
      <c r="G76" s="202">
        <v>0</v>
      </c>
      <c r="H76" s="202">
        <v>1</v>
      </c>
      <c r="I76" s="202">
        <v>0</v>
      </c>
      <c r="J76" s="280">
        <f>F76*G76</f>
        <v>0</v>
      </c>
      <c r="K76" s="203">
        <f>F76*H76</f>
        <v>571.29708241753883</v>
      </c>
      <c r="L76" s="265">
        <v>0</v>
      </c>
      <c r="M76" s="203">
        <f t="shared" si="13"/>
        <v>571.29708241753883</v>
      </c>
      <c r="N76" s="266" t="s">
        <v>166</v>
      </c>
      <c r="O76" s="266" t="s">
        <v>166</v>
      </c>
      <c r="P76" s="194"/>
      <c r="Q76" s="266" t="s">
        <v>166</v>
      </c>
      <c r="R76" s="194"/>
      <c r="S76" s="194"/>
      <c r="T76" s="194"/>
      <c r="U76" s="264" t="s">
        <v>166</v>
      </c>
      <c r="V76" s="194"/>
      <c r="W76" s="204"/>
      <c r="X76" s="194"/>
    </row>
    <row r="77" spans="1:24" ht="51.75" customHeight="1" x14ac:dyDescent="0.35">
      <c r="A77" s="237" t="s">
        <v>148</v>
      </c>
      <c r="B77" s="230" t="s">
        <v>44</v>
      </c>
      <c r="C77" s="224"/>
      <c r="D77" s="225"/>
      <c r="E77" s="238"/>
      <c r="F77" s="238">
        <f>F78+F79+F80</f>
        <v>28548.899999999998</v>
      </c>
      <c r="G77" s="239">
        <f>J77/$M77</f>
        <v>0</v>
      </c>
      <c r="H77" s="239">
        <f>K77/$M77</f>
        <v>1</v>
      </c>
      <c r="I77" s="239">
        <f>L77/$M77</f>
        <v>0</v>
      </c>
      <c r="J77" s="281">
        <f>J78+J79+J80</f>
        <v>0</v>
      </c>
      <c r="K77" s="238">
        <f>K78+K79+K80</f>
        <v>28548.899999999998</v>
      </c>
      <c r="L77" s="268">
        <f>L78+L79+L80</f>
        <v>0</v>
      </c>
      <c r="M77" s="238">
        <f>M78+M79+M80</f>
        <v>28548.899999999998</v>
      </c>
      <c r="N77" s="268"/>
      <c r="O77" s="268"/>
      <c r="P77" s="240"/>
      <c r="Q77" s="240"/>
      <c r="R77" s="240"/>
      <c r="S77" s="240"/>
      <c r="T77" s="240"/>
      <c r="U77" s="240"/>
      <c r="V77" s="240"/>
      <c r="W77" s="228"/>
      <c r="X77" s="240"/>
    </row>
    <row r="78" spans="1:24" ht="36" x14ac:dyDescent="0.35">
      <c r="A78" s="198" t="s">
        <v>43</v>
      </c>
      <c r="B78" s="198" t="s">
        <v>42</v>
      </c>
      <c r="C78" s="199" t="s">
        <v>41</v>
      </c>
      <c r="D78" s="204">
        <v>18</v>
      </c>
      <c r="E78" s="203">
        <v>4810</v>
      </c>
      <c r="F78" s="205">
        <f>E78*D78*0.15</f>
        <v>12987</v>
      </c>
      <c r="G78" s="202">
        <v>0</v>
      </c>
      <c r="H78" s="202">
        <v>1</v>
      </c>
      <c r="I78" s="202">
        <v>0</v>
      </c>
      <c r="J78" s="280">
        <f>G78*F78</f>
        <v>0</v>
      </c>
      <c r="K78" s="203">
        <f>H78*F78</f>
        <v>12987</v>
      </c>
      <c r="L78" s="265">
        <f>I78*F78</f>
        <v>0</v>
      </c>
      <c r="M78" s="203">
        <f>SUM(J78:L78)</f>
        <v>12987</v>
      </c>
      <c r="N78" s="266" t="s">
        <v>166</v>
      </c>
      <c r="O78" s="264" t="s">
        <v>166</v>
      </c>
      <c r="P78" s="180"/>
      <c r="Q78" s="266" t="s">
        <v>166</v>
      </c>
      <c r="R78" s="180"/>
      <c r="S78" s="180"/>
      <c r="T78" s="180"/>
      <c r="U78" s="264" t="s">
        <v>166</v>
      </c>
      <c r="V78" s="180"/>
      <c r="W78" s="208"/>
      <c r="X78" s="180"/>
    </row>
    <row r="79" spans="1:24" ht="36" x14ac:dyDescent="0.35">
      <c r="A79" s="198" t="s">
        <v>40</v>
      </c>
      <c r="B79" s="198" t="s">
        <v>39</v>
      </c>
      <c r="C79" s="199" t="s">
        <v>38</v>
      </c>
      <c r="D79" s="204">
        <v>18</v>
      </c>
      <c r="E79" s="203">
        <v>5452</v>
      </c>
      <c r="F79" s="205">
        <f>E79*D79*0.1</f>
        <v>9813.6</v>
      </c>
      <c r="G79" s="202">
        <v>0</v>
      </c>
      <c r="H79" s="202">
        <v>1</v>
      </c>
      <c r="I79" s="202">
        <v>0</v>
      </c>
      <c r="J79" s="280">
        <f>G79*F79</f>
        <v>0</v>
      </c>
      <c r="K79" s="203">
        <f>H79*F79</f>
        <v>9813.6</v>
      </c>
      <c r="L79" s="265">
        <f>I79*F79</f>
        <v>0</v>
      </c>
      <c r="M79" s="203">
        <f>SUM(J79:L79)</f>
        <v>9813.6</v>
      </c>
      <c r="N79" s="266" t="s">
        <v>166</v>
      </c>
      <c r="O79" s="264" t="s">
        <v>166</v>
      </c>
      <c r="P79" s="180"/>
      <c r="Q79" s="266" t="s">
        <v>166</v>
      </c>
      <c r="R79" s="180"/>
      <c r="S79" s="180"/>
      <c r="T79" s="180"/>
      <c r="U79" s="264" t="s">
        <v>166</v>
      </c>
      <c r="V79" s="180"/>
      <c r="W79" s="208"/>
      <c r="X79" s="180"/>
    </row>
    <row r="80" spans="1:24" ht="36" x14ac:dyDescent="0.35">
      <c r="A80" s="198" t="s">
        <v>37</v>
      </c>
      <c r="B80" s="198" t="s">
        <v>36</v>
      </c>
      <c r="C80" s="199" t="s">
        <v>35</v>
      </c>
      <c r="D80" s="204">
        <v>18</v>
      </c>
      <c r="E80" s="203">
        <v>2129</v>
      </c>
      <c r="F80" s="205">
        <f>E80*D80*0.15</f>
        <v>5748.3</v>
      </c>
      <c r="G80" s="202">
        <v>0</v>
      </c>
      <c r="H80" s="202">
        <v>1</v>
      </c>
      <c r="I80" s="202">
        <v>0</v>
      </c>
      <c r="J80" s="280">
        <f>G80*F80</f>
        <v>0</v>
      </c>
      <c r="K80" s="203">
        <f>H80*F80</f>
        <v>5748.3</v>
      </c>
      <c r="L80" s="265">
        <f>I80*F80</f>
        <v>0</v>
      </c>
      <c r="M80" s="203">
        <f>SUM(J80:L80)</f>
        <v>5748.3</v>
      </c>
      <c r="N80" s="266" t="s">
        <v>166</v>
      </c>
      <c r="O80" s="264" t="s">
        <v>166</v>
      </c>
      <c r="P80" s="180"/>
      <c r="Q80" s="266" t="s">
        <v>166</v>
      </c>
      <c r="R80" s="180"/>
      <c r="S80" s="180"/>
      <c r="T80" s="180"/>
      <c r="U80" s="264" t="s">
        <v>166</v>
      </c>
      <c r="V80" s="180"/>
      <c r="W80" s="208"/>
      <c r="X80" s="180"/>
    </row>
    <row r="81" spans="1:24" ht="31.5" customHeight="1" x14ac:dyDescent="0.35">
      <c r="A81" s="241" t="s">
        <v>34</v>
      </c>
      <c r="B81" s="242"/>
      <c r="C81" s="243"/>
      <c r="D81" s="244"/>
      <c r="E81" s="245"/>
      <c r="F81" s="246">
        <f>F36+F62+F11+F77</f>
        <v>462202.87485885696</v>
      </c>
      <c r="G81" s="247">
        <f>J81/$M81</f>
        <v>0.5410031526392054</v>
      </c>
      <c r="H81" s="247">
        <f>K81/$M81</f>
        <v>0.45920981045177633</v>
      </c>
      <c r="I81" s="247">
        <f>L81/$M81</f>
        <v>0</v>
      </c>
      <c r="J81" s="281">
        <f>J36+J62+J11+J77</f>
        <v>249999.97169082912</v>
      </c>
      <c r="K81" s="246">
        <f>K36+K62+K11+K77</f>
        <v>212202.90316802784</v>
      </c>
      <c r="L81" s="269">
        <f>L36+L62+L11</f>
        <v>0</v>
      </c>
      <c r="M81" s="246">
        <f>M36+M62+M11+M77</f>
        <v>462104.46366391866</v>
      </c>
      <c r="N81" s="246"/>
      <c r="O81" s="269"/>
      <c r="P81" s="205"/>
      <c r="Q81" s="205"/>
      <c r="R81" s="180"/>
      <c r="S81" s="180"/>
      <c r="T81" s="180"/>
      <c r="U81" s="180"/>
      <c r="V81" s="180"/>
      <c r="W81" s="208"/>
      <c r="X81" s="180"/>
    </row>
    <row r="82" spans="1:24" ht="24.75" customHeight="1" x14ac:dyDescent="0.35">
      <c r="A82" s="248" t="s">
        <v>149</v>
      </c>
      <c r="B82" s="249" t="s">
        <v>28</v>
      </c>
      <c r="C82" s="250" t="s">
        <v>27</v>
      </c>
      <c r="D82" s="251">
        <v>2</v>
      </c>
      <c r="E82" s="252">
        <v>5000</v>
      </c>
      <c r="F82" s="252">
        <f>E82*D82</f>
        <v>10000</v>
      </c>
      <c r="G82" s="249">
        <v>1</v>
      </c>
      <c r="H82" s="249">
        <v>0</v>
      </c>
      <c r="I82" s="249">
        <v>0</v>
      </c>
      <c r="J82" s="280">
        <v>0</v>
      </c>
      <c r="K82" s="252">
        <f>F82*H82</f>
        <v>0</v>
      </c>
      <c r="L82" s="270">
        <v>0</v>
      </c>
      <c r="M82" s="252">
        <f>SUM(J82:L82)</f>
        <v>0</v>
      </c>
      <c r="N82" s="270"/>
      <c r="O82" s="270"/>
      <c r="P82" s="180"/>
      <c r="Q82" s="180"/>
      <c r="R82" s="180"/>
      <c r="S82" s="180"/>
      <c r="T82" s="180"/>
      <c r="U82" s="180"/>
      <c r="V82" s="180"/>
      <c r="W82" s="208"/>
      <c r="X82" s="180"/>
    </row>
    <row r="83" spans="1:24" ht="31.5" customHeight="1" x14ac:dyDescent="0.35">
      <c r="A83" s="248" t="s">
        <v>150</v>
      </c>
      <c r="B83" s="249" t="s">
        <v>28</v>
      </c>
      <c r="C83" s="250" t="s">
        <v>27</v>
      </c>
      <c r="D83" s="251">
        <v>1</v>
      </c>
      <c r="E83" s="252">
        <v>10000</v>
      </c>
      <c r="F83" s="252">
        <f>E83*D83</f>
        <v>10000</v>
      </c>
      <c r="G83" s="249">
        <v>1</v>
      </c>
      <c r="H83" s="249">
        <v>0</v>
      </c>
      <c r="I83" s="249">
        <v>0</v>
      </c>
      <c r="J83" s="280">
        <f>F83*G83</f>
        <v>10000</v>
      </c>
      <c r="K83" s="252">
        <f>F83*H83</f>
        <v>0</v>
      </c>
      <c r="L83" s="270">
        <v>0</v>
      </c>
      <c r="M83" s="252">
        <f>SUM(J83:L83)</f>
        <v>10000</v>
      </c>
      <c r="N83" s="270" t="s">
        <v>5</v>
      </c>
      <c r="O83" s="270" t="s">
        <v>167</v>
      </c>
      <c r="P83" s="180"/>
      <c r="Q83" s="276" t="s">
        <v>170</v>
      </c>
      <c r="R83" s="180"/>
      <c r="S83" s="180"/>
      <c r="T83" s="180"/>
      <c r="U83" s="180"/>
      <c r="V83" s="180"/>
      <c r="W83" s="208"/>
      <c r="X83" s="180"/>
    </row>
    <row r="84" spans="1:24" ht="28.5" customHeight="1" x14ac:dyDescent="0.35">
      <c r="A84" s="248" t="s">
        <v>151</v>
      </c>
      <c r="B84" s="249" t="s">
        <v>30</v>
      </c>
      <c r="C84" s="250" t="s">
        <v>27</v>
      </c>
      <c r="D84" s="251">
        <v>1</v>
      </c>
      <c r="E84" s="252">
        <v>3000</v>
      </c>
      <c r="F84" s="252">
        <f>E84*D84</f>
        <v>3000</v>
      </c>
      <c r="G84" s="249">
        <v>1</v>
      </c>
      <c r="H84" s="249">
        <v>0</v>
      </c>
      <c r="I84" s="249">
        <v>0</v>
      </c>
      <c r="J84" s="280">
        <f>F84*G84</f>
        <v>3000</v>
      </c>
      <c r="K84" s="252">
        <f>F84*H84</f>
        <v>0</v>
      </c>
      <c r="L84" s="270">
        <v>0</v>
      </c>
      <c r="M84" s="252">
        <f>SUM(J84:L84)</f>
        <v>3000</v>
      </c>
      <c r="N84" s="270" t="s">
        <v>166</v>
      </c>
      <c r="O84" s="270" t="s">
        <v>166</v>
      </c>
      <c r="P84" s="180"/>
      <c r="Q84" s="180"/>
      <c r="R84" s="180"/>
      <c r="S84" s="180"/>
      <c r="T84" s="180"/>
      <c r="U84" s="180"/>
      <c r="V84" s="180"/>
      <c r="W84" s="208"/>
      <c r="X84" s="180"/>
    </row>
    <row r="85" spans="1:24" ht="33.75" customHeight="1" x14ac:dyDescent="0.35">
      <c r="A85" s="173" t="s">
        <v>25</v>
      </c>
      <c r="B85" s="242"/>
      <c r="C85" s="243"/>
      <c r="D85" s="244"/>
      <c r="E85" s="245"/>
      <c r="F85" s="177">
        <f>SUM(F81:F84)</f>
        <v>485202.87485885696</v>
      </c>
      <c r="G85" s="178">
        <f>J85/$M85</f>
        <v>0.55356240954383273</v>
      </c>
      <c r="H85" s="178">
        <f>K85/$M85</f>
        <v>0.44664472636514063</v>
      </c>
      <c r="I85" s="178">
        <f>L85/$M85</f>
        <v>0</v>
      </c>
      <c r="J85" s="283">
        <f>SUM(J81:J84)</f>
        <v>262999.97169082914</v>
      </c>
      <c r="K85" s="287">
        <f>SUM(K81:K84)</f>
        <v>212202.90316802784</v>
      </c>
      <c r="L85" s="289">
        <f>SUM(L81:L84)</f>
        <v>0</v>
      </c>
      <c r="M85" s="287">
        <f>SUM(M81:M84)</f>
        <v>475104.46366391866</v>
      </c>
      <c r="N85" s="271"/>
      <c r="O85" s="271"/>
      <c r="P85" s="180"/>
      <c r="Q85" s="180"/>
      <c r="R85" s="180"/>
      <c r="S85" s="180"/>
      <c r="T85" s="180"/>
      <c r="U85" s="180"/>
      <c r="V85" s="180"/>
      <c r="W85" s="208"/>
      <c r="X85" s="180"/>
    </row>
    <row r="86" spans="1:24" ht="47.25" customHeight="1" x14ac:dyDescent="0.35">
      <c r="A86" s="317" t="s">
        <v>172</v>
      </c>
      <c r="B86" s="318"/>
      <c r="C86" s="318"/>
      <c r="D86" s="318"/>
      <c r="E86" s="318"/>
      <c r="F86" s="318"/>
      <c r="G86" s="318"/>
      <c r="H86" s="318"/>
      <c r="I86" s="318"/>
      <c r="J86" s="318"/>
      <c r="K86" s="318"/>
      <c r="L86" s="318"/>
      <c r="M86" s="318"/>
      <c r="N86" s="318"/>
      <c r="O86" s="318"/>
      <c r="P86" s="318"/>
      <c r="Q86" s="318"/>
      <c r="R86" s="318"/>
      <c r="S86" s="318"/>
      <c r="T86" s="318"/>
      <c r="U86" s="318"/>
      <c r="V86" s="318"/>
      <c r="W86" s="318"/>
      <c r="X86" s="319"/>
    </row>
    <row r="87" spans="1:24" x14ac:dyDescent="0.35">
      <c r="A87" s="336" t="s">
        <v>173</v>
      </c>
      <c r="B87" s="336"/>
      <c r="C87" s="336"/>
      <c r="D87" s="336"/>
      <c r="E87" s="336"/>
      <c r="F87" s="336"/>
      <c r="G87" s="336"/>
      <c r="H87" s="336"/>
      <c r="I87" s="336"/>
      <c r="J87" s="336"/>
      <c r="K87" s="336"/>
      <c r="L87" s="336"/>
      <c r="M87" s="336"/>
      <c r="N87" s="336"/>
      <c r="O87" s="336"/>
      <c r="P87" s="336"/>
      <c r="Q87" s="336"/>
      <c r="R87" s="336"/>
      <c r="S87" s="336"/>
      <c r="T87" s="336"/>
      <c r="U87" s="336"/>
      <c r="V87" s="336"/>
      <c r="W87" s="336"/>
      <c r="X87" s="336"/>
    </row>
    <row r="88" spans="1:24" x14ac:dyDescent="0.35">
      <c r="A88" s="336" t="s">
        <v>174</v>
      </c>
      <c r="B88" s="336"/>
      <c r="C88" s="336"/>
      <c r="D88" s="336"/>
      <c r="E88" s="336"/>
      <c r="F88" s="336"/>
      <c r="G88" s="336"/>
      <c r="H88" s="336"/>
      <c r="I88" s="336"/>
      <c r="J88" s="336"/>
      <c r="K88" s="336"/>
      <c r="L88" s="336"/>
      <c r="M88" s="336"/>
      <c r="N88" s="336"/>
      <c r="O88" s="336"/>
      <c r="P88" s="336"/>
      <c r="Q88" s="336"/>
      <c r="R88" s="336"/>
      <c r="S88" s="336"/>
      <c r="T88" s="336"/>
      <c r="U88" s="336"/>
      <c r="V88" s="336"/>
      <c r="W88" s="336"/>
      <c r="X88" s="336"/>
    </row>
    <row r="89" spans="1:24" x14ac:dyDescent="0.35">
      <c r="A89" s="336" t="s">
        <v>175</v>
      </c>
      <c r="B89" s="336"/>
      <c r="C89" s="336"/>
      <c r="D89" s="336"/>
      <c r="E89" s="336"/>
      <c r="F89" s="336"/>
      <c r="G89" s="336"/>
      <c r="H89" s="336"/>
      <c r="I89" s="336"/>
      <c r="J89" s="336"/>
      <c r="K89" s="336"/>
      <c r="L89" s="336"/>
      <c r="M89" s="336"/>
      <c r="N89" s="336"/>
      <c r="O89" s="336"/>
      <c r="P89" s="336"/>
      <c r="Q89" s="336"/>
      <c r="R89" s="336"/>
      <c r="S89" s="336"/>
      <c r="T89" s="336"/>
      <c r="U89" s="336"/>
      <c r="V89" s="336"/>
      <c r="W89" s="336"/>
      <c r="X89" s="336"/>
    </row>
    <row r="90" spans="1:24" x14ac:dyDescent="0.35">
      <c r="A90" s="314" t="s">
        <v>176</v>
      </c>
      <c r="B90" s="315"/>
      <c r="C90" s="315"/>
      <c r="D90" s="315"/>
      <c r="E90" s="315"/>
      <c r="F90" s="315"/>
      <c r="G90" s="315"/>
      <c r="H90" s="315"/>
      <c r="I90" s="315"/>
      <c r="J90" s="315"/>
      <c r="K90" s="315"/>
      <c r="L90" s="315"/>
      <c r="M90" s="315"/>
      <c r="N90" s="315"/>
      <c r="O90" s="315"/>
      <c r="P90" s="315"/>
      <c r="Q90" s="315"/>
      <c r="R90" s="315"/>
      <c r="S90" s="315"/>
      <c r="T90" s="315"/>
      <c r="U90" s="315"/>
      <c r="V90" s="315"/>
      <c r="W90" s="315"/>
      <c r="X90" s="316"/>
    </row>
    <row r="91" spans="1:24" x14ac:dyDescent="0.35">
      <c r="A91" s="314" t="s">
        <v>177</v>
      </c>
      <c r="B91" s="315"/>
      <c r="C91" s="315"/>
      <c r="D91" s="315"/>
      <c r="E91" s="315"/>
      <c r="F91" s="315"/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  <c r="S91" s="315"/>
      <c r="T91" s="315"/>
      <c r="U91" s="315"/>
      <c r="V91" s="315"/>
      <c r="W91" s="315"/>
      <c r="X91" s="316"/>
    </row>
    <row r="92" spans="1:24" x14ac:dyDescent="0.35">
      <c r="A92" s="346"/>
      <c r="B92" s="347"/>
      <c r="C92" s="348"/>
      <c r="D92" s="162"/>
      <c r="E92" s="158"/>
      <c r="F92" s="349"/>
      <c r="G92" s="350"/>
      <c r="H92" s="350"/>
      <c r="I92" s="350"/>
      <c r="J92" s="349"/>
      <c r="K92" s="349"/>
      <c r="L92" s="351"/>
      <c r="M92" s="349"/>
      <c r="N92" s="351"/>
      <c r="O92" s="351"/>
    </row>
    <row r="93" spans="1:24" x14ac:dyDescent="0.35">
      <c r="A93" s="346"/>
      <c r="B93" s="347"/>
      <c r="C93" s="348"/>
      <c r="D93" s="162"/>
      <c r="E93" s="158"/>
      <c r="F93" s="349"/>
      <c r="G93" s="350"/>
      <c r="H93" s="350"/>
      <c r="I93" s="350"/>
      <c r="J93" s="349"/>
      <c r="K93" s="349"/>
      <c r="L93" s="351"/>
      <c r="M93" s="349"/>
      <c r="N93" s="351"/>
      <c r="O93" s="351"/>
    </row>
    <row r="94" spans="1:24" ht="45.75" customHeight="1" x14ac:dyDescent="0.3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L94" s="353"/>
      <c r="M94" s="352"/>
      <c r="N94" s="352"/>
      <c r="O94" s="352"/>
      <c r="P94" s="352"/>
      <c r="Q94" s="353"/>
      <c r="R94" s="353"/>
      <c r="S94" s="353"/>
      <c r="T94" s="353"/>
      <c r="U94" s="353"/>
      <c r="V94" s="353"/>
      <c r="W94" s="354"/>
      <c r="X94" s="353"/>
    </row>
    <row r="95" spans="1:24" x14ac:dyDescent="0.35">
      <c r="E95" s="153"/>
      <c r="F95" s="253"/>
      <c r="J95" s="256"/>
      <c r="K95" s="253"/>
      <c r="N95" s="259"/>
    </row>
    <row r="96" spans="1:24" x14ac:dyDescent="0.35">
      <c r="E96" s="153"/>
      <c r="F96" s="254"/>
      <c r="G96" s="255"/>
      <c r="J96" s="254"/>
      <c r="K96" s="254"/>
      <c r="M96" s="254"/>
      <c r="N96" s="272"/>
      <c r="O96" s="272"/>
    </row>
    <row r="97" spans="4:14" x14ac:dyDescent="0.35">
      <c r="D97" s="311"/>
      <c r="E97" s="311"/>
      <c r="F97" s="256"/>
      <c r="G97" s="256"/>
      <c r="H97" s="256"/>
      <c r="I97" s="256"/>
      <c r="J97" s="256"/>
      <c r="K97" s="256"/>
      <c r="N97" s="259"/>
    </row>
    <row r="98" spans="4:14" x14ac:dyDescent="0.35">
      <c r="E98" s="153"/>
      <c r="F98" s="256"/>
      <c r="G98" s="256"/>
      <c r="H98" s="256"/>
      <c r="I98" s="256"/>
      <c r="J98" s="256"/>
      <c r="K98" s="256"/>
      <c r="N98" s="259"/>
    </row>
    <row r="99" spans="4:14" x14ac:dyDescent="0.35">
      <c r="D99" s="311"/>
      <c r="E99" s="311"/>
      <c r="F99" s="256"/>
      <c r="G99" s="256"/>
      <c r="H99" s="256"/>
      <c r="I99" s="256"/>
      <c r="J99" s="256"/>
      <c r="K99" s="256"/>
      <c r="N99" s="259"/>
    </row>
    <row r="100" spans="4:14" x14ac:dyDescent="0.35">
      <c r="G100" s="257"/>
      <c r="J100" s="157"/>
      <c r="N100" s="259"/>
    </row>
    <row r="101" spans="4:14" x14ac:dyDescent="0.35">
      <c r="F101" s="158"/>
      <c r="G101" s="158"/>
      <c r="H101" s="158"/>
      <c r="I101" s="158"/>
      <c r="J101" s="158"/>
      <c r="K101" s="158"/>
      <c r="N101" s="259"/>
    </row>
    <row r="102" spans="4:14" x14ac:dyDescent="0.35">
      <c r="F102" s="158"/>
      <c r="G102" s="158"/>
      <c r="H102" s="158"/>
      <c r="I102" s="158"/>
      <c r="J102" s="158"/>
      <c r="K102" s="158"/>
      <c r="N102" s="259"/>
    </row>
    <row r="103" spans="4:14" x14ac:dyDescent="0.35">
      <c r="F103" s="158"/>
      <c r="G103" s="158"/>
      <c r="H103" s="158"/>
      <c r="I103" s="158"/>
      <c r="J103" s="210"/>
      <c r="K103" s="158"/>
    </row>
  </sheetData>
  <mergeCells count="35">
    <mergeCell ref="A3:X3"/>
    <mergeCell ref="A6:X6"/>
    <mergeCell ref="A87:X87"/>
    <mergeCell ref="A88:X88"/>
    <mergeCell ref="A89:X89"/>
    <mergeCell ref="A2:X2"/>
    <mergeCell ref="B9:B10"/>
    <mergeCell ref="A9:A10"/>
    <mergeCell ref="C9:C10"/>
    <mergeCell ref="D9:D10"/>
    <mergeCell ref="E9:E10"/>
    <mergeCell ref="F9:F10"/>
    <mergeCell ref="G9:G10"/>
    <mergeCell ref="J9:J10"/>
    <mergeCell ref="M9:M10"/>
    <mergeCell ref="X9:X10"/>
    <mergeCell ref="U9:U10"/>
    <mergeCell ref="V9:V10"/>
    <mergeCell ref="W9:W10"/>
    <mergeCell ref="G8:I8"/>
    <mergeCell ref="J8:L8"/>
    <mergeCell ref="D97:E97"/>
    <mergeCell ref="D99:E99"/>
    <mergeCell ref="R9:R10"/>
    <mergeCell ref="S9:S10"/>
    <mergeCell ref="T9:T10"/>
    <mergeCell ref="H9:I9"/>
    <mergeCell ref="K9:L9"/>
    <mergeCell ref="P9:P10"/>
    <mergeCell ref="Q9:Q10"/>
    <mergeCell ref="N9:N10"/>
    <mergeCell ref="O9:O10"/>
    <mergeCell ref="A90:X90"/>
    <mergeCell ref="A91:X91"/>
    <mergeCell ref="A86:X86"/>
  </mergeCells>
  <pageMargins left="0.25" right="0" top="0.25" bottom="0.25" header="0" footer="0"/>
  <pageSetup paperSize="9" scale="45" orientation="landscape" horizontalDpi="4294967292" verticalDpi="4294967292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theme="0"/>
  </sheetPr>
  <dimension ref="A1:P86"/>
  <sheetViews>
    <sheetView zoomScale="70" zoomScaleNormal="70" zoomScalePageLayoutView="90" workbookViewId="0">
      <pane xSplit="1" ySplit="8" topLeftCell="C47" activePane="bottomRight" state="frozen"/>
      <selection pane="topRight" activeCell="B1" sqref="B1"/>
      <selection pane="bottomLeft" activeCell="A9" sqref="A9"/>
      <selection pane="bottomRight" activeCell="C53" sqref="C53"/>
    </sheetView>
  </sheetViews>
  <sheetFormatPr defaultColWidth="10.625" defaultRowHeight="15.75" x14ac:dyDescent="0.25"/>
  <cols>
    <col min="1" max="1" width="35.875" style="6" customWidth="1"/>
    <col min="2" max="2" width="25.875" style="3" customWidth="1"/>
    <col min="3" max="3" width="25.875" style="2" customWidth="1"/>
    <col min="4" max="4" width="13" style="51" customWidth="1"/>
    <col min="5" max="5" width="10.625" style="2"/>
    <col min="6" max="6" width="13.375" style="2" customWidth="1"/>
    <col min="7" max="7" width="12" style="2" bestFit="1" customWidth="1"/>
    <col min="8" max="9" width="10.625" style="2"/>
    <col min="10" max="10" width="13.125" style="2" bestFit="1" customWidth="1"/>
    <col min="11" max="11" width="14.875" style="2" customWidth="1"/>
    <col min="12" max="12" width="10.625" style="2"/>
    <col min="13" max="13" width="16" style="2" customWidth="1"/>
    <col min="14" max="14" width="17" style="1" bestFit="1" customWidth="1"/>
    <col min="15" max="16384" width="10.625" style="1"/>
  </cols>
  <sheetData>
    <row r="1" spans="1:14" x14ac:dyDescent="0.25">
      <c r="B1" s="44"/>
      <c r="F1" s="5"/>
    </row>
    <row r="2" spans="1:14" x14ac:dyDescent="0.25">
      <c r="B2" s="17"/>
      <c r="F2" s="5"/>
      <c r="M2" s="42"/>
    </row>
    <row r="3" spans="1:14" ht="15" customHeight="1" x14ac:dyDescent="0.25">
      <c r="B3" s="44"/>
      <c r="F3" s="45"/>
    </row>
    <row r="4" spans="1:14" x14ac:dyDescent="0.25">
      <c r="B4" s="44"/>
      <c r="D4" s="51">
        <f>C3-C4</f>
        <v>0</v>
      </c>
    </row>
    <row r="5" spans="1:14" ht="18" customHeight="1" x14ac:dyDescent="0.25">
      <c r="A5" s="44"/>
      <c r="B5" s="43"/>
      <c r="C5" s="43"/>
      <c r="D5" s="52"/>
      <c r="E5" s="20"/>
      <c r="F5" s="1"/>
      <c r="G5" s="343" t="s">
        <v>114</v>
      </c>
      <c r="H5" s="341"/>
      <c r="I5" s="344"/>
      <c r="J5" s="340" t="s">
        <v>113</v>
      </c>
      <c r="K5" s="341"/>
      <c r="L5" s="342"/>
      <c r="M5" s="42" t="s">
        <v>112</v>
      </c>
    </row>
    <row r="6" spans="1:14" ht="19.5" customHeight="1" x14ac:dyDescent="0.35">
      <c r="A6" s="46" t="s">
        <v>111</v>
      </c>
      <c r="B6" s="41" t="s">
        <v>0</v>
      </c>
      <c r="C6" s="40" t="s">
        <v>110</v>
      </c>
      <c r="D6" s="53" t="s">
        <v>109</v>
      </c>
      <c r="E6" s="39" t="s">
        <v>108</v>
      </c>
      <c r="F6" s="39" t="s">
        <v>107</v>
      </c>
      <c r="G6" s="38" t="s">
        <v>1</v>
      </c>
      <c r="H6" s="338" t="s">
        <v>106</v>
      </c>
      <c r="I6" s="339"/>
      <c r="J6" s="38" t="s">
        <v>1</v>
      </c>
      <c r="K6" s="338" t="s">
        <v>106</v>
      </c>
      <c r="L6" s="339"/>
      <c r="M6" s="37" t="s">
        <v>23</v>
      </c>
    </row>
    <row r="7" spans="1:14" ht="15.75" customHeight="1" x14ac:dyDescent="0.35">
      <c r="A7" s="47"/>
      <c r="B7" s="36"/>
      <c r="C7" s="35"/>
      <c r="D7" s="54"/>
      <c r="E7" s="35"/>
      <c r="F7" s="35"/>
      <c r="G7" s="34"/>
      <c r="H7" s="33" t="s">
        <v>105</v>
      </c>
      <c r="I7" s="33" t="s">
        <v>104</v>
      </c>
      <c r="J7" s="34"/>
      <c r="K7" s="33" t="s">
        <v>105</v>
      </c>
      <c r="L7" s="33" t="s">
        <v>104</v>
      </c>
      <c r="M7" s="32"/>
    </row>
    <row r="8" spans="1:14" ht="63" x14ac:dyDescent="0.25">
      <c r="A8" s="19" t="s">
        <v>103</v>
      </c>
      <c r="B8" s="18" t="s">
        <v>102</v>
      </c>
      <c r="C8" s="11"/>
      <c r="D8" s="55"/>
      <c r="E8" s="7"/>
      <c r="F8" s="7">
        <f>F9+F12+F11+F13+F18+F17+F10</f>
        <v>200925.3911949383</v>
      </c>
      <c r="G8" s="8">
        <f>J8/$M8</f>
        <v>0.50581800581005609</v>
      </c>
      <c r="H8" s="8">
        <f>K8/$M8</f>
        <v>0.49418199418994396</v>
      </c>
      <c r="I8" s="8">
        <f>L8/$M8</f>
        <v>0</v>
      </c>
      <c r="J8" s="7">
        <f>J9+J12+J11+J13+J18+J17+J10</f>
        <v>101631.68069082909</v>
      </c>
      <c r="K8" s="7">
        <f>K9+K12+K11+K13+K18+K17+K10</f>
        <v>99293.710504109215</v>
      </c>
      <c r="L8" s="7">
        <f>L9+L12+L11+L13+L18</f>
        <v>0</v>
      </c>
      <c r="M8" s="7">
        <f>M9+M12+M11+M13+M18+M17+M10</f>
        <v>200925.3911949383</v>
      </c>
    </row>
    <row r="9" spans="1:14" s="20" customFormat="1" ht="31.5" x14ac:dyDescent="0.25">
      <c r="A9" s="75" t="s">
        <v>101</v>
      </c>
      <c r="B9" s="28" t="s">
        <v>64</v>
      </c>
      <c r="C9" s="22" t="s">
        <v>95</v>
      </c>
      <c r="D9" s="57">
        <v>2</v>
      </c>
      <c r="E9" s="21">
        <v>2677</v>
      </c>
      <c r="F9" s="21">
        <f>E9*D9</f>
        <v>5354</v>
      </c>
      <c r="G9" s="74">
        <v>0</v>
      </c>
      <c r="H9" s="74">
        <v>1</v>
      </c>
      <c r="I9" s="74">
        <f>L9/$M9</f>
        <v>0</v>
      </c>
      <c r="J9" s="21">
        <f>F9*G9</f>
        <v>0</v>
      </c>
      <c r="K9" s="21">
        <f>F9*H9</f>
        <v>5354</v>
      </c>
      <c r="L9" s="21">
        <v>0</v>
      </c>
      <c r="M9" s="21">
        <f t="shared" ref="M9:M27" si="0">SUM(J9:L9)</f>
        <v>5354</v>
      </c>
    </row>
    <row r="10" spans="1:14" s="20" customFormat="1" x14ac:dyDescent="0.25">
      <c r="A10" s="75" t="s">
        <v>17</v>
      </c>
      <c r="B10" s="28" t="s">
        <v>64</v>
      </c>
      <c r="C10" s="22" t="s">
        <v>69</v>
      </c>
      <c r="D10" s="57">
        <v>1</v>
      </c>
      <c r="E10" s="21">
        <f>605000/13</f>
        <v>46538.461538461539</v>
      </c>
      <c r="F10" s="21">
        <f>E10*D10</f>
        <v>46538.461538461539</v>
      </c>
      <c r="G10" s="74">
        <v>0</v>
      </c>
      <c r="H10" s="74">
        <v>1</v>
      </c>
      <c r="I10" s="74">
        <v>0</v>
      </c>
      <c r="J10" s="21">
        <f>F10*G10</f>
        <v>0</v>
      </c>
      <c r="K10" s="21">
        <f>F10*H10</f>
        <v>46538.461538461539</v>
      </c>
      <c r="L10" s="21">
        <v>0</v>
      </c>
      <c r="M10" s="21">
        <f t="shared" si="0"/>
        <v>46538.461538461539</v>
      </c>
    </row>
    <row r="11" spans="1:14" s="20" customFormat="1" x14ac:dyDescent="0.25">
      <c r="A11" s="75" t="s">
        <v>100</v>
      </c>
      <c r="B11" s="28" t="s">
        <v>64</v>
      </c>
      <c r="C11" s="22" t="s">
        <v>95</v>
      </c>
      <c r="D11" s="57">
        <v>1</v>
      </c>
      <c r="E11" s="21">
        <f>2677+183</f>
        <v>2860</v>
      </c>
      <c r="F11" s="21">
        <f>E11*D11</f>
        <v>2860</v>
      </c>
      <c r="G11" s="74">
        <v>0</v>
      </c>
      <c r="H11" s="74">
        <v>1</v>
      </c>
      <c r="I11" s="74">
        <v>0</v>
      </c>
      <c r="J11" s="21">
        <f>F11*G11</f>
        <v>0</v>
      </c>
      <c r="K11" s="21">
        <f>F11*H11</f>
        <v>2860</v>
      </c>
      <c r="L11" s="21">
        <v>0</v>
      </c>
      <c r="M11" s="21">
        <f t="shared" si="0"/>
        <v>2860</v>
      </c>
    </row>
    <row r="12" spans="1:14" ht="31.5" x14ac:dyDescent="0.25">
      <c r="A12" s="75" t="s">
        <v>7</v>
      </c>
      <c r="B12" s="28" t="s">
        <v>64</v>
      </c>
      <c r="C12" s="22" t="s">
        <v>97</v>
      </c>
      <c r="D12" s="69">
        <v>120</v>
      </c>
      <c r="E12" s="70">
        <v>49.22</v>
      </c>
      <c r="F12" s="103">
        <f>E12*D12-395.94</f>
        <v>5510.46</v>
      </c>
      <c r="G12" s="74">
        <v>0.9</v>
      </c>
      <c r="H12" s="74">
        <v>0.1</v>
      </c>
      <c r="I12" s="74">
        <v>0</v>
      </c>
      <c r="J12" s="21">
        <f>F12*G12</f>
        <v>4959.4139999999998</v>
      </c>
      <c r="K12" s="21">
        <f>F12*H12</f>
        <v>551.04600000000005</v>
      </c>
      <c r="L12" s="21">
        <v>0</v>
      </c>
      <c r="M12" s="21">
        <f t="shared" si="0"/>
        <v>5510.46</v>
      </c>
    </row>
    <row r="13" spans="1:14" s="20" customFormat="1" x14ac:dyDescent="0.25">
      <c r="A13" s="78" t="s">
        <v>99</v>
      </c>
      <c r="B13" s="28"/>
      <c r="C13" s="22"/>
      <c r="D13" s="69"/>
      <c r="E13" s="70"/>
      <c r="F13" s="70">
        <f>F14+F15+F16</f>
        <v>54406</v>
      </c>
      <c r="G13" s="74">
        <f>J13/$M13</f>
        <v>0.87459103775318903</v>
      </c>
      <c r="H13" s="74">
        <f>K13/$M13</f>
        <v>0.125408962246811</v>
      </c>
      <c r="I13" s="74">
        <f>L13/$M13</f>
        <v>0</v>
      </c>
      <c r="J13" s="21">
        <f>J14+J15+J16</f>
        <v>47583.000000000007</v>
      </c>
      <c r="K13" s="21">
        <f>K14+K15+K16</f>
        <v>6823</v>
      </c>
      <c r="L13" s="21">
        <f>SUM(L14:L16)</f>
        <v>0</v>
      </c>
      <c r="M13" s="21">
        <f t="shared" si="0"/>
        <v>54406.000000000007</v>
      </c>
    </row>
    <row r="14" spans="1:14" s="20" customFormat="1" x14ac:dyDescent="0.25">
      <c r="A14" s="17" t="s">
        <v>8</v>
      </c>
      <c r="B14" s="17" t="s">
        <v>64</v>
      </c>
      <c r="C14" s="16" t="s">
        <v>97</v>
      </c>
      <c r="D14" s="68">
        <v>100</v>
      </c>
      <c r="E14" s="27">
        <v>185.5</v>
      </c>
      <c r="F14" s="107">
        <f>E14*D14</f>
        <v>18550</v>
      </c>
      <c r="G14" s="13">
        <v>0.9</v>
      </c>
      <c r="H14" s="13">
        <v>0.1</v>
      </c>
      <c r="I14" s="13">
        <v>0</v>
      </c>
      <c r="J14" s="12">
        <f>F14*G14</f>
        <v>16695</v>
      </c>
      <c r="K14" s="12">
        <f>F14*H14</f>
        <v>1855</v>
      </c>
      <c r="L14" s="12">
        <v>0</v>
      </c>
      <c r="M14" s="12">
        <f t="shared" si="0"/>
        <v>18550</v>
      </c>
    </row>
    <row r="15" spans="1:14" s="20" customFormat="1" ht="31.5" x14ac:dyDescent="0.25">
      <c r="A15" s="17" t="s">
        <v>6</v>
      </c>
      <c r="B15" s="17" t="s">
        <v>64</v>
      </c>
      <c r="C15" s="16" t="s">
        <v>97</v>
      </c>
      <c r="D15" s="56">
        <v>216</v>
      </c>
      <c r="E15" s="12">
        <v>134</v>
      </c>
      <c r="F15" s="66">
        <f>E15*D15</f>
        <v>28944</v>
      </c>
      <c r="G15" s="13">
        <v>0.9</v>
      </c>
      <c r="H15" s="13">
        <v>0.1</v>
      </c>
      <c r="I15" s="13">
        <v>0</v>
      </c>
      <c r="J15" s="12">
        <f>F15*G15</f>
        <v>26049.600000000002</v>
      </c>
      <c r="K15" s="12">
        <f>F15*H15</f>
        <v>2894.4</v>
      </c>
      <c r="L15" s="12">
        <v>0</v>
      </c>
      <c r="M15" s="12">
        <f t="shared" si="0"/>
        <v>28944.000000000004</v>
      </c>
      <c r="N15" s="20">
        <f>6912*0.7</f>
        <v>4838.3999999999996</v>
      </c>
    </row>
    <row r="16" spans="1:14" s="112" customFormat="1" x14ac:dyDescent="0.25">
      <c r="A16" s="48" t="s">
        <v>98</v>
      </c>
      <c r="B16" s="48" t="s">
        <v>64</v>
      </c>
      <c r="C16" s="106" t="s">
        <v>97</v>
      </c>
      <c r="D16" s="89">
        <v>216</v>
      </c>
      <c r="E16" s="66">
        <v>32</v>
      </c>
      <c r="F16" s="117">
        <f>(E16*D16)</f>
        <v>6912</v>
      </c>
      <c r="G16" s="67">
        <v>0.7</v>
      </c>
      <c r="H16" s="67">
        <v>0.3</v>
      </c>
      <c r="I16" s="67">
        <v>0</v>
      </c>
      <c r="J16" s="66">
        <f>F16*G16</f>
        <v>4838.3999999999996</v>
      </c>
      <c r="K16" s="66">
        <f>F16*H16</f>
        <v>2073.6</v>
      </c>
      <c r="L16" s="66">
        <v>0</v>
      </c>
      <c r="M16" s="66">
        <f t="shared" si="0"/>
        <v>6912</v>
      </c>
    </row>
    <row r="17" spans="1:16" s="20" customFormat="1" ht="34.5" customHeight="1" x14ac:dyDescent="0.25">
      <c r="A17" s="75" t="s">
        <v>96</v>
      </c>
      <c r="B17" s="76" t="s">
        <v>64</v>
      </c>
      <c r="C17" s="77" t="s">
        <v>95</v>
      </c>
      <c r="D17" s="57">
        <v>9</v>
      </c>
      <c r="E17" s="21">
        <v>2677</v>
      </c>
      <c r="F17" s="21">
        <f>E17*D17</f>
        <v>24093</v>
      </c>
      <c r="G17" s="74">
        <v>0</v>
      </c>
      <c r="H17" s="74">
        <v>1</v>
      </c>
      <c r="I17" s="74">
        <v>0</v>
      </c>
      <c r="J17" s="21">
        <f>F17*G17</f>
        <v>0</v>
      </c>
      <c r="K17" s="21">
        <f>F17*H17</f>
        <v>24093</v>
      </c>
      <c r="L17" s="21">
        <v>0</v>
      </c>
      <c r="M17" s="21">
        <f t="shared" si="0"/>
        <v>24093</v>
      </c>
      <c r="N17" s="152">
        <f>+F16-'[1]DETALLE (3)'!$Y$12</f>
        <v>484.96999999999935</v>
      </c>
      <c r="O17" s="20">
        <f>+N17*0.7</f>
        <v>339.47899999999953</v>
      </c>
      <c r="P17" s="20">
        <f>+N17*0.3</f>
        <v>145.49099999999979</v>
      </c>
    </row>
    <row r="18" spans="1:16" s="20" customFormat="1" x14ac:dyDescent="0.25">
      <c r="A18" s="75" t="s">
        <v>94</v>
      </c>
      <c r="B18" s="23"/>
      <c r="C18" s="23"/>
      <c r="D18" s="57"/>
      <c r="E18" s="21"/>
      <c r="F18" s="21">
        <f>F19+F21+F25+F20</f>
        <v>62163.469656476766</v>
      </c>
      <c r="G18" s="74">
        <f>J18/$M18</f>
        <v>0.78968028911678545</v>
      </c>
      <c r="H18" s="74">
        <f>K18/$M18</f>
        <v>0.21031971088321461</v>
      </c>
      <c r="I18" s="74">
        <f>L18/$M18</f>
        <v>0</v>
      </c>
      <c r="J18" s="21">
        <f>J19+J21+J25+J20</f>
        <v>49089.266690829092</v>
      </c>
      <c r="K18" s="21">
        <f>K19+K21+K25+K20</f>
        <v>13074.202965647677</v>
      </c>
      <c r="L18" s="21">
        <v>0</v>
      </c>
      <c r="M18" s="21">
        <f t="shared" si="0"/>
        <v>62163.469656476766</v>
      </c>
    </row>
    <row r="19" spans="1:16" s="20" customFormat="1" ht="30.75" customHeight="1" x14ac:dyDescent="0.25">
      <c r="A19" s="17" t="s">
        <v>11</v>
      </c>
      <c r="B19" s="17" t="s">
        <v>64</v>
      </c>
      <c r="C19" s="16" t="s">
        <v>93</v>
      </c>
      <c r="D19" s="56">
        <v>22.5</v>
      </c>
      <c r="E19" s="12">
        <f>(1099.52*15.5)+(5.5*1069.52)+368.59</f>
        <v>23293.510000000002</v>
      </c>
      <c r="F19" s="105">
        <f>E19</f>
        <v>23293.510000000002</v>
      </c>
      <c r="G19" s="13">
        <v>0.9</v>
      </c>
      <c r="H19" s="13">
        <v>0.1</v>
      </c>
      <c r="I19" s="13">
        <v>0</v>
      </c>
      <c r="J19" s="12">
        <f>F19*G19</f>
        <v>20964.159000000003</v>
      </c>
      <c r="K19" s="12">
        <f>F19*H19</f>
        <v>2329.3510000000001</v>
      </c>
      <c r="L19" s="12">
        <v>0</v>
      </c>
      <c r="M19" s="12">
        <f t="shared" si="0"/>
        <v>23293.510000000002</v>
      </c>
    </row>
    <row r="20" spans="1:16" s="111" customFormat="1" ht="30.75" customHeight="1" x14ac:dyDescent="0.25">
      <c r="A20" s="113" t="s">
        <v>118</v>
      </c>
      <c r="B20" s="113" t="s">
        <v>64</v>
      </c>
      <c r="C20" s="114" t="s">
        <v>117</v>
      </c>
      <c r="D20" s="56">
        <v>2</v>
      </c>
      <c r="E20" s="115">
        <f>2164.32*D20</f>
        <v>4328.6400000000003</v>
      </c>
      <c r="F20" s="105">
        <f>E20</f>
        <v>4328.6400000000003</v>
      </c>
      <c r="G20" s="116">
        <v>0.5</v>
      </c>
      <c r="H20" s="116">
        <v>0.5</v>
      </c>
      <c r="I20" s="116">
        <v>0</v>
      </c>
      <c r="J20" s="115">
        <f>F20*G20</f>
        <v>2164.3200000000002</v>
      </c>
      <c r="K20" s="115">
        <f>F20*H20</f>
        <v>2164.3200000000002</v>
      </c>
      <c r="L20" s="115"/>
      <c r="M20" s="115">
        <f>J20+K20</f>
        <v>4328.6400000000003</v>
      </c>
    </row>
    <row r="21" spans="1:16" s="20" customFormat="1" ht="31.5" x14ac:dyDescent="0.25">
      <c r="A21" s="79" t="s">
        <v>92</v>
      </c>
      <c r="B21" s="79"/>
      <c r="C21" s="80"/>
      <c r="D21" s="59"/>
      <c r="E21" s="81"/>
      <c r="F21" s="81">
        <f>F22+F23+F24</f>
        <v>28845.319656476764</v>
      </c>
      <c r="G21" s="82">
        <v>0.9</v>
      </c>
      <c r="H21" s="82">
        <v>0.1</v>
      </c>
      <c r="I21" s="82">
        <v>0</v>
      </c>
      <c r="J21" s="81">
        <f>J22+J23+J24</f>
        <v>25960.787690829085</v>
      </c>
      <c r="K21" s="81">
        <f>K22+K23+K24</f>
        <v>2884.5319656476768</v>
      </c>
      <c r="L21" s="81">
        <f>SUM(L22:L23)</f>
        <v>0</v>
      </c>
      <c r="M21" s="81">
        <f t="shared" si="0"/>
        <v>28845.319656476764</v>
      </c>
    </row>
    <row r="22" spans="1:16" s="20" customFormat="1" x14ac:dyDescent="0.25">
      <c r="A22" s="17" t="s">
        <v>12</v>
      </c>
      <c r="B22" s="17" t="s">
        <v>64</v>
      </c>
      <c r="C22" s="16" t="s">
        <v>66</v>
      </c>
      <c r="D22" s="68">
        <v>17.5</v>
      </c>
      <c r="E22" s="27">
        <f>((1434.49*8)+(1236.63*5.5) )+1835.37</f>
        <v>20112.755000000001</v>
      </c>
      <c r="F22" s="105">
        <f>E22</f>
        <v>20112.755000000001</v>
      </c>
      <c r="G22" s="13">
        <v>0.9</v>
      </c>
      <c r="H22" s="13">
        <v>0.1</v>
      </c>
      <c r="I22" s="13">
        <v>0</v>
      </c>
      <c r="J22" s="12">
        <f>F22*G22</f>
        <v>18101.479500000001</v>
      </c>
      <c r="K22" s="12">
        <f>F22*H22</f>
        <v>2011.2755000000002</v>
      </c>
      <c r="L22" s="12">
        <v>0</v>
      </c>
      <c r="M22" s="12">
        <f t="shared" si="0"/>
        <v>20112.755000000001</v>
      </c>
    </row>
    <row r="23" spans="1:16" s="20" customFormat="1" x14ac:dyDescent="0.25">
      <c r="A23" s="17" t="s">
        <v>13</v>
      </c>
      <c r="B23" s="17" t="s">
        <v>64</v>
      </c>
      <c r="C23" s="16" t="s">
        <v>66</v>
      </c>
      <c r="D23" s="68">
        <v>9</v>
      </c>
      <c r="E23" s="27">
        <f>((814.17*6)+759.89)+1543.73</f>
        <v>7188.6399999999994</v>
      </c>
      <c r="F23" s="105">
        <f>E23</f>
        <v>7188.6399999999994</v>
      </c>
      <c r="G23" s="13">
        <v>0.9</v>
      </c>
      <c r="H23" s="13">
        <v>0.1</v>
      </c>
      <c r="I23" s="13">
        <v>0</v>
      </c>
      <c r="J23" s="12">
        <f>F23*G23</f>
        <v>6469.7759999999998</v>
      </c>
      <c r="K23" s="12">
        <f>F23*H23</f>
        <v>718.86400000000003</v>
      </c>
      <c r="L23" s="12">
        <v>0</v>
      </c>
      <c r="M23" s="12">
        <f t="shared" si="0"/>
        <v>7188.6399999999994</v>
      </c>
    </row>
    <row r="24" spans="1:16" s="93" customFormat="1" x14ac:dyDescent="0.25">
      <c r="A24" s="90" t="s">
        <v>115</v>
      </c>
      <c r="B24" s="90" t="s">
        <v>64</v>
      </c>
      <c r="C24" s="91" t="s">
        <v>116</v>
      </c>
      <c r="D24" s="68">
        <v>5</v>
      </c>
      <c r="E24" s="27">
        <v>308.78493129535275</v>
      </c>
      <c r="F24" s="72">
        <f>D24*E24</f>
        <v>1543.9246564767636</v>
      </c>
      <c r="G24" s="92">
        <v>0.9</v>
      </c>
      <c r="H24" s="92">
        <v>0.1</v>
      </c>
      <c r="I24" s="92"/>
      <c r="J24" s="27">
        <f>G24*F24</f>
        <v>1389.5321908290873</v>
      </c>
      <c r="K24" s="27">
        <f>H24*F24</f>
        <v>154.39246564767637</v>
      </c>
      <c r="L24" s="27"/>
      <c r="M24" s="27"/>
    </row>
    <row r="25" spans="1:16" s="83" customFormat="1" x14ac:dyDescent="0.25">
      <c r="A25" s="79" t="s">
        <v>91</v>
      </c>
      <c r="B25" s="79"/>
      <c r="C25" s="80"/>
      <c r="D25" s="59"/>
      <c r="E25" s="81"/>
      <c r="F25" s="81">
        <f>F26+F27</f>
        <v>5696</v>
      </c>
      <c r="G25" s="82">
        <v>0</v>
      </c>
      <c r="H25" s="82">
        <v>1</v>
      </c>
      <c r="I25" s="82">
        <v>0</v>
      </c>
      <c r="J25" s="81">
        <f>J26+J27</f>
        <v>0</v>
      </c>
      <c r="K25" s="81">
        <f>K26+K27</f>
        <v>5696</v>
      </c>
      <c r="L25" s="81">
        <f>SUM(L26:L27)</f>
        <v>0</v>
      </c>
      <c r="M25" s="81">
        <f t="shared" si="0"/>
        <v>5696</v>
      </c>
    </row>
    <row r="26" spans="1:16" s="20" customFormat="1" x14ac:dyDescent="0.25">
      <c r="A26" s="17" t="s">
        <v>2</v>
      </c>
      <c r="B26" s="17" t="s">
        <v>90</v>
      </c>
      <c r="C26" s="17" t="s">
        <v>89</v>
      </c>
      <c r="D26" s="56">
        <v>4</v>
      </c>
      <c r="E26" s="12">
        <v>299</v>
      </c>
      <c r="F26" s="66">
        <f>E26*D26</f>
        <v>1196</v>
      </c>
      <c r="G26" s="13">
        <v>0</v>
      </c>
      <c r="H26" s="13">
        <v>1</v>
      </c>
      <c r="I26" s="13">
        <v>0</v>
      </c>
      <c r="J26" s="12">
        <f>F26*G26</f>
        <v>0</v>
      </c>
      <c r="K26" s="12">
        <f>F26*H26</f>
        <v>1196</v>
      </c>
      <c r="L26" s="12">
        <v>0</v>
      </c>
      <c r="M26" s="12">
        <f t="shared" si="0"/>
        <v>1196</v>
      </c>
    </row>
    <row r="27" spans="1:16" s="20" customFormat="1" x14ac:dyDescent="0.25">
      <c r="A27" s="17" t="s">
        <v>4</v>
      </c>
      <c r="B27" s="17" t="s">
        <v>90</v>
      </c>
      <c r="C27" s="17" t="s">
        <v>89</v>
      </c>
      <c r="D27" s="56">
        <v>2</v>
      </c>
      <c r="E27" s="12">
        <v>2250</v>
      </c>
      <c r="F27" s="66">
        <f>E27*D27</f>
        <v>4500</v>
      </c>
      <c r="G27" s="13">
        <v>0</v>
      </c>
      <c r="H27" s="13">
        <v>1</v>
      </c>
      <c r="I27" s="13">
        <v>0</v>
      </c>
      <c r="J27" s="12">
        <f>F27*G27</f>
        <v>0</v>
      </c>
      <c r="K27" s="12">
        <f>F27*H27</f>
        <v>4500</v>
      </c>
      <c r="L27" s="12">
        <v>0</v>
      </c>
      <c r="M27" s="12">
        <f t="shared" si="0"/>
        <v>4500</v>
      </c>
    </row>
    <row r="28" spans="1:16" ht="31.5" x14ac:dyDescent="0.25">
      <c r="A28" s="19" t="s">
        <v>88</v>
      </c>
      <c r="B28" s="31"/>
      <c r="C28" s="11"/>
      <c r="D28" s="55"/>
      <c r="E28" s="7"/>
      <c r="F28" s="7">
        <f>(F29+F38+F46)</f>
        <v>195501</v>
      </c>
      <c r="G28" s="8">
        <f t="shared" ref="G28:I29" si="1">J28/$M28</f>
        <v>0.72514473071749008</v>
      </c>
      <c r="H28" s="8">
        <f t="shared" si="1"/>
        <v>0.27485526928251003</v>
      </c>
      <c r="I28" s="8">
        <f t="shared" si="1"/>
        <v>0</v>
      </c>
      <c r="J28" s="7">
        <f>(J29+J38+J46)</f>
        <v>141766.52000000002</v>
      </c>
      <c r="K28" s="7">
        <f>(K29+K38+K46)</f>
        <v>53734.479999999996</v>
      </c>
      <c r="L28" s="7">
        <f>L29+L38+L46</f>
        <v>0</v>
      </c>
      <c r="M28" s="7">
        <f>(M29+M38+M46)</f>
        <v>195501</v>
      </c>
    </row>
    <row r="29" spans="1:16" s="20" customFormat="1" ht="31.5" customHeight="1" x14ac:dyDescent="0.25">
      <c r="A29" s="75" t="s">
        <v>87</v>
      </c>
      <c r="B29" s="28"/>
      <c r="C29" s="22"/>
      <c r="D29" s="57"/>
      <c r="E29" s="21"/>
      <c r="F29" s="21">
        <f>SUM(F30:F37)</f>
        <v>63665</v>
      </c>
      <c r="G29" s="74">
        <f t="shared" si="1"/>
        <v>0.82045596481583283</v>
      </c>
      <c r="H29" s="74">
        <f t="shared" si="1"/>
        <v>0.17954403518416712</v>
      </c>
      <c r="I29" s="74">
        <f t="shared" si="1"/>
        <v>0</v>
      </c>
      <c r="J29" s="21">
        <f>SUM(J30:J37)</f>
        <v>52234.329000000005</v>
      </c>
      <c r="K29" s="21">
        <f>SUM(K30:K37)</f>
        <v>11430.671</v>
      </c>
      <c r="L29" s="21">
        <f>SUM(L30:L37)</f>
        <v>0</v>
      </c>
      <c r="M29" s="21">
        <f t="shared" ref="M29:M66" si="2">SUM(J29:L29)</f>
        <v>63665.000000000007</v>
      </c>
    </row>
    <row r="30" spans="1:16" s="20" customFormat="1" ht="31.5" x14ac:dyDescent="0.25">
      <c r="A30" s="48" t="s">
        <v>86</v>
      </c>
      <c r="B30" s="25" t="s">
        <v>64</v>
      </c>
      <c r="C30" s="26" t="s">
        <v>69</v>
      </c>
      <c r="D30" s="58">
        <v>2</v>
      </c>
      <c r="E30" s="12">
        <f>6000</f>
        <v>6000</v>
      </c>
      <c r="F30" s="66">
        <f t="shared" ref="F30:F37" si="3">E30*D30</f>
        <v>12000</v>
      </c>
      <c r="G30" s="13">
        <v>0.5</v>
      </c>
      <c r="H30" s="13">
        <v>0.5</v>
      </c>
      <c r="I30" s="13">
        <v>0</v>
      </c>
      <c r="J30" s="12">
        <f t="shared" ref="J30:J37" si="4">F30*G30</f>
        <v>6000</v>
      </c>
      <c r="K30" s="12">
        <f t="shared" ref="K30:K37" si="5">F30*H30</f>
        <v>6000</v>
      </c>
      <c r="L30" s="12">
        <v>0</v>
      </c>
      <c r="M30" s="12">
        <f t="shared" si="2"/>
        <v>12000</v>
      </c>
    </row>
    <row r="31" spans="1:16" s="20" customFormat="1" x14ac:dyDescent="0.25">
      <c r="A31" s="48" t="s">
        <v>85</v>
      </c>
      <c r="B31" s="25" t="s">
        <v>64</v>
      </c>
      <c r="C31" s="26" t="s">
        <v>69</v>
      </c>
      <c r="D31" s="58">
        <v>1</v>
      </c>
      <c r="E31" s="12">
        <f>9652</f>
        <v>9652</v>
      </c>
      <c r="F31" s="66">
        <f t="shared" si="3"/>
        <v>9652</v>
      </c>
      <c r="G31" s="13">
        <v>0.9</v>
      </c>
      <c r="H31" s="13">
        <v>0.1</v>
      </c>
      <c r="I31" s="13">
        <v>0</v>
      </c>
      <c r="J31" s="12">
        <f t="shared" si="4"/>
        <v>8686.8000000000011</v>
      </c>
      <c r="K31" s="12">
        <f t="shared" si="5"/>
        <v>965.2</v>
      </c>
      <c r="L31" s="12">
        <v>0</v>
      </c>
      <c r="M31" s="12">
        <f t="shared" si="2"/>
        <v>9652.0000000000018</v>
      </c>
    </row>
    <row r="32" spans="1:16" s="20" customFormat="1" x14ac:dyDescent="0.25">
      <c r="A32" s="48" t="s">
        <v>14</v>
      </c>
      <c r="B32" s="25" t="s">
        <v>64</v>
      </c>
      <c r="C32" s="26" t="s">
        <v>66</v>
      </c>
      <c r="D32" s="58">
        <v>6</v>
      </c>
      <c r="E32" s="12">
        <f>3750</f>
        <v>3750</v>
      </c>
      <c r="F32" s="66">
        <f t="shared" si="3"/>
        <v>22500</v>
      </c>
      <c r="G32" s="13">
        <v>0.9</v>
      </c>
      <c r="H32" s="13">
        <v>0.1</v>
      </c>
      <c r="I32" s="13">
        <v>0</v>
      </c>
      <c r="J32" s="12">
        <f t="shared" si="4"/>
        <v>20250</v>
      </c>
      <c r="K32" s="12">
        <f t="shared" si="5"/>
        <v>2250</v>
      </c>
      <c r="L32" s="12">
        <v>0</v>
      </c>
      <c r="M32" s="12">
        <f t="shared" si="2"/>
        <v>22500</v>
      </c>
    </row>
    <row r="33" spans="1:14" ht="31.5" x14ac:dyDescent="0.25">
      <c r="A33" s="48" t="s">
        <v>84</v>
      </c>
      <c r="B33" s="63" t="s">
        <v>71</v>
      </c>
      <c r="C33" s="64" t="s">
        <v>70</v>
      </c>
      <c r="D33" s="65">
        <v>2</v>
      </c>
      <c r="E33" s="66">
        <f>519</f>
        <v>519</v>
      </c>
      <c r="F33" s="66">
        <f t="shared" si="3"/>
        <v>1038</v>
      </c>
      <c r="G33" s="67">
        <v>0.64549999999999996</v>
      </c>
      <c r="H33" s="67">
        <f>1-G33</f>
        <v>0.35450000000000004</v>
      </c>
      <c r="I33" s="67">
        <v>0</v>
      </c>
      <c r="J33" s="66">
        <f t="shared" si="4"/>
        <v>670.029</v>
      </c>
      <c r="K33" s="66">
        <f t="shared" si="5"/>
        <v>367.97100000000006</v>
      </c>
      <c r="L33" s="66">
        <v>0</v>
      </c>
      <c r="M33" s="66">
        <f t="shared" si="2"/>
        <v>1038</v>
      </c>
    </row>
    <row r="34" spans="1:14" s="20" customFormat="1" x14ac:dyDescent="0.25">
      <c r="A34" s="48" t="s">
        <v>19</v>
      </c>
      <c r="B34" s="25" t="s">
        <v>64</v>
      </c>
      <c r="C34" s="26" t="s">
        <v>69</v>
      </c>
      <c r="D34" s="58">
        <v>1</v>
      </c>
      <c r="E34" s="12">
        <f>5225</f>
        <v>5225</v>
      </c>
      <c r="F34" s="66">
        <f t="shared" si="3"/>
        <v>5225</v>
      </c>
      <c r="G34" s="13">
        <v>0.9</v>
      </c>
      <c r="H34" s="13">
        <v>0.1</v>
      </c>
      <c r="I34" s="13">
        <v>0</v>
      </c>
      <c r="J34" s="12">
        <f t="shared" si="4"/>
        <v>4702.5</v>
      </c>
      <c r="K34" s="12">
        <f t="shared" si="5"/>
        <v>522.5</v>
      </c>
      <c r="L34" s="12">
        <v>0</v>
      </c>
      <c r="M34" s="12">
        <f t="shared" si="2"/>
        <v>5225</v>
      </c>
    </row>
    <row r="35" spans="1:14" s="20" customFormat="1" x14ac:dyDescent="0.25">
      <c r="A35" s="48" t="s">
        <v>83</v>
      </c>
      <c r="B35" s="25" t="s">
        <v>64</v>
      </c>
      <c r="C35" s="26" t="s">
        <v>69</v>
      </c>
      <c r="D35" s="58">
        <v>1</v>
      </c>
      <c r="E35" s="12">
        <f>3600</f>
        <v>3600</v>
      </c>
      <c r="F35" s="66">
        <f t="shared" si="3"/>
        <v>3600</v>
      </c>
      <c r="G35" s="13">
        <v>0.9</v>
      </c>
      <c r="H35" s="13">
        <v>0.1</v>
      </c>
      <c r="I35" s="13">
        <v>0</v>
      </c>
      <c r="J35" s="12">
        <f t="shared" si="4"/>
        <v>3240</v>
      </c>
      <c r="K35" s="12">
        <f t="shared" si="5"/>
        <v>360</v>
      </c>
      <c r="L35" s="12">
        <v>0</v>
      </c>
      <c r="M35" s="12">
        <f t="shared" si="2"/>
        <v>3600</v>
      </c>
    </row>
    <row r="36" spans="1:14" s="20" customFormat="1" x14ac:dyDescent="0.25">
      <c r="A36" s="48" t="s">
        <v>82</v>
      </c>
      <c r="B36" s="25" t="s">
        <v>64</v>
      </c>
      <c r="C36" s="26" t="s">
        <v>69</v>
      </c>
      <c r="D36" s="58">
        <v>1</v>
      </c>
      <c r="E36" s="12">
        <f>3600</f>
        <v>3600</v>
      </c>
      <c r="F36" s="66">
        <f t="shared" si="3"/>
        <v>3600</v>
      </c>
      <c r="G36" s="13">
        <v>0.9</v>
      </c>
      <c r="H36" s="13">
        <v>0.1</v>
      </c>
      <c r="I36" s="13">
        <v>0</v>
      </c>
      <c r="J36" s="12">
        <f t="shared" si="4"/>
        <v>3240</v>
      </c>
      <c r="K36" s="12">
        <f t="shared" si="5"/>
        <v>360</v>
      </c>
      <c r="L36" s="12">
        <v>0</v>
      </c>
      <c r="M36" s="12">
        <f t="shared" si="2"/>
        <v>3600</v>
      </c>
    </row>
    <row r="37" spans="1:14" s="20" customFormat="1" x14ac:dyDescent="0.25">
      <c r="A37" s="48" t="s">
        <v>81</v>
      </c>
      <c r="B37" s="25" t="s">
        <v>64</v>
      </c>
      <c r="C37" s="26" t="s">
        <v>69</v>
      </c>
      <c r="D37" s="58">
        <v>1</v>
      </c>
      <c r="E37" s="12">
        <v>6050</v>
      </c>
      <c r="F37" s="66">
        <f t="shared" si="3"/>
        <v>6050</v>
      </c>
      <c r="G37" s="13">
        <v>0.9</v>
      </c>
      <c r="H37" s="13">
        <v>0.1</v>
      </c>
      <c r="I37" s="13">
        <v>0</v>
      </c>
      <c r="J37" s="12">
        <f t="shared" si="4"/>
        <v>5445</v>
      </c>
      <c r="K37" s="12">
        <f t="shared" si="5"/>
        <v>605</v>
      </c>
      <c r="L37" s="12">
        <v>0</v>
      </c>
      <c r="M37" s="12">
        <f t="shared" si="2"/>
        <v>6050</v>
      </c>
    </row>
    <row r="38" spans="1:14" s="20" customFormat="1" ht="45.75" customHeight="1" x14ac:dyDescent="0.25">
      <c r="A38" s="75" t="s">
        <v>80</v>
      </c>
      <c r="B38" s="79"/>
      <c r="C38" s="80"/>
      <c r="D38" s="59"/>
      <c r="E38" s="81"/>
      <c r="F38" s="81">
        <f>SUM(F39:F45)</f>
        <v>76738</v>
      </c>
      <c r="G38" s="82">
        <f>J38/$M38</f>
        <v>0.68951535093434801</v>
      </c>
      <c r="H38" s="82">
        <f>K38/$M38</f>
        <v>0.31048464906565199</v>
      </c>
      <c r="I38" s="82">
        <f>L38/$M38</f>
        <v>0</v>
      </c>
      <c r="J38" s="81">
        <f>SUM(J39:J45)</f>
        <v>52912.028999999995</v>
      </c>
      <c r="K38" s="81">
        <f>SUM(K39:K45)</f>
        <v>23825.971000000001</v>
      </c>
      <c r="L38" s="81">
        <f>SUM(L39:L45)</f>
        <v>0</v>
      </c>
      <c r="M38" s="81">
        <f t="shared" si="2"/>
        <v>76738</v>
      </c>
    </row>
    <row r="39" spans="1:14" s="20" customFormat="1" ht="31.5" x14ac:dyDescent="0.25">
      <c r="A39" s="48" t="s">
        <v>79</v>
      </c>
      <c r="B39" s="25" t="s">
        <v>64</v>
      </c>
      <c r="C39" s="26" t="s">
        <v>69</v>
      </c>
      <c r="D39" s="58">
        <v>2</v>
      </c>
      <c r="E39" s="12">
        <f>6000</f>
        <v>6000</v>
      </c>
      <c r="F39" s="73">
        <f t="shared" ref="F39:F45" si="6">E39*D39</f>
        <v>12000</v>
      </c>
      <c r="G39" s="13">
        <v>0.5</v>
      </c>
      <c r="H39" s="13">
        <v>0.5</v>
      </c>
      <c r="I39" s="13">
        <v>0</v>
      </c>
      <c r="J39" s="12">
        <f t="shared" ref="J39:J45" si="7">F39*G39</f>
        <v>6000</v>
      </c>
      <c r="K39" s="12">
        <f t="shared" ref="K39:K45" si="8">F39*H39</f>
        <v>6000</v>
      </c>
      <c r="L39" s="12">
        <v>0</v>
      </c>
      <c r="M39" s="12">
        <f t="shared" si="2"/>
        <v>12000</v>
      </c>
      <c r="N39" s="29"/>
    </row>
    <row r="40" spans="1:14" s="20" customFormat="1" ht="31.5" x14ac:dyDescent="0.25">
      <c r="A40" s="48" t="s">
        <v>78</v>
      </c>
      <c r="B40" s="25" t="s">
        <v>64</v>
      </c>
      <c r="C40" s="26" t="s">
        <v>69</v>
      </c>
      <c r="D40" s="58">
        <v>1</v>
      </c>
      <c r="E40" s="12">
        <f>12100</f>
        <v>12100</v>
      </c>
      <c r="F40" s="66">
        <f t="shared" si="6"/>
        <v>12100</v>
      </c>
      <c r="G40" s="13">
        <v>0.9</v>
      </c>
      <c r="H40" s="13">
        <v>0.1</v>
      </c>
      <c r="I40" s="13">
        <v>0</v>
      </c>
      <c r="J40" s="12">
        <f t="shared" si="7"/>
        <v>10890</v>
      </c>
      <c r="K40" s="12">
        <f t="shared" si="8"/>
        <v>1210</v>
      </c>
      <c r="L40" s="12">
        <v>0</v>
      </c>
      <c r="M40" s="12">
        <f t="shared" si="2"/>
        <v>12100</v>
      </c>
      <c r="N40" s="29"/>
    </row>
    <row r="41" spans="1:14" s="20" customFormat="1" x14ac:dyDescent="0.25">
      <c r="A41" s="48" t="s">
        <v>15</v>
      </c>
      <c r="B41" s="25" t="s">
        <v>64</v>
      </c>
      <c r="C41" s="26" t="s">
        <v>66</v>
      </c>
      <c r="D41" s="58">
        <v>6</v>
      </c>
      <c r="E41" s="12">
        <f>3950</f>
        <v>3950</v>
      </c>
      <c r="F41" s="66">
        <f t="shared" si="6"/>
        <v>23700</v>
      </c>
      <c r="G41" s="13">
        <v>0.56999999999999995</v>
      </c>
      <c r="H41" s="13">
        <v>0.43</v>
      </c>
      <c r="I41" s="13">
        <v>0</v>
      </c>
      <c r="J41" s="12">
        <f t="shared" si="7"/>
        <v>13508.999999999998</v>
      </c>
      <c r="K41" s="12">
        <f t="shared" si="8"/>
        <v>10191</v>
      </c>
      <c r="L41" s="12">
        <v>0</v>
      </c>
      <c r="M41" s="12">
        <f t="shared" si="2"/>
        <v>23700</v>
      </c>
      <c r="N41" s="29"/>
    </row>
    <row r="42" spans="1:14" s="20" customFormat="1" ht="31.5" x14ac:dyDescent="0.25">
      <c r="A42" s="48" t="s">
        <v>77</v>
      </c>
      <c r="B42" s="25" t="s">
        <v>71</v>
      </c>
      <c r="C42" s="26" t="s">
        <v>70</v>
      </c>
      <c r="D42" s="58">
        <v>2</v>
      </c>
      <c r="E42" s="30">
        <v>519</v>
      </c>
      <c r="F42" s="66">
        <f t="shared" si="6"/>
        <v>1038</v>
      </c>
      <c r="G42" s="13">
        <v>0.64549999999999996</v>
      </c>
      <c r="H42" s="13">
        <f>1-G42</f>
        <v>0.35450000000000004</v>
      </c>
      <c r="I42" s="13">
        <v>0</v>
      </c>
      <c r="J42" s="12">
        <f t="shared" si="7"/>
        <v>670.029</v>
      </c>
      <c r="K42" s="12">
        <f t="shared" si="8"/>
        <v>367.97100000000006</v>
      </c>
      <c r="L42" s="12">
        <v>0</v>
      </c>
      <c r="M42" s="12">
        <f t="shared" si="2"/>
        <v>1038</v>
      </c>
      <c r="N42" s="29"/>
    </row>
    <row r="43" spans="1:14" s="20" customFormat="1" x14ac:dyDescent="0.25">
      <c r="A43" s="48" t="s">
        <v>21</v>
      </c>
      <c r="B43" s="25" t="s">
        <v>64</v>
      </c>
      <c r="C43" s="26" t="s">
        <v>69</v>
      </c>
      <c r="D43" s="58">
        <v>1</v>
      </c>
      <c r="E43" s="30">
        <f>4500</f>
        <v>4500</v>
      </c>
      <c r="F43" s="66">
        <f t="shared" si="6"/>
        <v>4500</v>
      </c>
      <c r="G43" s="13">
        <v>0.56999999999999995</v>
      </c>
      <c r="H43" s="13">
        <v>0.43</v>
      </c>
      <c r="I43" s="13">
        <v>0</v>
      </c>
      <c r="J43" s="12">
        <f t="shared" si="7"/>
        <v>2565</v>
      </c>
      <c r="K43" s="12">
        <f t="shared" si="8"/>
        <v>1935</v>
      </c>
      <c r="L43" s="12">
        <v>0</v>
      </c>
      <c r="M43" s="12">
        <f t="shared" si="2"/>
        <v>4500</v>
      </c>
      <c r="N43" s="29"/>
    </row>
    <row r="44" spans="1:14" s="20" customFormat="1" x14ac:dyDescent="0.25">
      <c r="A44" s="48" t="s">
        <v>20</v>
      </c>
      <c r="B44" s="25" t="s">
        <v>64</v>
      </c>
      <c r="C44" s="26" t="s">
        <v>69</v>
      </c>
      <c r="D44" s="58">
        <v>1</v>
      </c>
      <c r="E44" s="30">
        <f>5400</f>
        <v>5400</v>
      </c>
      <c r="F44" s="66">
        <f t="shared" si="6"/>
        <v>5400</v>
      </c>
      <c r="G44" s="13">
        <v>0.56999999999999995</v>
      </c>
      <c r="H44" s="13">
        <v>0.43</v>
      </c>
      <c r="I44" s="13">
        <v>0</v>
      </c>
      <c r="J44" s="12">
        <f t="shared" si="7"/>
        <v>3077.9999999999995</v>
      </c>
      <c r="K44" s="12">
        <f t="shared" si="8"/>
        <v>2322</v>
      </c>
      <c r="L44" s="12">
        <v>0</v>
      </c>
      <c r="M44" s="12">
        <f t="shared" si="2"/>
        <v>5400</v>
      </c>
      <c r="N44" s="29"/>
    </row>
    <row r="45" spans="1:14" s="20" customFormat="1" x14ac:dyDescent="0.25">
      <c r="A45" s="48" t="s">
        <v>76</v>
      </c>
      <c r="B45" s="25" t="s">
        <v>64</v>
      </c>
      <c r="C45" s="26" t="s">
        <v>69</v>
      </c>
      <c r="D45" s="58">
        <v>1</v>
      </c>
      <c r="E45" s="30">
        <v>18000</v>
      </c>
      <c r="F45" s="66">
        <f t="shared" si="6"/>
        <v>18000</v>
      </c>
      <c r="G45" s="13">
        <v>0.9</v>
      </c>
      <c r="H45" s="13">
        <v>0.1</v>
      </c>
      <c r="I45" s="13">
        <v>0</v>
      </c>
      <c r="J45" s="12">
        <f t="shared" si="7"/>
        <v>16200</v>
      </c>
      <c r="K45" s="12">
        <f t="shared" si="8"/>
        <v>1800</v>
      </c>
      <c r="L45" s="12">
        <v>0</v>
      </c>
      <c r="M45" s="12">
        <f t="shared" si="2"/>
        <v>18000</v>
      </c>
      <c r="N45" s="29"/>
    </row>
    <row r="46" spans="1:14" s="20" customFormat="1" ht="47.25" x14ac:dyDescent="0.25">
      <c r="A46" s="75" t="s">
        <v>75</v>
      </c>
      <c r="B46" s="79"/>
      <c r="C46" s="80"/>
      <c r="D46" s="59"/>
      <c r="E46" s="81"/>
      <c r="F46" s="81">
        <f>SUM(F47:F52)</f>
        <v>55098</v>
      </c>
      <c r="G46" s="82">
        <f>J46/$M46</f>
        <v>0.66463686522196819</v>
      </c>
      <c r="H46" s="82">
        <f>K46/$M46</f>
        <v>0.33536313477803181</v>
      </c>
      <c r="I46" s="82">
        <f>L46/$M46</f>
        <v>0</v>
      </c>
      <c r="J46" s="81">
        <f>SUM(J47:J52)</f>
        <v>36620.162000000004</v>
      </c>
      <c r="K46" s="81">
        <f>SUM(K47:K52)</f>
        <v>18477.837999999996</v>
      </c>
      <c r="L46" s="81">
        <f>SUM(L47:L52)</f>
        <v>0</v>
      </c>
      <c r="M46" s="81">
        <f t="shared" si="2"/>
        <v>55098</v>
      </c>
    </row>
    <row r="47" spans="1:14" s="20" customFormat="1" ht="31.5" x14ac:dyDescent="0.25">
      <c r="A47" s="48" t="s">
        <v>74</v>
      </c>
      <c r="B47" s="25" t="s">
        <v>64</v>
      </c>
      <c r="C47" s="26" t="s">
        <v>69</v>
      </c>
      <c r="D47" s="58">
        <v>2</v>
      </c>
      <c r="E47" s="12">
        <f>6000</f>
        <v>6000</v>
      </c>
      <c r="F47" s="66">
        <f t="shared" ref="F47:F52" si="9">E47*D47</f>
        <v>12000</v>
      </c>
      <c r="G47" s="13">
        <v>0.5</v>
      </c>
      <c r="H47" s="13">
        <v>0.5</v>
      </c>
      <c r="I47" s="13">
        <v>0</v>
      </c>
      <c r="J47" s="12">
        <f t="shared" ref="J47:J52" si="10">F47*G47</f>
        <v>6000</v>
      </c>
      <c r="K47" s="12">
        <f t="shared" ref="K47:K52" si="11">F47*H47</f>
        <v>6000</v>
      </c>
      <c r="L47" s="12">
        <v>0</v>
      </c>
      <c r="M47" s="12">
        <f t="shared" si="2"/>
        <v>12000</v>
      </c>
    </row>
    <row r="48" spans="1:14" s="20" customFormat="1" ht="31.5" x14ac:dyDescent="0.25">
      <c r="A48" s="48" t="s">
        <v>73</v>
      </c>
      <c r="B48" s="25" t="s">
        <v>64</v>
      </c>
      <c r="C48" s="26" t="s">
        <v>69</v>
      </c>
      <c r="D48" s="58">
        <v>1</v>
      </c>
      <c r="E48" s="12">
        <f>10700</f>
        <v>10700</v>
      </c>
      <c r="F48" s="66">
        <f t="shared" si="9"/>
        <v>10700</v>
      </c>
      <c r="G48" s="13">
        <v>0.9</v>
      </c>
      <c r="H48" s="13">
        <f>1-G48</f>
        <v>9.9999999999999978E-2</v>
      </c>
      <c r="I48" s="13">
        <v>0</v>
      </c>
      <c r="J48" s="12">
        <f t="shared" si="10"/>
        <v>9630</v>
      </c>
      <c r="K48" s="12">
        <f t="shared" si="11"/>
        <v>1069.9999999999998</v>
      </c>
      <c r="L48" s="12">
        <v>0</v>
      </c>
      <c r="M48" s="12">
        <f t="shared" si="2"/>
        <v>10700</v>
      </c>
    </row>
    <row r="49" spans="1:13" s="20" customFormat="1" x14ac:dyDescent="0.25">
      <c r="A49" s="48" t="s">
        <v>16</v>
      </c>
      <c r="B49" s="25" t="s">
        <v>64</v>
      </c>
      <c r="C49" s="26" t="s">
        <v>66</v>
      </c>
      <c r="D49" s="58">
        <v>4</v>
      </c>
      <c r="E49" s="12">
        <f>3874</f>
        <v>3874</v>
      </c>
      <c r="F49" s="66">
        <f t="shared" si="9"/>
        <v>15496</v>
      </c>
      <c r="G49" s="13">
        <v>0.65</v>
      </c>
      <c r="H49" s="13">
        <f>1-G49</f>
        <v>0.35</v>
      </c>
      <c r="I49" s="13">
        <v>0</v>
      </c>
      <c r="J49" s="12">
        <f t="shared" si="10"/>
        <v>10072.4</v>
      </c>
      <c r="K49" s="12">
        <f t="shared" si="11"/>
        <v>5423.5999999999995</v>
      </c>
      <c r="L49" s="12">
        <v>0</v>
      </c>
      <c r="M49" s="12">
        <f t="shared" si="2"/>
        <v>15496</v>
      </c>
    </row>
    <row r="50" spans="1:13" s="20" customFormat="1" ht="31.5" x14ac:dyDescent="0.25">
      <c r="A50" s="48" t="s">
        <v>72</v>
      </c>
      <c r="B50" s="25" t="s">
        <v>71</v>
      </c>
      <c r="C50" s="26" t="s">
        <v>70</v>
      </c>
      <c r="D50" s="58">
        <v>2</v>
      </c>
      <c r="E50" s="12">
        <f>519</f>
        <v>519</v>
      </c>
      <c r="F50" s="66">
        <f t="shared" si="9"/>
        <v>1038</v>
      </c>
      <c r="G50" s="13">
        <v>0.64900000000000002</v>
      </c>
      <c r="H50" s="13">
        <f>1-G50</f>
        <v>0.35099999999999998</v>
      </c>
      <c r="I50" s="13">
        <v>0</v>
      </c>
      <c r="J50" s="12">
        <f t="shared" si="10"/>
        <v>673.66200000000003</v>
      </c>
      <c r="K50" s="12">
        <f t="shared" si="11"/>
        <v>364.33799999999997</v>
      </c>
      <c r="L50" s="12">
        <v>0</v>
      </c>
      <c r="M50" s="12">
        <f t="shared" si="2"/>
        <v>1038</v>
      </c>
    </row>
    <row r="51" spans="1:13" s="20" customFormat="1" x14ac:dyDescent="0.25">
      <c r="A51" s="48" t="s">
        <v>22</v>
      </c>
      <c r="B51" s="25" t="s">
        <v>64</v>
      </c>
      <c r="C51" s="26" t="s">
        <v>69</v>
      </c>
      <c r="D51" s="58">
        <v>1</v>
      </c>
      <c r="E51" s="12">
        <f>9114</f>
        <v>9114</v>
      </c>
      <c r="F51" s="66">
        <f t="shared" si="9"/>
        <v>9114</v>
      </c>
      <c r="G51" s="13">
        <v>0.65</v>
      </c>
      <c r="H51" s="13">
        <f>1-G51</f>
        <v>0.35</v>
      </c>
      <c r="I51" s="13">
        <v>0</v>
      </c>
      <c r="J51" s="12">
        <f t="shared" si="10"/>
        <v>5924.1</v>
      </c>
      <c r="K51" s="12">
        <f t="shared" si="11"/>
        <v>3189.8999999999996</v>
      </c>
      <c r="L51" s="12">
        <v>0</v>
      </c>
      <c r="M51" s="12">
        <f t="shared" si="2"/>
        <v>9114</v>
      </c>
    </row>
    <row r="52" spans="1:13" s="20" customFormat="1" x14ac:dyDescent="0.25">
      <c r="A52" s="48" t="s">
        <v>18</v>
      </c>
      <c r="B52" s="25" t="s">
        <v>64</v>
      </c>
      <c r="C52" s="26" t="s">
        <v>69</v>
      </c>
      <c r="D52" s="58">
        <v>1</v>
      </c>
      <c r="E52" s="12">
        <f>6750</f>
        <v>6750</v>
      </c>
      <c r="F52" s="66">
        <f t="shared" si="9"/>
        <v>6750</v>
      </c>
      <c r="G52" s="13">
        <v>0.64</v>
      </c>
      <c r="H52" s="13">
        <f>1-G52</f>
        <v>0.36</v>
      </c>
      <c r="I52" s="13">
        <v>0</v>
      </c>
      <c r="J52" s="12">
        <f t="shared" si="10"/>
        <v>4320</v>
      </c>
      <c r="K52" s="12">
        <f t="shared" si="11"/>
        <v>2430</v>
      </c>
      <c r="L52" s="12">
        <v>0</v>
      </c>
      <c r="M52" s="12">
        <f t="shared" si="2"/>
        <v>6750</v>
      </c>
    </row>
    <row r="53" spans="1:13" ht="31.5" x14ac:dyDescent="0.25">
      <c r="A53" s="19" t="s">
        <v>68</v>
      </c>
      <c r="B53" s="18"/>
      <c r="C53" s="11"/>
      <c r="D53" s="55"/>
      <c r="E53" s="7"/>
      <c r="F53" s="7">
        <f>F54+F58+F63+F64</f>
        <v>34069.563663918627</v>
      </c>
      <c r="G53" s="8">
        <f>J53/$M53</f>
        <v>0.13424005206276138</v>
      </c>
      <c r="H53" s="8">
        <f>K53/$M53</f>
        <v>0.86575994793723854</v>
      </c>
      <c r="I53" s="8">
        <f>L53/$M53</f>
        <v>0</v>
      </c>
      <c r="J53" s="7">
        <f>J54+J58+J63+J64</f>
        <v>4573.5</v>
      </c>
      <c r="K53" s="7">
        <f>K54+K58+K63+K64</f>
        <v>29496.063663918623</v>
      </c>
      <c r="L53" s="7">
        <f>L54+L17+L58+L63+L64</f>
        <v>0</v>
      </c>
      <c r="M53" s="7">
        <f t="shared" si="2"/>
        <v>34069.563663918627</v>
      </c>
    </row>
    <row r="54" spans="1:13" s="20" customFormat="1" ht="31.5" x14ac:dyDescent="0.25">
      <c r="A54" s="75" t="s">
        <v>67</v>
      </c>
      <c r="B54" s="23"/>
      <c r="C54" s="23"/>
      <c r="D54" s="59"/>
      <c r="E54" s="23"/>
      <c r="F54" s="81">
        <f>SUM(F55:F57)</f>
        <v>9147</v>
      </c>
      <c r="G54" s="82">
        <v>0.5</v>
      </c>
      <c r="H54" s="82">
        <v>0.5</v>
      </c>
      <c r="I54" s="82">
        <f>L54/$M54</f>
        <v>0</v>
      </c>
      <c r="J54" s="84">
        <f>SUM(J55:J57)</f>
        <v>4573.5</v>
      </c>
      <c r="K54" s="84">
        <f>SUM(K55:K57)</f>
        <v>4573.5</v>
      </c>
      <c r="L54" s="81">
        <v>0</v>
      </c>
      <c r="M54" s="81">
        <f t="shared" si="2"/>
        <v>9147</v>
      </c>
    </row>
    <row r="55" spans="1:13" s="20" customFormat="1" ht="31.5" x14ac:dyDescent="0.25">
      <c r="A55" s="17" t="s">
        <v>10</v>
      </c>
      <c r="B55" s="17" t="s">
        <v>64</v>
      </c>
      <c r="C55" s="16" t="s">
        <v>66</v>
      </c>
      <c r="D55" s="60">
        <v>3</v>
      </c>
      <c r="E55" s="12">
        <v>1770</v>
      </c>
      <c r="F55" s="66">
        <f>E55*D55</f>
        <v>5310</v>
      </c>
      <c r="G55" s="67">
        <v>0.5</v>
      </c>
      <c r="H55" s="13">
        <v>0.5</v>
      </c>
      <c r="I55" s="13">
        <f>L55/$M55</f>
        <v>0</v>
      </c>
      <c r="J55" s="27">
        <f>F55*G55</f>
        <v>2655</v>
      </c>
      <c r="K55" s="27">
        <f>F55*H55</f>
        <v>2655</v>
      </c>
      <c r="L55" s="12">
        <v>0</v>
      </c>
      <c r="M55" s="12">
        <f t="shared" si="2"/>
        <v>5310</v>
      </c>
    </row>
    <row r="56" spans="1:13" s="20" customFormat="1" x14ac:dyDescent="0.25">
      <c r="A56" s="17" t="s">
        <v>9</v>
      </c>
      <c r="B56" s="17" t="s">
        <v>64</v>
      </c>
      <c r="C56" s="16" t="s">
        <v>63</v>
      </c>
      <c r="D56" s="56">
        <v>392</v>
      </c>
      <c r="E56" s="12">
        <v>11</v>
      </c>
      <c r="F56" s="117">
        <f>1232+645</f>
        <v>1877</v>
      </c>
      <c r="G56" s="67">
        <v>0.5</v>
      </c>
      <c r="H56" s="13">
        <v>0.5</v>
      </c>
      <c r="I56" s="13">
        <v>0</v>
      </c>
      <c r="J56" s="27">
        <f>F56*G56</f>
        <v>938.5</v>
      </c>
      <c r="K56" s="27">
        <f>F56*H56</f>
        <v>938.5</v>
      </c>
      <c r="L56" s="12">
        <v>0</v>
      </c>
      <c r="M56" s="12">
        <f t="shared" si="2"/>
        <v>1877</v>
      </c>
    </row>
    <row r="57" spans="1:13" s="100" customFormat="1" x14ac:dyDescent="0.25">
      <c r="A57" s="63" t="s">
        <v>65</v>
      </c>
      <c r="B57" s="63" t="s">
        <v>64</v>
      </c>
      <c r="C57" s="64" t="s">
        <v>63</v>
      </c>
      <c r="D57" s="65">
        <v>392</v>
      </c>
      <c r="E57" s="102">
        <v>5</v>
      </c>
      <c r="F57" s="102">
        <f>E57*D57</f>
        <v>1960</v>
      </c>
      <c r="G57" s="101">
        <v>0.5</v>
      </c>
      <c r="H57" s="101">
        <v>0.5</v>
      </c>
      <c r="I57" s="101">
        <v>0</v>
      </c>
      <c r="J57" s="102">
        <f>F57*G57</f>
        <v>980</v>
      </c>
      <c r="K57" s="102">
        <f>F57*H57</f>
        <v>980</v>
      </c>
      <c r="L57" s="102">
        <v>0</v>
      </c>
      <c r="M57" s="102">
        <f t="shared" si="2"/>
        <v>1960</v>
      </c>
    </row>
    <row r="58" spans="1:13" s="20" customFormat="1" x14ac:dyDescent="0.25">
      <c r="A58" s="75" t="s">
        <v>62</v>
      </c>
      <c r="B58" s="23"/>
      <c r="C58" s="23"/>
      <c r="D58" s="57"/>
      <c r="E58" s="21"/>
      <c r="F58" s="21">
        <f>SUM(F59:F62)</f>
        <v>12165.294432233852</v>
      </c>
      <c r="G58" s="74">
        <f>J58/$M58</f>
        <v>0</v>
      </c>
      <c r="H58" s="74">
        <f>K58/$M58</f>
        <v>1</v>
      </c>
      <c r="I58" s="74">
        <v>0</v>
      </c>
      <c r="J58" s="21">
        <f>SUM(J59:J62)</f>
        <v>0</v>
      </c>
      <c r="K58" s="21">
        <f>SUM(K59:K62)</f>
        <v>12165.294432233852</v>
      </c>
      <c r="L58" s="21">
        <f>SUM(L59:L62)</f>
        <v>0</v>
      </c>
      <c r="M58" s="21">
        <f t="shared" si="2"/>
        <v>12165.294432233852</v>
      </c>
    </row>
    <row r="59" spans="1:13" s="20" customFormat="1" x14ac:dyDescent="0.25">
      <c r="A59" s="25" t="s">
        <v>61</v>
      </c>
      <c r="B59" s="25" t="s">
        <v>55</v>
      </c>
      <c r="C59" s="26" t="s">
        <v>60</v>
      </c>
      <c r="D59" s="56">
        <v>6</v>
      </c>
      <c r="E59" s="24">
        <v>1142.5941648350777</v>
      </c>
      <c r="F59" s="66">
        <f>E59*D59</f>
        <v>6855.564989010466</v>
      </c>
      <c r="G59" s="13">
        <v>0</v>
      </c>
      <c r="H59" s="13">
        <v>1</v>
      </c>
      <c r="I59" s="13">
        <v>0</v>
      </c>
      <c r="J59" s="12">
        <f>F59*G59</f>
        <v>0</v>
      </c>
      <c r="K59" s="12">
        <f>F59*H59</f>
        <v>6855.564989010466</v>
      </c>
      <c r="L59" s="12">
        <v>0</v>
      </c>
      <c r="M59" s="12">
        <f t="shared" si="2"/>
        <v>6855.564989010466</v>
      </c>
    </row>
    <row r="60" spans="1:13" s="20" customFormat="1" x14ac:dyDescent="0.25">
      <c r="A60" s="25" t="s">
        <v>59</v>
      </c>
      <c r="B60" s="25" t="s">
        <v>55</v>
      </c>
      <c r="C60" s="16" t="s">
        <v>46</v>
      </c>
      <c r="D60" s="56">
        <v>6</v>
      </c>
      <c r="E60" s="24">
        <v>126.95490720389751</v>
      </c>
      <c r="F60" s="66">
        <f>E60*D60</f>
        <v>761.72944322338503</v>
      </c>
      <c r="G60" s="13">
        <v>0</v>
      </c>
      <c r="H60" s="13">
        <v>1</v>
      </c>
      <c r="I60" s="13">
        <v>0</v>
      </c>
      <c r="J60" s="12">
        <f>F60*G60</f>
        <v>0</v>
      </c>
      <c r="K60" s="12">
        <f>F60*H60</f>
        <v>761.72944322338503</v>
      </c>
      <c r="L60" s="12">
        <v>0</v>
      </c>
      <c r="M60" s="12">
        <f t="shared" si="2"/>
        <v>761.72944322338503</v>
      </c>
    </row>
    <row r="61" spans="1:13" s="20" customFormat="1" x14ac:dyDescent="0.25">
      <c r="A61" s="25" t="s">
        <v>58</v>
      </c>
      <c r="B61" s="25" t="s">
        <v>55</v>
      </c>
      <c r="C61" s="16" t="s">
        <v>57</v>
      </c>
      <c r="D61" s="56">
        <v>6</v>
      </c>
      <c r="E61" s="24">
        <v>569</v>
      </c>
      <c r="F61" s="66">
        <f>E61*D61</f>
        <v>3414</v>
      </c>
      <c r="G61" s="13">
        <v>0</v>
      </c>
      <c r="H61" s="13">
        <v>1</v>
      </c>
      <c r="I61" s="13">
        <v>0</v>
      </c>
      <c r="J61" s="12">
        <f>F61*G61</f>
        <v>0</v>
      </c>
      <c r="K61" s="12">
        <f>F61*H61</f>
        <v>3414</v>
      </c>
      <c r="L61" s="12">
        <v>0</v>
      </c>
      <c r="M61" s="12">
        <f t="shared" si="2"/>
        <v>3414</v>
      </c>
    </row>
    <row r="62" spans="1:13" s="20" customFormat="1" x14ac:dyDescent="0.25">
      <c r="A62" s="25" t="s">
        <v>56</v>
      </c>
      <c r="B62" s="25" t="s">
        <v>55</v>
      </c>
      <c r="C62" s="16" t="s">
        <v>46</v>
      </c>
      <c r="D62" s="56">
        <v>6</v>
      </c>
      <c r="E62" s="24">
        <v>189</v>
      </c>
      <c r="F62" s="66">
        <f>E62*D62</f>
        <v>1134</v>
      </c>
      <c r="G62" s="13">
        <v>0</v>
      </c>
      <c r="H62" s="13">
        <v>1</v>
      </c>
      <c r="I62" s="13">
        <v>0</v>
      </c>
      <c r="J62" s="12">
        <f>F62*G62</f>
        <v>0</v>
      </c>
      <c r="K62" s="12">
        <f>F62*H62</f>
        <v>1134</v>
      </c>
      <c r="L62" s="12">
        <v>0</v>
      </c>
      <c r="M62" s="12">
        <f t="shared" si="2"/>
        <v>1134</v>
      </c>
    </row>
    <row r="63" spans="1:13" s="20" customFormat="1" x14ac:dyDescent="0.25">
      <c r="A63" s="75" t="s">
        <v>54</v>
      </c>
      <c r="B63" s="85" t="s">
        <v>53</v>
      </c>
      <c r="C63" s="22" t="s">
        <v>52</v>
      </c>
      <c r="D63" s="57">
        <v>6</v>
      </c>
      <c r="E63" s="86">
        <v>1666</v>
      </c>
      <c r="F63" s="21">
        <f>E63*D63</f>
        <v>9996</v>
      </c>
      <c r="G63" s="74">
        <v>0</v>
      </c>
      <c r="H63" s="74">
        <v>1</v>
      </c>
      <c r="I63" s="74">
        <v>0</v>
      </c>
      <c r="J63" s="21">
        <f>F63*G63</f>
        <v>0</v>
      </c>
      <c r="K63" s="21">
        <f>F63*H63</f>
        <v>9996</v>
      </c>
      <c r="L63" s="21">
        <v>0</v>
      </c>
      <c r="M63" s="21">
        <f t="shared" si="2"/>
        <v>9996</v>
      </c>
    </row>
    <row r="64" spans="1:13" s="20" customFormat="1" ht="31.5" x14ac:dyDescent="0.25">
      <c r="A64" s="75" t="s">
        <v>51</v>
      </c>
      <c r="B64" s="23"/>
      <c r="C64" s="23"/>
      <c r="D64" s="57"/>
      <c r="E64" s="21"/>
      <c r="F64" s="21">
        <f>SUM(F65:F66)</f>
        <v>2761.2692316847715</v>
      </c>
      <c r="G64" s="74">
        <f>J64/$M64</f>
        <v>0</v>
      </c>
      <c r="H64" s="74">
        <f>K64/$M64</f>
        <v>1</v>
      </c>
      <c r="I64" s="74">
        <v>0</v>
      </c>
      <c r="J64" s="21">
        <f>SUM(J65:J66)</f>
        <v>0</v>
      </c>
      <c r="K64" s="21">
        <f>SUM(K65:K66)</f>
        <v>2761.2692316847715</v>
      </c>
      <c r="L64" s="21">
        <f>SUM(L65:L66)</f>
        <v>0</v>
      </c>
      <c r="M64" s="21">
        <f t="shared" si="2"/>
        <v>2761.2692316847715</v>
      </c>
    </row>
    <row r="65" spans="1:16" s="20" customFormat="1" x14ac:dyDescent="0.25">
      <c r="A65" s="49" t="s">
        <v>50</v>
      </c>
      <c r="B65" s="17" t="s">
        <v>47</v>
      </c>
      <c r="C65" s="16" t="s">
        <v>49</v>
      </c>
      <c r="D65" s="56">
        <v>6</v>
      </c>
      <c r="E65" s="12">
        <v>364.99535821120537</v>
      </c>
      <c r="F65" s="66">
        <f>E65*D65</f>
        <v>2189.9721492672325</v>
      </c>
      <c r="G65" s="13">
        <v>0</v>
      </c>
      <c r="H65" s="13">
        <v>1</v>
      </c>
      <c r="I65" s="13">
        <v>0</v>
      </c>
      <c r="J65" s="12">
        <f>F65*G65</f>
        <v>0</v>
      </c>
      <c r="K65" s="12">
        <f>F65*H65</f>
        <v>2189.9721492672325</v>
      </c>
      <c r="L65" s="12">
        <v>0</v>
      </c>
      <c r="M65" s="12">
        <f t="shared" si="2"/>
        <v>2189.9721492672325</v>
      </c>
    </row>
    <row r="66" spans="1:16" s="20" customFormat="1" x14ac:dyDescent="0.25">
      <c r="A66" s="49" t="s">
        <v>48</v>
      </c>
      <c r="B66" s="17" t="s">
        <v>47</v>
      </c>
      <c r="C66" s="16" t="s">
        <v>46</v>
      </c>
      <c r="D66" s="56">
        <v>6</v>
      </c>
      <c r="E66" s="12">
        <v>95.216180402923143</v>
      </c>
      <c r="F66" s="66">
        <f>E66*D66</f>
        <v>571.29708241753883</v>
      </c>
      <c r="G66" s="13">
        <v>0</v>
      </c>
      <c r="H66" s="13">
        <v>1</v>
      </c>
      <c r="I66" s="13">
        <v>0</v>
      </c>
      <c r="J66" s="12">
        <f>F66*G66</f>
        <v>0</v>
      </c>
      <c r="K66" s="12">
        <f>F66*H66</f>
        <v>571.29708241753883</v>
      </c>
      <c r="L66" s="12">
        <v>0</v>
      </c>
      <c r="M66" s="12">
        <f t="shared" si="2"/>
        <v>571.29708241753883</v>
      </c>
    </row>
    <row r="67" spans="1:16" s="100" customFormat="1" ht="24" customHeight="1" x14ac:dyDescent="0.25">
      <c r="A67" s="94" t="s">
        <v>45</v>
      </c>
      <c r="B67" s="95" t="s">
        <v>44</v>
      </c>
      <c r="C67" s="96"/>
      <c r="D67" s="97"/>
      <c r="E67" s="98"/>
      <c r="F67" s="98">
        <f>F68+F69+F70</f>
        <v>28548.899999999998</v>
      </c>
      <c r="G67" s="99">
        <f>J67/$M67</f>
        <v>0</v>
      </c>
      <c r="H67" s="99">
        <f>K67/$M67</f>
        <v>1</v>
      </c>
      <c r="I67" s="99">
        <f>L67/$M67</f>
        <v>0</v>
      </c>
      <c r="J67" s="98">
        <f>J68+J69+J70</f>
        <v>0</v>
      </c>
      <c r="K67" s="98">
        <f>K68+K69+K70</f>
        <v>28548.899999999998</v>
      </c>
      <c r="L67" s="98">
        <f>L68+L69+L70</f>
        <v>0</v>
      </c>
      <c r="M67" s="98">
        <f>M68+M69+M70</f>
        <v>28548.899999999998</v>
      </c>
    </row>
    <row r="68" spans="1:16" x14ac:dyDescent="0.25">
      <c r="A68" s="25" t="s">
        <v>43</v>
      </c>
      <c r="B68" s="17" t="s">
        <v>42</v>
      </c>
      <c r="C68" s="16" t="s">
        <v>41</v>
      </c>
      <c r="D68" s="56">
        <v>18</v>
      </c>
      <c r="E68" s="12">
        <v>4810</v>
      </c>
      <c r="F68" s="66">
        <f>E68*D68*0.15</f>
        <v>12987</v>
      </c>
      <c r="G68" s="13">
        <v>0</v>
      </c>
      <c r="H68" s="13">
        <v>1</v>
      </c>
      <c r="I68" s="13">
        <v>0</v>
      </c>
      <c r="J68" s="12">
        <f>G68*F68</f>
        <v>0</v>
      </c>
      <c r="K68" s="12">
        <f>H68*F68</f>
        <v>12987</v>
      </c>
      <c r="L68" s="12">
        <f>I68*F68</f>
        <v>0</v>
      </c>
      <c r="M68" s="12">
        <f>SUM(J68:L68)</f>
        <v>12987</v>
      </c>
    </row>
    <row r="69" spans="1:16" ht="31.5" x14ac:dyDescent="0.25">
      <c r="A69" s="25" t="s">
        <v>40</v>
      </c>
      <c r="B69" s="17" t="s">
        <v>39</v>
      </c>
      <c r="C69" s="16" t="s">
        <v>38</v>
      </c>
      <c r="D69" s="56">
        <v>18</v>
      </c>
      <c r="E69" s="12">
        <v>5452</v>
      </c>
      <c r="F69" s="66">
        <f>E69*D69*0.1</f>
        <v>9813.6</v>
      </c>
      <c r="G69" s="13">
        <v>0</v>
      </c>
      <c r="H69" s="13">
        <v>1</v>
      </c>
      <c r="I69" s="13">
        <v>0</v>
      </c>
      <c r="J69" s="12">
        <f>G69*F69</f>
        <v>0</v>
      </c>
      <c r="K69" s="12">
        <f>H69*F69</f>
        <v>9813.6</v>
      </c>
      <c r="L69" s="12">
        <f>I69*F69</f>
        <v>0</v>
      </c>
      <c r="M69" s="12">
        <f>SUM(J69:L69)</f>
        <v>9813.6</v>
      </c>
    </row>
    <row r="70" spans="1:16" x14ac:dyDescent="0.25">
      <c r="A70" s="25" t="s">
        <v>37</v>
      </c>
      <c r="B70" s="17" t="s">
        <v>36</v>
      </c>
      <c r="C70" s="16" t="s">
        <v>35</v>
      </c>
      <c r="D70" s="56">
        <v>18</v>
      </c>
      <c r="E70" s="12">
        <v>2129</v>
      </c>
      <c r="F70" s="66">
        <f>E70*D70*0.15</f>
        <v>5748.3</v>
      </c>
      <c r="G70" s="13">
        <v>0</v>
      </c>
      <c r="H70" s="13">
        <v>1</v>
      </c>
      <c r="I70" s="13">
        <v>0</v>
      </c>
      <c r="J70" s="12">
        <f>G70*F70</f>
        <v>0</v>
      </c>
      <c r="K70" s="12">
        <f>H70*F70</f>
        <v>5748.3</v>
      </c>
      <c r="L70" s="12">
        <f>I70*F70</f>
        <v>0</v>
      </c>
      <c r="M70" s="12">
        <f>SUM(J70:L70)</f>
        <v>5748.3</v>
      </c>
    </row>
    <row r="71" spans="1:16" x14ac:dyDescent="0.25">
      <c r="A71" s="88" t="s">
        <v>34</v>
      </c>
      <c r="B71" s="10"/>
      <c r="C71" s="9"/>
      <c r="D71" s="61"/>
      <c r="E71" s="9"/>
      <c r="F71" s="87">
        <f>F28+F53+F8+F67</f>
        <v>459044.854858857</v>
      </c>
      <c r="G71" s="8">
        <f>J71/$M71</f>
        <v>0.54019056757987893</v>
      </c>
      <c r="H71" s="8">
        <f>K71/$M71</f>
        <v>0.45980943242012096</v>
      </c>
      <c r="I71" s="8">
        <f>L71/$M71</f>
        <v>0</v>
      </c>
      <c r="J71" s="87">
        <f>J28+J53+J8+J67</f>
        <v>247971.70069082911</v>
      </c>
      <c r="K71" s="87">
        <f>K28+K53+K8+K67</f>
        <v>211073.15416802783</v>
      </c>
      <c r="L71" s="7">
        <f>L28+L53+L8</f>
        <v>0</v>
      </c>
      <c r="M71" s="7">
        <f>M28+M53+M8+M67</f>
        <v>459044.854858857</v>
      </c>
      <c r="N71" s="15"/>
      <c r="O71" s="14"/>
      <c r="P71" s="14"/>
    </row>
    <row r="72" spans="1:16" x14ac:dyDescent="0.25">
      <c r="A72" s="50" t="s">
        <v>33</v>
      </c>
      <c r="B72" s="13" t="s">
        <v>28</v>
      </c>
      <c r="C72" s="13" t="s">
        <v>27</v>
      </c>
      <c r="D72" s="62">
        <v>2</v>
      </c>
      <c r="E72" s="12">
        <v>5000</v>
      </c>
      <c r="F72" s="66">
        <f>E72*D72</f>
        <v>10000</v>
      </c>
      <c r="G72" s="13">
        <v>1</v>
      </c>
      <c r="H72" s="13">
        <v>0</v>
      </c>
      <c r="I72" s="13">
        <v>0</v>
      </c>
      <c r="J72" s="12">
        <f>F72*G72</f>
        <v>10000</v>
      </c>
      <c r="K72" s="12">
        <f>F72*H72</f>
        <v>0</v>
      </c>
      <c r="L72" s="12">
        <v>0</v>
      </c>
      <c r="M72" s="12">
        <f>SUM(J72:L72)</f>
        <v>10000</v>
      </c>
    </row>
    <row r="73" spans="1:16" x14ac:dyDescent="0.25">
      <c r="A73" s="50" t="s">
        <v>32</v>
      </c>
      <c r="B73" s="13" t="s">
        <v>28</v>
      </c>
      <c r="C73" s="13" t="s">
        <v>27</v>
      </c>
      <c r="D73" s="62">
        <v>1</v>
      </c>
      <c r="E73" s="12">
        <v>10000</v>
      </c>
      <c r="F73" s="66">
        <f>E73*D73</f>
        <v>10000</v>
      </c>
      <c r="G73" s="13">
        <v>1</v>
      </c>
      <c r="H73" s="13">
        <v>0</v>
      </c>
      <c r="I73" s="13">
        <v>0</v>
      </c>
      <c r="J73" s="12">
        <f>F73*G73</f>
        <v>10000</v>
      </c>
      <c r="K73" s="12">
        <f>F73*H73</f>
        <v>0</v>
      </c>
      <c r="L73" s="12">
        <v>0</v>
      </c>
      <c r="M73" s="12">
        <f>SUM(J73:L73)</f>
        <v>10000</v>
      </c>
    </row>
    <row r="74" spans="1:16" x14ac:dyDescent="0.25">
      <c r="A74" s="50" t="s">
        <v>31</v>
      </c>
      <c r="B74" s="13" t="s">
        <v>30</v>
      </c>
      <c r="C74" s="13" t="s">
        <v>27</v>
      </c>
      <c r="D74" s="62">
        <v>1</v>
      </c>
      <c r="E74" s="12">
        <v>3000</v>
      </c>
      <c r="F74" s="66">
        <f>E74*D74</f>
        <v>3000</v>
      </c>
      <c r="G74" s="13">
        <v>1</v>
      </c>
      <c r="H74" s="13">
        <v>0</v>
      </c>
      <c r="I74" s="13">
        <v>0</v>
      </c>
      <c r="J74" s="12">
        <f>F74*G74</f>
        <v>3000</v>
      </c>
      <c r="K74" s="12">
        <f>F74*H74</f>
        <v>0</v>
      </c>
      <c r="L74" s="12">
        <v>0</v>
      </c>
      <c r="M74" s="12">
        <f>SUM(J74:L74)</f>
        <v>3000</v>
      </c>
    </row>
    <row r="75" spans="1:16" x14ac:dyDescent="0.25">
      <c r="A75" s="50" t="s">
        <v>29</v>
      </c>
      <c r="B75" s="13" t="s">
        <v>28</v>
      </c>
      <c r="C75" s="13" t="s">
        <v>27</v>
      </c>
      <c r="D75" s="62">
        <v>0</v>
      </c>
      <c r="E75" s="12">
        <v>0</v>
      </c>
      <c r="F75" s="66">
        <f>E75*D75</f>
        <v>0</v>
      </c>
      <c r="G75" s="13">
        <v>1</v>
      </c>
      <c r="H75" s="13">
        <v>0</v>
      </c>
      <c r="I75" s="13">
        <v>0</v>
      </c>
      <c r="J75" s="12">
        <f>F75*G75</f>
        <v>0</v>
      </c>
      <c r="K75" s="12">
        <f>F75*H75</f>
        <v>0</v>
      </c>
      <c r="L75" s="12">
        <v>0</v>
      </c>
      <c r="M75" s="12">
        <f>SUM(J75:L75)</f>
        <v>0</v>
      </c>
    </row>
    <row r="76" spans="1:16" x14ac:dyDescent="0.25">
      <c r="A76" s="50" t="s">
        <v>26</v>
      </c>
      <c r="B76" s="13"/>
      <c r="C76" s="13"/>
      <c r="D76" s="62">
        <v>0</v>
      </c>
      <c r="E76" s="12">
        <v>0</v>
      </c>
      <c r="F76" s="66">
        <f>E76*D76</f>
        <v>0</v>
      </c>
      <c r="G76" s="13">
        <v>0</v>
      </c>
      <c r="H76" s="13">
        <v>0</v>
      </c>
      <c r="I76" s="13">
        <v>0</v>
      </c>
      <c r="J76" s="12">
        <f>E76*G76</f>
        <v>0</v>
      </c>
      <c r="K76" s="12">
        <f>F76*H76</f>
        <v>0</v>
      </c>
      <c r="L76" s="12">
        <v>0</v>
      </c>
      <c r="M76" s="12">
        <f>SUM(J76:L76)</f>
        <v>0</v>
      </c>
    </row>
    <row r="77" spans="1:16" x14ac:dyDescent="0.25">
      <c r="A77" s="19" t="s">
        <v>25</v>
      </c>
      <c r="B77" s="10"/>
      <c r="C77" s="9"/>
      <c r="D77" s="61"/>
      <c r="E77" s="9"/>
      <c r="F77" s="7">
        <f>SUM(F71:F76)</f>
        <v>482044.854858857</v>
      </c>
      <c r="G77" s="8">
        <f>J77/$M77</f>
        <v>0.56212963992774023</v>
      </c>
      <c r="H77" s="8">
        <f>K77/$M77</f>
        <v>0.4378703600722596</v>
      </c>
      <c r="I77" s="8">
        <f>L77/$M77</f>
        <v>0</v>
      </c>
      <c r="J77" s="7">
        <f>SUM(J71:J76)</f>
        <v>270971.70069082908</v>
      </c>
      <c r="K77" s="7">
        <f>SUM(K71:K76)</f>
        <v>211073.15416802783</v>
      </c>
      <c r="L77" s="7">
        <f>SUM(L71:L76)</f>
        <v>0</v>
      </c>
      <c r="M77" s="7">
        <f>SUM(M71:M76)</f>
        <v>482044.854858857</v>
      </c>
    </row>
    <row r="78" spans="1:16" ht="31.5" x14ac:dyDescent="0.25">
      <c r="A78" s="6" t="s">
        <v>24</v>
      </c>
      <c r="E78" s="6"/>
      <c r="F78" s="4"/>
      <c r="I78" s="2">
        <v>0</v>
      </c>
      <c r="K78" s="4"/>
    </row>
    <row r="79" spans="1:16" x14ac:dyDescent="0.25">
      <c r="E79" s="110"/>
      <c r="F79" s="5"/>
      <c r="G79" s="71"/>
      <c r="J79" s="5"/>
      <c r="K79" s="5"/>
      <c r="M79" s="5"/>
    </row>
    <row r="80" spans="1:16" x14ac:dyDescent="0.25">
      <c r="D80" s="337" t="s">
        <v>119</v>
      </c>
      <c r="E80" s="337"/>
      <c r="F80" s="104">
        <v>461107.38020238018</v>
      </c>
      <c r="G80" s="104">
        <f>F80-F71</f>
        <v>2062.5253435231862</v>
      </c>
      <c r="H80" s="104"/>
      <c r="I80" s="104"/>
      <c r="J80" s="104">
        <v>249980.62950000004</v>
      </c>
      <c r="K80" s="104">
        <v>211126.75070238014</v>
      </c>
    </row>
    <row r="81" spans="1:13" x14ac:dyDescent="0.25">
      <c r="E81" s="110"/>
      <c r="F81" s="104"/>
      <c r="G81" s="104"/>
      <c r="H81" s="104"/>
      <c r="I81" s="104"/>
      <c r="J81" s="104"/>
      <c r="K81" s="104"/>
    </row>
    <row r="82" spans="1:13" x14ac:dyDescent="0.25">
      <c r="D82" s="337" t="s">
        <v>120</v>
      </c>
      <c r="E82" s="337"/>
      <c r="F82" s="104">
        <v>484107.38020238018</v>
      </c>
      <c r="G82" s="104">
        <f>F82-F77</f>
        <v>2062.5253435231862</v>
      </c>
      <c r="H82" s="104"/>
      <c r="I82" s="104"/>
      <c r="J82" s="104">
        <v>272980.62950000004</v>
      </c>
      <c r="K82" s="104">
        <v>211126.75070238014</v>
      </c>
    </row>
    <row r="83" spans="1:13" x14ac:dyDescent="0.25">
      <c r="G83" s="118"/>
    </row>
    <row r="84" spans="1:13" x14ac:dyDescent="0.25">
      <c r="F84" s="1"/>
      <c r="G84" s="1"/>
      <c r="H84" s="1"/>
      <c r="I84" s="1"/>
      <c r="J84" s="1"/>
      <c r="K84" s="1"/>
    </row>
    <row r="85" spans="1:13" s="112" customFormat="1" x14ac:dyDescent="0.25">
      <c r="A85" s="110"/>
      <c r="B85" s="109"/>
      <c r="C85" s="108"/>
      <c r="D85" s="51"/>
      <c r="E85" s="108"/>
      <c r="L85" s="108"/>
      <c r="M85" s="108"/>
    </row>
    <row r="86" spans="1:13" x14ac:dyDescent="0.25">
      <c r="F86" s="1"/>
      <c r="G86" s="1"/>
      <c r="H86" s="1"/>
      <c r="I86" s="1"/>
      <c r="J86" s="1"/>
      <c r="K86" s="1"/>
    </row>
  </sheetData>
  <mergeCells count="6">
    <mergeCell ref="D82:E82"/>
    <mergeCell ref="H6:I6"/>
    <mergeCell ref="K6:L6"/>
    <mergeCell ref="J5:L5"/>
    <mergeCell ref="G5:I5"/>
    <mergeCell ref="D80:E80"/>
  </mergeCells>
  <pageMargins left="0.75" right="0.75" top="1" bottom="1" header="0.5" footer="0.5"/>
  <pageSetup paperSize="9" orientation="portrait" horizontalDpi="4294967292" verticalDpi="4294967292" r:id="rId1"/>
  <ignoredErrors>
    <ignoredError sqref="F21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G6" sqref="G6"/>
    </sheetView>
  </sheetViews>
  <sheetFormatPr defaultColWidth="11" defaultRowHeight="15.75" x14ac:dyDescent="0.25"/>
  <cols>
    <col min="1" max="1" width="14.125" style="125" customWidth="1"/>
    <col min="2" max="2" width="18" customWidth="1"/>
    <col min="3" max="3" width="12.75" customWidth="1"/>
    <col min="5" max="5" width="11" style="119"/>
    <col min="6" max="6" width="15" style="125" customWidth="1"/>
    <col min="7" max="7" width="11.125" style="125" bestFit="1" customWidth="1"/>
  </cols>
  <sheetData>
    <row r="1" spans="1:7" x14ac:dyDescent="0.25">
      <c r="A1" s="122" t="s">
        <v>132</v>
      </c>
      <c r="B1" s="131" t="s">
        <v>133</v>
      </c>
      <c r="C1" s="131" t="s">
        <v>134</v>
      </c>
      <c r="D1" s="131" t="s">
        <v>135</v>
      </c>
      <c r="E1" s="138" t="s">
        <v>123</v>
      </c>
      <c r="F1" s="149" t="s">
        <v>146</v>
      </c>
    </row>
    <row r="2" spans="1:7" x14ac:dyDescent="0.25">
      <c r="A2" s="123" t="s">
        <v>121</v>
      </c>
      <c r="B2" s="126">
        <v>22680</v>
      </c>
      <c r="C2" s="126">
        <v>18545</v>
      </c>
      <c r="D2" s="126">
        <f>B2-C2</f>
        <v>4135</v>
      </c>
      <c r="E2" s="139" t="s">
        <v>124</v>
      </c>
      <c r="F2" s="150" t="s">
        <v>145</v>
      </c>
    </row>
    <row r="3" spans="1:7" x14ac:dyDescent="0.25">
      <c r="A3" s="123">
        <v>1.4</v>
      </c>
      <c r="B3" s="126">
        <v>5906</v>
      </c>
      <c r="C3" s="126">
        <v>5510</v>
      </c>
      <c r="D3" s="126">
        <f>B3-C3</f>
        <v>396</v>
      </c>
      <c r="E3" s="139" t="s">
        <v>124</v>
      </c>
      <c r="F3" s="150" t="s">
        <v>129</v>
      </c>
    </row>
    <row r="4" spans="1:7" x14ac:dyDescent="0.25">
      <c r="A4" s="123" t="s">
        <v>122</v>
      </c>
      <c r="B4" s="126">
        <v>4312</v>
      </c>
      <c r="C4" s="126">
        <f>1232+645</f>
        <v>1877</v>
      </c>
      <c r="D4" s="126">
        <f>B4-C4</f>
        <v>2435</v>
      </c>
      <c r="E4" s="139" t="s">
        <v>125</v>
      </c>
      <c r="F4" s="150" t="s">
        <v>130</v>
      </c>
    </row>
    <row r="5" spans="1:7" ht="16.5" thickBot="1" x14ac:dyDescent="0.3">
      <c r="A5" s="124" t="s">
        <v>126</v>
      </c>
      <c r="B5" s="127">
        <v>9936</v>
      </c>
      <c r="C5" s="127">
        <v>6833</v>
      </c>
      <c r="D5" s="127">
        <f>B5-C5</f>
        <v>3103</v>
      </c>
      <c r="E5" s="140" t="s">
        <v>125</v>
      </c>
      <c r="F5" s="151" t="s">
        <v>130</v>
      </c>
    </row>
    <row r="6" spans="1:7" ht="16.5" thickBot="1" x14ac:dyDescent="0.3">
      <c r="C6" s="125" t="s">
        <v>144</v>
      </c>
      <c r="D6" s="137">
        <f>SUM(D2:D5)</f>
        <v>10069</v>
      </c>
    </row>
    <row r="7" spans="1:7" x14ac:dyDescent="0.25">
      <c r="A7" s="122" t="s">
        <v>129</v>
      </c>
      <c r="B7" s="130">
        <v>22925</v>
      </c>
      <c r="C7" s="130">
        <v>23294</v>
      </c>
      <c r="D7" s="130">
        <f>B7-C7</f>
        <v>-369</v>
      </c>
      <c r="E7" s="143" t="s">
        <v>124</v>
      </c>
    </row>
    <row r="8" spans="1:7" x14ac:dyDescent="0.25">
      <c r="A8" s="123" t="s">
        <v>127</v>
      </c>
      <c r="B8" s="129">
        <v>18277</v>
      </c>
      <c r="C8" s="129">
        <v>20113</v>
      </c>
      <c r="D8" s="129">
        <f>B8-C8</f>
        <v>-1836</v>
      </c>
      <c r="E8" s="144" t="s">
        <v>124</v>
      </c>
    </row>
    <row r="9" spans="1:7" ht="20.25" customHeight="1" thickBot="1" x14ac:dyDescent="0.3">
      <c r="A9" s="124" t="s">
        <v>128</v>
      </c>
      <c r="B9" s="132">
        <v>5645</v>
      </c>
      <c r="C9" s="132">
        <v>7189</v>
      </c>
      <c r="D9" s="132">
        <f>B9-C9</f>
        <v>-1544</v>
      </c>
      <c r="E9" s="145" t="s">
        <v>124</v>
      </c>
    </row>
    <row r="10" spans="1:7" ht="16.5" thickBot="1" x14ac:dyDescent="0.3">
      <c r="A10" s="134" t="s">
        <v>130</v>
      </c>
      <c r="B10" s="135"/>
      <c r="C10" s="136">
        <v>4328.63</v>
      </c>
      <c r="D10" s="135"/>
      <c r="E10" s="146" t="s">
        <v>125</v>
      </c>
    </row>
    <row r="11" spans="1:7" ht="7.5" customHeight="1" x14ac:dyDescent="0.25"/>
    <row r="12" spans="1:7" ht="47.25" customHeight="1" x14ac:dyDescent="0.25">
      <c r="A12" s="345" t="s">
        <v>131</v>
      </c>
      <c r="B12" s="345"/>
      <c r="C12" s="345"/>
      <c r="D12" s="345"/>
      <c r="E12" s="345"/>
      <c r="F12" s="345"/>
      <c r="G12" s="345"/>
    </row>
    <row r="13" spans="1:7" ht="8.25" customHeight="1" thickBot="1" x14ac:dyDescent="0.3"/>
    <row r="14" spans="1:7" ht="16.5" thickBot="1" x14ac:dyDescent="0.3">
      <c r="A14"/>
      <c r="B14" s="120" t="s">
        <v>136</v>
      </c>
      <c r="C14" s="131" t="s">
        <v>137</v>
      </c>
      <c r="D14" s="121" t="s">
        <v>138</v>
      </c>
    </row>
    <row r="15" spans="1:7" x14ac:dyDescent="0.25">
      <c r="A15" s="122" t="s">
        <v>129</v>
      </c>
      <c r="B15" s="147" t="s">
        <v>141</v>
      </c>
      <c r="C15" s="128">
        <v>1</v>
      </c>
      <c r="D15" s="141" t="e">
        <f>#REF!</f>
        <v>#REF!</v>
      </c>
      <c r="E15" s="143" t="s">
        <v>124</v>
      </c>
    </row>
    <row r="16" spans="1:7" x14ac:dyDescent="0.25">
      <c r="A16" s="123" t="s">
        <v>127</v>
      </c>
      <c r="B16" s="147" t="s">
        <v>139</v>
      </c>
      <c r="C16" s="128">
        <v>2</v>
      </c>
      <c r="D16" s="141" t="e">
        <f>#REF!</f>
        <v>#REF!</v>
      </c>
      <c r="E16" s="144" t="s">
        <v>124</v>
      </c>
    </row>
    <row r="17" spans="1:5" ht="16.5" thickBot="1" x14ac:dyDescent="0.3">
      <c r="A17" s="124" t="s">
        <v>128</v>
      </c>
      <c r="B17" s="147" t="s">
        <v>140</v>
      </c>
      <c r="C17" s="128">
        <v>2</v>
      </c>
      <c r="D17" s="141" t="e">
        <f>#REF!</f>
        <v>#REF!</v>
      </c>
      <c r="E17" s="145" t="s">
        <v>124</v>
      </c>
    </row>
    <row r="18" spans="1:5" ht="32.25" thickBot="1" x14ac:dyDescent="0.3">
      <c r="A18" s="134" t="s">
        <v>130</v>
      </c>
      <c r="B18" s="148" t="s">
        <v>142</v>
      </c>
      <c r="C18" s="133" t="s">
        <v>143</v>
      </c>
      <c r="D18" s="142" t="e">
        <f>#REF!</f>
        <v>#REF!</v>
      </c>
      <c r="E18" s="146" t="s">
        <v>125</v>
      </c>
    </row>
    <row r="19" spans="1:5" x14ac:dyDescent="0.25">
      <c r="A19"/>
      <c r="C19" s="125" t="s">
        <v>144</v>
      </c>
      <c r="D19" s="137" t="e">
        <f>D15+D16+D17+D18</f>
        <v>#REF!</v>
      </c>
    </row>
  </sheetData>
  <mergeCells count="1">
    <mergeCell ref="A12:G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40357028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Generic</Webtopic>
    <Other_x0020_Author xmlns="cdc7663a-08f0-4737-9e8c-148ce897a09c" xsi:nil="true"/>
    <Abstract xmlns="cdc7663a-08f0-4737-9e8c-148ce897a09c">Plan Adquisiciones actualizado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Plan&lt;/USER_STAGE&gt;&lt;PD_OBJ_TYPE&gt;0&lt;/PD_OBJ_TYPE&gt;&lt;MAKERECORD&gt;N&lt;/MAKERECORD&gt;&lt;PD_FILEPT_NO&gt;PO-ME-M1093-Plan&lt;/PD_FILEPT_NO&gt;&lt;PD_FILE_PART&gt;1180580833&lt;/PD_FILE_PART&gt;&lt;/Data&gt;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D38EDD1-03BE-4FCF-806E-1BFC14EFE26F}"/>
</file>

<file path=customXml/itemProps2.xml><?xml version="1.0" encoding="utf-8"?>
<ds:datastoreItem xmlns:ds="http://schemas.openxmlformats.org/officeDocument/2006/customXml" ds:itemID="{9867C479-3E38-489E-A8E6-E63C698B765E}"/>
</file>

<file path=customXml/itemProps3.xml><?xml version="1.0" encoding="utf-8"?>
<ds:datastoreItem xmlns:ds="http://schemas.openxmlformats.org/officeDocument/2006/customXml" ds:itemID="{96891ED9-3147-4162-95D7-29EAE180B491}"/>
</file>

<file path=customXml/itemProps4.xml><?xml version="1.0" encoding="utf-8"?>
<ds:datastoreItem xmlns:ds="http://schemas.openxmlformats.org/officeDocument/2006/customXml" ds:itemID="{F7364EAB-22EF-4ADE-B428-C90245DD5592}"/>
</file>

<file path=customXml/itemProps5.xml><?xml version="1.0" encoding="utf-8"?>
<ds:datastoreItem xmlns:ds="http://schemas.openxmlformats.org/officeDocument/2006/customXml" ds:itemID="{C68D57BB-FB65-42AC-AE1B-1D5751701680}"/>
</file>

<file path=customXml/itemProps6.xml><?xml version="1.0" encoding="utf-8"?>
<ds:datastoreItem xmlns:ds="http://schemas.openxmlformats.org/officeDocument/2006/customXml" ds:itemID="{6693B7A5-0C54-4255-B388-9DB0A9D30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Adqui FOMIN 2016</vt:lpstr>
      <vt:lpstr>ANT. Detailed budget </vt:lpstr>
      <vt:lpstr>Hoja1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Adquisiciones actualizado 2016</dc:title>
  <dc:creator>Patricia González</dc:creator>
  <cp:keywords/>
  <cp:lastModifiedBy>Enedina Reyes Martínez</cp:lastModifiedBy>
  <cp:lastPrinted>2016-04-26T21:18:23Z</cp:lastPrinted>
  <dcterms:created xsi:type="dcterms:W3CDTF">2014-12-17T17:52:20Z</dcterms:created>
  <dcterms:modified xsi:type="dcterms:W3CDTF">2016-06-20T23:16:49Z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