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gmahfouz_iadb_org1/Documents/ICS/ICS/1 PROYECTOS 2017/PE-L1224/OPC-NEG-DIrectorio/NEGOCIACION-DIRECTORIO/Anexos de OPC finales/"/>
    </mc:Choice>
  </mc:AlternateContent>
  <xr:revisionPtr revIDLastSave="0" documentId="8_{BE6DFF85-6911-4BF7-B961-6F70D624919C}" xr6:coauthVersionLast="43" xr6:coauthVersionMax="43" xr10:uidLastSave="{00000000-0000-0000-0000-000000000000}"/>
  <bookViews>
    <workbookView xWindow="28680" yWindow="-120" windowWidth="29040" windowHeight="15840" firstSheet="2" activeTab="4" xr2:uid="{C5E8012F-E765-4FB5-A5B2-9A2F1A71955E}"/>
  </bookViews>
  <sheets>
    <sheet name="supuestos" sheetId="4" r:id="rId1"/>
    <sheet name="Homicidios" sheetId="1" r:id="rId2"/>
    <sheet name="Robo" sheetId="2" r:id="rId3"/>
    <sheet name="Robo vehiculos" sheetId="5" r:id="rId4"/>
    <sheet name="Calculos ACB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3" i="3" l="1"/>
  <c r="E10" i="2"/>
  <c r="E9" i="2"/>
  <c r="E8" i="2"/>
  <c r="E7" i="2"/>
  <c r="E6" i="2" s="1"/>
  <c r="E5" i="2" s="1"/>
  <c r="E4" i="2" s="1"/>
  <c r="E3" i="2" s="1"/>
  <c r="E9" i="1"/>
  <c r="E8" i="1" s="1"/>
  <c r="E10" i="1"/>
  <c r="B17" i="3"/>
  <c r="B22" i="3"/>
  <c r="B24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B61" i="3"/>
  <c r="B42" i="3"/>
  <c r="B37" i="3"/>
  <c r="B58" i="3"/>
  <c r="R56" i="3"/>
  <c r="S56" i="3"/>
  <c r="T56" i="3"/>
  <c r="U56" i="3"/>
  <c r="R57" i="3"/>
  <c r="S57" i="3"/>
  <c r="T57" i="3"/>
  <c r="U57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C56" i="3"/>
  <c r="E56" i="3"/>
  <c r="I56" i="3"/>
  <c r="I57" i="3" s="1"/>
  <c r="M56" i="3"/>
  <c r="M57" i="3" s="1"/>
  <c r="M64" i="3" s="1"/>
  <c r="Q56" i="3"/>
  <c r="B53" i="3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11" i="1"/>
  <c r="R4" i="1"/>
  <c r="R5" i="1"/>
  <c r="R6" i="1"/>
  <c r="R7" i="1"/>
  <c r="S7" i="1" s="1"/>
  <c r="T7" i="1" s="1"/>
  <c r="R8" i="1"/>
  <c r="R9" i="1"/>
  <c r="R10" i="1"/>
  <c r="R3" i="1"/>
  <c r="S10" i="1"/>
  <c r="T10" i="1" s="1"/>
  <c r="S9" i="1"/>
  <c r="T9" i="1" s="1"/>
  <c r="S8" i="1"/>
  <c r="T8" i="1" s="1"/>
  <c r="S6" i="1"/>
  <c r="T6" i="1" s="1"/>
  <c r="S5" i="1"/>
  <c r="T5" i="1" s="1"/>
  <c r="S4" i="1"/>
  <c r="T4" i="1" s="1"/>
  <c r="S3" i="1"/>
  <c r="T3" i="1" s="1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B41" i="3"/>
  <c r="C41" i="3"/>
  <c r="D41" i="3"/>
  <c r="E41" i="3"/>
  <c r="F41" i="3"/>
  <c r="G41" i="3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N10" i="1"/>
  <c r="N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11" i="1"/>
  <c r="M4" i="1"/>
  <c r="M5" i="1"/>
  <c r="M6" i="1"/>
  <c r="M7" i="1"/>
  <c r="M8" i="1"/>
  <c r="M9" i="1"/>
  <c r="M10" i="1"/>
  <c r="M3" i="1"/>
  <c r="B6" i="3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I12" i="5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I28" i="5" s="1"/>
  <c r="I29" i="5" s="1"/>
  <c r="I30" i="5" s="1"/>
  <c r="I31" i="5" s="1"/>
  <c r="E12" i="5"/>
  <c r="D12" i="5"/>
  <c r="E11" i="5"/>
  <c r="F11" i="5" s="1"/>
  <c r="D11" i="5"/>
  <c r="F10" i="5"/>
  <c r="D10" i="5"/>
  <c r="G10" i="5" s="1"/>
  <c r="F9" i="5"/>
  <c r="D9" i="5"/>
  <c r="G9" i="5" s="1"/>
  <c r="F8" i="5"/>
  <c r="D8" i="5"/>
  <c r="G8" i="5" s="1"/>
  <c r="F7" i="5"/>
  <c r="D7" i="5"/>
  <c r="G7" i="5" s="1"/>
  <c r="G6" i="5"/>
  <c r="F6" i="5"/>
  <c r="D6" i="5"/>
  <c r="G5" i="5"/>
  <c r="F5" i="5"/>
  <c r="D5" i="5"/>
  <c r="F4" i="5"/>
  <c r="D4" i="5"/>
  <c r="G4" i="5" s="1"/>
  <c r="F3" i="5"/>
  <c r="D3" i="5"/>
  <c r="G3" i="5" s="1"/>
  <c r="G21" i="3"/>
  <c r="G62" i="3"/>
  <c r="F62" i="3"/>
  <c r="E62" i="3"/>
  <c r="D62" i="3"/>
  <c r="C62" i="3"/>
  <c r="B62" i="3"/>
  <c r="P56" i="3"/>
  <c r="O56" i="3"/>
  <c r="N56" i="3"/>
  <c r="L56" i="3"/>
  <c r="K56" i="3"/>
  <c r="J56" i="3"/>
  <c r="H56" i="3"/>
  <c r="G56" i="3"/>
  <c r="F56" i="3"/>
  <c r="D56" i="3"/>
  <c r="B56" i="3"/>
  <c r="F21" i="3"/>
  <c r="E21" i="3"/>
  <c r="D21" i="3"/>
  <c r="C21" i="3"/>
  <c r="B21" i="3"/>
  <c r="E7" i="1" l="1"/>
  <c r="N8" i="1"/>
  <c r="N9" i="1"/>
  <c r="I64" i="3"/>
  <c r="Q57" i="3"/>
  <c r="Q64" i="3" s="1"/>
  <c r="E57" i="3"/>
  <c r="E64" i="3" s="1"/>
  <c r="G11" i="5"/>
  <c r="H11" i="5" s="1"/>
  <c r="J11" i="5" s="1"/>
  <c r="K11" i="5" s="1"/>
  <c r="B14" i="3" s="1"/>
  <c r="G12" i="5"/>
  <c r="E13" i="5"/>
  <c r="F12" i="5"/>
  <c r="B57" i="3"/>
  <c r="B64" i="3" s="1"/>
  <c r="F57" i="3"/>
  <c r="F64" i="3" s="1"/>
  <c r="J57" i="3"/>
  <c r="J64" i="3" s="1"/>
  <c r="N57" i="3"/>
  <c r="N64" i="3" s="1"/>
  <c r="C57" i="3"/>
  <c r="C64" i="3" s="1"/>
  <c r="K57" i="3"/>
  <c r="K64" i="3" s="1"/>
  <c r="D57" i="3"/>
  <c r="D64" i="3" s="1"/>
  <c r="H57" i="3"/>
  <c r="H64" i="3" s="1"/>
  <c r="L57" i="3"/>
  <c r="L64" i="3" s="1"/>
  <c r="P57" i="3"/>
  <c r="P64" i="3" s="1"/>
  <c r="G57" i="3"/>
  <c r="G64" i="3" s="1"/>
  <c r="O57" i="3"/>
  <c r="O64" i="3" s="1"/>
  <c r="E6" i="1" l="1"/>
  <c r="N7" i="1"/>
  <c r="B67" i="3"/>
  <c r="H12" i="5"/>
  <c r="J12" i="5" s="1"/>
  <c r="K12" i="5" s="1"/>
  <c r="C14" i="3" s="1"/>
  <c r="G13" i="5"/>
  <c r="F13" i="5"/>
  <c r="E14" i="5"/>
  <c r="B65" i="3"/>
  <c r="B66" i="3"/>
  <c r="N6" i="1" l="1"/>
  <c r="E5" i="1"/>
  <c r="H13" i="5"/>
  <c r="J13" i="5" s="1"/>
  <c r="K13" i="5" s="1"/>
  <c r="D14" i="3" s="1"/>
  <c r="G14" i="5"/>
  <c r="F14" i="5"/>
  <c r="H14" i="5" s="1"/>
  <c r="J14" i="5" s="1"/>
  <c r="K14" i="5" s="1"/>
  <c r="E14" i="3" s="1"/>
  <c r="E15" i="5"/>
  <c r="I12" i="2"/>
  <c r="I13" i="2" s="1"/>
  <c r="I14" i="2" s="1"/>
  <c r="I15" i="2" s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11" i="2"/>
  <c r="E12" i="2"/>
  <c r="F10" i="2"/>
  <c r="D10" i="2"/>
  <c r="G10" i="2" s="1"/>
  <c r="F9" i="2"/>
  <c r="D9" i="2"/>
  <c r="G9" i="2" s="1"/>
  <c r="G8" i="2"/>
  <c r="F8" i="2"/>
  <c r="D8" i="2"/>
  <c r="F7" i="2"/>
  <c r="D7" i="2"/>
  <c r="G7" i="2" s="1"/>
  <c r="F6" i="2"/>
  <c r="D6" i="2"/>
  <c r="G6" i="2" s="1"/>
  <c r="F5" i="2"/>
  <c r="D5" i="2"/>
  <c r="G5" i="2" s="1"/>
  <c r="F4" i="2"/>
  <c r="D4" i="2"/>
  <c r="G4" i="2" s="1"/>
  <c r="G3" i="2"/>
  <c r="F3" i="2"/>
  <c r="D3" i="2"/>
  <c r="D28" i="1"/>
  <c r="D29" i="1"/>
  <c r="D30" i="1"/>
  <c r="D31" i="1"/>
  <c r="D11" i="1"/>
  <c r="I12" i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G5" i="1"/>
  <c r="G6" i="1"/>
  <c r="F5" i="1"/>
  <c r="F6" i="1"/>
  <c r="G8" i="1"/>
  <c r="G9" i="1"/>
  <c r="G10" i="1"/>
  <c r="G7" i="1"/>
  <c r="F8" i="1"/>
  <c r="O8" i="1" s="1"/>
  <c r="F9" i="1"/>
  <c r="O9" i="1" s="1"/>
  <c r="F10" i="1"/>
  <c r="O10" i="1" s="1"/>
  <c r="D3" i="1"/>
  <c r="D4" i="1"/>
  <c r="D5" i="1"/>
  <c r="D6" i="1"/>
  <c r="D7" i="1"/>
  <c r="D8" i="1"/>
  <c r="D9" i="1"/>
  <c r="D10" i="1"/>
  <c r="D12" i="1"/>
  <c r="D13" i="1"/>
  <c r="D14" i="1"/>
  <c r="D15" i="1"/>
  <c r="D17" i="1"/>
  <c r="D18" i="1"/>
  <c r="D19" i="1"/>
  <c r="D20" i="1"/>
  <c r="D21" i="1"/>
  <c r="D22" i="1"/>
  <c r="D23" i="1"/>
  <c r="D24" i="1"/>
  <c r="D25" i="1"/>
  <c r="D26" i="1"/>
  <c r="D27" i="1"/>
  <c r="D16" i="1"/>
  <c r="F7" i="1"/>
  <c r="O7" i="1" s="1"/>
  <c r="O6" i="1" l="1"/>
  <c r="E4" i="1"/>
  <c r="N5" i="1"/>
  <c r="O5" i="1" s="1"/>
  <c r="I16" i="2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G15" i="5"/>
  <c r="E16" i="5"/>
  <c r="F15" i="5"/>
  <c r="G11" i="1"/>
  <c r="F11" i="1"/>
  <c r="O11" i="1" s="1"/>
  <c r="E12" i="1"/>
  <c r="G12" i="2"/>
  <c r="E13" i="2"/>
  <c r="F12" i="2"/>
  <c r="G11" i="2"/>
  <c r="F11" i="2"/>
  <c r="E3" i="1" l="1"/>
  <c r="N4" i="1"/>
  <c r="O4" i="1" s="1"/>
  <c r="G4" i="1"/>
  <c r="F4" i="1"/>
  <c r="F12" i="1"/>
  <c r="N12" i="1"/>
  <c r="O12" i="1" s="1"/>
  <c r="H12" i="2"/>
  <c r="J12" i="2" s="1"/>
  <c r="E13" i="1"/>
  <c r="H15" i="5"/>
  <c r="J15" i="5" s="1"/>
  <c r="K15" i="5" s="1"/>
  <c r="F14" i="3" s="1"/>
  <c r="G16" i="5"/>
  <c r="F16" i="5"/>
  <c r="E17" i="5"/>
  <c r="F13" i="1"/>
  <c r="G12" i="1"/>
  <c r="H12" i="1" s="1"/>
  <c r="H11" i="1"/>
  <c r="G13" i="2"/>
  <c r="F13" i="2"/>
  <c r="H13" i="2" s="1"/>
  <c r="J13" i="2" s="1"/>
  <c r="E14" i="2"/>
  <c r="H11" i="2"/>
  <c r="J11" i="2" s="1"/>
  <c r="N3" i="1" l="1"/>
  <c r="G3" i="1"/>
  <c r="F3" i="1"/>
  <c r="H13" i="1"/>
  <c r="G13" i="1"/>
  <c r="N13" i="1"/>
  <c r="O13" i="1" s="1"/>
  <c r="H16" i="5"/>
  <c r="J16" i="5" s="1"/>
  <c r="K16" i="5" s="1"/>
  <c r="G14" i="3" s="1"/>
  <c r="E14" i="1"/>
  <c r="G17" i="5"/>
  <c r="F17" i="5"/>
  <c r="H17" i="5" s="1"/>
  <c r="J17" i="5" s="1"/>
  <c r="K17" i="5" s="1"/>
  <c r="H14" i="3" s="1"/>
  <c r="E18" i="5"/>
  <c r="E15" i="1"/>
  <c r="N15" i="1" s="1"/>
  <c r="G14" i="2"/>
  <c r="F14" i="2"/>
  <c r="H14" i="2" s="1"/>
  <c r="J14" i="2" s="1"/>
  <c r="E15" i="2"/>
  <c r="O3" i="1" l="1"/>
  <c r="F14" i="1"/>
  <c r="N14" i="1"/>
  <c r="O14" i="1" s="1"/>
  <c r="G14" i="1"/>
  <c r="H14" i="1" s="1"/>
  <c r="G18" i="5"/>
  <c r="E19" i="5"/>
  <c r="F18" i="5"/>
  <c r="H18" i="5" s="1"/>
  <c r="J18" i="5" s="1"/>
  <c r="K18" i="5" s="1"/>
  <c r="I14" i="3" s="1"/>
  <c r="E16" i="1"/>
  <c r="N16" i="1" s="1"/>
  <c r="G15" i="1"/>
  <c r="F15" i="1"/>
  <c r="O15" i="1" s="1"/>
  <c r="F15" i="2"/>
  <c r="E16" i="2"/>
  <c r="G15" i="2"/>
  <c r="G19" i="5" l="1"/>
  <c r="E20" i="5"/>
  <c r="F19" i="5"/>
  <c r="H19" i="5" s="1"/>
  <c r="J19" i="5" s="1"/>
  <c r="K19" i="5" s="1"/>
  <c r="J14" i="3" s="1"/>
  <c r="H15" i="1"/>
  <c r="E17" i="1"/>
  <c r="N17" i="1" s="1"/>
  <c r="G16" i="1"/>
  <c r="F16" i="1"/>
  <c r="O16" i="1" s="1"/>
  <c r="E17" i="2"/>
  <c r="F16" i="2"/>
  <c r="G16" i="2"/>
  <c r="H15" i="2"/>
  <c r="J15" i="2" s="1"/>
  <c r="G20" i="5" l="1"/>
  <c r="E21" i="5"/>
  <c r="F20" i="5"/>
  <c r="H16" i="1"/>
  <c r="E18" i="1"/>
  <c r="N18" i="1" s="1"/>
  <c r="F17" i="1"/>
  <c r="O17" i="1" s="1"/>
  <c r="G17" i="1"/>
  <c r="H16" i="2"/>
  <c r="J16" i="2" s="1"/>
  <c r="E18" i="2"/>
  <c r="G17" i="2"/>
  <c r="F17" i="2"/>
  <c r="O18" i="1" l="1"/>
  <c r="H20" i="5"/>
  <c r="J20" i="5" s="1"/>
  <c r="K20" i="5" s="1"/>
  <c r="K14" i="3" s="1"/>
  <c r="G21" i="5"/>
  <c r="F21" i="5"/>
  <c r="E22" i="5"/>
  <c r="E19" i="1"/>
  <c r="N19" i="1" s="1"/>
  <c r="F18" i="1"/>
  <c r="G18" i="1"/>
  <c r="H18" i="1" s="1"/>
  <c r="H17" i="2"/>
  <c r="J17" i="2" s="1"/>
  <c r="H17" i="1"/>
  <c r="G18" i="2"/>
  <c r="E19" i="2"/>
  <c r="F18" i="2"/>
  <c r="H21" i="5" l="1"/>
  <c r="J21" i="5" s="1"/>
  <c r="K21" i="5" s="1"/>
  <c r="L14" i="3" s="1"/>
  <c r="G22" i="5"/>
  <c r="F22" i="5"/>
  <c r="H22" i="5" s="1"/>
  <c r="J22" i="5" s="1"/>
  <c r="K22" i="5" s="1"/>
  <c r="M14" i="3" s="1"/>
  <c r="E23" i="5"/>
  <c r="H18" i="2"/>
  <c r="J18" i="2" s="1"/>
  <c r="E20" i="1"/>
  <c r="N20" i="1" s="1"/>
  <c r="F19" i="1"/>
  <c r="O19" i="1" s="1"/>
  <c r="G19" i="1"/>
  <c r="G19" i="2"/>
  <c r="F19" i="2"/>
  <c r="H19" i="2" s="1"/>
  <c r="J19" i="2" s="1"/>
  <c r="E20" i="2"/>
  <c r="G23" i="5" l="1"/>
  <c r="F23" i="5"/>
  <c r="H23" i="5" s="1"/>
  <c r="J23" i="5" s="1"/>
  <c r="K23" i="5" s="1"/>
  <c r="N14" i="3" s="1"/>
  <c r="E24" i="5"/>
  <c r="E21" i="1"/>
  <c r="N21" i="1" s="1"/>
  <c r="G20" i="1"/>
  <c r="F20" i="1"/>
  <c r="O20" i="1" s="1"/>
  <c r="H19" i="1"/>
  <c r="E21" i="2"/>
  <c r="G20" i="2"/>
  <c r="F20" i="2"/>
  <c r="G24" i="5" l="1"/>
  <c r="E25" i="5"/>
  <c r="F24" i="5"/>
  <c r="E22" i="1"/>
  <c r="N22" i="1" s="1"/>
  <c r="F21" i="1"/>
  <c r="O21" i="1" s="1"/>
  <c r="G21" i="1"/>
  <c r="H21" i="1" s="1"/>
  <c r="H20" i="1"/>
  <c r="H20" i="2"/>
  <c r="J20" i="2" s="1"/>
  <c r="G21" i="2"/>
  <c r="F21" i="2"/>
  <c r="H21" i="2" s="1"/>
  <c r="J21" i="2" s="1"/>
  <c r="E22" i="2"/>
  <c r="H24" i="5" l="1"/>
  <c r="J24" i="5" s="1"/>
  <c r="K24" i="5" s="1"/>
  <c r="O14" i="3" s="1"/>
  <c r="G25" i="5"/>
  <c r="E26" i="5"/>
  <c r="F25" i="5"/>
  <c r="H25" i="5" s="1"/>
  <c r="J25" i="5" s="1"/>
  <c r="K25" i="5" s="1"/>
  <c r="P14" i="3" s="1"/>
  <c r="E23" i="1"/>
  <c r="N23" i="1" s="1"/>
  <c r="G22" i="1"/>
  <c r="F22" i="1"/>
  <c r="O22" i="1" s="1"/>
  <c r="G22" i="2"/>
  <c r="E23" i="2"/>
  <c r="F22" i="2"/>
  <c r="O23" i="1" l="1"/>
  <c r="G26" i="5"/>
  <c r="E27" i="5"/>
  <c r="F26" i="5"/>
  <c r="H26" i="5" s="1"/>
  <c r="J26" i="5" s="1"/>
  <c r="K26" i="5" s="1"/>
  <c r="Q14" i="3" s="1"/>
  <c r="E24" i="1"/>
  <c r="N24" i="1" s="1"/>
  <c r="F23" i="1"/>
  <c r="G23" i="1"/>
  <c r="H23" i="1" s="1"/>
  <c r="H22" i="1"/>
  <c r="H22" i="2"/>
  <c r="J22" i="2" s="1"/>
  <c r="F23" i="2"/>
  <c r="G23" i="2"/>
  <c r="E24" i="2"/>
  <c r="G27" i="5" l="1"/>
  <c r="E28" i="5"/>
  <c r="F27" i="5"/>
  <c r="K11" i="2"/>
  <c r="B13" i="3" s="1"/>
  <c r="J11" i="1"/>
  <c r="E25" i="1"/>
  <c r="N25" i="1" s="1"/>
  <c r="F24" i="1"/>
  <c r="O24" i="1" s="1"/>
  <c r="G24" i="1"/>
  <c r="E25" i="2"/>
  <c r="F24" i="2"/>
  <c r="G24" i="2"/>
  <c r="H23" i="2"/>
  <c r="J23" i="2" s="1"/>
  <c r="K11" i="1" l="1"/>
  <c r="L11" i="1" s="1"/>
  <c r="B12" i="3" s="1"/>
  <c r="B15" i="3" s="1"/>
  <c r="B16" i="3" s="1"/>
  <c r="B23" i="3" s="1"/>
  <c r="P11" i="1"/>
  <c r="Q11" i="1" s="1"/>
  <c r="B32" i="3" s="1"/>
  <c r="B35" i="3" s="1"/>
  <c r="H27" i="5"/>
  <c r="J27" i="5" s="1"/>
  <c r="K27" i="5" s="1"/>
  <c r="R14" i="3" s="1"/>
  <c r="O25" i="1"/>
  <c r="H24" i="1"/>
  <c r="G28" i="5"/>
  <c r="E29" i="5"/>
  <c r="F28" i="5"/>
  <c r="K12" i="2"/>
  <c r="C13" i="3" s="1"/>
  <c r="J12" i="1"/>
  <c r="E26" i="1"/>
  <c r="N26" i="1" s="1"/>
  <c r="F25" i="1"/>
  <c r="G25" i="1"/>
  <c r="H24" i="2"/>
  <c r="J24" i="2" s="1"/>
  <c r="E26" i="2"/>
  <c r="F25" i="2"/>
  <c r="G25" i="2"/>
  <c r="B36" i="3" l="1"/>
  <c r="B43" i="3" s="1"/>
  <c r="B40" i="3"/>
  <c r="V11" i="1"/>
  <c r="K12" i="1"/>
  <c r="L12" i="1" s="1"/>
  <c r="C12" i="3" s="1"/>
  <c r="C15" i="3" s="1"/>
  <c r="P12" i="1"/>
  <c r="Q12" i="1" s="1"/>
  <c r="C32" i="3" s="1"/>
  <c r="C35" i="3" s="1"/>
  <c r="B20" i="3"/>
  <c r="H28" i="5"/>
  <c r="J28" i="5" s="1"/>
  <c r="K28" i="5" s="1"/>
  <c r="S14" i="3" s="1"/>
  <c r="H25" i="1"/>
  <c r="G29" i="5"/>
  <c r="E30" i="5"/>
  <c r="F29" i="5"/>
  <c r="K13" i="2"/>
  <c r="D13" i="3" s="1"/>
  <c r="J13" i="1"/>
  <c r="E27" i="1"/>
  <c r="N27" i="1" s="1"/>
  <c r="G26" i="1"/>
  <c r="F26" i="1"/>
  <c r="O26" i="1" s="1"/>
  <c r="H25" i="2"/>
  <c r="J25" i="2" s="1"/>
  <c r="F26" i="2"/>
  <c r="G26" i="2"/>
  <c r="E27" i="2"/>
  <c r="C20" i="3" l="1"/>
  <c r="C16" i="3"/>
  <c r="C23" i="3" s="1"/>
  <c r="K13" i="1"/>
  <c r="L13" i="1" s="1"/>
  <c r="V13" i="1"/>
  <c r="P13" i="1"/>
  <c r="Q13" i="1" s="1"/>
  <c r="D32" i="3" s="1"/>
  <c r="D35" i="3" s="1"/>
  <c r="C36" i="3"/>
  <c r="C43" i="3" s="1"/>
  <c r="C40" i="3"/>
  <c r="O27" i="1"/>
  <c r="V12" i="1"/>
  <c r="D12" i="3"/>
  <c r="D15" i="3"/>
  <c r="D16" i="3" s="1"/>
  <c r="D23" i="3" s="1"/>
  <c r="H29" i="5"/>
  <c r="J29" i="5" s="1"/>
  <c r="K29" i="5" s="1"/>
  <c r="T14" i="3" s="1"/>
  <c r="G30" i="5"/>
  <c r="F30" i="5"/>
  <c r="E31" i="5"/>
  <c r="H26" i="1"/>
  <c r="K14" i="2"/>
  <c r="E13" i="3" s="1"/>
  <c r="J14" i="1"/>
  <c r="E28" i="1"/>
  <c r="N28" i="1" s="1"/>
  <c r="G27" i="1"/>
  <c r="F27" i="1"/>
  <c r="E28" i="2"/>
  <c r="G27" i="2"/>
  <c r="F27" i="2"/>
  <c r="H26" i="2"/>
  <c r="J26" i="2" s="1"/>
  <c r="K14" i="1" l="1"/>
  <c r="P14" i="1"/>
  <c r="Q14" i="1" s="1"/>
  <c r="E32" i="3" s="1"/>
  <c r="E35" i="3" s="1"/>
  <c r="D40" i="3"/>
  <c r="D36" i="3"/>
  <c r="D43" i="3" s="1"/>
  <c r="D20" i="3"/>
  <c r="H27" i="1"/>
  <c r="H27" i="2"/>
  <c r="J27" i="2" s="1"/>
  <c r="H30" i="5"/>
  <c r="J30" i="5" s="1"/>
  <c r="K30" i="5" s="1"/>
  <c r="U14" i="3" s="1"/>
  <c r="G31" i="5"/>
  <c r="F31" i="5"/>
  <c r="K15" i="2"/>
  <c r="F13" i="3" s="1"/>
  <c r="J15" i="1"/>
  <c r="F28" i="1"/>
  <c r="O28" i="1" s="1"/>
  <c r="E29" i="1"/>
  <c r="N29" i="1" s="1"/>
  <c r="G28" i="1"/>
  <c r="G28" i="2"/>
  <c r="E29" i="2"/>
  <c r="F28" i="2"/>
  <c r="L14" i="1" l="1"/>
  <c r="E12" i="3" s="1"/>
  <c r="E15" i="3" s="1"/>
  <c r="V14" i="1"/>
  <c r="K15" i="1"/>
  <c r="L15" i="1" s="1"/>
  <c r="F12" i="3" s="1"/>
  <c r="F15" i="3" s="1"/>
  <c r="F16" i="3" s="1"/>
  <c r="F23" i="3" s="1"/>
  <c r="V15" i="1"/>
  <c r="P15" i="1"/>
  <c r="Q15" i="1" s="1"/>
  <c r="F32" i="3" s="1"/>
  <c r="F35" i="3" s="1"/>
  <c r="E40" i="3"/>
  <c r="E36" i="3"/>
  <c r="E43" i="3" s="1"/>
  <c r="O29" i="1"/>
  <c r="H31" i="5"/>
  <c r="J31" i="5" s="1"/>
  <c r="K31" i="5" s="1"/>
  <c r="H28" i="1"/>
  <c r="H28" i="2"/>
  <c r="J28" i="2" s="1"/>
  <c r="F29" i="1"/>
  <c r="E30" i="1"/>
  <c r="N30" i="1" s="1"/>
  <c r="G29" i="1"/>
  <c r="K16" i="2"/>
  <c r="G13" i="3" s="1"/>
  <c r="J16" i="1"/>
  <c r="E30" i="2"/>
  <c r="F29" i="2"/>
  <c r="G29" i="2"/>
  <c r="F40" i="3" l="1"/>
  <c r="F36" i="3"/>
  <c r="F43" i="3" s="1"/>
  <c r="E16" i="3"/>
  <c r="E23" i="3" s="1"/>
  <c r="E20" i="3"/>
  <c r="B27" i="3" s="1"/>
  <c r="O30" i="1"/>
  <c r="K16" i="1"/>
  <c r="L16" i="1" s="1"/>
  <c r="P16" i="1"/>
  <c r="Q16" i="1" s="1"/>
  <c r="G32" i="3" s="1"/>
  <c r="G35" i="3" s="1"/>
  <c r="V16" i="1"/>
  <c r="G12" i="3"/>
  <c r="G15" i="3" s="1"/>
  <c r="G20" i="3" s="1"/>
  <c r="F20" i="3"/>
  <c r="E31" i="1"/>
  <c r="N31" i="1" s="1"/>
  <c r="F30" i="1"/>
  <c r="G30" i="1"/>
  <c r="K17" i="2"/>
  <c r="H13" i="3" s="1"/>
  <c r="J17" i="1"/>
  <c r="H29" i="1"/>
  <c r="H29" i="2"/>
  <c r="J29" i="2" s="1"/>
  <c r="G30" i="2"/>
  <c r="E31" i="2"/>
  <c r="F30" i="2"/>
  <c r="G40" i="3" l="1"/>
  <c r="G36" i="3"/>
  <c r="G43" i="3" s="1"/>
  <c r="K17" i="1"/>
  <c r="L17" i="1" s="1"/>
  <c r="P17" i="1"/>
  <c r="Q17" i="1" s="1"/>
  <c r="H32" i="3" s="1"/>
  <c r="H35" i="3" s="1"/>
  <c r="V17" i="1"/>
  <c r="H12" i="3"/>
  <c r="H15" i="3" s="1"/>
  <c r="H16" i="3" s="1"/>
  <c r="H23" i="3" s="1"/>
  <c r="G16" i="3"/>
  <c r="G23" i="3" s="1"/>
  <c r="H30" i="2"/>
  <c r="J30" i="2" s="1"/>
  <c r="K18" i="2"/>
  <c r="I13" i="3" s="1"/>
  <c r="J18" i="1"/>
  <c r="H30" i="1"/>
  <c r="F31" i="1"/>
  <c r="O31" i="1" s="1"/>
  <c r="G31" i="1"/>
  <c r="F31" i="2"/>
  <c r="G31" i="2"/>
  <c r="K18" i="1" l="1"/>
  <c r="L18" i="1" s="1"/>
  <c r="I12" i="3" s="1"/>
  <c r="I15" i="3" s="1"/>
  <c r="I20" i="3" s="1"/>
  <c r="V18" i="1"/>
  <c r="P18" i="1"/>
  <c r="Q18" i="1" s="1"/>
  <c r="I32" i="3" s="1"/>
  <c r="I35" i="3" s="1"/>
  <c r="H36" i="3"/>
  <c r="H43" i="3" s="1"/>
  <c r="H40" i="3"/>
  <c r="H20" i="3"/>
  <c r="H31" i="1"/>
  <c r="K19" i="2"/>
  <c r="J13" i="3" s="1"/>
  <c r="J19" i="1"/>
  <c r="H31" i="2"/>
  <c r="J31" i="2" s="1"/>
  <c r="K19" i="1" l="1"/>
  <c r="L19" i="1" s="1"/>
  <c r="V19" i="1"/>
  <c r="P19" i="1"/>
  <c r="Q19" i="1" s="1"/>
  <c r="J32" i="3" s="1"/>
  <c r="J35" i="3" s="1"/>
  <c r="I40" i="3"/>
  <c r="I36" i="3"/>
  <c r="I43" i="3" s="1"/>
  <c r="J12" i="3"/>
  <c r="J15" i="3" s="1"/>
  <c r="J20" i="3" s="1"/>
  <c r="I16" i="3"/>
  <c r="I23" i="3" s="1"/>
  <c r="K20" i="2"/>
  <c r="K13" i="3" s="1"/>
  <c r="J20" i="1"/>
  <c r="K20" i="1" l="1"/>
  <c r="L20" i="1" s="1"/>
  <c r="P20" i="1"/>
  <c r="Q20" i="1" s="1"/>
  <c r="K32" i="3" s="1"/>
  <c r="K35" i="3" s="1"/>
  <c r="V20" i="1"/>
  <c r="J36" i="3"/>
  <c r="J43" i="3" s="1"/>
  <c r="J40" i="3"/>
  <c r="J16" i="3"/>
  <c r="J23" i="3" s="1"/>
  <c r="K12" i="3"/>
  <c r="K15" i="3" s="1"/>
  <c r="K21" i="2"/>
  <c r="L13" i="3" s="1"/>
  <c r="J21" i="1"/>
  <c r="K40" i="3" l="1"/>
  <c r="K36" i="3"/>
  <c r="K43" i="3" s="1"/>
  <c r="B45" i="3" s="1"/>
  <c r="K21" i="1"/>
  <c r="L21" i="1" s="1"/>
  <c r="P21" i="1"/>
  <c r="Q21" i="1" s="1"/>
  <c r="L32" i="3" s="1"/>
  <c r="L35" i="3" s="1"/>
  <c r="K16" i="3"/>
  <c r="K23" i="3" s="1"/>
  <c r="B25" i="3" s="1"/>
  <c r="K20" i="3"/>
  <c r="L12" i="3"/>
  <c r="L15" i="3" s="1"/>
  <c r="L20" i="3" s="1"/>
  <c r="K22" i="2"/>
  <c r="M13" i="3" s="1"/>
  <c r="J22" i="1"/>
  <c r="L36" i="3" l="1"/>
  <c r="L43" i="3" s="1"/>
  <c r="L40" i="3"/>
  <c r="K22" i="1"/>
  <c r="L22" i="1" s="1"/>
  <c r="P22" i="1"/>
  <c r="Q22" i="1" s="1"/>
  <c r="M32" i="3" s="1"/>
  <c r="M35" i="3" s="1"/>
  <c r="V21" i="1"/>
  <c r="L16" i="3"/>
  <c r="L23" i="3" s="1"/>
  <c r="M12" i="3"/>
  <c r="M15" i="3" s="1"/>
  <c r="K23" i="2"/>
  <c r="N13" i="3" s="1"/>
  <c r="J23" i="1"/>
  <c r="M16" i="3" l="1"/>
  <c r="M23" i="3" s="1"/>
  <c r="M20" i="3"/>
  <c r="M40" i="3"/>
  <c r="M36" i="3"/>
  <c r="M43" i="3" s="1"/>
  <c r="K23" i="1"/>
  <c r="L23" i="1" s="1"/>
  <c r="V23" i="1"/>
  <c r="P23" i="1"/>
  <c r="Q23" i="1" s="1"/>
  <c r="N32" i="3" s="1"/>
  <c r="N35" i="3" s="1"/>
  <c r="V22" i="1"/>
  <c r="N12" i="3"/>
  <c r="N15" i="3"/>
  <c r="N20" i="3" s="1"/>
  <c r="N16" i="3"/>
  <c r="N23" i="3" s="1"/>
  <c r="K24" i="2"/>
  <c r="O13" i="3" s="1"/>
  <c r="J24" i="1"/>
  <c r="N40" i="3" l="1"/>
  <c r="N36" i="3"/>
  <c r="N43" i="3" s="1"/>
  <c r="K24" i="1"/>
  <c r="L24" i="1" s="1"/>
  <c r="O12" i="3" s="1"/>
  <c r="O15" i="3" s="1"/>
  <c r="O20" i="3" s="1"/>
  <c r="P24" i="1"/>
  <c r="Q24" i="1" s="1"/>
  <c r="O32" i="3" s="1"/>
  <c r="O35" i="3" s="1"/>
  <c r="K25" i="2"/>
  <c r="P13" i="3" s="1"/>
  <c r="J25" i="1"/>
  <c r="O40" i="3" l="1"/>
  <c r="O36" i="3"/>
  <c r="O43" i="3" s="1"/>
  <c r="K25" i="1"/>
  <c r="L25" i="1" s="1"/>
  <c r="P25" i="1"/>
  <c r="Q25" i="1" s="1"/>
  <c r="P32" i="3" s="1"/>
  <c r="P35" i="3" s="1"/>
  <c r="V24" i="1"/>
  <c r="O16" i="3"/>
  <c r="O23" i="3" s="1"/>
  <c r="P12" i="3"/>
  <c r="P15" i="3" s="1"/>
  <c r="P16" i="3" s="1"/>
  <c r="P23" i="3" s="1"/>
  <c r="K26" i="2"/>
  <c r="Q13" i="3" s="1"/>
  <c r="J26" i="1"/>
  <c r="P36" i="3" l="1"/>
  <c r="P43" i="3" s="1"/>
  <c r="P40" i="3"/>
  <c r="K26" i="1"/>
  <c r="L26" i="1" s="1"/>
  <c r="P26" i="1"/>
  <c r="Q26" i="1" s="1"/>
  <c r="Q32" i="3" s="1"/>
  <c r="Q35" i="3" s="1"/>
  <c r="V25" i="1"/>
  <c r="Q12" i="3"/>
  <c r="Q15" i="3" s="1"/>
  <c r="B26" i="3" s="1"/>
  <c r="P20" i="3"/>
  <c r="K27" i="2"/>
  <c r="R13" i="3" s="1"/>
  <c r="J27" i="1"/>
  <c r="Q40" i="3" l="1"/>
  <c r="B47" i="3" s="1"/>
  <c r="Q36" i="3"/>
  <c r="Q43" i="3" s="1"/>
  <c r="B46" i="3"/>
  <c r="K27" i="1"/>
  <c r="L27" i="1" s="1"/>
  <c r="P27" i="1"/>
  <c r="Q27" i="1" s="1"/>
  <c r="R32" i="3" s="1"/>
  <c r="R35" i="3" s="1"/>
  <c r="V26" i="1"/>
  <c r="R12" i="3"/>
  <c r="R15" i="3" s="1"/>
  <c r="Q16" i="3"/>
  <c r="Q23" i="3" s="1"/>
  <c r="Q20" i="3"/>
  <c r="K28" i="2"/>
  <c r="S13" i="3" s="1"/>
  <c r="J28" i="1"/>
  <c r="K28" i="1" l="1"/>
  <c r="L28" i="1" s="1"/>
  <c r="P28" i="1"/>
  <c r="Q28" i="1" s="1"/>
  <c r="S32" i="3" s="1"/>
  <c r="S35" i="3" s="1"/>
  <c r="V28" i="1"/>
  <c r="R36" i="3"/>
  <c r="R43" i="3" s="1"/>
  <c r="R40" i="3"/>
  <c r="V27" i="1"/>
  <c r="R16" i="3"/>
  <c r="R23" i="3" s="1"/>
  <c r="R20" i="3"/>
  <c r="S12" i="3"/>
  <c r="S15" i="3" s="1"/>
  <c r="J29" i="1"/>
  <c r="K29" i="2"/>
  <c r="T13" i="3" s="1"/>
  <c r="K29" i="1" l="1"/>
  <c r="L29" i="1" s="1"/>
  <c r="P29" i="1"/>
  <c r="Q29" i="1" s="1"/>
  <c r="T32" i="3" s="1"/>
  <c r="T35" i="3" s="1"/>
  <c r="V29" i="1"/>
  <c r="S36" i="3"/>
  <c r="S43" i="3" s="1"/>
  <c r="S40" i="3"/>
  <c r="S20" i="3"/>
  <c r="S16" i="3"/>
  <c r="S23" i="3" s="1"/>
  <c r="T12" i="3"/>
  <c r="T15" i="3" s="1"/>
  <c r="K30" i="2"/>
  <c r="U13" i="3" s="1"/>
  <c r="J30" i="1"/>
  <c r="K30" i="1" l="1"/>
  <c r="L30" i="1" s="1"/>
  <c r="P30" i="1"/>
  <c r="Q30" i="1" s="1"/>
  <c r="U32" i="3" s="1"/>
  <c r="U35" i="3" s="1"/>
  <c r="V30" i="1"/>
  <c r="T40" i="3"/>
  <c r="T36" i="3"/>
  <c r="T43" i="3" s="1"/>
  <c r="T16" i="3"/>
  <c r="T23" i="3" s="1"/>
  <c r="T20" i="3"/>
  <c r="U12" i="3"/>
  <c r="U15" i="3" s="1"/>
  <c r="J31" i="1"/>
  <c r="K31" i="2"/>
  <c r="U40" i="3" l="1"/>
  <c r="B44" i="3" s="1"/>
  <c r="U36" i="3"/>
  <c r="U43" i="3" s="1"/>
  <c r="K31" i="1"/>
  <c r="L31" i="1" s="1"/>
  <c r="V31" i="1"/>
  <c r="P31" i="1"/>
  <c r="Q31" i="1" s="1"/>
  <c r="U16" i="3"/>
  <c r="U23" i="3" s="1"/>
  <c r="U20" i="3"/>
</calcChain>
</file>

<file path=xl/sharedStrings.xml><?xml version="1.0" encoding="utf-8"?>
<sst xmlns="http://schemas.openxmlformats.org/spreadsheetml/2006/main" count="115" uniqueCount="59">
  <si>
    <t>Homicidios</t>
  </si>
  <si>
    <t xml:space="preserve">tasa de homicidios </t>
  </si>
  <si>
    <t>Numero de habitantes distritos</t>
  </si>
  <si>
    <t>año</t>
  </si>
  <si>
    <t>Tasa Homicidios con proyecto</t>
  </si>
  <si>
    <t>Disminucion tasa de homicidios</t>
  </si>
  <si>
    <t>Tasa crecimiento poblacion</t>
  </si>
  <si>
    <t>Numero de homicidios sin proyecto</t>
  </si>
  <si>
    <t>Diferencia Numero de homicidios</t>
  </si>
  <si>
    <t>Salario promedio Peru (Soles)</t>
  </si>
  <si>
    <t>Inflacion</t>
  </si>
  <si>
    <t>Valor presente Neto ingresos dejados de percibir</t>
  </si>
  <si>
    <t>Tasa social de descuento</t>
  </si>
  <si>
    <t>Beneficio agregado ajustado por tasa de desempleo</t>
  </si>
  <si>
    <t>Tasa de desempleo</t>
  </si>
  <si>
    <t>Beneficio en USD</t>
  </si>
  <si>
    <t>Tasa de Cambio S/ USD</t>
  </si>
  <si>
    <t>Fuente</t>
  </si>
  <si>
    <t>BID</t>
  </si>
  <si>
    <t>Matriz de Resultados</t>
  </si>
  <si>
    <t>INEI</t>
  </si>
  <si>
    <t>Monto Promedio Robo</t>
  </si>
  <si>
    <t>Disminucion tasa de robos</t>
  </si>
  <si>
    <t>Numero de robos sin proyecto</t>
  </si>
  <si>
    <t>Numero de robos con proyecto</t>
  </si>
  <si>
    <t>Diferencia Numero de robos</t>
  </si>
  <si>
    <t>Tasa de descuento</t>
  </si>
  <si>
    <t>Inversión BID y contrapartida</t>
  </si>
  <si>
    <t>Escenario base</t>
  </si>
  <si>
    <t>BENEFITS</t>
  </si>
  <si>
    <t>Total (USD)</t>
  </si>
  <si>
    <t>NPV  benefits</t>
  </si>
  <si>
    <t>Subtotal NPV benefiits</t>
  </si>
  <si>
    <t>COSTS</t>
  </si>
  <si>
    <t>investment cost (BID loan)</t>
  </si>
  <si>
    <t>cash flow</t>
  </si>
  <si>
    <t>NPV costs</t>
  </si>
  <si>
    <t>Subtotal NPV costs</t>
  </si>
  <si>
    <t>NPV benefits-NPV costs</t>
  </si>
  <si>
    <t>NPV</t>
  </si>
  <si>
    <t>NVP</t>
  </si>
  <si>
    <t>BCR</t>
  </si>
  <si>
    <t>IRR</t>
  </si>
  <si>
    <t>Escenario conservador</t>
  </si>
  <si>
    <t>Escenario optimista</t>
  </si>
  <si>
    <t>tasa de robos carteras/ celulares por cada 100.000 habitantes</t>
  </si>
  <si>
    <t>Tasa robo vehiculos con proyecto</t>
  </si>
  <si>
    <t>Robo carteras y celulares</t>
  </si>
  <si>
    <t>robo vehiculos</t>
  </si>
  <si>
    <t>Analisis economico PE-1224</t>
  </si>
  <si>
    <t>Promedio B</t>
  </si>
  <si>
    <t>Tasa homicidios con proyecto Conservador</t>
  </si>
  <si>
    <t>Disminución Tasa homicidios conservador</t>
  </si>
  <si>
    <t>Numero de homicidios con proyecto</t>
  </si>
  <si>
    <t>Numero de homicidios con proyecto (Conservador)</t>
  </si>
  <si>
    <t xml:space="preserve">Beneficio agregado ajustado por tasa de desempleo (Conservador) </t>
  </si>
  <si>
    <t>Beneficio en USD (conservador)</t>
  </si>
  <si>
    <t>Diferencia Numero homicidios (conservador)</t>
  </si>
  <si>
    <t>Disminución Tasa homicidios Optimista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</si>
</sst>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9FDF8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44" fontId="0" fillId="0" borderId="0" xfId="2" applyFont="1"/>
    <xf numFmtId="0" fontId="0" fillId="0" borderId="0" xfId="0" applyAlignment="1">
      <alignment wrapText="1"/>
    </xf>
    <xf numFmtId="0" fontId="0" fillId="0" borderId="0" xfId="0" applyAlignment="1"/>
    <xf numFmtId="43" fontId="0" fillId="0" borderId="0" xfId="1" applyFont="1"/>
    <xf numFmtId="3" fontId="0" fillId="0" borderId="0" xfId="0" applyNumberFormat="1"/>
    <xf numFmtId="9" fontId="0" fillId="0" borderId="0" xfId="3" applyFont="1"/>
    <xf numFmtId="164" fontId="0" fillId="0" borderId="0" xfId="1" applyNumberFormat="1" applyFont="1"/>
    <xf numFmtId="0" fontId="2" fillId="3" borderId="0" xfId="0" applyFont="1" applyFill="1"/>
    <xf numFmtId="43" fontId="0" fillId="3" borderId="0" xfId="1" applyFont="1" applyFill="1"/>
    <xf numFmtId="0" fontId="0" fillId="3" borderId="0" xfId="0" applyFill="1"/>
    <xf numFmtId="0" fontId="2" fillId="0" borderId="0" xfId="0" applyFont="1"/>
    <xf numFmtId="0" fontId="0" fillId="4" borderId="1" xfId="0" applyFill="1" applyBorder="1" applyAlignment="1">
      <alignment horizontal="center"/>
    </xf>
    <xf numFmtId="0" fontId="0" fillId="4" borderId="1" xfId="1" applyNumberFormat="1" applyFont="1" applyFill="1" applyBorder="1" applyAlignment="1">
      <alignment horizontal="center"/>
    </xf>
    <xf numFmtId="43" fontId="0" fillId="0" borderId="1" xfId="1" applyFont="1" applyBorder="1" applyAlignment="1">
      <alignment wrapText="1"/>
    </xf>
    <xf numFmtId="43" fontId="0" fillId="0" borderId="1" xfId="1" applyFont="1" applyBorder="1"/>
    <xf numFmtId="0" fontId="0" fillId="0" borderId="1" xfId="0" applyBorder="1"/>
    <xf numFmtId="8" fontId="0" fillId="0" borderId="1" xfId="1" applyNumberFormat="1" applyFont="1" applyBorder="1"/>
    <xf numFmtId="43" fontId="0" fillId="4" borderId="1" xfId="1" applyFont="1" applyFill="1" applyBorder="1"/>
    <xf numFmtId="0" fontId="0" fillId="4" borderId="0" xfId="0" applyFill="1"/>
    <xf numFmtId="44" fontId="0" fillId="0" borderId="1" xfId="2" applyFont="1" applyBorder="1"/>
    <xf numFmtId="8" fontId="0" fillId="0" borderId="1" xfId="2" applyNumberFormat="1" applyFont="1" applyBorder="1"/>
    <xf numFmtId="0" fontId="0" fillId="4" borderId="1" xfId="0" applyFill="1" applyBorder="1"/>
    <xf numFmtId="0" fontId="2" fillId="5" borderId="1" xfId="0" applyFont="1" applyFill="1" applyBorder="1"/>
    <xf numFmtId="8" fontId="2" fillId="5" borderId="1" xfId="1" applyNumberFormat="1" applyFont="1" applyFill="1" applyBorder="1"/>
    <xf numFmtId="43" fontId="2" fillId="5" borderId="1" xfId="1" applyFont="1" applyFill="1" applyBorder="1"/>
    <xf numFmtId="9" fontId="2" fillId="5" borderId="1" xfId="1" applyNumberFormat="1" applyFont="1" applyFill="1" applyBorder="1"/>
    <xf numFmtId="0" fontId="2" fillId="6" borderId="0" xfId="0" applyFont="1" applyFill="1"/>
    <xf numFmtId="43" fontId="0" fillId="6" borderId="0" xfId="1" applyFont="1" applyFill="1"/>
    <xf numFmtId="0" fontId="0" fillId="6" borderId="0" xfId="0" applyFill="1"/>
    <xf numFmtId="0" fontId="0" fillId="6" borderId="1" xfId="0" applyFill="1" applyBorder="1" applyAlignment="1">
      <alignment horizontal="center"/>
    </xf>
    <xf numFmtId="0" fontId="0" fillId="6" borderId="1" xfId="1" applyNumberFormat="1" applyFont="1" applyFill="1" applyBorder="1" applyAlignment="1">
      <alignment horizontal="center"/>
    </xf>
    <xf numFmtId="164" fontId="0" fillId="0" borderId="1" xfId="1" applyNumberFormat="1" applyFont="1" applyBorder="1"/>
    <xf numFmtId="43" fontId="0" fillId="6" borderId="1" xfId="1" applyFont="1" applyFill="1" applyBorder="1"/>
    <xf numFmtId="0" fontId="0" fillId="6" borderId="1" xfId="0" applyFill="1" applyBorder="1"/>
    <xf numFmtId="0" fontId="2" fillId="7" borderId="1" xfId="0" applyFont="1" applyFill="1" applyBorder="1"/>
    <xf numFmtId="8" fontId="2" fillId="7" borderId="1" xfId="1" applyNumberFormat="1" applyFont="1" applyFill="1" applyBorder="1"/>
    <xf numFmtId="43" fontId="2" fillId="7" borderId="1" xfId="1" applyFont="1" applyFill="1" applyBorder="1"/>
    <xf numFmtId="9" fontId="2" fillId="7" borderId="1" xfId="1" applyNumberFormat="1" applyFont="1" applyFill="1" applyBorder="1"/>
    <xf numFmtId="0" fontId="2" fillId="8" borderId="0" xfId="0" applyFont="1" applyFill="1"/>
    <xf numFmtId="43" fontId="0" fillId="8" borderId="0" xfId="1" applyFont="1" applyFill="1"/>
    <xf numFmtId="0" fontId="0" fillId="8" borderId="0" xfId="0" applyFill="1"/>
    <xf numFmtId="0" fontId="0" fillId="8" borderId="1" xfId="0" applyFill="1" applyBorder="1" applyAlignment="1">
      <alignment horizontal="center"/>
    </xf>
    <xf numFmtId="0" fontId="0" fillId="8" borderId="1" xfId="1" applyNumberFormat="1" applyFont="1" applyFill="1" applyBorder="1" applyAlignment="1">
      <alignment horizontal="center"/>
    </xf>
    <xf numFmtId="43" fontId="0" fillId="8" borderId="1" xfId="1" applyFont="1" applyFill="1" applyBorder="1"/>
    <xf numFmtId="0" fontId="0" fillId="8" borderId="1" xfId="0" applyFill="1" applyBorder="1"/>
    <xf numFmtId="0" fontId="2" fillId="9" borderId="1" xfId="0" applyFont="1" applyFill="1" applyBorder="1"/>
    <xf numFmtId="8" fontId="2" fillId="9" borderId="1" xfId="1" applyNumberFormat="1" applyFont="1" applyFill="1" applyBorder="1"/>
    <xf numFmtId="43" fontId="2" fillId="9" borderId="1" xfId="1" applyFont="1" applyFill="1" applyBorder="1"/>
    <xf numFmtId="9" fontId="2" fillId="9" borderId="1" xfId="1" applyNumberFormat="1" applyFont="1" applyFill="1" applyBorder="1"/>
    <xf numFmtId="0" fontId="0" fillId="10" borderId="0" xfId="0" applyFill="1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7A0C8-11CB-4D74-8157-656201AE4EE2}">
  <dimension ref="B1:D10"/>
  <sheetViews>
    <sheetView workbookViewId="0">
      <selection activeCell="C6" sqref="C6"/>
    </sheetView>
  </sheetViews>
  <sheetFormatPr defaultRowHeight="15" x14ac:dyDescent="0.25"/>
  <cols>
    <col min="2" max="2" width="39.7109375" customWidth="1"/>
  </cols>
  <sheetData>
    <row r="1" spans="2:4" x14ac:dyDescent="0.25">
      <c r="D1" t="s">
        <v>17</v>
      </c>
    </row>
    <row r="2" spans="2:4" x14ac:dyDescent="0.25">
      <c r="B2" t="s">
        <v>12</v>
      </c>
      <c r="C2" s="1">
        <v>0.12</v>
      </c>
      <c r="D2" t="s">
        <v>18</v>
      </c>
    </row>
    <row r="3" spans="2:4" x14ac:dyDescent="0.25">
      <c r="B3" t="s">
        <v>5</v>
      </c>
      <c r="C3" s="1">
        <v>0.22</v>
      </c>
      <c r="D3" t="s">
        <v>19</v>
      </c>
    </row>
    <row r="4" spans="2:4" x14ac:dyDescent="0.25">
      <c r="B4" t="s">
        <v>52</v>
      </c>
      <c r="C4" s="1">
        <v>0.1</v>
      </c>
    </row>
    <row r="5" spans="2:4" x14ac:dyDescent="0.25">
      <c r="B5" t="s">
        <v>58</v>
      </c>
      <c r="C5" s="1">
        <v>0.25</v>
      </c>
    </row>
    <row r="6" spans="2:4" x14ac:dyDescent="0.25">
      <c r="B6" t="s">
        <v>22</v>
      </c>
      <c r="C6" s="1">
        <v>0.05</v>
      </c>
      <c r="D6" t="s">
        <v>19</v>
      </c>
    </row>
    <row r="7" spans="2:4" x14ac:dyDescent="0.25">
      <c r="B7" t="s">
        <v>6</v>
      </c>
      <c r="C7" s="1">
        <v>0.01</v>
      </c>
      <c r="D7" t="s">
        <v>20</v>
      </c>
    </row>
    <row r="8" spans="2:4" x14ac:dyDescent="0.25">
      <c r="B8" t="s">
        <v>10</v>
      </c>
      <c r="C8" s="1">
        <v>0.02</v>
      </c>
      <c r="D8" t="s">
        <v>20</v>
      </c>
    </row>
    <row r="9" spans="2:4" x14ac:dyDescent="0.25">
      <c r="B9" t="s">
        <v>14</v>
      </c>
      <c r="C9" s="1">
        <v>0.08</v>
      </c>
      <c r="D9" t="s">
        <v>20</v>
      </c>
    </row>
    <row r="10" spans="2:4" x14ac:dyDescent="0.25">
      <c r="B10" t="s">
        <v>16</v>
      </c>
      <c r="C10" s="3">
        <v>3.2</v>
      </c>
      <c r="D10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ACCAF-57F6-42F0-8E75-FF7416792112}">
  <dimension ref="A2:AS98"/>
  <sheetViews>
    <sheetView topLeftCell="D1" workbookViewId="0">
      <selection activeCell="E10" sqref="E3:E10"/>
    </sheetView>
  </sheetViews>
  <sheetFormatPr defaultRowHeight="15" x14ac:dyDescent="0.25"/>
  <cols>
    <col min="2" max="2" width="15.85546875" customWidth="1"/>
    <col min="3" max="4" width="19.42578125" customWidth="1"/>
    <col min="5" max="5" width="28" customWidth="1"/>
    <col min="6" max="6" width="18.5703125" customWidth="1"/>
    <col min="7" max="7" width="21.85546875" customWidth="1"/>
    <col min="8" max="8" width="35.7109375" customWidth="1"/>
    <col min="9" max="9" width="25" customWidth="1"/>
    <col min="10" max="10" width="17.85546875" customWidth="1"/>
    <col min="11" max="11" width="15.140625" customWidth="1"/>
    <col min="12" max="12" width="16.5703125" customWidth="1"/>
    <col min="13" max="13" width="28.42578125" customWidth="1"/>
    <col min="14" max="14" width="29.5703125" customWidth="1"/>
    <col min="15" max="15" width="15.85546875" customWidth="1"/>
    <col min="16" max="16" width="16.140625" customWidth="1"/>
    <col min="17" max="17" width="19.85546875" customWidth="1"/>
    <col min="18" max="18" width="19.140625" customWidth="1"/>
    <col min="19" max="19" width="16" customWidth="1"/>
    <col min="20" max="20" width="17.85546875" customWidth="1"/>
    <col min="21" max="21" width="20.140625" customWidth="1"/>
    <col min="22" max="22" width="26" customWidth="1"/>
  </cols>
  <sheetData>
    <row r="2" spans="1:45" ht="76.349999999999994" customHeight="1" x14ac:dyDescent="0.25">
      <c r="A2" s="5"/>
      <c r="B2" s="5" t="s">
        <v>3</v>
      </c>
      <c r="C2" s="5" t="s">
        <v>1</v>
      </c>
      <c r="D2" s="5" t="s">
        <v>4</v>
      </c>
      <c r="E2" s="5" t="s">
        <v>2</v>
      </c>
      <c r="F2" s="5" t="s">
        <v>7</v>
      </c>
      <c r="G2" s="5" t="s">
        <v>53</v>
      </c>
      <c r="H2" s="5" t="s">
        <v>8</v>
      </c>
      <c r="I2" s="5" t="s">
        <v>9</v>
      </c>
      <c r="J2" s="5" t="s">
        <v>11</v>
      </c>
      <c r="K2" s="5" t="s">
        <v>13</v>
      </c>
      <c r="L2" s="5" t="s">
        <v>15</v>
      </c>
      <c r="M2" s="5" t="s">
        <v>51</v>
      </c>
      <c r="N2" s="5" t="s">
        <v>54</v>
      </c>
      <c r="O2" s="5" t="s">
        <v>57</v>
      </c>
      <c r="P2" s="5" t="s">
        <v>55</v>
      </c>
      <c r="Q2" s="5" t="s">
        <v>56</v>
      </c>
      <c r="R2" s="53" t="s">
        <v>51</v>
      </c>
      <c r="S2" s="53" t="s">
        <v>54</v>
      </c>
      <c r="T2" s="53" t="s">
        <v>57</v>
      </c>
      <c r="U2" s="53" t="s">
        <v>55</v>
      </c>
      <c r="V2" s="53" t="s">
        <v>56</v>
      </c>
    </row>
    <row r="3" spans="1:45" x14ac:dyDescent="0.25">
      <c r="B3">
        <v>2012</v>
      </c>
      <c r="C3">
        <v>10.4</v>
      </c>
      <c r="D3">
        <f t="shared" ref="D3:D9" si="0">C3</f>
        <v>10.4</v>
      </c>
      <c r="E3" s="2">
        <f t="shared" ref="E3:E9" si="1">E4*0.99</f>
        <v>9688819.2914931625</v>
      </c>
      <c r="F3">
        <f t="shared" ref="F3:F6" si="2">E3/100000*C3</f>
        <v>1007.6372063152889</v>
      </c>
      <c r="G3">
        <f t="shared" ref="G3:G6" si="3">E3/100000*D3</f>
        <v>1007.6372063152889</v>
      </c>
      <c r="H3" s="54"/>
      <c r="I3" s="54"/>
      <c r="J3" s="54"/>
      <c r="K3" s="54"/>
      <c r="L3" s="54"/>
      <c r="M3">
        <f>C3</f>
        <v>10.4</v>
      </c>
      <c r="N3" s="2">
        <f>E3/100000*M3</f>
        <v>1007.6372063152889</v>
      </c>
      <c r="O3" s="2">
        <f>F3-N3</f>
        <v>0</v>
      </c>
      <c r="R3">
        <f>C3</f>
        <v>10.4</v>
      </c>
      <c r="S3" s="2">
        <f>J3/100000*R3</f>
        <v>0</v>
      </c>
      <c r="T3" s="2">
        <f>K3-S3</f>
        <v>0</v>
      </c>
    </row>
    <row r="4" spans="1:45" x14ac:dyDescent="0.25">
      <c r="B4">
        <v>2013</v>
      </c>
      <c r="C4">
        <v>12.6</v>
      </c>
      <c r="D4">
        <f t="shared" si="0"/>
        <v>12.6</v>
      </c>
      <c r="E4" s="2">
        <f t="shared" si="1"/>
        <v>9786686.1530233957</v>
      </c>
      <c r="F4">
        <f t="shared" si="2"/>
        <v>1233.1224552809479</v>
      </c>
      <c r="G4">
        <f t="shared" si="3"/>
        <v>1233.1224552809479</v>
      </c>
      <c r="H4" s="54"/>
      <c r="I4" s="54"/>
      <c r="J4" s="54"/>
      <c r="K4" s="54"/>
      <c r="L4" s="54"/>
      <c r="M4">
        <f t="shared" ref="M4:M10" si="4">C4</f>
        <v>12.6</v>
      </c>
      <c r="N4" s="2">
        <f t="shared" ref="N4:N31" si="5">E4/100000*M4</f>
        <v>1233.1224552809479</v>
      </c>
      <c r="O4" s="2">
        <f t="shared" ref="O4:O67" si="6">F4-N4</f>
        <v>0</v>
      </c>
      <c r="R4">
        <f t="shared" ref="R4:R10" si="7">C4</f>
        <v>12.6</v>
      </c>
      <c r="S4" s="2">
        <f t="shared" ref="S4:S10" si="8">J4/100000*R4</f>
        <v>0</v>
      </c>
      <c r="T4" s="2">
        <f t="shared" ref="T4:T10" si="9">K4-S4</f>
        <v>0</v>
      </c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</row>
    <row r="5" spans="1:45" x14ac:dyDescent="0.25">
      <c r="B5">
        <v>2014</v>
      </c>
      <c r="C5">
        <v>14.4</v>
      </c>
      <c r="D5">
        <f t="shared" si="0"/>
        <v>14.4</v>
      </c>
      <c r="E5" s="2">
        <f t="shared" si="1"/>
        <v>9885541.5687105004</v>
      </c>
      <c r="F5">
        <f t="shared" si="2"/>
        <v>1423.5179858943122</v>
      </c>
      <c r="G5">
        <f t="shared" si="3"/>
        <v>1423.5179858943122</v>
      </c>
      <c r="H5" s="54"/>
      <c r="I5" s="54"/>
      <c r="J5" s="54"/>
      <c r="K5" s="54"/>
      <c r="L5" s="54"/>
      <c r="M5">
        <f t="shared" si="4"/>
        <v>14.4</v>
      </c>
      <c r="N5" s="2">
        <f t="shared" si="5"/>
        <v>1423.5179858943122</v>
      </c>
      <c r="O5" s="2">
        <f t="shared" si="6"/>
        <v>0</v>
      </c>
      <c r="R5">
        <f t="shared" si="7"/>
        <v>14.4</v>
      </c>
      <c r="S5" s="2">
        <f t="shared" si="8"/>
        <v>0</v>
      </c>
      <c r="T5" s="2">
        <f t="shared" si="9"/>
        <v>0</v>
      </c>
    </row>
    <row r="6" spans="1:45" x14ac:dyDescent="0.25">
      <c r="B6">
        <v>2015</v>
      </c>
      <c r="C6">
        <v>13.3</v>
      </c>
      <c r="D6">
        <f t="shared" si="0"/>
        <v>13.3</v>
      </c>
      <c r="E6" s="2">
        <f t="shared" si="1"/>
        <v>9985395.5239500012</v>
      </c>
      <c r="F6">
        <f t="shared" si="2"/>
        <v>1328.0576046853503</v>
      </c>
      <c r="G6">
        <f t="shared" si="3"/>
        <v>1328.0576046853503</v>
      </c>
      <c r="H6" s="54"/>
      <c r="I6" s="54"/>
      <c r="J6" s="54"/>
      <c r="K6" s="54"/>
      <c r="L6" s="54"/>
      <c r="M6">
        <f t="shared" si="4"/>
        <v>13.3</v>
      </c>
      <c r="N6" s="2">
        <f t="shared" si="5"/>
        <v>1328.0576046853503</v>
      </c>
      <c r="O6" s="2">
        <f t="shared" si="6"/>
        <v>0</v>
      </c>
      <c r="R6">
        <f t="shared" si="7"/>
        <v>13.3</v>
      </c>
      <c r="S6" s="2">
        <f t="shared" si="8"/>
        <v>0</v>
      </c>
      <c r="T6" s="2">
        <f t="shared" si="9"/>
        <v>0</v>
      </c>
    </row>
    <row r="7" spans="1:45" x14ac:dyDescent="0.25">
      <c r="B7">
        <v>2016</v>
      </c>
      <c r="C7">
        <v>14.3</v>
      </c>
      <c r="D7">
        <f t="shared" si="0"/>
        <v>14.3</v>
      </c>
      <c r="E7" s="2">
        <f t="shared" si="1"/>
        <v>10086258.105</v>
      </c>
      <c r="F7">
        <f>E7/100000*C7</f>
        <v>1442.3349090150002</v>
      </c>
      <c r="G7">
        <f>E7/100000*D7</f>
        <v>1442.3349090150002</v>
      </c>
      <c r="H7" s="54"/>
      <c r="I7" s="54"/>
      <c r="J7" s="54"/>
      <c r="K7" s="54"/>
      <c r="L7" s="54"/>
      <c r="M7">
        <f t="shared" si="4"/>
        <v>14.3</v>
      </c>
      <c r="N7" s="2">
        <f t="shared" si="5"/>
        <v>1442.3349090150002</v>
      </c>
      <c r="O7" s="2">
        <f t="shared" si="6"/>
        <v>0</v>
      </c>
      <c r="R7">
        <f t="shared" si="7"/>
        <v>14.3</v>
      </c>
      <c r="S7" s="2">
        <f t="shared" si="8"/>
        <v>0</v>
      </c>
      <c r="T7" s="2">
        <f t="shared" si="9"/>
        <v>0</v>
      </c>
    </row>
    <row r="8" spans="1:45" x14ac:dyDescent="0.25">
      <c r="B8">
        <v>2017</v>
      </c>
      <c r="C8">
        <v>14</v>
      </c>
      <c r="D8">
        <f t="shared" si="0"/>
        <v>14</v>
      </c>
      <c r="E8" s="2">
        <f t="shared" si="1"/>
        <v>10188139.5</v>
      </c>
      <c r="F8">
        <f t="shared" ref="F8:F27" si="10">E8/100000*C8</f>
        <v>1426.33953</v>
      </c>
      <c r="G8">
        <f t="shared" ref="G8:G27" si="11">E8/100000*D8</f>
        <v>1426.33953</v>
      </c>
      <c r="H8" s="54"/>
      <c r="I8" s="54"/>
      <c r="J8" s="54"/>
      <c r="K8" s="54"/>
      <c r="L8" s="54"/>
      <c r="M8">
        <f t="shared" si="4"/>
        <v>14</v>
      </c>
      <c r="N8" s="2">
        <f t="shared" si="5"/>
        <v>1426.33953</v>
      </c>
      <c r="O8" s="2">
        <f t="shared" si="6"/>
        <v>0</v>
      </c>
      <c r="R8">
        <f t="shared" si="7"/>
        <v>14</v>
      </c>
      <c r="S8" s="2">
        <f t="shared" si="8"/>
        <v>0</v>
      </c>
      <c r="T8" s="2">
        <f t="shared" si="9"/>
        <v>0</v>
      </c>
    </row>
    <row r="9" spans="1:45" x14ac:dyDescent="0.25">
      <c r="B9">
        <v>2018</v>
      </c>
      <c r="C9">
        <v>14.2</v>
      </c>
      <c r="D9">
        <f t="shared" si="0"/>
        <v>14.2</v>
      </c>
      <c r="E9" s="2">
        <f t="shared" si="1"/>
        <v>10291050</v>
      </c>
      <c r="F9">
        <f t="shared" si="10"/>
        <v>1461.3290999999999</v>
      </c>
      <c r="G9">
        <f t="shared" si="11"/>
        <v>1461.3290999999999</v>
      </c>
      <c r="H9" s="54"/>
      <c r="I9" s="54"/>
      <c r="J9" s="54"/>
      <c r="K9" s="54"/>
      <c r="L9" s="54"/>
      <c r="M9">
        <f t="shared" si="4"/>
        <v>14.2</v>
      </c>
      <c r="N9" s="2">
        <f t="shared" si="5"/>
        <v>1461.3290999999999</v>
      </c>
      <c r="O9" s="2">
        <f t="shared" si="6"/>
        <v>0</v>
      </c>
      <c r="R9">
        <f t="shared" si="7"/>
        <v>14.2</v>
      </c>
      <c r="S9" s="2">
        <f t="shared" si="8"/>
        <v>0</v>
      </c>
      <c r="T9" s="2">
        <f t="shared" si="9"/>
        <v>0</v>
      </c>
    </row>
    <row r="10" spans="1:45" x14ac:dyDescent="0.25">
      <c r="B10">
        <v>2019</v>
      </c>
      <c r="C10">
        <v>14</v>
      </c>
      <c r="D10">
        <f>C10</f>
        <v>14</v>
      </c>
      <c r="E10" s="2">
        <f>E11*0.99</f>
        <v>10395000</v>
      </c>
      <c r="F10">
        <f t="shared" si="10"/>
        <v>1455.3</v>
      </c>
      <c r="G10">
        <f t="shared" si="11"/>
        <v>1455.3</v>
      </c>
      <c r="H10" s="54"/>
      <c r="I10" s="54"/>
      <c r="J10" s="54"/>
      <c r="K10" s="54"/>
      <c r="L10" s="54"/>
      <c r="M10">
        <f t="shared" si="4"/>
        <v>14</v>
      </c>
      <c r="N10" s="2">
        <f t="shared" si="5"/>
        <v>1455.3</v>
      </c>
      <c r="O10" s="2">
        <f t="shared" si="6"/>
        <v>0</v>
      </c>
      <c r="R10">
        <f t="shared" si="7"/>
        <v>14</v>
      </c>
      <c r="S10" s="2">
        <f t="shared" si="8"/>
        <v>0</v>
      </c>
      <c r="T10" s="2">
        <f t="shared" si="9"/>
        <v>0</v>
      </c>
    </row>
    <row r="11" spans="1:45" x14ac:dyDescent="0.25">
      <c r="B11">
        <v>2020</v>
      </c>
      <c r="C11">
        <v>14</v>
      </c>
      <c r="D11">
        <f>C11*(1-supuestos!$C$3)</f>
        <v>10.92</v>
      </c>
      <c r="E11">
        <v>10500000</v>
      </c>
      <c r="F11">
        <f t="shared" si="10"/>
        <v>1470</v>
      </c>
      <c r="G11" s="2">
        <f t="shared" si="11"/>
        <v>1146.5999999999999</v>
      </c>
      <c r="H11">
        <f t="shared" ref="H11:H27" si="12">F11-G11</f>
        <v>323.40000000000009</v>
      </c>
      <c r="I11" s="2">
        <v>1400</v>
      </c>
      <c r="J11">
        <f>NPV(supuestos!$C$2,Homicidios!I11:I51)*12</f>
        <v>164369.40843356412</v>
      </c>
      <c r="K11">
        <f>H11*J11*(1-supuestos!$C$9)</f>
        <v>48904501.352421485</v>
      </c>
      <c r="L11" s="4">
        <f>K11/supuestos!$C$10</f>
        <v>15282656.672631713</v>
      </c>
      <c r="M11">
        <f>C11*(1-supuestos!$C$4)</f>
        <v>12.6</v>
      </c>
      <c r="N11" s="2">
        <f t="shared" si="5"/>
        <v>1323</v>
      </c>
      <c r="O11" s="2">
        <f t="shared" si="6"/>
        <v>147</v>
      </c>
      <c r="P11">
        <f>J11*O11*(1-supuestos!$C$9)</f>
        <v>22229318.796555214</v>
      </c>
      <c r="Q11" s="4">
        <f>P11/supuestos!$C$10</f>
        <v>6946662.1239235038</v>
      </c>
      <c r="R11">
        <f>C11*(1-supuestos!$C$5)</f>
        <v>10.5</v>
      </c>
      <c r="S11" s="2">
        <f>E11/100000*R11</f>
        <v>1102.5</v>
      </c>
      <c r="T11" s="2">
        <f>F11-S11</f>
        <v>367.5</v>
      </c>
      <c r="U11">
        <f>J11*T11*(1-supuestos!$C$9)</f>
        <v>55573296.99138803</v>
      </c>
      <c r="V11" s="4">
        <f>U11/supuestos!$C$10</f>
        <v>17366655.309808757</v>
      </c>
    </row>
    <row r="12" spans="1:45" x14ac:dyDescent="0.25">
      <c r="B12">
        <v>2021</v>
      </c>
      <c r="C12">
        <v>14</v>
      </c>
      <c r="D12">
        <f>C12*(1-supuestos!$C$3)</f>
        <v>10.92</v>
      </c>
      <c r="E12">
        <f>E11*(1+supuestos!$C$7)</f>
        <v>10605000</v>
      </c>
      <c r="F12" s="2">
        <f t="shared" si="10"/>
        <v>1484.7</v>
      </c>
      <c r="G12" s="2">
        <f t="shared" si="11"/>
        <v>1158.066</v>
      </c>
      <c r="H12">
        <f t="shared" si="12"/>
        <v>326.63400000000001</v>
      </c>
      <c r="I12" s="2">
        <f>I11*(1+supuestos!$C$8)</f>
        <v>1428</v>
      </c>
      <c r="J12">
        <f>NPV(supuestos!$C$2,Homicidios!I12:I52)*12</f>
        <v>167656.79660223541</v>
      </c>
      <c r="K12">
        <f>H12*J12*(1-supuestos!$C$9)</f>
        <v>50381417.293264605</v>
      </c>
      <c r="L12" s="4">
        <f>K12/supuestos!$C$10</f>
        <v>15744192.904145189</v>
      </c>
      <c r="M12">
        <f>C12*(1-supuestos!$C$4)</f>
        <v>12.6</v>
      </c>
      <c r="N12" s="2">
        <f t="shared" si="5"/>
        <v>1336.23</v>
      </c>
      <c r="O12" s="2">
        <f t="shared" si="6"/>
        <v>148.47000000000003</v>
      </c>
      <c r="P12">
        <f>J12*O12*(1-supuestos!$C$9)</f>
        <v>22900644.224211186</v>
      </c>
      <c r="Q12" s="4">
        <f>P12/supuestos!$C$10</f>
        <v>7156451.3200659957</v>
      </c>
      <c r="R12">
        <f>C12*(1-supuestos!$C$5)</f>
        <v>10.5</v>
      </c>
      <c r="S12" s="2">
        <f t="shared" ref="S12:S71" si="13">E12/100000*R12</f>
        <v>1113.5249999999999</v>
      </c>
      <c r="T12" s="2">
        <f t="shared" ref="T12:T71" si="14">F12-S12</f>
        <v>371.17500000000018</v>
      </c>
      <c r="U12">
        <f>J12*T12*(1-supuestos!$C$9)</f>
        <v>57251610.56052798</v>
      </c>
      <c r="V12" s="4">
        <f>U12/supuestos!$C$10</f>
        <v>17891128.300164994</v>
      </c>
    </row>
    <row r="13" spans="1:45" x14ac:dyDescent="0.25">
      <c r="B13">
        <v>2022</v>
      </c>
      <c r="C13">
        <v>14</v>
      </c>
      <c r="D13">
        <f>C13*(1-supuestos!$C$3)</f>
        <v>10.92</v>
      </c>
      <c r="E13" s="2">
        <f>E12*(1+supuestos!$C$7)</f>
        <v>10711050</v>
      </c>
      <c r="F13" s="2">
        <f t="shared" si="10"/>
        <v>1499.547</v>
      </c>
      <c r="G13" s="2">
        <f t="shared" si="11"/>
        <v>1169.6466600000001</v>
      </c>
      <c r="H13">
        <f t="shared" si="12"/>
        <v>329.90033999999991</v>
      </c>
      <c r="I13" s="2">
        <f>I12*(1+supuestos!$C$8)</f>
        <v>1456.56</v>
      </c>
      <c r="J13">
        <f>NPV(supuestos!$C$2,Homicidios!I13:I53)*12</f>
        <v>171009.93253428015</v>
      </c>
      <c r="K13">
        <f>H13*J13*(1-supuestos!$C$9)</f>
        <v>51902936.095521182</v>
      </c>
      <c r="L13" s="4">
        <f>K13/supuestos!$C$10</f>
        <v>16219667.529850369</v>
      </c>
      <c r="M13">
        <f>C13*(1-supuestos!$C$4)</f>
        <v>12.6</v>
      </c>
      <c r="N13" s="2">
        <f t="shared" si="5"/>
        <v>1349.5923</v>
      </c>
      <c r="O13" s="2">
        <f t="shared" si="6"/>
        <v>149.9547</v>
      </c>
      <c r="P13">
        <f>J13*O13*(1-supuestos!$C$9)</f>
        <v>23592243.679782361</v>
      </c>
      <c r="Q13" s="4">
        <f>P13/supuestos!$C$10</f>
        <v>7372576.1499319877</v>
      </c>
      <c r="R13">
        <f>C13*(1-supuestos!$C$5)</f>
        <v>10.5</v>
      </c>
      <c r="S13" s="2">
        <f t="shared" si="13"/>
        <v>1124.6602499999999</v>
      </c>
      <c r="T13" s="2">
        <f t="shared" si="14"/>
        <v>374.88675000000012</v>
      </c>
      <c r="U13">
        <f>J13*T13*(1-supuestos!$C$9)</f>
        <v>58980609.199455924</v>
      </c>
      <c r="V13" s="4">
        <f>U13/supuestos!$C$10</f>
        <v>18431440.374829974</v>
      </c>
    </row>
    <row r="14" spans="1:45" x14ac:dyDescent="0.25">
      <c r="B14">
        <v>2023</v>
      </c>
      <c r="C14">
        <v>14</v>
      </c>
      <c r="D14">
        <f>C14*(1-supuestos!$C$3)</f>
        <v>10.92</v>
      </c>
      <c r="E14" s="2">
        <f>E13*(1+supuestos!$C$7)</f>
        <v>10818160.5</v>
      </c>
      <c r="F14" s="2">
        <f t="shared" si="10"/>
        <v>1514.5424700000001</v>
      </c>
      <c r="G14" s="2">
        <f t="shared" si="11"/>
        <v>1181.3431266</v>
      </c>
      <c r="H14">
        <f t="shared" si="12"/>
        <v>333.19934340000009</v>
      </c>
      <c r="I14" s="2">
        <f>I13*(1+supuestos!$C$8)</f>
        <v>1485.6912</v>
      </c>
      <c r="J14">
        <f>NPV(supuestos!$C$2,Homicidios!I14:I54)*12</f>
        <v>174430.13118496575</v>
      </c>
      <c r="K14">
        <f>H14*J14*(1-supuestos!$C$9)</f>
        <v>53470404.765605949</v>
      </c>
      <c r="L14" s="4">
        <f>K14/supuestos!$C$10</f>
        <v>16709501.489251858</v>
      </c>
      <c r="M14">
        <f>C14*(1-supuestos!$C$4)</f>
        <v>12.6</v>
      </c>
      <c r="N14" s="2">
        <f t="shared" si="5"/>
        <v>1363.088223</v>
      </c>
      <c r="O14" s="2">
        <f t="shared" si="6"/>
        <v>151.45424700000012</v>
      </c>
      <c r="P14">
        <f>J14*O14*(1-supuestos!$C$9)</f>
        <v>24304729.438911811</v>
      </c>
      <c r="Q14" s="4">
        <f>P14/supuestos!$C$10</f>
        <v>7595227.9496599408</v>
      </c>
      <c r="R14">
        <f>C14*(1-supuestos!$C$5)</f>
        <v>10.5</v>
      </c>
      <c r="S14" s="2">
        <f t="shared" si="13"/>
        <v>1135.9068525</v>
      </c>
      <c r="T14" s="2">
        <f t="shared" si="14"/>
        <v>378.63561750000008</v>
      </c>
      <c r="U14">
        <f>J14*T14*(1-supuestos!$C$9)</f>
        <v>60761823.597279489</v>
      </c>
      <c r="V14" s="4">
        <f>U14/supuestos!$C$10</f>
        <v>18988069.87414984</v>
      </c>
    </row>
    <row r="15" spans="1:45" x14ac:dyDescent="0.25">
      <c r="B15">
        <v>2024</v>
      </c>
      <c r="C15">
        <v>14</v>
      </c>
      <c r="D15">
        <f>C15*(1-supuestos!$C$3)</f>
        <v>10.92</v>
      </c>
      <c r="E15" s="2">
        <f>E14*(1+supuestos!$C$7)</f>
        <v>10926342.105</v>
      </c>
      <c r="F15" s="2">
        <f t="shared" si="10"/>
        <v>1529.6878947</v>
      </c>
      <c r="G15" s="2">
        <f t="shared" si="11"/>
        <v>1193.156557866</v>
      </c>
      <c r="H15">
        <f t="shared" si="12"/>
        <v>336.53133683400006</v>
      </c>
      <c r="I15" s="2">
        <f>I14*(1+supuestos!$C$8)</f>
        <v>1515.4050239999999</v>
      </c>
      <c r="J15">
        <f>NPV(supuestos!$C$2,Homicidios!I15:I55)*12</f>
        <v>177918.73380866507</v>
      </c>
      <c r="K15">
        <f>H15*J15*(1-supuestos!$C$9)</f>
        <v>55085210.989527248</v>
      </c>
      <c r="L15" s="4">
        <f>K15/supuestos!$C$10</f>
        <v>17214128.434227265</v>
      </c>
      <c r="M15">
        <f>C15*(1-supuestos!$C$4)</f>
        <v>12.6</v>
      </c>
      <c r="N15" s="2">
        <f t="shared" si="5"/>
        <v>1376.71910523</v>
      </c>
      <c r="O15" s="2">
        <f t="shared" si="6"/>
        <v>152.96878947000005</v>
      </c>
      <c r="P15">
        <f>J15*O15*(1-supuestos!$C$9)</f>
        <v>25038732.267966934</v>
      </c>
      <c r="Q15" s="4">
        <f>P15/supuestos!$C$10</f>
        <v>7824603.8337396663</v>
      </c>
      <c r="R15">
        <f>C15*(1-supuestos!$C$5)</f>
        <v>10.5</v>
      </c>
      <c r="S15" s="2">
        <f t="shared" si="13"/>
        <v>1147.2659210250001</v>
      </c>
      <c r="T15" s="2">
        <f t="shared" si="14"/>
        <v>382.42197367499989</v>
      </c>
      <c r="U15">
        <f>J15*T15*(1-supuestos!$C$9)</f>
        <v>62596830.669917308</v>
      </c>
      <c r="V15" s="4">
        <f>U15/supuestos!$C$10</f>
        <v>19561509.584349159</v>
      </c>
    </row>
    <row r="16" spans="1:45" x14ac:dyDescent="0.25">
      <c r="B16">
        <v>2025</v>
      </c>
      <c r="C16">
        <v>14</v>
      </c>
      <c r="D16">
        <f>C16*(1-supuestos!$C$3)</f>
        <v>10.92</v>
      </c>
      <c r="E16" s="2">
        <f>E15*(1+supuestos!$C$7)</f>
        <v>11035605.526050001</v>
      </c>
      <c r="F16" s="2">
        <f t="shared" si="10"/>
        <v>1544.9847736470001</v>
      </c>
      <c r="G16" s="2">
        <f t="shared" si="11"/>
        <v>1205.0881234446601</v>
      </c>
      <c r="H16">
        <f t="shared" si="12"/>
        <v>339.89665020233997</v>
      </c>
      <c r="I16" s="2">
        <f>I15*(1+supuestos!$C$8)</f>
        <v>1545.71312448</v>
      </c>
      <c r="J16">
        <f>NPV(supuestos!$C$2,Homicidios!I16:I56)*12</f>
        <v>181477.10848483833</v>
      </c>
      <c r="K16">
        <f>H16*J16*(1-supuestos!$C$9)</f>
        <v>56748784.361410946</v>
      </c>
      <c r="L16" s="4">
        <f>K16/supuestos!$C$10</f>
        <v>17733995.112940919</v>
      </c>
      <c r="M16">
        <f>C16*(1-supuestos!$C$4)</f>
        <v>12.6</v>
      </c>
      <c r="N16" s="2">
        <f t="shared" si="5"/>
        <v>1390.4862962823001</v>
      </c>
      <c r="O16" s="2">
        <f t="shared" si="6"/>
        <v>154.49847736469997</v>
      </c>
      <c r="P16">
        <f>J16*O16*(1-supuestos!$C$9)</f>
        <v>25794901.982459519</v>
      </c>
      <c r="Q16" s="4">
        <f>P16/supuestos!$C$10</f>
        <v>8060906.8695185995</v>
      </c>
      <c r="R16">
        <f>C16*(1-supuestos!$C$5)</f>
        <v>10.5</v>
      </c>
      <c r="S16" s="2">
        <f t="shared" si="13"/>
        <v>1158.7385802352501</v>
      </c>
      <c r="T16" s="2">
        <f t="shared" si="14"/>
        <v>386.24619341175003</v>
      </c>
      <c r="U16">
        <f>J16*T16*(1-supuestos!$C$9)</f>
        <v>64487254.956148818</v>
      </c>
      <c r="V16" s="4">
        <f>U16/supuestos!$C$10</f>
        <v>20152267.173796505</v>
      </c>
    </row>
    <row r="17" spans="2:22" x14ac:dyDescent="0.25">
      <c r="B17">
        <v>2026</v>
      </c>
      <c r="C17">
        <v>14</v>
      </c>
      <c r="D17">
        <f>C17*(1-supuestos!$C$3)</f>
        <v>10.92</v>
      </c>
      <c r="E17" s="2">
        <f>E16*(1+supuestos!$C$7)</f>
        <v>11145961.581310501</v>
      </c>
      <c r="F17" s="2">
        <f t="shared" si="10"/>
        <v>1560.4346213834701</v>
      </c>
      <c r="G17" s="2">
        <f t="shared" si="11"/>
        <v>1217.1390046791068</v>
      </c>
      <c r="H17">
        <f t="shared" si="12"/>
        <v>343.29561670436328</v>
      </c>
      <c r="I17" s="2">
        <f>I16*(1+supuestos!$C$8)</f>
        <v>1576.6273869696001</v>
      </c>
      <c r="J17">
        <f>NPV(supuestos!$C$2,Homicidios!I17:I57)*12</f>
        <v>185106.6506545351</v>
      </c>
      <c r="K17">
        <f>H17*J17*(1-supuestos!$C$9)</f>
        <v>58462597.649125539</v>
      </c>
      <c r="L17" s="4">
        <f>K17/supuestos!$C$10</f>
        <v>18269561.765351731</v>
      </c>
      <c r="M17">
        <f>C17*(1-supuestos!$C$4)</f>
        <v>12.6</v>
      </c>
      <c r="N17" s="2">
        <f t="shared" si="5"/>
        <v>1404.3911592451232</v>
      </c>
      <c r="O17" s="2">
        <f t="shared" si="6"/>
        <v>156.04346213834697</v>
      </c>
      <c r="P17">
        <f>J17*O17*(1-supuestos!$C$9)</f>
        <v>26573908.022329796</v>
      </c>
      <c r="Q17" s="4">
        <f>P17/supuestos!$C$10</f>
        <v>8304346.2569780611</v>
      </c>
      <c r="R17">
        <f>C17*(1-supuestos!$C$5)</f>
        <v>10.5</v>
      </c>
      <c r="S17" s="2">
        <f t="shared" si="13"/>
        <v>1170.3259660376027</v>
      </c>
      <c r="T17" s="2">
        <f t="shared" si="14"/>
        <v>390.10865534586742</v>
      </c>
      <c r="U17">
        <f>J17*T17*(1-supuestos!$C$9)</f>
        <v>66434770.055824488</v>
      </c>
      <c r="V17" s="4">
        <f>U17/supuestos!$C$10</f>
        <v>20760865.642445151</v>
      </c>
    </row>
    <row r="18" spans="2:22" x14ac:dyDescent="0.25">
      <c r="B18">
        <v>2027</v>
      </c>
      <c r="C18">
        <v>14</v>
      </c>
      <c r="D18">
        <f>C18*(1-supuestos!$C$3)</f>
        <v>10.92</v>
      </c>
      <c r="E18" s="2">
        <f>E17*(1+supuestos!$C$7)</f>
        <v>11257421.197123606</v>
      </c>
      <c r="F18" s="2">
        <f t="shared" si="10"/>
        <v>1576.0389675973047</v>
      </c>
      <c r="G18" s="2">
        <f t="shared" si="11"/>
        <v>1229.3103947258976</v>
      </c>
      <c r="H18">
        <f t="shared" si="12"/>
        <v>346.7285728714071</v>
      </c>
      <c r="I18" s="2">
        <f>I17*(1+supuestos!$C$8)</f>
        <v>1608.1599347089921</v>
      </c>
      <c r="J18">
        <f>NPV(supuestos!$C$2,Homicidios!I18:I58)*12</f>
        <v>188808.78366762595</v>
      </c>
      <c r="K18">
        <f>H18*J18*(1-supuestos!$C$9)</f>
        <v>60228168.098129213</v>
      </c>
      <c r="L18" s="4">
        <f>K18/supuestos!$C$10</f>
        <v>18821302.530665379</v>
      </c>
      <c r="M18">
        <f>C18*(1-supuestos!$C$4)</f>
        <v>12.6</v>
      </c>
      <c r="N18" s="2">
        <f t="shared" si="5"/>
        <v>1418.4350708375741</v>
      </c>
      <c r="O18" s="2">
        <f t="shared" si="6"/>
        <v>157.60389675973056</v>
      </c>
      <c r="P18">
        <f>J18*O18*(1-supuestos!$C$9)</f>
        <v>27376440.044604197</v>
      </c>
      <c r="Q18" s="4">
        <f>P18/supuestos!$C$10</f>
        <v>8555137.5139388107</v>
      </c>
      <c r="R18">
        <f>C18*(1-supuestos!$C$5)</f>
        <v>10.5</v>
      </c>
      <c r="S18" s="2">
        <f t="shared" si="13"/>
        <v>1182.0292256979785</v>
      </c>
      <c r="T18" s="2">
        <f t="shared" si="14"/>
        <v>394.00974189932617</v>
      </c>
      <c r="U18">
        <f>J18*T18*(1-supuestos!$C$9)</f>
        <v>68441100.111510456</v>
      </c>
      <c r="V18" s="4">
        <f>U18/supuestos!$C$10</f>
        <v>21387843.784847017</v>
      </c>
    </row>
    <row r="19" spans="2:22" x14ac:dyDescent="0.25">
      <c r="B19">
        <v>2028</v>
      </c>
      <c r="C19">
        <v>14</v>
      </c>
      <c r="D19">
        <f>C19*(1-supuestos!$C$3)</f>
        <v>10.92</v>
      </c>
      <c r="E19" s="2">
        <f>E18*(1+supuestos!$C$7)</f>
        <v>11369995.409094842</v>
      </c>
      <c r="F19" s="2">
        <f t="shared" si="10"/>
        <v>1591.799357273278</v>
      </c>
      <c r="G19" s="2">
        <f t="shared" si="11"/>
        <v>1241.6034986731568</v>
      </c>
      <c r="H19">
        <f t="shared" si="12"/>
        <v>350.19585860012126</v>
      </c>
      <c r="I19" s="2">
        <f>I18*(1+supuestos!$C$8)</f>
        <v>1640.3231334031721</v>
      </c>
      <c r="J19">
        <f>NPV(supuestos!$C$2,Homicidios!I19:I59)*12</f>
        <v>192584.9593409783</v>
      </c>
      <c r="K19">
        <f>H19*J19*(1-supuestos!$C$9)</f>
        <v>62047058.77469267</v>
      </c>
      <c r="L19" s="4">
        <f>K19/supuestos!$C$10</f>
        <v>19389705.867091458</v>
      </c>
      <c r="M19">
        <f>C19*(1-supuestos!$C$4)</f>
        <v>12.6</v>
      </c>
      <c r="N19" s="2">
        <f t="shared" si="5"/>
        <v>1432.61942154595</v>
      </c>
      <c r="O19" s="2">
        <f t="shared" si="6"/>
        <v>159.17993572732803</v>
      </c>
      <c r="P19">
        <f>J19*O19*(1-supuestos!$C$9)</f>
        <v>28203208.533951249</v>
      </c>
      <c r="Q19" s="4">
        <f>P19/supuestos!$C$10</f>
        <v>8813502.6668597646</v>
      </c>
      <c r="R19">
        <f>C19*(1-supuestos!$C$5)</f>
        <v>10.5</v>
      </c>
      <c r="S19" s="2">
        <f t="shared" si="13"/>
        <v>1193.8495179549584</v>
      </c>
      <c r="T19" s="2">
        <f t="shared" si="14"/>
        <v>397.94983931831962</v>
      </c>
      <c r="U19">
        <f>J19*T19*(1-supuestos!$C$9)</f>
        <v>70508021.334878027</v>
      </c>
      <c r="V19" s="4">
        <f>U19/supuestos!$C$10</f>
        <v>22033756.667149384</v>
      </c>
    </row>
    <row r="20" spans="2:22" x14ac:dyDescent="0.25">
      <c r="B20">
        <v>2029</v>
      </c>
      <c r="C20">
        <v>14</v>
      </c>
      <c r="D20">
        <f>C20*(1-supuestos!$C$3)</f>
        <v>10.92</v>
      </c>
      <c r="E20" s="2">
        <f>E19*(1+supuestos!$C$7)</f>
        <v>11483695.363185791</v>
      </c>
      <c r="F20" s="2">
        <f t="shared" si="10"/>
        <v>1607.7173508460107</v>
      </c>
      <c r="G20" s="2">
        <f t="shared" si="11"/>
        <v>1254.0195336598883</v>
      </c>
      <c r="H20">
        <f t="shared" si="12"/>
        <v>353.69781718612239</v>
      </c>
      <c r="I20" s="2">
        <f>I19*(1+supuestos!$C$8)</f>
        <v>1673.1295960712355</v>
      </c>
      <c r="J20">
        <f>NPV(supuestos!$C$2,Homicidios!I20:I60)*12</f>
        <v>196436.65852779796</v>
      </c>
      <c r="K20">
        <f>H20*J20*(1-supuestos!$C$9)</f>
        <v>63920879.949688405</v>
      </c>
      <c r="L20" s="4">
        <f>K20/supuestos!$C$10</f>
        <v>19975274.984277625</v>
      </c>
      <c r="M20">
        <f>C20*(1-supuestos!$C$4)</f>
        <v>12.6</v>
      </c>
      <c r="N20" s="2">
        <f t="shared" si="5"/>
        <v>1446.9456157614097</v>
      </c>
      <c r="O20" s="2">
        <f t="shared" si="6"/>
        <v>160.771735084601</v>
      </c>
      <c r="P20">
        <f>J20*O20*(1-supuestos!$C$9)</f>
        <v>29054945.431676533</v>
      </c>
      <c r="Q20" s="4">
        <f>P20/supuestos!$C$10</f>
        <v>9079670.4473989159</v>
      </c>
      <c r="R20">
        <f>C20*(1-supuestos!$C$5)</f>
        <v>10.5</v>
      </c>
      <c r="S20" s="2">
        <f t="shared" si="13"/>
        <v>1205.788013134508</v>
      </c>
      <c r="T20" s="2">
        <f t="shared" si="14"/>
        <v>401.92933771150274</v>
      </c>
      <c r="U20">
        <f>J20*T20*(1-supuestos!$C$9)</f>
        <v>72637363.579191372</v>
      </c>
      <c r="V20" s="4">
        <f>U20/supuestos!$C$10</f>
        <v>22699176.118497301</v>
      </c>
    </row>
    <row r="21" spans="2:22" x14ac:dyDescent="0.25">
      <c r="B21">
        <v>2030</v>
      </c>
      <c r="C21">
        <v>14</v>
      </c>
      <c r="D21">
        <f>C21*(1-supuestos!$C$3)</f>
        <v>10.92</v>
      </c>
      <c r="E21" s="2">
        <f>E20*(1+supuestos!$C$7)</f>
        <v>11598532.316817649</v>
      </c>
      <c r="F21" s="2">
        <f t="shared" si="10"/>
        <v>1623.7945243544709</v>
      </c>
      <c r="G21" s="2">
        <f t="shared" si="11"/>
        <v>1266.5597289964874</v>
      </c>
      <c r="H21">
        <f t="shared" si="12"/>
        <v>357.23479535798356</v>
      </c>
      <c r="I21" s="2">
        <f>I20*(1+supuestos!$C$8)</f>
        <v>1706.5921879926602</v>
      </c>
      <c r="J21">
        <f>NPV(supuestos!$C$2,Homicidios!I21:I61)*12</f>
        <v>200365.39169835387</v>
      </c>
      <c r="K21">
        <f>H21*J21*(1-supuestos!$C$9)</f>
        <v>65851290.524168968</v>
      </c>
      <c r="L21" s="4">
        <f>K21/supuestos!$C$10</f>
        <v>20578528.288802803</v>
      </c>
      <c r="M21">
        <f>C21*(1-supuestos!$C$4)</f>
        <v>12.6</v>
      </c>
      <c r="N21" s="2">
        <f t="shared" si="5"/>
        <v>1461.4150719190238</v>
      </c>
      <c r="O21" s="2">
        <f t="shared" si="6"/>
        <v>162.37945243544709</v>
      </c>
      <c r="P21">
        <f>J21*O21*(1-supuestos!$C$9)</f>
        <v>29932404.783713173</v>
      </c>
      <c r="Q21" s="4">
        <f>P21/supuestos!$C$10</f>
        <v>9353876.4949103668</v>
      </c>
      <c r="R21">
        <f>C21*(1-supuestos!$C$5)</f>
        <v>10.5</v>
      </c>
      <c r="S21" s="2">
        <f t="shared" si="13"/>
        <v>1217.8458932658532</v>
      </c>
      <c r="T21" s="2">
        <f t="shared" si="14"/>
        <v>405.94863108861773</v>
      </c>
      <c r="U21">
        <f>J21*T21*(1-supuestos!$C$9)</f>
        <v>74831011.959282935</v>
      </c>
      <c r="V21" s="4">
        <f>U21/supuestos!$C$10</f>
        <v>23384691.237275917</v>
      </c>
    </row>
    <row r="22" spans="2:22" x14ac:dyDescent="0.25">
      <c r="B22">
        <v>2031</v>
      </c>
      <c r="C22">
        <v>14</v>
      </c>
      <c r="D22">
        <f>C22*(1-supuestos!$C$3)</f>
        <v>10.92</v>
      </c>
      <c r="E22" s="2">
        <f>E21*(1+supuestos!$C$7)</f>
        <v>11714517.639985826</v>
      </c>
      <c r="F22" s="2">
        <f t="shared" si="10"/>
        <v>1640.0324695980157</v>
      </c>
      <c r="G22" s="2">
        <f t="shared" si="11"/>
        <v>1279.2253262864522</v>
      </c>
      <c r="H22">
        <f t="shared" si="12"/>
        <v>360.80714331156355</v>
      </c>
      <c r="I22" s="2">
        <f>I21*(1+supuestos!$C$8)</f>
        <v>1740.7240317525134</v>
      </c>
      <c r="J22">
        <f>NPV(supuestos!$C$2,Homicidios!I22:I62)*12</f>
        <v>204372.69953232101</v>
      </c>
      <c r="K22">
        <f>H22*J22*(1-supuestos!$C$9)</f>
        <v>67839999.497998923</v>
      </c>
      <c r="L22" s="4">
        <f>K22/supuestos!$C$10</f>
        <v>21199999.843124662</v>
      </c>
      <c r="M22">
        <f>C22*(1-supuestos!$C$4)</f>
        <v>12.6</v>
      </c>
      <c r="N22" s="2">
        <f t="shared" si="5"/>
        <v>1476.0292226382139</v>
      </c>
      <c r="O22" s="2">
        <f t="shared" si="6"/>
        <v>164.0032469598018</v>
      </c>
      <c r="P22">
        <f>J22*O22*(1-supuestos!$C$9)</f>
        <v>30836363.408181366</v>
      </c>
      <c r="Q22" s="4">
        <f>P22/supuestos!$C$10</f>
        <v>9636363.565056676</v>
      </c>
      <c r="R22">
        <f>C22*(1-supuestos!$C$5)</f>
        <v>10.5</v>
      </c>
      <c r="S22" s="2">
        <f t="shared" si="13"/>
        <v>1230.0243521985117</v>
      </c>
      <c r="T22" s="2">
        <f t="shared" si="14"/>
        <v>410.00811739950404</v>
      </c>
      <c r="U22">
        <f>J22*T22*(1-supuestos!$C$9)</f>
        <v>77090908.520453334</v>
      </c>
      <c r="V22" s="4">
        <f>U22/supuestos!$C$10</f>
        <v>24090908.912641667</v>
      </c>
    </row>
    <row r="23" spans="2:22" x14ac:dyDescent="0.25">
      <c r="B23">
        <v>2032</v>
      </c>
      <c r="C23">
        <v>14</v>
      </c>
      <c r="D23">
        <f>C23*(1-supuestos!$C$3)</f>
        <v>10.92</v>
      </c>
      <c r="E23" s="2">
        <f>E22*(1+supuestos!$C$7)</f>
        <v>11831662.816385685</v>
      </c>
      <c r="F23" s="2">
        <f t="shared" si="10"/>
        <v>1656.4327942939958</v>
      </c>
      <c r="G23" s="2">
        <f t="shared" si="11"/>
        <v>1292.0175795493167</v>
      </c>
      <c r="H23">
        <f t="shared" si="12"/>
        <v>364.41521474467913</v>
      </c>
      <c r="I23" s="2">
        <f>I22*(1+supuestos!$C$8)</f>
        <v>1775.5385123875637</v>
      </c>
      <c r="J23">
        <f>NPV(supuestos!$C$2,Homicidios!I23:I63)*12</f>
        <v>208460.15352296742</v>
      </c>
      <c r="K23">
        <f>H23*J23*(1-supuestos!$C$9)</f>
        <v>69888767.482838482</v>
      </c>
      <c r="L23" s="4">
        <f>K23/supuestos!$C$10</f>
        <v>21840239.838387024</v>
      </c>
      <c r="M23">
        <f>C23*(1-supuestos!$C$4)</f>
        <v>12.6</v>
      </c>
      <c r="N23" s="2">
        <f t="shared" si="5"/>
        <v>1490.7895148645962</v>
      </c>
      <c r="O23" s="2">
        <f t="shared" si="6"/>
        <v>165.64327942939963</v>
      </c>
      <c r="P23">
        <f>J23*O23*(1-supuestos!$C$9)</f>
        <v>31767621.583108407</v>
      </c>
      <c r="Q23" s="4">
        <f>P23/supuestos!$C$10</f>
        <v>9927381.7447213773</v>
      </c>
      <c r="R23">
        <f>C23*(1-supuestos!$C$5)</f>
        <v>10.5</v>
      </c>
      <c r="S23" s="2">
        <f t="shared" si="13"/>
        <v>1242.324595720497</v>
      </c>
      <c r="T23" s="2">
        <f t="shared" si="14"/>
        <v>414.10819857349884</v>
      </c>
      <c r="U23">
        <f>J23*T23*(1-supuestos!$C$9)</f>
        <v>79419053.957770973</v>
      </c>
      <c r="V23" s="4">
        <f>U23/supuestos!$C$10</f>
        <v>24818454.361803427</v>
      </c>
    </row>
    <row r="24" spans="2:22" x14ac:dyDescent="0.25">
      <c r="B24">
        <v>2033</v>
      </c>
      <c r="C24">
        <v>14</v>
      </c>
      <c r="D24">
        <f>C24*(1-supuestos!$C$3)</f>
        <v>10.92</v>
      </c>
      <c r="E24" s="2">
        <f>E23*(1+supuestos!$C$7)</f>
        <v>11949979.444549542</v>
      </c>
      <c r="F24" s="2">
        <f t="shared" si="10"/>
        <v>1672.9971222369359</v>
      </c>
      <c r="G24" s="2">
        <f t="shared" si="11"/>
        <v>1304.9377553448101</v>
      </c>
      <c r="H24">
        <f t="shared" si="12"/>
        <v>368.05936689212581</v>
      </c>
      <c r="I24" s="2">
        <f>I23*(1+supuestos!$C$8)</f>
        <v>1811.049282635315</v>
      </c>
      <c r="J24">
        <f>NPV(supuestos!$C$2,Homicidios!I24:I64)*12</f>
        <v>212629.35659342678</v>
      </c>
      <c r="K24">
        <f>H24*J24*(1-supuestos!$C$9)</f>
        <v>71999408.260820195</v>
      </c>
      <c r="L24" s="4">
        <f>K24/supuestos!$C$10</f>
        <v>22499815.081506308</v>
      </c>
      <c r="M24">
        <f>C24*(1-supuestos!$C$4)</f>
        <v>12.6</v>
      </c>
      <c r="N24" s="2">
        <f t="shared" si="5"/>
        <v>1505.6974100132422</v>
      </c>
      <c r="O24" s="2">
        <f t="shared" si="6"/>
        <v>167.29971222369363</v>
      </c>
      <c r="P24">
        <f>J24*O24*(1-supuestos!$C$9)</f>
        <v>32727003.754918277</v>
      </c>
      <c r="Q24" s="4">
        <f>P24/supuestos!$C$10</f>
        <v>10227188.673411962</v>
      </c>
      <c r="R24">
        <f>C24*(1-supuestos!$C$5)</f>
        <v>10.5</v>
      </c>
      <c r="S24" s="2">
        <f t="shared" si="13"/>
        <v>1254.7478416777019</v>
      </c>
      <c r="T24" s="2">
        <f t="shared" si="14"/>
        <v>418.24928055923397</v>
      </c>
      <c r="U24">
        <f>J24*T24*(1-supuestos!$C$9)</f>
        <v>81817509.387295693</v>
      </c>
      <c r="V24" s="4">
        <f>U24/supuestos!$C$10</f>
        <v>25567971.683529902</v>
      </c>
    </row>
    <row r="25" spans="2:22" x14ac:dyDescent="0.25">
      <c r="B25">
        <v>2034</v>
      </c>
      <c r="C25">
        <v>14</v>
      </c>
      <c r="D25">
        <f>C25*(1-supuestos!$C$3)</f>
        <v>10.92</v>
      </c>
      <c r="E25" s="2">
        <f>E24*(1+supuestos!$C$7)</f>
        <v>12069479.238995038</v>
      </c>
      <c r="F25" s="2">
        <f t="shared" si="10"/>
        <v>1689.7270934593053</v>
      </c>
      <c r="G25" s="2">
        <f t="shared" si="11"/>
        <v>1317.9871328982581</v>
      </c>
      <c r="H25">
        <f t="shared" si="12"/>
        <v>371.73996056104716</v>
      </c>
      <c r="I25" s="2">
        <f>I24*(1+supuestos!$C$8)</f>
        <v>1847.2702682880213</v>
      </c>
      <c r="J25">
        <f>NPV(supuestos!$C$2,Homicidios!I25:I65)*12</f>
        <v>216881.94372529519</v>
      </c>
      <c r="K25">
        <f>H25*J25*(1-supuestos!$C$9)</f>
        <v>74173790.390296921</v>
      </c>
      <c r="L25" s="4">
        <f>K25/supuestos!$C$10</f>
        <v>23179309.496967785</v>
      </c>
      <c r="M25">
        <f>C25*(1-supuestos!$C$4)</f>
        <v>12.6</v>
      </c>
      <c r="N25" s="2">
        <f t="shared" si="5"/>
        <v>1520.7543841133747</v>
      </c>
      <c r="O25" s="2">
        <f t="shared" si="6"/>
        <v>168.97270934593053</v>
      </c>
      <c r="P25">
        <f>J25*O25*(1-supuestos!$C$9)</f>
        <v>33715359.268316783</v>
      </c>
      <c r="Q25" s="4">
        <f>P25/supuestos!$C$10</f>
        <v>10536049.771348994</v>
      </c>
      <c r="R25">
        <f>C25*(1-supuestos!$C$5)</f>
        <v>10.5</v>
      </c>
      <c r="S25" s="2">
        <f t="shared" si="13"/>
        <v>1267.2953200944789</v>
      </c>
      <c r="T25" s="2">
        <f t="shared" si="14"/>
        <v>422.43177336482631</v>
      </c>
      <c r="U25">
        <f>J25*T25*(1-supuestos!$C$9)</f>
        <v>84288398.170791969</v>
      </c>
      <c r="V25" s="4">
        <f>U25/supuestos!$C$10</f>
        <v>26340124.428372487</v>
      </c>
    </row>
    <row r="26" spans="2:22" x14ac:dyDescent="0.25">
      <c r="B26">
        <v>2035</v>
      </c>
      <c r="C26">
        <v>14</v>
      </c>
      <c r="D26">
        <f>C26*(1-supuestos!$C$3)</f>
        <v>10.92</v>
      </c>
      <c r="E26" s="2">
        <f>E25*(1+supuestos!$C$7)</f>
        <v>12190174.031384988</v>
      </c>
      <c r="F26" s="2">
        <f t="shared" si="10"/>
        <v>1706.6243643938983</v>
      </c>
      <c r="G26" s="2">
        <f t="shared" si="11"/>
        <v>1331.1670042272406</v>
      </c>
      <c r="H26">
        <f t="shared" si="12"/>
        <v>375.45736016665774</v>
      </c>
      <c r="I26" s="2">
        <f>I25*(1+supuestos!$C$8)</f>
        <v>1884.2156736537818</v>
      </c>
      <c r="J26">
        <f>NPV(supuestos!$C$2,Homicidios!I26:I66)*12</f>
        <v>221219.58259980119</v>
      </c>
      <c r="K26">
        <f>H26*J26*(1-supuestos!$C$9)</f>
        <v>76413838.860083938</v>
      </c>
      <c r="L26" s="4">
        <f>K26/supuestos!$C$10</f>
        <v>23879324.643776231</v>
      </c>
      <c r="M26">
        <f>C26*(1-supuestos!$C$4)</f>
        <v>12.6</v>
      </c>
      <c r="N26" s="2">
        <f t="shared" si="5"/>
        <v>1535.9619279545084</v>
      </c>
      <c r="O26" s="2">
        <f t="shared" si="6"/>
        <v>170.66243643938992</v>
      </c>
      <c r="P26">
        <f>J26*O26*(1-supuestos!$C$9)</f>
        <v>34733563.118219987</v>
      </c>
      <c r="Q26" s="4">
        <f>P26/supuestos!$C$10</f>
        <v>10854238.474443745</v>
      </c>
      <c r="R26">
        <f>C26*(1-supuestos!$C$5)</f>
        <v>10.5</v>
      </c>
      <c r="S26" s="2">
        <f t="shared" si="13"/>
        <v>1279.9682732954236</v>
      </c>
      <c r="T26" s="2">
        <f t="shared" si="14"/>
        <v>426.65609109847469</v>
      </c>
      <c r="U26">
        <f>J26*T26*(1-supuestos!$C$9)</f>
        <v>86833907.795549944</v>
      </c>
      <c r="V26" s="4">
        <f>U26/supuestos!$C$10</f>
        <v>27135596.186109357</v>
      </c>
    </row>
    <row r="27" spans="2:22" x14ac:dyDescent="0.25">
      <c r="B27">
        <v>2036</v>
      </c>
      <c r="C27">
        <v>14</v>
      </c>
      <c r="D27">
        <f>C27*(1-supuestos!$C$3)</f>
        <v>10.92</v>
      </c>
      <c r="E27" s="2">
        <f>E26*(1+supuestos!$C$7)</f>
        <v>12312075.771698838</v>
      </c>
      <c r="F27" s="2">
        <f t="shared" si="10"/>
        <v>1723.6906080378374</v>
      </c>
      <c r="G27" s="2">
        <f t="shared" si="11"/>
        <v>1344.478674269513</v>
      </c>
      <c r="H27">
        <f t="shared" si="12"/>
        <v>379.21193376832434</v>
      </c>
      <c r="I27" s="2">
        <f>I26*(1+supuestos!$C$8)</f>
        <v>1921.8999871268575</v>
      </c>
      <c r="J27">
        <f>NPV(supuestos!$C$2,Homicidios!I27:I67)*12</f>
        <v>225643.97425179719</v>
      </c>
      <c r="K27">
        <f>H27*J27*(1-supuestos!$C$9)</f>
        <v>78721536.79365848</v>
      </c>
      <c r="L27" s="4">
        <f>K27/supuestos!$C$10</f>
        <v>24600480.248018272</v>
      </c>
      <c r="M27">
        <f>C27*(1-supuestos!$C$4)</f>
        <v>12.6</v>
      </c>
      <c r="N27" s="2">
        <f t="shared" si="5"/>
        <v>1551.3215472340535</v>
      </c>
      <c r="O27" s="2">
        <f t="shared" si="6"/>
        <v>172.3690608037839</v>
      </c>
      <c r="P27">
        <f>J27*O27*(1-supuestos!$C$9)</f>
        <v>35782516.724390239</v>
      </c>
      <c r="Q27" s="4">
        <f>P27/supuestos!$C$10</f>
        <v>11182036.47637195</v>
      </c>
      <c r="R27">
        <f>C27*(1-supuestos!$C$5)</f>
        <v>10.5</v>
      </c>
      <c r="S27" s="2">
        <f t="shared" si="13"/>
        <v>1292.767956028378</v>
      </c>
      <c r="T27" s="2">
        <f t="shared" si="14"/>
        <v>430.9226520094594</v>
      </c>
      <c r="U27">
        <f>J27*T27*(1-supuestos!$C$9)</f>
        <v>89456291.810975537</v>
      </c>
      <c r="V27" s="4">
        <f>U27/supuestos!$C$10</f>
        <v>27955091.190929852</v>
      </c>
    </row>
    <row r="28" spans="2:22" x14ac:dyDescent="0.25">
      <c r="B28">
        <v>2037</v>
      </c>
      <c r="C28">
        <v>14</v>
      </c>
      <c r="D28">
        <f>C28*(1-supuestos!$C$3)</f>
        <v>10.92</v>
      </c>
      <c r="E28" s="2">
        <f>E27*(1+supuestos!$C$7)</f>
        <v>12435196.529415827</v>
      </c>
      <c r="F28" s="2">
        <f t="shared" ref="F28:F31" si="15">E28/100000*C28</f>
        <v>1740.9275141182159</v>
      </c>
      <c r="G28" s="2">
        <f t="shared" ref="G28:G31" si="16">E28/100000*D28</f>
        <v>1357.9234610122085</v>
      </c>
      <c r="H28">
        <f t="shared" ref="H28:H31" si="17">F28-G28</f>
        <v>383.0040531060074</v>
      </c>
      <c r="I28" s="2">
        <f>I27*(1+supuestos!$C$8)</f>
        <v>1960.3379868693946</v>
      </c>
      <c r="J28">
        <f>NPV(supuestos!$C$2,Homicidios!I28:I68)*12</f>
        <v>230156.85373683326</v>
      </c>
      <c r="K28">
        <f>H28*J28*(1-supuestos!$C$9)</f>
        <v>81098927.204826981</v>
      </c>
      <c r="L28" s="4">
        <f>K28/supuestos!$C$10</f>
        <v>25343414.75150843</v>
      </c>
      <c r="M28">
        <f>C28*(1-supuestos!$C$4)</f>
        <v>12.6</v>
      </c>
      <c r="N28" s="2">
        <f t="shared" si="5"/>
        <v>1566.8347627063943</v>
      </c>
      <c r="O28" s="2">
        <f t="shared" si="6"/>
        <v>174.09275141182161</v>
      </c>
      <c r="P28">
        <f>J28*O28*(1-supuestos!$C$9)</f>
        <v>36863148.729466818</v>
      </c>
      <c r="Q28" s="4">
        <f>P28/supuestos!$C$10</f>
        <v>11519733.977958379</v>
      </c>
      <c r="R28">
        <f>C28*(1-supuestos!$C$5)</f>
        <v>10.5</v>
      </c>
      <c r="S28" s="2">
        <f t="shared" si="13"/>
        <v>1305.6956355886618</v>
      </c>
      <c r="T28" s="2">
        <f t="shared" si="14"/>
        <v>435.23187852955402</v>
      </c>
      <c r="U28">
        <f>J28*T28*(1-supuestos!$C$9)</f>
        <v>92157871.823667049</v>
      </c>
      <c r="V28" s="4">
        <f>U28/supuestos!$C$10</f>
        <v>28799334.944895953</v>
      </c>
    </row>
    <row r="29" spans="2:22" x14ac:dyDescent="0.25">
      <c r="B29">
        <v>2038</v>
      </c>
      <c r="C29">
        <v>14</v>
      </c>
      <c r="D29">
        <f>C29*(1-supuestos!$C$3)</f>
        <v>10.92</v>
      </c>
      <c r="E29" s="2">
        <f>E28*(1+supuestos!$C$7)</f>
        <v>12559548.494709985</v>
      </c>
      <c r="F29" s="2">
        <f t="shared" si="15"/>
        <v>1758.3367892593978</v>
      </c>
      <c r="G29" s="2">
        <f t="shared" si="16"/>
        <v>1371.5026956223303</v>
      </c>
      <c r="H29">
        <f t="shared" si="17"/>
        <v>386.83409363706755</v>
      </c>
      <c r="I29" s="2">
        <f>I28*(1+supuestos!$C$8)</f>
        <v>1999.5447466067826</v>
      </c>
      <c r="J29">
        <f>NPV(supuestos!$C$2,Homicidios!I29:I69)*12</f>
        <v>234759.99081156973</v>
      </c>
      <c r="K29">
        <f>H29*J29*(1-supuestos!$C$9)</f>
        <v>83548114.806412697</v>
      </c>
      <c r="L29" s="4">
        <f>K29/supuestos!$C$10</f>
        <v>26108785.877003968</v>
      </c>
      <c r="M29">
        <f>C29*(1-supuestos!$C$4)</f>
        <v>12.6</v>
      </c>
      <c r="N29" s="2">
        <f t="shared" si="5"/>
        <v>1582.5031103334582</v>
      </c>
      <c r="O29" s="2">
        <f t="shared" si="6"/>
        <v>175.83367892593969</v>
      </c>
      <c r="P29">
        <f>J29*O29*(1-supuestos!$C$9)</f>
        <v>37976415.821096659</v>
      </c>
      <c r="Q29" s="4">
        <f>P29/supuestos!$C$10</f>
        <v>11867629.944092706</v>
      </c>
      <c r="R29">
        <f>C29*(1-supuestos!$C$5)</f>
        <v>10.5</v>
      </c>
      <c r="S29" s="2">
        <f t="shared" si="13"/>
        <v>1318.7525919445484</v>
      </c>
      <c r="T29" s="2">
        <f t="shared" si="14"/>
        <v>439.58419731484946</v>
      </c>
      <c r="U29">
        <f>J29*T29*(1-supuestos!$C$9)</f>
        <v>94941039.552741691</v>
      </c>
      <c r="V29" s="4">
        <f>U29/supuestos!$C$10</f>
        <v>29669074.860231776</v>
      </c>
    </row>
    <row r="30" spans="2:22" x14ac:dyDescent="0.25">
      <c r="B30">
        <v>2039</v>
      </c>
      <c r="C30">
        <v>14</v>
      </c>
      <c r="D30">
        <f>C30*(1-supuestos!$C$3)</f>
        <v>10.92</v>
      </c>
      <c r="E30" s="2">
        <f>E29*(1+supuestos!$C$7)</f>
        <v>12685143.979657086</v>
      </c>
      <c r="F30" s="2">
        <f t="shared" si="15"/>
        <v>1775.920157151992</v>
      </c>
      <c r="G30" s="2">
        <f t="shared" si="16"/>
        <v>1385.2177225785538</v>
      </c>
      <c r="H30">
        <f t="shared" si="17"/>
        <v>390.70243457343827</v>
      </c>
      <c r="I30" s="2">
        <f>I29*(1+supuestos!$C$8)</f>
        <v>2039.5356415389183</v>
      </c>
      <c r="J30">
        <f>NPV(supuestos!$C$2,Homicidios!I30:I70)*12</f>
        <v>239455.19062780132</v>
      </c>
      <c r="K30">
        <f>H30*J30*(1-supuestos!$C$9)</f>
        <v>86071267.873566449</v>
      </c>
      <c r="L30" s="4">
        <f>K30/supuestos!$C$10</f>
        <v>26897271.210489515</v>
      </c>
      <c r="M30">
        <f>C30*(1-supuestos!$C$4)</f>
        <v>12.6</v>
      </c>
      <c r="N30" s="2">
        <f t="shared" si="5"/>
        <v>1598.3281414367927</v>
      </c>
      <c r="O30" s="2">
        <f t="shared" si="6"/>
        <v>177.5920157151993</v>
      </c>
      <c r="P30">
        <f>J30*O30*(1-supuestos!$C$9)</f>
        <v>39123303.578893855</v>
      </c>
      <c r="Q30" s="4">
        <f>P30/supuestos!$C$10</f>
        <v>12226032.368404329</v>
      </c>
      <c r="R30">
        <f>C30*(1-supuestos!$C$5)</f>
        <v>10.5</v>
      </c>
      <c r="S30" s="2">
        <f t="shared" si="13"/>
        <v>1331.9401178639939</v>
      </c>
      <c r="T30" s="2">
        <f t="shared" si="14"/>
        <v>443.98003928799812</v>
      </c>
      <c r="U30">
        <f>J30*T30*(1-supuestos!$C$9)</f>
        <v>97808258.947234616</v>
      </c>
      <c r="V30" s="4">
        <f>U30/supuestos!$C$10</f>
        <v>30565080.921010815</v>
      </c>
    </row>
    <row r="31" spans="2:22" x14ac:dyDescent="0.25">
      <c r="B31">
        <v>2040</v>
      </c>
      <c r="C31">
        <v>14</v>
      </c>
      <c r="D31">
        <f>C31*(1-supuestos!$C$3)</f>
        <v>10.92</v>
      </c>
      <c r="E31" s="2">
        <f>E30*(1+supuestos!$C$7)</f>
        <v>12811995.419453656</v>
      </c>
      <c r="F31" s="2">
        <f t="shared" si="15"/>
        <v>1793.679358723512</v>
      </c>
      <c r="G31" s="2">
        <f t="shared" si="16"/>
        <v>1399.0698998043395</v>
      </c>
      <c r="H31">
        <f t="shared" si="17"/>
        <v>394.60945891917254</v>
      </c>
      <c r="I31" s="2">
        <f>I30*(1+supuestos!$C$8)</f>
        <v>2080.3263543696967</v>
      </c>
      <c r="J31">
        <f>NPV(supuestos!$C$2,Homicidios!I31:I71)*12</f>
        <v>244244.29444035739</v>
      </c>
      <c r="K31">
        <f>H31*J31*(1-supuestos!$C$9)</f>
        <v>88670620.163348138</v>
      </c>
      <c r="L31" s="4">
        <f>K31/supuestos!$C$10</f>
        <v>27709568.801046293</v>
      </c>
      <c r="M31">
        <f>C31*(1-supuestos!$C$4)</f>
        <v>12.6</v>
      </c>
      <c r="N31" s="2">
        <f t="shared" si="5"/>
        <v>1614.3114228511608</v>
      </c>
      <c r="O31" s="2">
        <f t="shared" si="6"/>
        <v>179.36793587235115</v>
      </c>
      <c r="P31">
        <f>J31*O31*(1-supuestos!$C$9)</f>
        <v>40304827.346976422</v>
      </c>
      <c r="Q31" s="4">
        <f>P31/supuestos!$C$10</f>
        <v>12595258.54593013</v>
      </c>
      <c r="R31">
        <f>C31*(1-supuestos!$C$5)</f>
        <v>10.5</v>
      </c>
      <c r="S31" s="2">
        <f t="shared" si="13"/>
        <v>1345.2595190426341</v>
      </c>
      <c r="T31" s="2">
        <f t="shared" si="14"/>
        <v>448.41983968087789</v>
      </c>
      <c r="U31">
        <f>J31*T31*(1-supuestos!$C$9)</f>
        <v>100762068.36744106</v>
      </c>
      <c r="V31" s="4">
        <f>U31/supuestos!$C$10</f>
        <v>31488146.364825331</v>
      </c>
    </row>
    <row r="32" spans="2:22" hidden="1" x14ac:dyDescent="0.25">
      <c r="B32">
        <v>2041</v>
      </c>
      <c r="C32" s="54"/>
      <c r="D32" s="54"/>
      <c r="E32" s="54"/>
      <c r="F32" s="54"/>
      <c r="G32" s="54"/>
      <c r="H32" s="54"/>
      <c r="I32" s="2">
        <f>I31*(1+supuestos!$C$8)</f>
        <v>2121.9328814570908</v>
      </c>
      <c r="O32">
        <f t="shared" si="6"/>
        <v>0</v>
      </c>
      <c r="S32" s="2">
        <f t="shared" si="13"/>
        <v>0</v>
      </c>
      <c r="T32" s="2">
        <f t="shared" si="14"/>
        <v>0</v>
      </c>
    </row>
    <row r="33" spans="2:20" hidden="1" x14ac:dyDescent="0.25">
      <c r="B33">
        <v>2042</v>
      </c>
      <c r="C33" s="54"/>
      <c r="D33" s="54"/>
      <c r="E33" s="54"/>
      <c r="F33" s="54"/>
      <c r="G33" s="54"/>
      <c r="H33" s="54"/>
      <c r="I33" s="2">
        <f>I32*(1+supuestos!$C$8)</f>
        <v>2164.3715390862326</v>
      </c>
      <c r="O33">
        <f t="shared" si="6"/>
        <v>0</v>
      </c>
      <c r="S33" s="2">
        <f t="shared" si="13"/>
        <v>0</v>
      </c>
      <c r="T33" s="2">
        <f t="shared" si="14"/>
        <v>0</v>
      </c>
    </row>
    <row r="34" spans="2:20" hidden="1" x14ac:dyDescent="0.25">
      <c r="B34">
        <v>2043</v>
      </c>
      <c r="C34" s="54"/>
      <c r="D34" s="54"/>
      <c r="E34" s="54"/>
      <c r="F34" s="54"/>
      <c r="G34" s="54"/>
      <c r="H34" s="54"/>
      <c r="I34" s="2">
        <f>I33*(1+supuestos!$C$8)</f>
        <v>2207.6589698679572</v>
      </c>
      <c r="O34">
        <f t="shared" si="6"/>
        <v>0</v>
      </c>
      <c r="S34" s="2">
        <f t="shared" si="13"/>
        <v>0</v>
      </c>
      <c r="T34" s="2">
        <f t="shared" si="14"/>
        <v>0</v>
      </c>
    </row>
    <row r="35" spans="2:20" hidden="1" x14ac:dyDescent="0.25">
      <c r="B35">
        <v>2044</v>
      </c>
      <c r="C35" s="54"/>
      <c r="D35" s="54"/>
      <c r="E35" s="54"/>
      <c r="F35" s="54"/>
      <c r="G35" s="54"/>
      <c r="H35" s="54"/>
      <c r="I35" s="2">
        <f>I34*(1+supuestos!$C$8)</f>
        <v>2251.8121492653163</v>
      </c>
      <c r="O35">
        <f t="shared" si="6"/>
        <v>0</v>
      </c>
      <c r="S35" s="2">
        <f t="shared" si="13"/>
        <v>0</v>
      </c>
      <c r="T35" s="2">
        <f t="shared" si="14"/>
        <v>0</v>
      </c>
    </row>
    <row r="36" spans="2:20" hidden="1" x14ac:dyDescent="0.25">
      <c r="B36">
        <v>2045</v>
      </c>
      <c r="C36" s="54"/>
      <c r="D36" s="54"/>
      <c r="E36" s="54"/>
      <c r="F36" s="54"/>
      <c r="G36" s="54"/>
      <c r="H36" s="54"/>
      <c r="I36" s="2">
        <f>I35*(1+supuestos!$C$8)</f>
        <v>2296.8483922506225</v>
      </c>
      <c r="O36">
        <f t="shared" si="6"/>
        <v>0</v>
      </c>
      <c r="S36" s="2">
        <f t="shared" si="13"/>
        <v>0</v>
      </c>
      <c r="T36" s="2">
        <f t="shared" si="14"/>
        <v>0</v>
      </c>
    </row>
    <row r="37" spans="2:20" hidden="1" x14ac:dyDescent="0.25">
      <c r="B37">
        <v>2046</v>
      </c>
      <c r="C37" s="54"/>
      <c r="D37" s="54"/>
      <c r="E37" s="54"/>
      <c r="F37" s="54"/>
      <c r="G37" s="54"/>
      <c r="H37" s="54"/>
      <c r="I37" s="2">
        <f>I36*(1+supuestos!$C$8)</f>
        <v>2342.785360095635</v>
      </c>
      <c r="O37">
        <f t="shared" si="6"/>
        <v>0</v>
      </c>
      <c r="S37" s="2">
        <f t="shared" si="13"/>
        <v>0</v>
      </c>
      <c r="T37" s="2">
        <f t="shared" si="14"/>
        <v>0</v>
      </c>
    </row>
    <row r="38" spans="2:20" hidden="1" x14ac:dyDescent="0.25">
      <c r="B38">
        <v>2047</v>
      </c>
      <c r="C38" s="54"/>
      <c r="D38" s="54"/>
      <c r="E38" s="54"/>
      <c r="F38" s="54"/>
      <c r="G38" s="54"/>
      <c r="H38" s="54"/>
      <c r="I38" s="2">
        <f>I37*(1+supuestos!$C$8)</f>
        <v>2389.6410672975476</v>
      </c>
      <c r="O38">
        <f t="shared" si="6"/>
        <v>0</v>
      </c>
      <c r="S38" s="2">
        <f t="shared" si="13"/>
        <v>0</v>
      </c>
      <c r="T38" s="2">
        <f t="shared" si="14"/>
        <v>0</v>
      </c>
    </row>
    <row r="39" spans="2:20" hidden="1" x14ac:dyDescent="0.25">
      <c r="B39">
        <v>2048</v>
      </c>
      <c r="C39" s="54"/>
      <c r="D39" s="54"/>
      <c r="E39" s="54"/>
      <c r="F39" s="54"/>
      <c r="G39" s="54"/>
      <c r="H39" s="54"/>
      <c r="I39" s="2">
        <f>I38*(1+supuestos!$C$8)</f>
        <v>2437.4338886434984</v>
      </c>
      <c r="O39">
        <f t="shared" si="6"/>
        <v>0</v>
      </c>
      <c r="S39" s="2">
        <f t="shared" si="13"/>
        <v>0</v>
      </c>
      <c r="T39" s="2">
        <f t="shared" si="14"/>
        <v>0</v>
      </c>
    </row>
    <row r="40" spans="2:20" hidden="1" x14ac:dyDescent="0.25">
      <c r="B40">
        <v>2049</v>
      </c>
      <c r="C40" s="54"/>
      <c r="D40" s="54"/>
      <c r="E40" s="54"/>
      <c r="F40" s="54"/>
      <c r="G40" s="54"/>
      <c r="H40" s="54"/>
      <c r="I40" s="2">
        <f>I39*(1+supuestos!$C$8)</f>
        <v>2486.1825664163684</v>
      </c>
      <c r="O40">
        <f t="shared" si="6"/>
        <v>0</v>
      </c>
      <c r="S40" s="2">
        <f t="shared" si="13"/>
        <v>0</v>
      </c>
      <c r="T40" s="2">
        <f t="shared" si="14"/>
        <v>0</v>
      </c>
    </row>
    <row r="41" spans="2:20" hidden="1" x14ac:dyDescent="0.25">
      <c r="B41">
        <v>2050</v>
      </c>
      <c r="C41" s="54"/>
      <c r="D41" s="54"/>
      <c r="E41" s="54"/>
      <c r="F41" s="54"/>
      <c r="G41" s="54"/>
      <c r="H41" s="54"/>
      <c r="I41" s="2">
        <f>I40*(1+supuestos!$C$8)</f>
        <v>2535.9062177446958</v>
      </c>
      <c r="O41">
        <f t="shared" si="6"/>
        <v>0</v>
      </c>
      <c r="S41" s="2">
        <f t="shared" si="13"/>
        <v>0</v>
      </c>
      <c r="T41" s="2">
        <f t="shared" si="14"/>
        <v>0</v>
      </c>
    </row>
    <row r="42" spans="2:20" hidden="1" x14ac:dyDescent="0.25">
      <c r="B42">
        <v>2051</v>
      </c>
      <c r="C42" s="54"/>
      <c r="D42" s="54"/>
      <c r="E42" s="54"/>
      <c r="F42" s="54"/>
      <c r="G42" s="54"/>
      <c r="H42" s="54"/>
      <c r="I42" s="2">
        <f>I41*(1+supuestos!$C$8)</f>
        <v>2586.6243420995897</v>
      </c>
      <c r="O42">
        <f t="shared" si="6"/>
        <v>0</v>
      </c>
      <c r="S42" s="2">
        <f t="shared" si="13"/>
        <v>0</v>
      </c>
      <c r="T42" s="2">
        <f t="shared" si="14"/>
        <v>0</v>
      </c>
    </row>
    <row r="43" spans="2:20" hidden="1" x14ac:dyDescent="0.25">
      <c r="B43">
        <v>2052</v>
      </c>
      <c r="C43" s="54"/>
      <c r="D43" s="54"/>
      <c r="E43" s="54"/>
      <c r="F43" s="54"/>
      <c r="G43" s="54"/>
      <c r="H43" s="54"/>
      <c r="I43" s="2">
        <f>I42*(1+supuestos!$C$8)</f>
        <v>2638.3568289415816</v>
      </c>
      <c r="O43">
        <f t="shared" si="6"/>
        <v>0</v>
      </c>
      <c r="S43" s="2">
        <f t="shared" si="13"/>
        <v>0</v>
      </c>
      <c r="T43" s="2">
        <f t="shared" si="14"/>
        <v>0</v>
      </c>
    </row>
    <row r="44" spans="2:20" hidden="1" x14ac:dyDescent="0.25">
      <c r="B44">
        <v>2053</v>
      </c>
      <c r="C44" s="54"/>
      <c r="D44" s="54"/>
      <c r="E44" s="54"/>
      <c r="F44" s="54"/>
      <c r="G44" s="54"/>
      <c r="H44" s="54"/>
      <c r="I44" s="2">
        <f>I43*(1+supuestos!$C$8)</f>
        <v>2691.1239655204131</v>
      </c>
      <c r="O44">
        <f t="shared" si="6"/>
        <v>0</v>
      </c>
      <c r="S44" s="2">
        <f t="shared" si="13"/>
        <v>0</v>
      </c>
      <c r="T44" s="2">
        <f t="shared" si="14"/>
        <v>0</v>
      </c>
    </row>
    <row r="45" spans="2:20" hidden="1" x14ac:dyDescent="0.25">
      <c r="B45">
        <v>2054</v>
      </c>
      <c r="C45" s="54"/>
      <c r="D45" s="54"/>
      <c r="E45" s="54"/>
      <c r="F45" s="54"/>
      <c r="G45" s="54"/>
      <c r="H45" s="54"/>
      <c r="I45" s="2">
        <f>I44*(1+supuestos!$C$8)</f>
        <v>2744.9464448308213</v>
      </c>
      <c r="O45">
        <f t="shared" si="6"/>
        <v>0</v>
      </c>
      <c r="S45" s="2">
        <f t="shared" si="13"/>
        <v>0</v>
      </c>
      <c r="T45" s="2">
        <f t="shared" si="14"/>
        <v>0</v>
      </c>
    </row>
    <row r="46" spans="2:20" hidden="1" x14ac:dyDescent="0.25">
      <c r="B46">
        <v>2055</v>
      </c>
      <c r="C46" s="54"/>
      <c r="D46" s="54"/>
      <c r="E46" s="54"/>
      <c r="F46" s="54"/>
      <c r="G46" s="54"/>
      <c r="H46" s="54"/>
      <c r="I46" s="2">
        <f>I45*(1+supuestos!$C$8)</f>
        <v>2799.8453737274376</v>
      </c>
      <c r="O46">
        <f t="shared" si="6"/>
        <v>0</v>
      </c>
      <c r="S46" s="2">
        <f t="shared" si="13"/>
        <v>0</v>
      </c>
      <c r="T46" s="2">
        <f t="shared" si="14"/>
        <v>0</v>
      </c>
    </row>
    <row r="47" spans="2:20" hidden="1" x14ac:dyDescent="0.25">
      <c r="B47">
        <v>2056</v>
      </c>
      <c r="C47" s="54"/>
      <c r="D47" s="54"/>
      <c r="E47" s="54"/>
      <c r="F47" s="54"/>
      <c r="G47" s="54"/>
      <c r="H47" s="54"/>
      <c r="I47" s="2">
        <f>I46*(1+supuestos!$C$8)</f>
        <v>2855.8422812019862</v>
      </c>
      <c r="O47">
        <f t="shared" si="6"/>
        <v>0</v>
      </c>
      <c r="S47" s="2">
        <f t="shared" si="13"/>
        <v>0</v>
      </c>
      <c r="T47" s="2">
        <f t="shared" si="14"/>
        <v>0</v>
      </c>
    </row>
    <row r="48" spans="2:20" hidden="1" x14ac:dyDescent="0.25">
      <c r="B48">
        <v>2057</v>
      </c>
      <c r="C48" s="54"/>
      <c r="D48" s="54"/>
      <c r="E48" s="54"/>
      <c r="F48" s="54"/>
      <c r="G48" s="54"/>
      <c r="H48" s="54"/>
      <c r="I48" s="2">
        <f>I47*(1+supuestos!$C$8)</f>
        <v>2912.959126826026</v>
      </c>
      <c r="O48">
        <f t="shared" si="6"/>
        <v>0</v>
      </c>
      <c r="S48" s="2">
        <f t="shared" si="13"/>
        <v>0</v>
      </c>
      <c r="T48" s="2">
        <f t="shared" si="14"/>
        <v>0</v>
      </c>
    </row>
    <row r="49" spans="2:20" hidden="1" x14ac:dyDescent="0.25">
      <c r="B49">
        <v>2058</v>
      </c>
      <c r="C49" s="54"/>
      <c r="D49" s="54"/>
      <c r="E49" s="54"/>
      <c r="F49" s="54"/>
      <c r="G49" s="54"/>
      <c r="H49" s="54"/>
      <c r="I49" s="2">
        <f>I48*(1+supuestos!$C$8)</f>
        <v>2971.2183093625467</v>
      </c>
      <c r="O49">
        <f t="shared" si="6"/>
        <v>0</v>
      </c>
      <c r="S49" s="2">
        <f t="shared" si="13"/>
        <v>0</v>
      </c>
      <c r="T49" s="2">
        <f t="shared" si="14"/>
        <v>0</v>
      </c>
    </row>
    <row r="50" spans="2:20" hidden="1" x14ac:dyDescent="0.25">
      <c r="B50">
        <v>2059</v>
      </c>
      <c r="C50" s="54"/>
      <c r="D50" s="54"/>
      <c r="E50" s="54"/>
      <c r="F50" s="54"/>
      <c r="G50" s="54"/>
      <c r="H50" s="54"/>
      <c r="I50" s="2">
        <f>I49*(1+supuestos!$C$8)</f>
        <v>3030.6426755497978</v>
      </c>
      <c r="O50">
        <f t="shared" si="6"/>
        <v>0</v>
      </c>
      <c r="S50" s="2">
        <f t="shared" si="13"/>
        <v>0</v>
      </c>
      <c r="T50" s="2">
        <f t="shared" si="14"/>
        <v>0</v>
      </c>
    </row>
    <row r="51" spans="2:20" hidden="1" x14ac:dyDescent="0.25">
      <c r="B51">
        <v>2060</v>
      </c>
      <c r="C51" s="54"/>
      <c r="D51" s="54"/>
      <c r="E51" s="54"/>
      <c r="F51" s="54"/>
      <c r="G51" s="54"/>
      <c r="H51" s="54"/>
      <c r="I51" s="2">
        <f>I50*(1+supuestos!$C$8)</f>
        <v>3091.2555290607938</v>
      </c>
      <c r="O51">
        <f t="shared" si="6"/>
        <v>0</v>
      </c>
      <c r="S51" s="2">
        <f t="shared" si="13"/>
        <v>0</v>
      </c>
      <c r="T51" s="2">
        <f t="shared" si="14"/>
        <v>0</v>
      </c>
    </row>
    <row r="52" spans="2:20" hidden="1" x14ac:dyDescent="0.25">
      <c r="B52">
        <v>2061</v>
      </c>
      <c r="C52" s="54"/>
      <c r="D52" s="54"/>
      <c r="E52" s="54"/>
      <c r="F52" s="54"/>
      <c r="G52" s="54"/>
      <c r="H52" s="54"/>
      <c r="I52" s="2">
        <f>I51*(1+supuestos!$C$8)</f>
        <v>3153.0806396420098</v>
      </c>
      <c r="O52">
        <f t="shared" si="6"/>
        <v>0</v>
      </c>
      <c r="S52" s="2">
        <f t="shared" si="13"/>
        <v>0</v>
      </c>
      <c r="T52" s="2">
        <f t="shared" si="14"/>
        <v>0</v>
      </c>
    </row>
    <row r="53" spans="2:20" hidden="1" x14ac:dyDescent="0.25">
      <c r="B53">
        <v>2062</v>
      </c>
      <c r="C53" s="54"/>
      <c r="D53" s="54"/>
      <c r="E53" s="54"/>
      <c r="F53" s="54"/>
      <c r="G53" s="54"/>
      <c r="H53" s="54"/>
      <c r="I53" s="2">
        <f>I52*(1+supuestos!$C$8)</f>
        <v>3216.14225243485</v>
      </c>
      <c r="O53">
        <f t="shared" si="6"/>
        <v>0</v>
      </c>
      <c r="S53" s="2">
        <f t="shared" si="13"/>
        <v>0</v>
      </c>
      <c r="T53" s="2">
        <f t="shared" si="14"/>
        <v>0</v>
      </c>
    </row>
    <row r="54" spans="2:20" hidden="1" x14ac:dyDescent="0.25">
      <c r="B54">
        <v>2063</v>
      </c>
      <c r="C54" s="54"/>
      <c r="D54" s="54"/>
      <c r="E54" s="54"/>
      <c r="F54" s="54"/>
      <c r="G54" s="54"/>
      <c r="H54" s="54"/>
      <c r="I54" s="2">
        <f>I53*(1+supuestos!$C$8)</f>
        <v>3280.4650974835472</v>
      </c>
      <c r="O54">
        <f t="shared" si="6"/>
        <v>0</v>
      </c>
      <c r="S54" s="2">
        <f t="shared" si="13"/>
        <v>0</v>
      </c>
      <c r="T54" s="2">
        <f t="shared" si="14"/>
        <v>0</v>
      </c>
    </row>
    <row r="55" spans="2:20" hidden="1" x14ac:dyDescent="0.25">
      <c r="B55">
        <v>2064</v>
      </c>
      <c r="C55" s="54"/>
      <c r="D55" s="54"/>
      <c r="E55" s="54"/>
      <c r="F55" s="54"/>
      <c r="G55" s="54"/>
      <c r="H55" s="54"/>
      <c r="I55" s="2">
        <f>I54*(1+supuestos!$C$8)</f>
        <v>3346.0743994332183</v>
      </c>
      <c r="O55">
        <f t="shared" si="6"/>
        <v>0</v>
      </c>
      <c r="S55" s="2">
        <f t="shared" si="13"/>
        <v>0</v>
      </c>
      <c r="T55" s="2">
        <f t="shared" si="14"/>
        <v>0</v>
      </c>
    </row>
    <row r="56" spans="2:20" hidden="1" x14ac:dyDescent="0.25">
      <c r="B56">
        <v>2065</v>
      </c>
      <c r="C56" s="54"/>
      <c r="D56" s="54"/>
      <c r="E56" s="54"/>
      <c r="F56" s="54"/>
      <c r="G56" s="54"/>
      <c r="H56" s="54"/>
      <c r="I56" s="2">
        <f>I55*(1+supuestos!$C$8)</f>
        <v>3412.9958874218828</v>
      </c>
      <c r="O56">
        <f t="shared" si="6"/>
        <v>0</v>
      </c>
      <c r="S56" s="2">
        <f t="shared" si="13"/>
        <v>0</v>
      </c>
      <c r="T56" s="2">
        <f t="shared" si="14"/>
        <v>0</v>
      </c>
    </row>
    <row r="57" spans="2:20" hidden="1" x14ac:dyDescent="0.25">
      <c r="B57">
        <v>2066</v>
      </c>
      <c r="C57" s="54"/>
      <c r="D57" s="54"/>
      <c r="E57" s="54"/>
      <c r="F57" s="54"/>
      <c r="G57" s="54"/>
      <c r="H57" s="54"/>
      <c r="I57" s="2">
        <f>I56*(1+supuestos!$C$8)</f>
        <v>3481.2558051703204</v>
      </c>
      <c r="O57">
        <f t="shared" si="6"/>
        <v>0</v>
      </c>
      <c r="S57" s="2">
        <f t="shared" si="13"/>
        <v>0</v>
      </c>
      <c r="T57" s="2">
        <f t="shared" si="14"/>
        <v>0</v>
      </c>
    </row>
    <row r="58" spans="2:20" hidden="1" x14ac:dyDescent="0.25">
      <c r="B58">
        <v>2067</v>
      </c>
      <c r="C58" s="54"/>
      <c r="D58" s="54"/>
      <c r="E58" s="54"/>
      <c r="F58" s="54"/>
      <c r="G58" s="54"/>
      <c r="H58" s="54"/>
      <c r="I58" s="2">
        <f>I57*(1+supuestos!$C$8)</f>
        <v>3550.8809212737269</v>
      </c>
      <c r="O58">
        <f t="shared" si="6"/>
        <v>0</v>
      </c>
      <c r="S58" s="2">
        <f t="shared" si="13"/>
        <v>0</v>
      </c>
      <c r="T58" s="2">
        <f t="shared" si="14"/>
        <v>0</v>
      </c>
    </row>
    <row r="59" spans="2:20" hidden="1" x14ac:dyDescent="0.25">
      <c r="B59">
        <v>2068</v>
      </c>
      <c r="C59" s="54"/>
      <c r="D59" s="54"/>
      <c r="E59" s="54"/>
      <c r="F59" s="54"/>
      <c r="G59" s="54"/>
      <c r="H59" s="54"/>
      <c r="I59" s="2">
        <f>I58*(1+supuestos!$C$8)</f>
        <v>3621.8985396992016</v>
      </c>
      <c r="O59">
        <f t="shared" si="6"/>
        <v>0</v>
      </c>
      <c r="S59" s="2">
        <f t="shared" si="13"/>
        <v>0</v>
      </c>
      <c r="T59" s="2">
        <f t="shared" si="14"/>
        <v>0</v>
      </c>
    </row>
    <row r="60" spans="2:20" hidden="1" x14ac:dyDescent="0.25">
      <c r="B60">
        <v>2069</v>
      </c>
      <c r="C60" s="54"/>
      <c r="D60" s="54"/>
      <c r="E60" s="54"/>
      <c r="F60" s="54"/>
      <c r="G60" s="54"/>
      <c r="H60" s="54"/>
      <c r="I60" s="2">
        <f>I59*(1+supuestos!$C$8)</f>
        <v>3694.3365104931859</v>
      </c>
      <c r="O60">
        <f t="shared" si="6"/>
        <v>0</v>
      </c>
      <c r="S60" s="2">
        <f t="shared" si="13"/>
        <v>0</v>
      </c>
      <c r="T60" s="2">
        <f t="shared" si="14"/>
        <v>0</v>
      </c>
    </row>
    <row r="61" spans="2:20" hidden="1" x14ac:dyDescent="0.25">
      <c r="B61">
        <v>2070</v>
      </c>
      <c r="C61" s="54"/>
      <c r="D61" s="54"/>
      <c r="E61" s="54"/>
      <c r="F61" s="54"/>
      <c r="G61" s="54"/>
      <c r="H61" s="54"/>
      <c r="I61" s="2">
        <f>I60*(1+supuestos!$C$8)</f>
        <v>3768.2232407030497</v>
      </c>
      <c r="O61">
        <f t="shared" si="6"/>
        <v>0</v>
      </c>
      <c r="S61" s="2">
        <f t="shared" si="13"/>
        <v>0</v>
      </c>
      <c r="T61" s="2">
        <f t="shared" si="14"/>
        <v>0</v>
      </c>
    </row>
    <row r="62" spans="2:20" hidden="1" x14ac:dyDescent="0.25">
      <c r="B62">
        <v>2071</v>
      </c>
      <c r="C62" s="54"/>
      <c r="D62" s="54"/>
      <c r="E62" s="54"/>
      <c r="F62" s="54"/>
      <c r="G62" s="54"/>
      <c r="H62" s="54"/>
      <c r="I62" s="2">
        <f>I61*(1+supuestos!$C$8)</f>
        <v>3843.5877055171109</v>
      </c>
      <c r="O62">
        <f t="shared" si="6"/>
        <v>0</v>
      </c>
      <c r="S62" s="2">
        <f t="shared" si="13"/>
        <v>0</v>
      </c>
      <c r="T62" s="2">
        <f t="shared" si="14"/>
        <v>0</v>
      </c>
    </row>
    <row r="63" spans="2:20" hidden="1" x14ac:dyDescent="0.25">
      <c r="B63">
        <v>2072</v>
      </c>
      <c r="C63" s="54"/>
      <c r="D63" s="54"/>
      <c r="E63" s="54"/>
      <c r="F63" s="54"/>
      <c r="G63" s="54"/>
      <c r="H63" s="54"/>
      <c r="I63" s="2">
        <f>I62*(1+supuestos!$C$8)</f>
        <v>3920.4594596274533</v>
      </c>
      <c r="O63">
        <f t="shared" si="6"/>
        <v>0</v>
      </c>
      <c r="S63" s="2">
        <f t="shared" si="13"/>
        <v>0</v>
      </c>
      <c r="T63" s="2">
        <f t="shared" si="14"/>
        <v>0</v>
      </c>
    </row>
    <row r="64" spans="2:20" hidden="1" x14ac:dyDescent="0.25">
      <c r="B64">
        <v>2073</v>
      </c>
      <c r="C64" s="54"/>
      <c r="D64" s="54"/>
      <c r="E64" s="54"/>
      <c r="F64" s="54"/>
      <c r="G64" s="54"/>
      <c r="H64" s="54"/>
      <c r="I64" s="2">
        <f>I63*(1+supuestos!$C$8)</f>
        <v>3998.8686488200024</v>
      </c>
      <c r="O64">
        <f t="shared" si="6"/>
        <v>0</v>
      </c>
      <c r="S64" s="2">
        <f t="shared" si="13"/>
        <v>0</v>
      </c>
      <c r="T64" s="2">
        <f t="shared" si="14"/>
        <v>0</v>
      </c>
    </row>
    <row r="65" spans="2:20" hidden="1" x14ac:dyDescent="0.25">
      <c r="B65">
        <v>2074</v>
      </c>
      <c r="C65" s="54"/>
      <c r="D65" s="54"/>
      <c r="E65" s="54"/>
      <c r="F65" s="54"/>
      <c r="G65" s="54"/>
      <c r="H65" s="54"/>
      <c r="I65" s="2">
        <f>I64*(1+supuestos!$C$8)</f>
        <v>4078.8460217964025</v>
      </c>
      <c r="O65">
        <f t="shared" si="6"/>
        <v>0</v>
      </c>
      <c r="S65" s="2">
        <f t="shared" si="13"/>
        <v>0</v>
      </c>
      <c r="T65" s="2">
        <f t="shared" si="14"/>
        <v>0</v>
      </c>
    </row>
    <row r="66" spans="2:20" hidden="1" x14ac:dyDescent="0.25">
      <c r="B66">
        <v>2075</v>
      </c>
      <c r="C66" s="54"/>
      <c r="D66" s="54"/>
      <c r="E66" s="54"/>
      <c r="F66" s="54"/>
      <c r="G66" s="54"/>
      <c r="H66" s="54"/>
      <c r="I66" s="2">
        <f>I65*(1+supuestos!$C$8)</f>
        <v>4160.4229422323306</v>
      </c>
      <c r="O66">
        <f t="shared" si="6"/>
        <v>0</v>
      </c>
      <c r="S66" s="2">
        <f t="shared" si="13"/>
        <v>0</v>
      </c>
      <c r="T66" s="2">
        <f t="shared" si="14"/>
        <v>0</v>
      </c>
    </row>
    <row r="67" spans="2:20" hidden="1" x14ac:dyDescent="0.25">
      <c r="B67">
        <v>2076</v>
      </c>
      <c r="C67" s="54"/>
      <c r="D67" s="54"/>
      <c r="E67" s="54"/>
      <c r="F67" s="54"/>
      <c r="G67" s="54"/>
      <c r="H67" s="54"/>
      <c r="I67" s="2">
        <f>I66*(1+supuestos!$C$8)</f>
        <v>4243.6314010769775</v>
      </c>
      <c r="O67">
        <f t="shared" si="6"/>
        <v>0</v>
      </c>
      <c r="S67" s="2">
        <f t="shared" si="13"/>
        <v>0</v>
      </c>
      <c r="T67" s="2">
        <f t="shared" si="14"/>
        <v>0</v>
      </c>
    </row>
    <row r="68" spans="2:20" hidden="1" x14ac:dyDescent="0.25">
      <c r="B68">
        <v>2077</v>
      </c>
      <c r="C68" s="54"/>
      <c r="D68" s="54"/>
      <c r="E68" s="54"/>
      <c r="F68" s="54"/>
      <c r="G68" s="54"/>
      <c r="H68" s="54"/>
      <c r="I68" s="2">
        <f>I67*(1+supuestos!$C$8)</f>
        <v>4328.5040290985171</v>
      </c>
      <c r="O68">
        <f t="shared" ref="O68:O71" si="18">F68-N68</f>
        <v>0</v>
      </c>
      <c r="S68" s="2">
        <f t="shared" si="13"/>
        <v>0</v>
      </c>
      <c r="T68" s="2">
        <f t="shared" si="14"/>
        <v>0</v>
      </c>
    </row>
    <row r="69" spans="2:20" hidden="1" x14ac:dyDescent="0.25">
      <c r="B69">
        <v>2078</v>
      </c>
      <c r="C69" s="54"/>
      <c r="D69" s="54"/>
      <c r="E69" s="54"/>
      <c r="F69" s="54"/>
      <c r="G69" s="54"/>
      <c r="H69" s="54"/>
      <c r="I69" s="2">
        <f>I68*(1+supuestos!$C$8)</f>
        <v>4415.0741096804877</v>
      </c>
      <c r="O69">
        <f t="shared" si="18"/>
        <v>0</v>
      </c>
      <c r="S69" s="2">
        <f t="shared" si="13"/>
        <v>0</v>
      </c>
      <c r="T69" s="2">
        <f t="shared" si="14"/>
        <v>0</v>
      </c>
    </row>
    <row r="70" spans="2:20" hidden="1" x14ac:dyDescent="0.25">
      <c r="B70">
        <v>2079</v>
      </c>
      <c r="C70" s="54"/>
      <c r="D70" s="54"/>
      <c r="E70" s="54"/>
      <c r="F70" s="54"/>
      <c r="G70" s="54"/>
      <c r="H70" s="54"/>
      <c r="I70" s="2">
        <f>I69*(1+supuestos!$C$8)</f>
        <v>4503.3755918740972</v>
      </c>
      <c r="O70">
        <f t="shared" si="18"/>
        <v>0</v>
      </c>
      <c r="S70" s="2">
        <f t="shared" si="13"/>
        <v>0</v>
      </c>
      <c r="T70" s="2">
        <f t="shared" si="14"/>
        <v>0</v>
      </c>
    </row>
    <row r="71" spans="2:20" hidden="1" x14ac:dyDescent="0.25">
      <c r="B71">
        <v>2080</v>
      </c>
      <c r="C71" s="54"/>
      <c r="D71" s="54"/>
      <c r="E71" s="54"/>
      <c r="F71" s="54"/>
      <c r="G71" s="54"/>
      <c r="H71" s="54"/>
      <c r="I71" s="2">
        <f>I70*(1+supuestos!$C$8)</f>
        <v>4593.4431037115792</v>
      </c>
      <c r="O71">
        <f t="shared" si="18"/>
        <v>0</v>
      </c>
      <c r="S71" s="2">
        <f t="shared" si="13"/>
        <v>0</v>
      </c>
      <c r="T71" s="2">
        <f t="shared" si="14"/>
        <v>0</v>
      </c>
    </row>
    <row r="72" spans="2:20" x14ac:dyDescent="0.25">
      <c r="I72" s="2"/>
    </row>
    <row r="73" spans="2:20" x14ac:dyDescent="0.25">
      <c r="I73" s="2"/>
    </row>
    <row r="74" spans="2:20" x14ac:dyDescent="0.25">
      <c r="I74" s="2"/>
    </row>
    <row r="75" spans="2:20" x14ac:dyDescent="0.25">
      <c r="I75" s="2"/>
    </row>
    <row r="76" spans="2:20" x14ac:dyDescent="0.25">
      <c r="I76" s="2"/>
    </row>
    <row r="77" spans="2:20" x14ac:dyDescent="0.25">
      <c r="I77" s="2"/>
    </row>
    <row r="78" spans="2:20" x14ac:dyDescent="0.25">
      <c r="I78" s="2"/>
    </row>
    <row r="79" spans="2:20" x14ac:dyDescent="0.25">
      <c r="I79" s="2"/>
    </row>
    <row r="80" spans="2:20" x14ac:dyDescent="0.25">
      <c r="I80" s="2"/>
    </row>
    <row r="81" spans="9:9" x14ac:dyDescent="0.25">
      <c r="I81" s="2"/>
    </row>
    <row r="82" spans="9:9" x14ac:dyDescent="0.25">
      <c r="I82" s="2"/>
    </row>
    <row r="83" spans="9:9" x14ac:dyDescent="0.25">
      <c r="I83" s="2"/>
    </row>
    <row r="84" spans="9:9" x14ac:dyDescent="0.25">
      <c r="I84" s="2"/>
    </row>
    <row r="85" spans="9:9" x14ac:dyDescent="0.25">
      <c r="I85" s="2"/>
    </row>
    <row r="86" spans="9:9" x14ac:dyDescent="0.25">
      <c r="I86" s="2"/>
    </row>
    <row r="87" spans="9:9" x14ac:dyDescent="0.25">
      <c r="I87" s="2"/>
    </row>
    <row r="88" spans="9:9" x14ac:dyDescent="0.25">
      <c r="I88" s="2"/>
    </row>
    <row r="89" spans="9:9" x14ac:dyDescent="0.25">
      <c r="I89" s="2"/>
    </row>
    <row r="90" spans="9:9" x14ac:dyDescent="0.25">
      <c r="I90" s="2"/>
    </row>
    <row r="91" spans="9:9" x14ac:dyDescent="0.25">
      <c r="I91" s="2"/>
    </row>
    <row r="92" spans="9:9" x14ac:dyDescent="0.25">
      <c r="I92" s="2"/>
    </row>
    <row r="93" spans="9:9" x14ac:dyDescent="0.25">
      <c r="I93" s="2"/>
    </row>
    <row r="94" spans="9:9" x14ac:dyDescent="0.25">
      <c r="I94" s="2"/>
    </row>
    <row r="95" spans="9:9" x14ac:dyDescent="0.25">
      <c r="I95" s="2"/>
    </row>
    <row r="96" spans="9:9" x14ac:dyDescent="0.25">
      <c r="I96" s="2"/>
    </row>
    <row r="97" spans="9:9" x14ac:dyDescent="0.25">
      <c r="I97" s="2"/>
    </row>
    <row r="98" spans="9:9" x14ac:dyDescent="0.25">
      <c r="I98" s="2"/>
    </row>
  </sheetData>
  <mergeCells count="2">
    <mergeCell ref="H3:L10"/>
    <mergeCell ref="C32:H7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88A48-F345-4D53-A06E-3CD68D3FBDCD}">
  <dimension ref="A1:K98"/>
  <sheetViews>
    <sheetView topLeftCell="A4" workbookViewId="0">
      <selection activeCell="G3" sqref="G3:G10"/>
    </sheetView>
  </sheetViews>
  <sheetFormatPr defaultRowHeight="15" x14ac:dyDescent="0.25"/>
  <cols>
    <col min="2" max="2" width="15.85546875" customWidth="1"/>
    <col min="3" max="4" width="19.42578125" customWidth="1"/>
    <col min="5" max="5" width="21.140625" customWidth="1"/>
    <col min="6" max="6" width="14.7109375" customWidth="1"/>
    <col min="7" max="7" width="21.85546875" customWidth="1"/>
    <col min="8" max="8" width="35.7109375" customWidth="1"/>
    <col min="9" max="9" width="25" customWidth="1"/>
    <col min="10" max="10" width="15.140625" customWidth="1"/>
    <col min="11" max="11" width="16.5703125" customWidth="1"/>
  </cols>
  <sheetData>
    <row r="1" spans="1:11" x14ac:dyDescent="0.25">
      <c r="I1" s="4"/>
    </row>
    <row r="2" spans="1:11" ht="42" customHeight="1" x14ac:dyDescent="0.25">
      <c r="A2" s="5"/>
      <c r="B2" s="5" t="s">
        <v>3</v>
      </c>
      <c r="C2" s="5" t="s">
        <v>45</v>
      </c>
      <c r="D2" s="5" t="s">
        <v>4</v>
      </c>
      <c r="E2" s="5" t="s">
        <v>2</v>
      </c>
      <c r="F2" s="5" t="s">
        <v>23</v>
      </c>
      <c r="G2" s="5" t="s">
        <v>24</v>
      </c>
      <c r="H2" s="5" t="s">
        <v>25</v>
      </c>
      <c r="I2" s="5" t="s">
        <v>21</v>
      </c>
      <c r="J2" s="5" t="s">
        <v>13</v>
      </c>
      <c r="K2" s="5" t="s">
        <v>15</v>
      </c>
    </row>
    <row r="3" spans="1:11" x14ac:dyDescent="0.25">
      <c r="B3">
        <v>2012</v>
      </c>
      <c r="C3">
        <v>10.4</v>
      </c>
      <c r="D3">
        <f t="shared" ref="D3:D9" si="0">C3</f>
        <v>10.4</v>
      </c>
      <c r="E3" s="2">
        <f t="shared" ref="E3:E9" si="1">E4*0.99</f>
        <v>9688819.2914931625</v>
      </c>
      <c r="F3" s="2">
        <f t="shared" ref="F3:F6" si="2">E3/100000*C3</f>
        <v>1007.6372063152889</v>
      </c>
      <c r="G3" s="2">
        <f t="shared" ref="G3:G6" si="3">E3/100000*D3</f>
        <v>1007.6372063152889</v>
      </c>
      <c r="H3" s="54"/>
      <c r="I3" s="54"/>
      <c r="J3" s="54"/>
      <c r="K3" s="54"/>
    </row>
    <row r="4" spans="1:11" x14ac:dyDescent="0.25">
      <c r="B4">
        <v>2013</v>
      </c>
      <c r="C4">
        <v>12.6</v>
      </c>
      <c r="D4">
        <f t="shared" si="0"/>
        <v>12.6</v>
      </c>
      <c r="E4" s="2">
        <f t="shared" si="1"/>
        <v>9786686.1530233957</v>
      </c>
      <c r="F4" s="2">
        <f t="shared" si="2"/>
        <v>1233.1224552809479</v>
      </c>
      <c r="G4" s="2">
        <f t="shared" si="3"/>
        <v>1233.1224552809479</v>
      </c>
      <c r="H4" s="54"/>
      <c r="I4" s="54"/>
      <c r="J4" s="54"/>
      <c r="K4" s="54"/>
    </row>
    <row r="5" spans="1:11" x14ac:dyDescent="0.25">
      <c r="B5">
        <v>2014</v>
      </c>
      <c r="C5">
        <v>14.4</v>
      </c>
      <c r="D5">
        <f t="shared" si="0"/>
        <v>14.4</v>
      </c>
      <c r="E5" s="2">
        <f t="shared" si="1"/>
        <v>9885541.5687105004</v>
      </c>
      <c r="F5" s="2">
        <f t="shared" si="2"/>
        <v>1423.5179858943122</v>
      </c>
      <c r="G5" s="2">
        <f t="shared" si="3"/>
        <v>1423.5179858943122</v>
      </c>
      <c r="H5" s="54"/>
      <c r="I5" s="54"/>
      <c r="J5" s="54"/>
      <c r="K5" s="54"/>
    </row>
    <row r="6" spans="1:11" x14ac:dyDescent="0.25">
      <c r="B6">
        <v>2015</v>
      </c>
      <c r="C6">
        <v>13.3</v>
      </c>
      <c r="D6">
        <f t="shared" si="0"/>
        <v>13.3</v>
      </c>
      <c r="E6" s="2">
        <f t="shared" si="1"/>
        <v>9985395.5239500012</v>
      </c>
      <c r="F6" s="2">
        <f t="shared" si="2"/>
        <v>1328.0576046853503</v>
      </c>
      <c r="G6" s="2">
        <f t="shared" si="3"/>
        <v>1328.0576046853503</v>
      </c>
      <c r="H6" s="54"/>
      <c r="I6" s="54"/>
      <c r="J6" s="54"/>
      <c r="K6" s="54"/>
    </row>
    <row r="7" spans="1:11" x14ac:dyDescent="0.25">
      <c r="B7">
        <v>2016</v>
      </c>
      <c r="C7">
        <v>14.3</v>
      </c>
      <c r="D7">
        <f t="shared" si="0"/>
        <v>14.3</v>
      </c>
      <c r="E7" s="2">
        <f t="shared" si="1"/>
        <v>10086258.105</v>
      </c>
      <c r="F7" s="2">
        <f>E7/100000*C7</f>
        <v>1442.3349090150002</v>
      </c>
      <c r="G7" s="2">
        <f>E7/100000*D7</f>
        <v>1442.3349090150002</v>
      </c>
      <c r="H7" s="54"/>
      <c r="I7" s="54"/>
      <c r="J7" s="54"/>
      <c r="K7" s="54"/>
    </row>
    <row r="8" spans="1:11" x14ac:dyDescent="0.25">
      <c r="B8">
        <v>2017</v>
      </c>
      <c r="C8">
        <v>14</v>
      </c>
      <c r="D8">
        <f t="shared" si="0"/>
        <v>14</v>
      </c>
      <c r="E8" s="2">
        <f t="shared" si="1"/>
        <v>10188139.5</v>
      </c>
      <c r="F8" s="2">
        <f t="shared" ref="F8:F31" si="4">E8/100000*C8</f>
        <v>1426.33953</v>
      </c>
      <c r="G8" s="2">
        <f t="shared" ref="G8:G31" si="5">E8/100000*D8</f>
        <v>1426.33953</v>
      </c>
      <c r="H8" s="54"/>
      <c r="I8" s="54"/>
      <c r="J8" s="54"/>
      <c r="K8" s="54"/>
    </row>
    <row r="9" spans="1:11" x14ac:dyDescent="0.25">
      <c r="B9">
        <v>2018</v>
      </c>
      <c r="C9">
        <v>14.2</v>
      </c>
      <c r="D9">
        <f t="shared" si="0"/>
        <v>14.2</v>
      </c>
      <c r="E9" s="2">
        <f t="shared" si="1"/>
        <v>10291050</v>
      </c>
      <c r="F9" s="2">
        <f t="shared" si="4"/>
        <v>1461.3290999999999</v>
      </c>
      <c r="G9" s="2">
        <f t="shared" si="5"/>
        <v>1461.3290999999999</v>
      </c>
      <c r="H9" s="54"/>
      <c r="I9" s="54"/>
      <c r="J9" s="54"/>
      <c r="K9" s="54"/>
    </row>
    <row r="10" spans="1:11" x14ac:dyDescent="0.25">
      <c r="B10">
        <v>2019</v>
      </c>
      <c r="C10">
        <v>16.399999999999999</v>
      </c>
      <c r="D10">
        <f>C10</f>
        <v>16.399999999999999</v>
      </c>
      <c r="E10" s="2">
        <f>E11*0.99</f>
        <v>10395000</v>
      </c>
      <c r="F10" s="2">
        <f t="shared" si="4"/>
        <v>1704.78</v>
      </c>
      <c r="G10" s="2">
        <f t="shared" si="5"/>
        <v>1704.78</v>
      </c>
      <c r="H10" s="54"/>
      <c r="I10" s="54"/>
      <c r="J10" s="54"/>
      <c r="K10" s="54"/>
    </row>
    <row r="11" spans="1:11" x14ac:dyDescent="0.25">
      <c r="B11">
        <v>2020</v>
      </c>
      <c r="C11">
        <v>16.399999999999999</v>
      </c>
      <c r="D11">
        <f>C11*(1-supuestos!$C$6)</f>
        <v>15.579999999999998</v>
      </c>
      <c r="E11">
        <v>10500000</v>
      </c>
      <c r="F11">
        <f t="shared" si="4"/>
        <v>1721.9999999999998</v>
      </c>
      <c r="G11" s="2">
        <f t="shared" si="5"/>
        <v>1635.8999999999999</v>
      </c>
      <c r="H11">
        <f t="shared" ref="H11:H31" si="6">F11-G11</f>
        <v>86.099999999999909</v>
      </c>
      <c r="I11" s="2">
        <v>984</v>
      </c>
      <c r="J11">
        <f>H11*I11</f>
        <v>84722.399999999907</v>
      </c>
      <c r="K11" s="4">
        <f>J11/supuestos!$C$10</f>
        <v>26475.749999999971</v>
      </c>
    </row>
    <row r="12" spans="1:11" x14ac:dyDescent="0.25">
      <c r="B12">
        <v>2021</v>
      </c>
      <c r="C12">
        <v>16.399999999999999</v>
      </c>
      <c r="D12">
        <f>C12*(1-supuestos!$C$6)</f>
        <v>15.579999999999998</v>
      </c>
      <c r="E12">
        <f>E11*(1+supuestos!$C$7)</f>
        <v>10605000</v>
      </c>
      <c r="F12" s="2">
        <f t="shared" si="4"/>
        <v>1739.2199999999998</v>
      </c>
      <c r="G12" s="2">
        <f t="shared" si="5"/>
        <v>1652.2589999999998</v>
      </c>
      <c r="H12">
        <f t="shared" si="6"/>
        <v>86.961000000000013</v>
      </c>
      <c r="I12" s="2">
        <f>I11*(1+supuestos!$C$8)</f>
        <v>1003.6800000000001</v>
      </c>
      <c r="J12">
        <f t="shared" ref="J12:J31" si="7">H12*I12</f>
        <v>87281.01648000002</v>
      </c>
      <c r="K12" s="4">
        <f>J12/supuestos!$C$10</f>
        <v>27275.317650000005</v>
      </c>
    </row>
    <row r="13" spans="1:11" x14ac:dyDescent="0.25">
      <c r="B13">
        <v>2022</v>
      </c>
      <c r="C13">
        <v>16.399999999999999</v>
      </c>
      <c r="D13">
        <f>C13*(1-supuestos!$C$6)</f>
        <v>15.579999999999998</v>
      </c>
      <c r="E13" s="2">
        <f>E12*(1+supuestos!$C$7)</f>
        <v>10711050</v>
      </c>
      <c r="F13" s="2">
        <f t="shared" si="4"/>
        <v>1756.6121999999998</v>
      </c>
      <c r="G13" s="2">
        <f t="shared" si="5"/>
        <v>1668.7815899999998</v>
      </c>
      <c r="H13">
        <f t="shared" si="6"/>
        <v>87.830609999999979</v>
      </c>
      <c r="I13" s="2">
        <f>I12*(1+supuestos!$C$8)</f>
        <v>1023.7536000000001</v>
      </c>
      <c r="J13">
        <f t="shared" si="7"/>
        <v>89916.903177695989</v>
      </c>
      <c r="K13" s="4">
        <f>J13/supuestos!$C$10</f>
        <v>28099.032243029997</v>
      </c>
    </row>
    <row r="14" spans="1:11" x14ac:dyDescent="0.25">
      <c r="B14">
        <v>2023</v>
      </c>
      <c r="C14">
        <v>16.399999999999999</v>
      </c>
      <c r="D14">
        <f>C14*(1-supuestos!$C$6)</f>
        <v>15.579999999999998</v>
      </c>
      <c r="E14" s="2">
        <f>E13*(1+supuestos!$C$7)</f>
        <v>10818160.5</v>
      </c>
      <c r="F14" s="2">
        <f t="shared" si="4"/>
        <v>1774.178322</v>
      </c>
      <c r="G14" s="2">
        <f t="shared" si="5"/>
        <v>1685.4694058999999</v>
      </c>
      <c r="H14">
        <f t="shared" si="6"/>
        <v>88.708916100000124</v>
      </c>
      <c r="I14" s="2">
        <f>I13*(1+supuestos!$C$8)</f>
        <v>1044.2286720000002</v>
      </c>
      <c r="J14">
        <f t="shared" si="7"/>
        <v>92632.39365366257</v>
      </c>
      <c r="K14" s="4">
        <f>J14/supuestos!$C$10</f>
        <v>28947.62301676955</v>
      </c>
    </row>
    <row r="15" spans="1:11" x14ac:dyDescent="0.25">
      <c r="B15">
        <v>2024</v>
      </c>
      <c r="C15">
        <v>16.399999999999999</v>
      </c>
      <c r="D15">
        <f>C15*(1-supuestos!$C$6)</f>
        <v>15.579999999999998</v>
      </c>
      <c r="E15" s="2">
        <f>E14*(1+supuestos!$C$7)</f>
        <v>10926342.105</v>
      </c>
      <c r="F15" s="2">
        <f t="shared" si="4"/>
        <v>1791.9201052199999</v>
      </c>
      <c r="G15" s="2">
        <f t="shared" si="5"/>
        <v>1702.3240999589998</v>
      </c>
      <c r="H15">
        <f t="shared" si="6"/>
        <v>89.596005261000073</v>
      </c>
      <c r="I15" s="2">
        <f>I14*(1+supuestos!$C$8)</f>
        <v>1065.1132454400001</v>
      </c>
      <c r="J15">
        <f t="shared" si="7"/>
        <v>95429.891942003116</v>
      </c>
      <c r="K15" s="4">
        <f>J15/supuestos!$C$10</f>
        <v>29821.841231875973</v>
      </c>
    </row>
    <row r="16" spans="1:11" x14ac:dyDescent="0.25">
      <c r="B16">
        <v>2025</v>
      </c>
      <c r="C16">
        <v>16.399999999999999</v>
      </c>
      <c r="D16">
        <f>C16*(1-supuestos!$C$6)</f>
        <v>15.579999999999998</v>
      </c>
      <c r="E16" s="2">
        <f>E15*(1+supuestos!$C$7)</f>
        <v>11035605.526050001</v>
      </c>
      <c r="F16" s="2">
        <f t="shared" si="4"/>
        <v>1809.8393062722</v>
      </c>
      <c r="G16" s="2">
        <f t="shared" si="5"/>
        <v>1719.3473409585899</v>
      </c>
      <c r="H16">
        <f t="shared" si="6"/>
        <v>90.491965313610081</v>
      </c>
      <c r="I16" s="2">
        <f>I15*(1+supuestos!$C$8)</f>
        <v>1086.4155103488001</v>
      </c>
      <c r="J16">
        <f t="shared" si="7"/>
        <v>98311.874678651613</v>
      </c>
      <c r="K16" s="4">
        <f>J16/supuestos!$C$10</f>
        <v>30722.460837078626</v>
      </c>
    </row>
    <row r="17" spans="2:11" x14ac:dyDescent="0.25">
      <c r="B17">
        <v>2026</v>
      </c>
      <c r="C17">
        <v>16.399999999999999</v>
      </c>
      <c r="D17">
        <f>C17*(1-supuestos!$C$6)</f>
        <v>15.579999999999998</v>
      </c>
      <c r="E17" s="2">
        <f>E16*(1+supuestos!$C$7)</f>
        <v>11145961.581310501</v>
      </c>
      <c r="F17" s="2">
        <f t="shared" si="4"/>
        <v>1827.9376993349222</v>
      </c>
      <c r="G17" s="2">
        <f t="shared" si="5"/>
        <v>1736.5408143681759</v>
      </c>
      <c r="H17">
        <f t="shared" si="6"/>
        <v>91.396884966746256</v>
      </c>
      <c r="I17" s="2">
        <f>I16*(1+supuestos!$C$8)</f>
        <v>1108.1438205557761</v>
      </c>
      <c r="J17">
        <f t="shared" si="7"/>
        <v>101280.89329394697</v>
      </c>
      <c r="K17" s="4">
        <f>J17/supuestos!$C$10</f>
        <v>31650.279154358424</v>
      </c>
    </row>
    <row r="18" spans="2:11" x14ac:dyDescent="0.25">
      <c r="B18">
        <v>2027</v>
      </c>
      <c r="C18">
        <v>16.399999999999999</v>
      </c>
      <c r="D18">
        <f>C18*(1-supuestos!$C$6)</f>
        <v>15.579999999999998</v>
      </c>
      <c r="E18" s="2">
        <f>E17*(1+supuestos!$C$7)</f>
        <v>11257421.197123606</v>
      </c>
      <c r="F18" s="2">
        <f t="shared" si="4"/>
        <v>1846.2170763282711</v>
      </c>
      <c r="G18" s="2">
        <f t="shared" si="5"/>
        <v>1753.9062225118575</v>
      </c>
      <c r="H18">
        <f t="shared" si="6"/>
        <v>92.310853816413555</v>
      </c>
      <c r="I18" s="2">
        <f>I17*(1+supuestos!$C$8)</f>
        <v>1130.3066969668916</v>
      </c>
      <c r="J18">
        <f t="shared" si="7"/>
        <v>104339.57627142398</v>
      </c>
      <c r="K18" s="4">
        <f>J18/supuestos!$C$10</f>
        <v>32606.117584819993</v>
      </c>
    </row>
    <row r="19" spans="2:11" x14ac:dyDescent="0.25">
      <c r="B19">
        <v>2028</v>
      </c>
      <c r="C19">
        <v>16.399999999999999</v>
      </c>
      <c r="D19">
        <f>C19*(1-supuestos!$C$6)</f>
        <v>15.579999999999998</v>
      </c>
      <c r="E19" s="2">
        <f>E18*(1+supuestos!$C$7)</f>
        <v>11369995.409094842</v>
      </c>
      <c r="F19" s="2">
        <f t="shared" si="4"/>
        <v>1864.6792470915541</v>
      </c>
      <c r="G19" s="2">
        <f t="shared" si="5"/>
        <v>1771.4452847369762</v>
      </c>
      <c r="H19">
        <f t="shared" si="6"/>
        <v>93.233962354577898</v>
      </c>
      <c r="I19" s="2">
        <f>I18*(1+supuestos!$C$8)</f>
        <v>1152.9128309062296</v>
      </c>
      <c r="J19">
        <f t="shared" si="7"/>
        <v>107490.63147482125</v>
      </c>
      <c r="K19" s="4">
        <f>J19/supuestos!$C$10</f>
        <v>33590.822335881639</v>
      </c>
    </row>
    <row r="20" spans="2:11" x14ac:dyDescent="0.25">
      <c r="B20">
        <v>2029</v>
      </c>
      <c r="C20">
        <v>16.399999999999999</v>
      </c>
      <c r="D20">
        <f>C20*(1-supuestos!$C$6)</f>
        <v>15.579999999999998</v>
      </c>
      <c r="E20" s="2">
        <f>E19*(1+supuestos!$C$7)</f>
        <v>11483695.363185791</v>
      </c>
      <c r="F20" s="2">
        <f t="shared" si="4"/>
        <v>1883.3260395624695</v>
      </c>
      <c r="G20" s="2">
        <f t="shared" si="5"/>
        <v>1789.159737584346</v>
      </c>
      <c r="H20">
        <f t="shared" si="6"/>
        <v>94.166301978123556</v>
      </c>
      <c r="I20" s="2">
        <f>I19*(1+supuestos!$C$8)</f>
        <v>1175.9710875243543</v>
      </c>
      <c r="J20">
        <f t="shared" si="7"/>
        <v>110736.84854536071</v>
      </c>
      <c r="K20" s="4">
        <f>J20/supuestos!$C$10</f>
        <v>34605.26517042522</v>
      </c>
    </row>
    <row r="21" spans="2:11" x14ac:dyDescent="0.25">
      <c r="B21">
        <v>2030</v>
      </c>
      <c r="C21">
        <v>16.399999999999999</v>
      </c>
      <c r="D21">
        <f>C21*(1-supuestos!$C$6)</f>
        <v>15.579999999999998</v>
      </c>
      <c r="E21" s="2">
        <f>E20*(1+supuestos!$C$7)</f>
        <v>11598532.316817649</v>
      </c>
      <c r="F21" s="2">
        <f t="shared" si="4"/>
        <v>1902.1592999580944</v>
      </c>
      <c r="G21" s="2">
        <f t="shared" si="5"/>
        <v>1807.0513349601895</v>
      </c>
      <c r="H21">
        <f t="shared" si="6"/>
        <v>95.107964997904901</v>
      </c>
      <c r="I21" s="2">
        <f>I20*(1+supuestos!$C$8)</f>
        <v>1199.4905092748413</v>
      </c>
      <c r="J21">
        <f t="shared" si="7"/>
        <v>114081.10137143073</v>
      </c>
      <c r="K21" s="4">
        <f>J21/supuestos!$C$10</f>
        <v>35650.344178572101</v>
      </c>
    </row>
    <row r="22" spans="2:11" x14ac:dyDescent="0.25">
      <c r="B22">
        <v>2031</v>
      </c>
      <c r="C22">
        <v>16.399999999999999</v>
      </c>
      <c r="D22">
        <f>C22*(1-supuestos!$C$6)</f>
        <v>15.579999999999998</v>
      </c>
      <c r="E22" s="2">
        <f>E21*(1+supuestos!$C$7)</f>
        <v>11714517.639985826</v>
      </c>
      <c r="F22" s="2">
        <f t="shared" si="4"/>
        <v>1921.1808929576753</v>
      </c>
      <c r="G22" s="2">
        <f t="shared" si="5"/>
        <v>1825.1218483097914</v>
      </c>
      <c r="H22">
        <f t="shared" si="6"/>
        <v>96.059044647883866</v>
      </c>
      <c r="I22" s="2">
        <f>I21*(1+supuestos!$C$8)</f>
        <v>1223.4803194603383</v>
      </c>
      <c r="J22">
        <f t="shared" si="7"/>
        <v>117526.35063284785</v>
      </c>
      <c r="K22" s="4">
        <f>J22/supuestos!$C$10</f>
        <v>36726.984572764952</v>
      </c>
    </row>
    <row r="23" spans="2:11" x14ac:dyDescent="0.25">
      <c r="B23">
        <v>2032</v>
      </c>
      <c r="C23">
        <v>16.399999999999999</v>
      </c>
      <c r="D23">
        <f>C23*(1-supuestos!$C$6)</f>
        <v>15.579999999999998</v>
      </c>
      <c r="E23" s="2">
        <f>E22*(1+supuestos!$C$7)</f>
        <v>11831662.816385685</v>
      </c>
      <c r="F23" s="2">
        <f t="shared" si="4"/>
        <v>1940.3927018872521</v>
      </c>
      <c r="G23" s="2">
        <f t="shared" si="5"/>
        <v>1843.3730667928894</v>
      </c>
      <c r="H23">
        <f t="shared" si="6"/>
        <v>97.019635094362684</v>
      </c>
      <c r="I23" s="2">
        <f>I22*(1+supuestos!$C$8)</f>
        <v>1247.949925849545</v>
      </c>
      <c r="J23">
        <f t="shared" si="7"/>
        <v>121075.64642195983</v>
      </c>
      <c r="K23" s="4">
        <f>J23/supuestos!$C$10</f>
        <v>37836.139506862441</v>
      </c>
    </row>
    <row r="24" spans="2:11" x14ac:dyDescent="0.25">
      <c r="B24">
        <v>2033</v>
      </c>
      <c r="C24">
        <v>16.399999999999999</v>
      </c>
      <c r="D24">
        <f>C24*(1-supuestos!$C$6)</f>
        <v>15.579999999999998</v>
      </c>
      <c r="E24" s="2">
        <f>E23*(1+supuestos!$C$7)</f>
        <v>11949979.444549542</v>
      </c>
      <c r="F24" s="2">
        <f t="shared" si="4"/>
        <v>1959.7966289061249</v>
      </c>
      <c r="G24" s="2">
        <f t="shared" si="5"/>
        <v>1861.8067974608184</v>
      </c>
      <c r="H24">
        <f t="shared" si="6"/>
        <v>97.989831445306436</v>
      </c>
      <c r="I24" s="2">
        <f>I23*(1+supuestos!$C$8)</f>
        <v>1272.908924366536</v>
      </c>
      <c r="J24">
        <f t="shared" si="7"/>
        <v>124732.13094390318</v>
      </c>
      <c r="K24" s="4">
        <f>J24/supuestos!$C$10</f>
        <v>38978.790919969739</v>
      </c>
    </row>
    <row r="25" spans="2:11" x14ac:dyDescent="0.25">
      <c r="B25">
        <v>2034</v>
      </c>
      <c r="C25">
        <v>16.399999999999999</v>
      </c>
      <c r="D25">
        <f>C25*(1-supuestos!$C$6)</f>
        <v>15.579999999999998</v>
      </c>
      <c r="E25" s="2">
        <f>E24*(1+supuestos!$C$7)</f>
        <v>12069479.238995038</v>
      </c>
      <c r="F25" s="2">
        <f t="shared" si="4"/>
        <v>1979.394595195186</v>
      </c>
      <c r="G25" s="2">
        <f t="shared" si="5"/>
        <v>1880.4248654354267</v>
      </c>
      <c r="H25">
        <f t="shared" si="6"/>
        <v>98.969729759759275</v>
      </c>
      <c r="I25" s="2">
        <f>I24*(1+supuestos!$C$8)</f>
        <v>1298.3671028538668</v>
      </c>
      <c r="J25">
        <f t="shared" si="7"/>
        <v>128499.04129840877</v>
      </c>
      <c r="K25" s="4">
        <f>J25/supuestos!$C$10</f>
        <v>40155.950405752737</v>
      </c>
    </row>
    <row r="26" spans="2:11" x14ac:dyDescent="0.25">
      <c r="B26">
        <v>2035</v>
      </c>
      <c r="C26">
        <v>16.399999999999999</v>
      </c>
      <c r="D26">
        <f>C26*(1-supuestos!$C$6)</f>
        <v>15.579999999999998</v>
      </c>
      <c r="E26" s="2">
        <f>E25*(1+supuestos!$C$7)</f>
        <v>12190174.031384988</v>
      </c>
      <c r="F26" s="2">
        <f t="shared" si="4"/>
        <v>1999.1885411471378</v>
      </c>
      <c r="G26" s="2">
        <f t="shared" si="5"/>
        <v>1899.2291140897808</v>
      </c>
      <c r="H26">
        <f t="shared" si="6"/>
        <v>99.959427057357061</v>
      </c>
      <c r="I26" s="2">
        <f>I25*(1+supuestos!$C$8)</f>
        <v>1324.3344449109441</v>
      </c>
      <c r="J26">
        <f t="shared" si="7"/>
        <v>132379.71234562097</v>
      </c>
      <c r="K26" s="4">
        <f>J26/supuestos!$C$10</f>
        <v>41368.660108006552</v>
      </c>
    </row>
    <row r="27" spans="2:11" x14ac:dyDescent="0.25">
      <c r="B27">
        <v>2036</v>
      </c>
      <c r="C27">
        <v>16.399999999999999</v>
      </c>
      <c r="D27">
        <f>C27*(1-supuestos!$C$6)</f>
        <v>15.579999999999998</v>
      </c>
      <c r="E27" s="2">
        <f>E26*(1+supuestos!$C$7)</f>
        <v>12312075.771698838</v>
      </c>
      <c r="F27" s="2">
        <f t="shared" si="4"/>
        <v>2019.1804265586093</v>
      </c>
      <c r="G27" s="2">
        <f t="shared" si="5"/>
        <v>1918.2214052306788</v>
      </c>
      <c r="H27">
        <f t="shared" si="6"/>
        <v>100.95902132793049</v>
      </c>
      <c r="I27" s="2">
        <f>I26*(1+supuestos!$C$8)</f>
        <v>1350.821133809163</v>
      </c>
      <c r="J27">
        <f t="shared" si="7"/>
        <v>136377.57965845853</v>
      </c>
      <c r="K27" s="4">
        <f>J27/supuestos!$C$10</f>
        <v>42617.993643268288</v>
      </c>
    </row>
    <row r="28" spans="2:11" x14ac:dyDescent="0.25">
      <c r="B28">
        <v>2037</v>
      </c>
      <c r="C28">
        <v>16.399999999999999</v>
      </c>
      <c r="D28">
        <f>C28*(1-supuestos!$C$6)</f>
        <v>15.579999999999998</v>
      </c>
      <c r="E28" s="2">
        <f>E27*(1+supuestos!$C$7)</f>
        <v>12435196.529415827</v>
      </c>
      <c r="F28" s="2">
        <f t="shared" si="4"/>
        <v>2039.3722308241956</v>
      </c>
      <c r="G28" s="2">
        <f t="shared" si="5"/>
        <v>1937.4036192829858</v>
      </c>
      <c r="H28">
        <f t="shared" si="6"/>
        <v>101.96861154120984</v>
      </c>
      <c r="I28" s="2">
        <f>I27*(1+supuestos!$C$8)</f>
        <v>1377.8375564853463</v>
      </c>
      <c r="J28">
        <f t="shared" si="7"/>
        <v>140496.18256414405</v>
      </c>
      <c r="K28" s="4">
        <f>J28/supuestos!$C$10</f>
        <v>43905.057051295014</v>
      </c>
    </row>
    <row r="29" spans="2:11" x14ac:dyDescent="0.25">
      <c r="B29">
        <v>2038</v>
      </c>
      <c r="C29">
        <v>16.399999999999999</v>
      </c>
      <c r="D29">
        <f>C29*(1-supuestos!$C$6)</f>
        <v>15.579999999999998</v>
      </c>
      <c r="E29" s="2">
        <f>E28*(1+supuestos!$C$7)</f>
        <v>12559548.494709985</v>
      </c>
      <c r="F29" s="2">
        <f t="shared" si="4"/>
        <v>2059.7659531324375</v>
      </c>
      <c r="G29" s="2">
        <f t="shared" si="5"/>
        <v>1956.7776554758154</v>
      </c>
      <c r="H29">
        <f t="shared" si="6"/>
        <v>102.98829765662208</v>
      </c>
      <c r="I29" s="2">
        <f>I28*(1+supuestos!$C$8)</f>
        <v>1405.3943076150533</v>
      </c>
      <c r="J29">
        <f t="shared" si="7"/>
        <v>144739.16727758141</v>
      </c>
      <c r="K29" s="4">
        <f>J29/supuestos!$C$10</f>
        <v>45230.98977424419</v>
      </c>
    </row>
    <row r="30" spans="2:11" x14ac:dyDescent="0.25">
      <c r="B30">
        <v>2039</v>
      </c>
      <c r="C30">
        <v>16.399999999999999</v>
      </c>
      <c r="D30">
        <f>C30*(1-supuestos!$C$6)</f>
        <v>15.579999999999998</v>
      </c>
      <c r="E30" s="2">
        <f>E29*(1+supuestos!$C$7)</f>
        <v>12685143.979657086</v>
      </c>
      <c r="F30" s="2">
        <f t="shared" si="4"/>
        <v>2080.3636126637621</v>
      </c>
      <c r="G30" s="2">
        <f t="shared" si="5"/>
        <v>1976.3454320305736</v>
      </c>
      <c r="H30">
        <f t="shared" si="6"/>
        <v>104.01818063318842</v>
      </c>
      <c r="I30" s="2">
        <f>I29*(1+supuestos!$C$8)</f>
        <v>1433.5021937673544</v>
      </c>
      <c r="J30">
        <f t="shared" si="7"/>
        <v>149110.29012936453</v>
      </c>
      <c r="K30" s="4">
        <f>J30/supuestos!$C$10</f>
        <v>46596.965665426411</v>
      </c>
    </row>
    <row r="31" spans="2:11" x14ac:dyDescent="0.25">
      <c r="B31">
        <v>2040</v>
      </c>
      <c r="C31">
        <v>16.399999999999999</v>
      </c>
      <c r="D31">
        <f>C31*(1-supuestos!$C$6)</f>
        <v>15.579999999999998</v>
      </c>
      <c r="E31" s="2">
        <f>E30*(1+supuestos!$C$7)</f>
        <v>12811995.419453656</v>
      </c>
      <c r="F31" s="2">
        <f t="shared" si="4"/>
        <v>2101.1672487903998</v>
      </c>
      <c r="G31" s="2">
        <f t="shared" si="5"/>
        <v>1996.1088863508796</v>
      </c>
      <c r="H31">
        <f t="shared" si="6"/>
        <v>105.05836243952012</v>
      </c>
      <c r="I31" s="2">
        <f>I30*(1+supuestos!$C$8)</f>
        <v>1462.1722376427015</v>
      </c>
      <c r="J31">
        <f t="shared" si="7"/>
        <v>153613.42089127109</v>
      </c>
      <c r="K31" s="4">
        <f>J31/supuestos!$C$10</f>
        <v>48004.194028522215</v>
      </c>
    </row>
    <row r="32" spans="2:11" x14ac:dyDescent="0.25">
      <c r="C32" s="6"/>
      <c r="D32" s="6"/>
      <c r="E32" s="6"/>
      <c r="F32" s="6"/>
      <c r="G32" s="6"/>
      <c r="H32" s="6"/>
      <c r="I32" s="2"/>
    </row>
    <row r="33" spans="3:9" x14ac:dyDescent="0.25">
      <c r="C33" s="6"/>
      <c r="D33" s="6"/>
      <c r="E33" s="6"/>
      <c r="F33" s="6"/>
      <c r="G33" s="6"/>
      <c r="H33" s="6"/>
      <c r="I33" s="2"/>
    </row>
    <row r="34" spans="3:9" x14ac:dyDescent="0.25">
      <c r="C34" s="6"/>
      <c r="D34" s="6"/>
      <c r="E34" s="6"/>
      <c r="F34" s="6"/>
      <c r="G34" s="6"/>
      <c r="H34" s="6"/>
      <c r="I34" s="2"/>
    </row>
    <row r="35" spans="3:9" x14ac:dyDescent="0.25">
      <c r="C35" s="6"/>
      <c r="D35" s="6"/>
      <c r="E35" s="6"/>
      <c r="F35" s="6"/>
      <c r="G35" s="6"/>
      <c r="H35" s="6"/>
      <c r="I35" s="2"/>
    </row>
    <row r="36" spans="3:9" x14ac:dyDescent="0.25">
      <c r="C36" s="6"/>
      <c r="D36" s="6"/>
      <c r="E36" s="6"/>
      <c r="F36" s="6"/>
      <c r="G36" s="6"/>
      <c r="H36" s="6"/>
      <c r="I36" s="2"/>
    </row>
    <row r="37" spans="3:9" x14ac:dyDescent="0.25">
      <c r="C37" s="6"/>
      <c r="D37" s="6"/>
      <c r="E37" s="6"/>
      <c r="F37" s="6"/>
      <c r="G37" s="6"/>
      <c r="H37" s="6"/>
      <c r="I37" s="2"/>
    </row>
    <row r="38" spans="3:9" x14ac:dyDescent="0.25">
      <c r="C38" s="6"/>
      <c r="D38" s="6"/>
      <c r="E38" s="6"/>
      <c r="F38" s="6"/>
      <c r="G38" s="6"/>
      <c r="H38" s="6"/>
      <c r="I38" s="2"/>
    </row>
    <row r="39" spans="3:9" x14ac:dyDescent="0.25">
      <c r="C39" s="6"/>
      <c r="D39" s="6"/>
      <c r="E39" s="6"/>
      <c r="F39" s="6"/>
      <c r="G39" s="6"/>
      <c r="H39" s="6"/>
      <c r="I39" s="2"/>
    </row>
    <row r="40" spans="3:9" x14ac:dyDescent="0.25">
      <c r="C40" s="6"/>
      <c r="D40" s="6"/>
      <c r="E40" s="6"/>
      <c r="F40" s="6"/>
      <c r="G40" s="6"/>
      <c r="H40" s="6"/>
      <c r="I40" s="2"/>
    </row>
    <row r="41" spans="3:9" x14ac:dyDescent="0.25">
      <c r="C41" s="6"/>
      <c r="D41" s="6"/>
      <c r="E41" s="6"/>
      <c r="F41" s="6"/>
      <c r="G41" s="6"/>
      <c r="H41" s="6"/>
      <c r="I41" s="2"/>
    </row>
    <row r="42" spans="3:9" x14ac:dyDescent="0.25">
      <c r="C42" s="6"/>
      <c r="D42" s="6"/>
      <c r="E42" s="6"/>
      <c r="F42" s="6"/>
      <c r="G42" s="6"/>
      <c r="H42" s="6"/>
      <c r="I42" s="2"/>
    </row>
    <row r="43" spans="3:9" x14ac:dyDescent="0.25">
      <c r="C43" s="6"/>
      <c r="D43" s="6"/>
      <c r="E43" s="6"/>
      <c r="F43" s="6"/>
      <c r="G43" s="6"/>
      <c r="H43" s="6"/>
      <c r="I43" s="2"/>
    </row>
    <row r="44" spans="3:9" x14ac:dyDescent="0.25">
      <c r="C44" s="6"/>
      <c r="D44" s="6"/>
      <c r="E44" s="6"/>
      <c r="F44" s="6"/>
      <c r="G44" s="6"/>
      <c r="H44" s="6"/>
      <c r="I44" s="2"/>
    </row>
    <row r="45" spans="3:9" x14ac:dyDescent="0.25">
      <c r="C45" s="6"/>
      <c r="D45" s="6"/>
      <c r="E45" s="6"/>
      <c r="F45" s="6"/>
      <c r="G45" s="6"/>
      <c r="H45" s="6"/>
      <c r="I45" s="2"/>
    </row>
    <row r="46" spans="3:9" x14ac:dyDescent="0.25">
      <c r="C46" s="6"/>
      <c r="D46" s="6"/>
      <c r="E46" s="6"/>
      <c r="F46" s="6"/>
      <c r="G46" s="6"/>
      <c r="H46" s="6"/>
      <c r="I46" s="2"/>
    </row>
    <row r="47" spans="3:9" x14ac:dyDescent="0.25">
      <c r="C47" s="6"/>
      <c r="D47" s="6"/>
      <c r="E47" s="6"/>
      <c r="F47" s="6"/>
      <c r="G47" s="6"/>
      <c r="H47" s="6"/>
      <c r="I47" s="2"/>
    </row>
    <row r="48" spans="3:9" x14ac:dyDescent="0.25">
      <c r="C48" s="6"/>
      <c r="D48" s="6"/>
      <c r="E48" s="6"/>
      <c r="F48" s="6"/>
      <c r="G48" s="6"/>
      <c r="H48" s="6"/>
      <c r="I48" s="2"/>
    </row>
    <row r="49" spans="3:9" x14ac:dyDescent="0.25">
      <c r="C49" s="6"/>
      <c r="D49" s="6"/>
      <c r="E49" s="6"/>
      <c r="F49" s="6"/>
      <c r="G49" s="6"/>
      <c r="H49" s="6"/>
      <c r="I49" s="2"/>
    </row>
    <row r="50" spans="3:9" x14ac:dyDescent="0.25">
      <c r="C50" s="6"/>
      <c r="D50" s="6"/>
      <c r="E50" s="6"/>
      <c r="F50" s="6"/>
      <c r="G50" s="6"/>
      <c r="H50" s="6"/>
      <c r="I50" s="2"/>
    </row>
    <row r="51" spans="3:9" x14ac:dyDescent="0.25">
      <c r="C51" s="6"/>
      <c r="D51" s="6"/>
      <c r="E51" s="6"/>
      <c r="F51" s="6"/>
      <c r="G51" s="6"/>
      <c r="H51" s="6"/>
      <c r="I51" s="2"/>
    </row>
    <row r="52" spans="3:9" x14ac:dyDescent="0.25">
      <c r="I52" s="2"/>
    </row>
    <row r="53" spans="3:9" x14ac:dyDescent="0.25">
      <c r="I53" s="2"/>
    </row>
    <row r="54" spans="3:9" x14ac:dyDescent="0.25">
      <c r="I54" s="2"/>
    </row>
    <row r="55" spans="3:9" x14ac:dyDescent="0.25">
      <c r="I55" s="2"/>
    </row>
    <row r="56" spans="3:9" x14ac:dyDescent="0.25">
      <c r="I56" s="2"/>
    </row>
    <row r="57" spans="3:9" x14ac:dyDescent="0.25">
      <c r="I57" s="2"/>
    </row>
    <row r="58" spans="3:9" x14ac:dyDescent="0.25">
      <c r="I58" s="2"/>
    </row>
    <row r="59" spans="3:9" x14ac:dyDescent="0.25">
      <c r="I59" s="2"/>
    </row>
    <row r="60" spans="3:9" x14ac:dyDescent="0.25">
      <c r="I60" s="2"/>
    </row>
    <row r="61" spans="3:9" x14ac:dyDescent="0.25">
      <c r="I61" s="2"/>
    </row>
    <row r="62" spans="3:9" x14ac:dyDescent="0.25">
      <c r="I62" s="2"/>
    </row>
    <row r="63" spans="3:9" x14ac:dyDescent="0.25">
      <c r="I63" s="2"/>
    </row>
    <row r="64" spans="3: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6" spans="9:9" x14ac:dyDescent="0.25">
      <c r="I76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1" spans="9:9" x14ac:dyDescent="0.25">
      <c r="I81" s="2"/>
    </row>
    <row r="82" spans="9:9" x14ac:dyDescent="0.25">
      <c r="I82" s="2"/>
    </row>
    <row r="83" spans="9:9" x14ac:dyDescent="0.25">
      <c r="I83" s="2"/>
    </row>
    <row r="84" spans="9:9" x14ac:dyDescent="0.25">
      <c r="I84" s="2"/>
    </row>
    <row r="85" spans="9:9" x14ac:dyDescent="0.25">
      <c r="I85" s="2"/>
    </row>
    <row r="86" spans="9:9" x14ac:dyDescent="0.25">
      <c r="I86" s="2"/>
    </row>
    <row r="87" spans="9:9" x14ac:dyDescent="0.25">
      <c r="I87" s="2"/>
    </row>
    <row r="88" spans="9:9" x14ac:dyDescent="0.25">
      <c r="I88" s="2"/>
    </row>
    <row r="89" spans="9:9" x14ac:dyDescent="0.25">
      <c r="I89" s="2"/>
    </row>
    <row r="90" spans="9:9" x14ac:dyDescent="0.25">
      <c r="I90" s="2"/>
    </row>
    <row r="91" spans="9:9" x14ac:dyDescent="0.25">
      <c r="I91" s="2"/>
    </row>
    <row r="92" spans="9:9" x14ac:dyDescent="0.25">
      <c r="I92" s="2"/>
    </row>
    <row r="93" spans="9:9" x14ac:dyDescent="0.25">
      <c r="I93" s="2"/>
    </row>
    <row r="94" spans="9:9" x14ac:dyDescent="0.25">
      <c r="I94" s="2"/>
    </row>
    <row r="95" spans="9:9" x14ac:dyDescent="0.25">
      <c r="I95" s="2"/>
    </row>
    <row r="96" spans="9:9" x14ac:dyDescent="0.25">
      <c r="I96" s="2"/>
    </row>
    <row r="97" spans="9:9" x14ac:dyDescent="0.25">
      <c r="I97" s="2"/>
    </row>
    <row r="98" spans="9:9" x14ac:dyDescent="0.25">
      <c r="I98" s="2"/>
    </row>
  </sheetData>
  <mergeCells count="1">
    <mergeCell ref="H3:K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14DCC-F016-459C-8A42-6232F4A13521}">
  <dimension ref="A2:K98"/>
  <sheetViews>
    <sheetView topLeftCell="H7" workbookViewId="0">
      <selection activeCell="J12" sqref="J12:J31"/>
    </sheetView>
  </sheetViews>
  <sheetFormatPr defaultRowHeight="15" x14ac:dyDescent="0.25"/>
  <cols>
    <col min="2" max="2" width="15.85546875" customWidth="1"/>
    <col min="3" max="4" width="19.42578125" customWidth="1"/>
    <col min="5" max="5" width="28" customWidth="1"/>
    <col min="6" max="6" width="14.7109375" customWidth="1"/>
    <col min="7" max="7" width="21.85546875" customWidth="1"/>
    <col min="8" max="8" width="35.7109375" customWidth="1"/>
    <col min="9" max="9" width="25" customWidth="1"/>
    <col min="10" max="10" width="15.140625" customWidth="1"/>
    <col min="11" max="11" width="16.5703125" customWidth="1"/>
  </cols>
  <sheetData>
    <row r="2" spans="1:11" ht="42" customHeight="1" x14ac:dyDescent="0.25">
      <c r="A2" s="5"/>
      <c r="B2" s="5" t="s">
        <v>3</v>
      </c>
      <c r="C2" s="5" t="s">
        <v>1</v>
      </c>
      <c r="D2" s="5" t="s">
        <v>46</v>
      </c>
      <c r="E2" s="5" t="s">
        <v>2</v>
      </c>
      <c r="F2" s="5" t="s">
        <v>23</v>
      </c>
      <c r="G2" s="5" t="s">
        <v>24</v>
      </c>
      <c r="H2" s="5" t="s">
        <v>25</v>
      </c>
      <c r="I2" s="5" t="s">
        <v>21</v>
      </c>
      <c r="J2" s="5" t="s">
        <v>13</v>
      </c>
      <c r="K2" s="5" t="s">
        <v>15</v>
      </c>
    </row>
    <row r="3" spans="1:11" x14ac:dyDescent="0.25">
      <c r="B3">
        <v>2012</v>
      </c>
      <c r="D3">
        <f t="shared" ref="D3:D9" si="0">C3</f>
        <v>0</v>
      </c>
      <c r="E3">
        <v>5000000</v>
      </c>
      <c r="F3">
        <f t="shared" ref="F3:F6" si="1">E3/100000*C3</f>
        <v>0</v>
      </c>
      <c r="G3">
        <f t="shared" ref="G3:G6" si="2">E3/100000*D3</f>
        <v>0</v>
      </c>
      <c r="H3" s="54"/>
      <c r="I3" s="54"/>
      <c r="J3" s="54"/>
      <c r="K3" s="54"/>
    </row>
    <row r="4" spans="1:11" x14ac:dyDescent="0.25">
      <c r="B4">
        <v>2013</v>
      </c>
      <c r="D4">
        <f t="shared" si="0"/>
        <v>0</v>
      </c>
      <c r="E4">
        <v>5000000</v>
      </c>
      <c r="F4">
        <f t="shared" si="1"/>
        <v>0</v>
      </c>
      <c r="G4">
        <f t="shared" si="2"/>
        <v>0</v>
      </c>
      <c r="H4" s="54"/>
      <c r="I4" s="54"/>
      <c r="J4" s="54"/>
      <c r="K4" s="54"/>
    </row>
    <row r="5" spans="1:11" x14ac:dyDescent="0.25">
      <c r="B5">
        <v>2014</v>
      </c>
      <c r="D5">
        <f t="shared" si="0"/>
        <v>0</v>
      </c>
      <c r="E5">
        <v>5000000</v>
      </c>
      <c r="F5">
        <f t="shared" si="1"/>
        <v>0</v>
      </c>
      <c r="G5">
        <f t="shared" si="2"/>
        <v>0</v>
      </c>
      <c r="H5" s="54"/>
      <c r="I5" s="54"/>
      <c r="J5" s="54"/>
      <c r="K5" s="54"/>
    </row>
    <row r="6" spans="1:11" x14ac:dyDescent="0.25">
      <c r="B6">
        <v>2015</v>
      </c>
      <c r="D6">
        <f t="shared" si="0"/>
        <v>0</v>
      </c>
      <c r="E6">
        <v>5000000</v>
      </c>
      <c r="F6">
        <f t="shared" si="1"/>
        <v>0</v>
      </c>
      <c r="G6">
        <f t="shared" si="2"/>
        <v>0</v>
      </c>
      <c r="H6" s="54"/>
      <c r="I6" s="54"/>
      <c r="J6" s="54"/>
      <c r="K6" s="54"/>
    </row>
    <row r="7" spans="1:11" x14ac:dyDescent="0.25">
      <c r="B7">
        <v>2016</v>
      </c>
      <c r="D7">
        <f t="shared" si="0"/>
        <v>0</v>
      </c>
      <c r="E7">
        <v>5000000</v>
      </c>
      <c r="F7">
        <f>E7/100000*C7</f>
        <v>0</v>
      </c>
      <c r="G7">
        <f>E7/100000*D7</f>
        <v>0</v>
      </c>
      <c r="H7" s="54"/>
      <c r="I7" s="54"/>
      <c r="J7" s="54"/>
      <c r="K7" s="54"/>
    </row>
    <row r="8" spans="1:11" x14ac:dyDescent="0.25">
      <c r="B8">
        <v>2017</v>
      </c>
      <c r="D8">
        <f t="shared" si="0"/>
        <v>0</v>
      </c>
      <c r="E8">
        <v>5000000</v>
      </c>
      <c r="F8">
        <f t="shared" ref="F8:F31" si="3">E8/100000*C8</f>
        <v>0</v>
      </c>
      <c r="G8">
        <f t="shared" ref="G8:G31" si="4">E8/100000*D8</f>
        <v>0</v>
      </c>
      <c r="H8" s="54"/>
      <c r="I8" s="54"/>
      <c r="J8" s="54"/>
      <c r="K8" s="54"/>
    </row>
    <row r="9" spans="1:11" x14ac:dyDescent="0.25">
      <c r="B9">
        <v>2018</v>
      </c>
      <c r="D9">
        <f t="shared" si="0"/>
        <v>0</v>
      </c>
      <c r="E9">
        <v>5000000</v>
      </c>
      <c r="F9">
        <f t="shared" si="3"/>
        <v>0</v>
      </c>
      <c r="G9">
        <f t="shared" si="4"/>
        <v>0</v>
      </c>
      <c r="H9" s="54"/>
      <c r="I9" s="54"/>
      <c r="J9" s="54"/>
      <c r="K9" s="54"/>
    </row>
    <row r="10" spans="1:11" x14ac:dyDescent="0.25">
      <c r="B10">
        <v>2019</v>
      </c>
      <c r="D10">
        <f>C10</f>
        <v>0</v>
      </c>
      <c r="E10">
        <v>5000000</v>
      </c>
      <c r="F10">
        <f t="shared" si="3"/>
        <v>0</v>
      </c>
      <c r="G10">
        <f t="shared" si="4"/>
        <v>0</v>
      </c>
      <c r="H10" s="54"/>
      <c r="I10" s="54"/>
      <c r="J10" s="54"/>
      <c r="K10" s="54"/>
    </row>
    <row r="11" spans="1:11" x14ac:dyDescent="0.25">
      <c r="B11">
        <v>2020</v>
      </c>
      <c r="C11">
        <v>2.2999999999999998</v>
      </c>
      <c r="D11">
        <f>C11*(1-supuestos!$C$6)</f>
        <v>2.1849999999999996</v>
      </c>
      <c r="E11">
        <f>E10*(1+supuestos!$C$7)</f>
        <v>5050000</v>
      </c>
      <c r="F11">
        <f t="shared" si="3"/>
        <v>116.14999999999999</v>
      </c>
      <c r="G11" s="2">
        <f t="shared" si="4"/>
        <v>110.34249999999999</v>
      </c>
      <c r="H11" s="2">
        <f t="shared" ref="H11:H31" si="5">F11-G11</f>
        <v>5.8075000000000045</v>
      </c>
      <c r="I11" s="2">
        <v>10000</v>
      </c>
      <c r="J11">
        <f>H11*I11</f>
        <v>58075.000000000044</v>
      </c>
      <c r="K11" s="4">
        <f>J11/supuestos!$C$10</f>
        <v>18148.437500000011</v>
      </c>
    </row>
    <row r="12" spans="1:11" x14ac:dyDescent="0.25">
      <c r="B12">
        <v>2021</v>
      </c>
      <c r="C12">
        <v>2.2999999999999998</v>
      </c>
      <c r="D12">
        <f>C12*(1-supuestos!$C$6)</f>
        <v>2.1849999999999996</v>
      </c>
      <c r="E12">
        <f>E11*(1+supuestos!$C$7)</f>
        <v>5100500</v>
      </c>
      <c r="F12" s="2">
        <f t="shared" si="3"/>
        <v>117.3115</v>
      </c>
      <c r="G12" s="2">
        <f t="shared" si="4"/>
        <v>111.44592499999999</v>
      </c>
      <c r="H12" s="2">
        <f t="shared" si="5"/>
        <v>5.8655750000000069</v>
      </c>
      <c r="I12" s="2">
        <f>I11*(1+supuestos!$C$8)</f>
        <v>10200</v>
      </c>
      <c r="J12" s="2">
        <f t="shared" ref="J12:J31" si="6">H12*I12</f>
        <v>59828.865000000071</v>
      </c>
      <c r="K12" s="4">
        <f>J12/supuestos!$C$10</f>
        <v>18696.520312500023</v>
      </c>
    </row>
    <row r="13" spans="1:11" x14ac:dyDescent="0.25">
      <c r="B13">
        <v>2022</v>
      </c>
      <c r="C13">
        <v>2.2999999999999998</v>
      </c>
      <c r="D13">
        <f>C13*(1-supuestos!$C$6)</f>
        <v>2.1849999999999996</v>
      </c>
      <c r="E13" s="2">
        <f>E12*(1+supuestos!$C$7)</f>
        <v>5151505</v>
      </c>
      <c r="F13" s="2">
        <f t="shared" si="3"/>
        <v>118.48461499999999</v>
      </c>
      <c r="G13" s="2">
        <f t="shared" si="4"/>
        <v>112.56038424999998</v>
      </c>
      <c r="H13" s="2">
        <f t="shared" si="5"/>
        <v>5.9242307500000067</v>
      </c>
      <c r="I13" s="2">
        <f>I12*(1+supuestos!$C$8)</f>
        <v>10404</v>
      </c>
      <c r="J13" s="2">
        <f t="shared" si="6"/>
        <v>61635.696723000066</v>
      </c>
      <c r="K13" s="4">
        <f>J13/supuestos!$C$10</f>
        <v>19261.15522593752</v>
      </c>
    </row>
    <row r="14" spans="1:11" x14ac:dyDescent="0.25">
      <c r="B14">
        <v>2023</v>
      </c>
      <c r="C14">
        <v>2.2999999999999998</v>
      </c>
      <c r="D14">
        <f>C14*(1-supuestos!$C$6)</f>
        <v>2.1849999999999996</v>
      </c>
      <c r="E14" s="2">
        <f>E13*(1+supuestos!$C$7)</f>
        <v>5203020.05</v>
      </c>
      <c r="F14" s="2">
        <f t="shared" si="3"/>
        <v>119.66946114999999</v>
      </c>
      <c r="G14" s="2">
        <f t="shared" si="4"/>
        <v>113.68598809249998</v>
      </c>
      <c r="H14" s="2">
        <f t="shared" si="5"/>
        <v>5.9834730575000066</v>
      </c>
      <c r="I14" s="2">
        <f>I13*(1+supuestos!$C$8)</f>
        <v>10612.08</v>
      </c>
      <c r="J14" s="2">
        <f t="shared" si="6"/>
        <v>63497.094764034671</v>
      </c>
      <c r="K14" s="4">
        <f>J14/supuestos!$C$10</f>
        <v>19842.842113760835</v>
      </c>
    </row>
    <row r="15" spans="1:11" x14ac:dyDescent="0.25">
      <c r="B15">
        <v>2024</v>
      </c>
      <c r="C15">
        <v>2.2999999999999998</v>
      </c>
      <c r="D15">
        <f>C15*(1-supuestos!$C$6)</f>
        <v>2.1849999999999996</v>
      </c>
      <c r="E15" s="2">
        <f>E14*(1+supuestos!$C$7)</f>
        <v>5255050.2505000001</v>
      </c>
      <c r="F15" s="2">
        <f t="shared" si="3"/>
        <v>120.8661557615</v>
      </c>
      <c r="G15" s="2">
        <f t="shared" si="4"/>
        <v>114.82284797342498</v>
      </c>
      <c r="H15" s="2">
        <f t="shared" si="5"/>
        <v>6.0433077880750119</v>
      </c>
      <c r="I15" s="2">
        <f>I14*(1+supuestos!$C$8)</f>
        <v>10824.321599999999</v>
      </c>
      <c r="J15" s="2">
        <f t="shared" si="6"/>
        <v>65414.707025908567</v>
      </c>
      <c r="K15" s="4">
        <f>J15/supuestos!$C$10</f>
        <v>20442.095945596426</v>
      </c>
    </row>
    <row r="16" spans="1:11" x14ac:dyDescent="0.25">
      <c r="B16">
        <v>2025</v>
      </c>
      <c r="C16">
        <v>2.2999999999999998</v>
      </c>
      <c r="D16">
        <f>C16*(1-supuestos!$C$6)</f>
        <v>2.1849999999999996</v>
      </c>
      <c r="E16" s="2">
        <f>E15*(1+supuestos!$C$7)</f>
        <v>5307600.7530049998</v>
      </c>
      <c r="F16" s="2">
        <f t="shared" si="3"/>
        <v>122.07481731911498</v>
      </c>
      <c r="G16" s="2">
        <f t="shared" si="4"/>
        <v>115.97107645315923</v>
      </c>
      <c r="H16" s="2">
        <f t="shared" si="5"/>
        <v>6.103740865955757</v>
      </c>
      <c r="I16" s="2">
        <f>I15*(1+supuestos!$C$8)</f>
        <v>11040.808031999999</v>
      </c>
      <c r="J16" s="2">
        <f t="shared" si="6"/>
        <v>67390.231178090951</v>
      </c>
      <c r="K16" s="4">
        <f>J16/supuestos!$C$10</f>
        <v>21059.44724315342</v>
      </c>
    </row>
    <row r="17" spans="2:11" x14ac:dyDescent="0.25">
      <c r="B17">
        <v>2026</v>
      </c>
      <c r="C17">
        <v>2.2999999999999998</v>
      </c>
      <c r="D17">
        <f>C17*(1-supuestos!$C$6)</f>
        <v>2.1849999999999996</v>
      </c>
      <c r="E17" s="2">
        <f>E16*(1+supuestos!$C$7)</f>
        <v>5360676.7605350502</v>
      </c>
      <c r="F17" s="2">
        <f t="shared" si="3"/>
        <v>123.29556549230615</v>
      </c>
      <c r="G17" s="2">
        <f t="shared" si="4"/>
        <v>117.13078721769084</v>
      </c>
      <c r="H17" s="2">
        <f t="shared" si="5"/>
        <v>6.1647782746153155</v>
      </c>
      <c r="I17" s="2">
        <f>I16*(1+supuestos!$C$8)</f>
        <v>11261.62419264</v>
      </c>
      <c r="J17" s="2">
        <f t="shared" si="6"/>
        <v>69425.416159669316</v>
      </c>
      <c r="K17" s="4">
        <f>J17/supuestos!$C$10</f>
        <v>21695.442549896659</v>
      </c>
    </row>
    <row r="18" spans="2:11" x14ac:dyDescent="0.25">
      <c r="B18">
        <v>2027</v>
      </c>
      <c r="C18">
        <v>2.2999999999999998</v>
      </c>
      <c r="D18">
        <f>C18*(1-supuestos!$C$6)</f>
        <v>2.1849999999999996</v>
      </c>
      <c r="E18" s="2">
        <f>E17*(1+supuestos!$C$7)</f>
        <v>5414283.5281404005</v>
      </c>
      <c r="F18" s="2">
        <f t="shared" si="3"/>
        <v>124.5285211472292</v>
      </c>
      <c r="G18" s="2">
        <f t="shared" si="4"/>
        <v>118.30209508986773</v>
      </c>
      <c r="H18" s="2">
        <f t="shared" si="5"/>
        <v>6.2264260573614649</v>
      </c>
      <c r="I18" s="2">
        <f>I17*(1+supuestos!$C$8)</f>
        <v>11486.8566764928</v>
      </c>
      <c r="J18" s="2">
        <f t="shared" si="6"/>
        <v>71522.063727691289</v>
      </c>
      <c r="K18" s="4">
        <f>J18/supuestos!$C$10</f>
        <v>22350.644914903525</v>
      </c>
    </row>
    <row r="19" spans="2:11" x14ac:dyDescent="0.25">
      <c r="B19">
        <v>2028</v>
      </c>
      <c r="C19">
        <v>2.2999999999999998</v>
      </c>
      <c r="D19">
        <f>C19*(1-supuestos!$C$6)</f>
        <v>2.1849999999999996</v>
      </c>
      <c r="E19" s="2">
        <f>E18*(1+supuestos!$C$7)</f>
        <v>5468426.3634218043</v>
      </c>
      <c r="F19" s="2">
        <f t="shared" si="3"/>
        <v>125.77380635870149</v>
      </c>
      <c r="G19" s="2">
        <f t="shared" si="4"/>
        <v>119.4851160407664</v>
      </c>
      <c r="H19" s="2">
        <f t="shared" si="5"/>
        <v>6.2886903179350924</v>
      </c>
      <c r="I19" s="2">
        <f>I18*(1+supuestos!$C$8)</f>
        <v>11716.593810022656</v>
      </c>
      <c r="J19" s="2">
        <f t="shared" si="6"/>
        <v>73682.030052267713</v>
      </c>
      <c r="K19" s="4">
        <f>J19/supuestos!$C$10</f>
        <v>23025.63439133366</v>
      </c>
    </row>
    <row r="20" spans="2:11" x14ac:dyDescent="0.25">
      <c r="B20">
        <v>2029</v>
      </c>
      <c r="C20">
        <v>2.2999999999999998</v>
      </c>
      <c r="D20">
        <f>C20*(1-supuestos!$C$6)</f>
        <v>2.1849999999999996</v>
      </c>
      <c r="E20" s="2">
        <f>E19*(1+supuestos!$C$7)</f>
        <v>5523110.6270560222</v>
      </c>
      <c r="F20" s="2">
        <f t="shared" si="3"/>
        <v>127.03154442228849</v>
      </c>
      <c r="G20" s="2">
        <f t="shared" si="4"/>
        <v>120.67996720117405</v>
      </c>
      <c r="H20" s="2">
        <f t="shared" si="5"/>
        <v>6.3515772211144395</v>
      </c>
      <c r="I20" s="2">
        <f>I19*(1+supuestos!$C$8)</f>
        <v>11950.925686223109</v>
      </c>
      <c r="J20" s="2">
        <f t="shared" si="6"/>
        <v>75907.227359846147</v>
      </c>
      <c r="K20" s="4">
        <f>J20/supuestos!$C$10</f>
        <v>23721.008549951919</v>
      </c>
    </row>
    <row r="21" spans="2:11" x14ac:dyDescent="0.25">
      <c r="B21">
        <v>2030</v>
      </c>
      <c r="C21">
        <v>2.2999999999999998</v>
      </c>
      <c r="D21">
        <f>C21*(1-supuestos!$C$6)</f>
        <v>2.1849999999999996</v>
      </c>
      <c r="E21" s="2">
        <f>E20*(1+supuestos!$C$7)</f>
        <v>5578341.7333265822</v>
      </c>
      <c r="F21" s="2">
        <f t="shared" si="3"/>
        <v>128.30185986651139</v>
      </c>
      <c r="G21" s="2">
        <f t="shared" si="4"/>
        <v>121.88676687318581</v>
      </c>
      <c r="H21" s="2">
        <f t="shared" si="5"/>
        <v>6.4150929933255867</v>
      </c>
      <c r="I21" s="2">
        <f>I20*(1+supuestos!$C$8)</f>
        <v>12189.944199947571</v>
      </c>
      <c r="J21" s="2">
        <f t="shared" si="6"/>
        <v>78199.625626113542</v>
      </c>
      <c r="K21" s="4">
        <f>J21/supuestos!$C$10</f>
        <v>24437.383008160479</v>
      </c>
    </row>
    <row r="22" spans="2:11" x14ac:dyDescent="0.25">
      <c r="B22">
        <v>2031</v>
      </c>
      <c r="C22">
        <v>2.2999999999999998</v>
      </c>
      <c r="D22">
        <f>C22*(1-supuestos!$C$6)</f>
        <v>2.1849999999999996</v>
      </c>
      <c r="E22" s="2">
        <f>E21*(1+supuestos!$C$7)</f>
        <v>5634125.150659848</v>
      </c>
      <c r="F22" s="2">
        <f t="shared" si="3"/>
        <v>129.5848784651765</v>
      </c>
      <c r="G22" s="2">
        <f t="shared" si="4"/>
        <v>123.10563454191767</v>
      </c>
      <c r="H22" s="2">
        <f t="shared" si="5"/>
        <v>6.479243923258835</v>
      </c>
      <c r="I22" s="2">
        <f>I21*(1+supuestos!$C$8)</f>
        <v>12433.743083946523</v>
      </c>
      <c r="J22" s="2">
        <f t="shared" si="6"/>
        <v>80561.254320022083</v>
      </c>
      <c r="K22" s="4">
        <f>J22/supuestos!$C$10</f>
        <v>25175.3919750069</v>
      </c>
    </row>
    <row r="23" spans="2:11" x14ac:dyDescent="0.25">
      <c r="B23">
        <v>2032</v>
      </c>
      <c r="C23">
        <v>2.2999999999999998</v>
      </c>
      <c r="D23">
        <f>C23*(1-supuestos!$C$6)</f>
        <v>2.1849999999999996</v>
      </c>
      <c r="E23" s="2">
        <f>E22*(1+supuestos!$C$7)</f>
        <v>5690466.4021664467</v>
      </c>
      <c r="F23" s="2">
        <f t="shared" si="3"/>
        <v>130.88072724982825</v>
      </c>
      <c r="G23" s="2">
        <f t="shared" si="4"/>
        <v>124.33669088733684</v>
      </c>
      <c r="H23" s="2">
        <f t="shared" si="5"/>
        <v>6.5440363624914113</v>
      </c>
      <c r="I23" s="2">
        <f>I22*(1+supuestos!$C$8)</f>
        <v>12682.417945625453</v>
      </c>
      <c r="J23" s="2">
        <f t="shared" si="6"/>
        <v>82994.204200486594</v>
      </c>
      <c r="K23" s="4">
        <f>J23/supuestos!$C$10</f>
        <v>25935.688812652061</v>
      </c>
    </row>
    <row r="24" spans="2:11" x14ac:dyDescent="0.25">
      <c r="B24">
        <v>2033</v>
      </c>
      <c r="C24">
        <v>2.2999999999999998</v>
      </c>
      <c r="D24">
        <f>C24*(1-supuestos!$C$6)</f>
        <v>2.1849999999999996</v>
      </c>
      <c r="E24" s="2">
        <f>E23*(1+supuestos!$C$7)</f>
        <v>5747371.066188111</v>
      </c>
      <c r="F24" s="2">
        <f t="shared" si="3"/>
        <v>132.18953452232654</v>
      </c>
      <c r="G24" s="2">
        <f t="shared" si="4"/>
        <v>125.5800577962102</v>
      </c>
      <c r="H24" s="2">
        <f t="shared" si="5"/>
        <v>6.6094767261163412</v>
      </c>
      <c r="I24" s="2">
        <f>I23*(1+supuestos!$C$8)</f>
        <v>12936.066304537962</v>
      </c>
      <c r="J24" s="2">
        <f t="shared" si="6"/>
        <v>85500.629167341482</v>
      </c>
      <c r="K24" s="4">
        <f>J24/supuestos!$C$10</f>
        <v>26718.946614794211</v>
      </c>
    </row>
    <row r="25" spans="2:11" x14ac:dyDescent="0.25">
      <c r="B25">
        <v>2034</v>
      </c>
      <c r="C25">
        <v>2.2999999999999998</v>
      </c>
      <c r="D25">
        <f>C25*(1-supuestos!$C$6)</f>
        <v>2.1849999999999996</v>
      </c>
      <c r="E25" s="2">
        <f>E24*(1+supuestos!$C$7)</f>
        <v>5804844.7768499926</v>
      </c>
      <c r="F25" s="2">
        <f t="shared" si="3"/>
        <v>133.51142986754982</v>
      </c>
      <c r="G25" s="2">
        <f t="shared" si="4"/>
        <v>126.83585837417232</v>
      </c>
      <c r="H25" s="2">
        <f t="shared" si="5"/>
        <v>6.6755714933775039</v>
      </c>
      <c r="I25" s="2">
        <f>I24*(1+supuestos!$C$8)</f>
        <v>13194.787630628722</v>
      </c>
      <c r="J25" s="2">
        <f t="shared" si="6"/>
        <v>88082.74816819519</v>
      </c>
      <c r="K25" s="4">
        <f>J25/supuestos!$C$10</f>
        <v>27525.858802560997</v>
      </c>
    </row>
    <row r="26" spans="2:11" x14ac:dyDescent="0.25">
      <c r="B26">
        <v>2035</v>
      </c>
      <c r="C26">
        <v>2.2999999999999998</v>
      </c>
      <c r="D26">
        <f>C26*(1-supuestos!$C$6)</f>
        <v>2.1849999999999996</v>
      </c>
      <c r="E26" s="2">
        <f>E25*(1+supuestos!$C$7)</f>
        <v>5862893.2246184926</v>
      </c>
      <c r="F26" s="2">
        <f t="shared" si="3"/>
        <v>134.84654416622533</v>
      </c>
      <c r="G26" s="2">
        <f t="shared" si="4"/>
        <v>128.10421695791405</v>
      </c>
      <c r="H26" s="2">
        <f t="shared" si="5"/>
        <v>6.7423272083112806</v>
      </c>
      <c r="I26" s="2">
        <f>I25*(1+supuestos!$C$8)</f>
        <v>13458.683383241296</v>
      </c>
      <c r="J26" s="2">
        <f t="shared" si="6"/>
        <v>90742.847162874707</v>
      </c>
      <c r="K26" s="4">
        <f>J26/supuestos!$C$10</f>
        <v>28357.139738398346</v>
      </c>
    </row>
    <row r="27" spans="2:11" x14ac:dyDescent="0.25">
      <c r="B27">
        <v>2036</v>
      </c>
      <c r="C27">
        <v>2.2999999999999998</v>
      </c>
      <c r="D27">
        <f>C27*(1-supuestos!$C$6)</f>
        <v>2.1849999999999996</v>
      </c>
      <c r="E27" s="2">
        <f>E26*(1+supuestos!$C$7)</f>
        <v>5921522.1568646776</v>
      </c>
      <c r="F27" s="2">
        <f t="shared" si="3"/>
        <v>136.19500960788758</v>
      </c>
      <c r="G27" s="2">
        <f t="shared" si="4"/>
        <v>129.38525912749319</v>
      </c>
      <c r="H27" s="2">
        <f t="shared" si="5"/>
        <v>6.8097504803943991</v>
      </c>
      <c r="I27" s="2">
        <f>I26*(1+supuestos!$C$8)</f>
        <v>13727.857050906123</v>
      </c>
      <c r="J27" s="2">
        <f t="shared" si="6"/>
        <v>93483.281147193615</v>
      </c>
      <c r="K27" s="4">
        <f>J27/supuestos!$C$10</f>
        <v>29213.525358498002</v>
      </c>
    </row>
    <row r="28" spans="2:11" x14ac:dyDescent="0.25">
      <c r="B28">
        <v>2037</v>
      </c>
      <c r="C28">
        <v>2.2999999999999998</v>
      </c>
      <c r="D28">
        <f>C28*(1-supuestos!$C$6)</f>
        <v>2.1849999999999996</v>
      </c>
      <c r="E28" s="2">
        <f>E27*(1+supuestos!$C$7)</f>
        <v>5980737.3784333244</v>
      </c>
      <c r="F28" s="2">
        <f t="shared" si="3"/>
        <v>137.55695970396644</v>
      </c>
      <c r="G28" s="2">
        <f t="shared" si="4"/>
        <v>130.67911171876813</v>
      </c>
      <c r="H28" s="2">
        <f t="shared" si="5"/>
        <v>6.877847985198315</v>
      </c>
      <c r="I28" s="2">
        <f>I27*(1+supuestos!$C$8)</f>
        <v>14002.414191924245</v>
      </c>
      <c r="J28" s="2">
        <f t="shared" si="6"/>
        <v>96306.476237838462</v>
      </c>
      <c r="K28" s="4">
        <f>J28/supuestos!$C$10</f>
        <v>30095.773824324519</v>
      </c>
    </row>
    <row r="29" spans="2:11" x14ac:dyDescent="0.25">
      <c r="B29">
        <v>2038</v>
      </c>
      <c r="C29">
        <v>2.2999999999999998</v>
      </c>
      <c r="D29">
        <f>C29*(1-supuestos!$C$6)</f>
        <v>2.1849999999999996</v>
      </c>
      <c r="E29" s="2">
        <f>E28*(1+supuestos!$C$7)</f>
        <v>6040544.7522176579</v>
      </c>
      <c r="F29" s="2">
        <f t="shared" si="3"/>
        <v>138.93252930100613</v>
      </c>
      <c r="G29" s="2">
        <f t="shared" si="4"/>
        <v>131.98590283595581</v>
      </c>
      <c r="H29" s="2">
        <f t="shared" si="5"/>
        <v>6.9466264650503149</v>
      </c>
      <c r="I29" s="2">
        <f>I28*(1+supuestos!$C$8)</f>
        <v>14282.46247576273</v>
      </c>
      <c r="J29" s="2">
        <f t="shared" si="6"/>
        <v>99214.93182022142</v>
      </c>
      <c r="K29" s="4">
        <f>J29/supuestos!$C$10</f>
        <v>31004.666193819194</v>
      </c>
    </row>
    <row r="30" spans="2:11" x14ac:dyDescent="0.25">
      <c r="B30">
        <v>2039</v>
      </c>
      <c r="C30">
        <v>2.2999999999999998</v>
      </c>
      <c r="D30">
        <f>C30*(1-supuestos!$C$6)</f>
        <v>2.1849999999999996</v>
      </c>
      <c r="E30" s="2">
        <f>E29*(1+supuestos!$C$7)</f>
        <v>6100950.1997398343</v>
      </c>
      <c r="F30" s="2">
        <f t="shared" si="3"/>
        <v>140.32185459401617</v>
      </c>
      <c r="G30" s="2">
        <f t="shared" si="4"/>
        <v>133.30576186431537</v>
      </c>
      <c r="H30" s="2">
        <f t="shared" si="5"/>
        <v>7.0160927297008016</v>
      </c>
      <c r="I30" s="2">
        <f>I29*(1+supuestos!$C$8)</f>
        <v>14568.111725277984</v>
      </c>
      <c r="J30" s="2">
        <f t="shared" si="6"/>
        <v>102211.22276119186</v>
      </c>
      <c r="K30" s="4">
        <f>J30/supuestos!$C$10</f>
        <v>31941.007112872456</v>
      </c>
    </row>
    <row r="31" spans="2:11" x14ac:dyDescent="0.25">
      <c r="B31">
        <v>2040</v>
      </c>
      <c r="C31">
        <v>2.2999999999999998</v>
      </c>
      <c r="D31">
        <f>C31*(1-supuestos!$C$6)</f>
        <v>2.1849999999999996</v>
      </c>
      <c r="E31" s="2">
        <f>E30*(1+supuestos!$C$7)</f>
        <v>6161959.7017372325</v>
      </c>
      <c r="F31" s="2">
        <f t="shared" si="3"/>
        <v>141.72507313995635</v>
      </c>
      <c r="G31" s="2">
        <f t="shared" si="4"/>
        <v>134.63881948295852</v>
      </c>
      <c r="H31" s="2">
        <f t="shared" si="5"/>
        <v>7.0862536569978261</v>
      </c>
      <c r="I31" s="2">
        <f>I30*(1+supuestos!$C$8)</f>
        <v>14859.473959783543</v>
      </c>
      <c r="J31" s="2">
        <f t="shared" si="6"/>
        <v>105298.0016885801</v>
      </c>
      <c r="K31" s="4">
        <f>J31/supuestos!$C$10</f>
        <v>32905.625527681281</v>
      </c>
    </row>
    <row r="32" spans="2:11" x14ac:dyDescent="0.25">
      <c r="C32" s="6"/>
      <c r="D32" s="6"/>
      <c r="E32" s="6"/>
      <c r="F32" s="6"/>
      <c r="G32" s="6"/>
      <c r="H32" s="6"/>
      <c r="I32" s="2"/>
    </row>
    <row r="33" spans="3:9" x14ac:dyDescent="0.25">
      <c r="C33" s="6"/>
      <c r="D33" s="6"/>
      <c r="E33" s="6"/>
      <c r="F33" s="6"/>
      <c r="G33" s="6"/>
      <c r="H33" s="6"/>
      <c r="I33" s="2"/>
    </row>
    <row r="34" spans="3:9" x14ac:dyDescent="0.25">
      <c r="C34" s="6"/>
      <c r="D34" s="6"/>
      <c r="E34" s="6"/>
      <c r="F34" s="6"/>
      <c r="G34" s="6"/>
      <c r="H34" s="6"/>
      <c r="I34" s="2"/>
    </row>
    <row r="35" spans="3:9" x14ac:dyDescent="0.25">
      <c r="C35" s="6"/>
      <c r="D35" s="6"/>
      <c r="E35" s="6"/>
      <c r="F35" s="6"/>
      <c r="G35" s="6"/>
      <c r="H35" s="6"/>
      <c r="I35" s="2"/>
    </row>
    <row r="36" spans="3:9" x14ac:dyDescent="0.25">
      <c r="C36" s="6"/>
      <c r="D36" s="6"/>
      <c r="E36" s="6"/>
      <c r="F36" s="6"/>
      <c r="G36" s="6"/>
      <c r="H36" s="6"/>
      <c r="I36" s="2"/>
    </row>
    <row r="37" spans="3:9" x14ac:dyDescent="0.25">
      <c r="C37" s="6"/>
      <c r="D37" s="6"/>
      <c r="E37" s="6"/>
      <c r="F37" s="6"/>
      <c r="G37" s="6"/>
      <c r="H37" s="6"/>
      <c r="I37" s="2"/>
    </row>
    <row r="38" spans="3:9" x14ac:dyDescent="0.25">
      <c r="C38" s="6"/>
      <c r="D38" s="6"/>
      <c r="E38" s="6"/>
      <c r="F38" s="6"/>
      <c r="G38" s="6"/>
      <c r="H38" s="6"/>
      <c r="I38" s="2"/>
    </row>
    <row r="39" spans="3:9" x14ac:dyDescent="0.25">
      <c r="C39" s="6"/>
      <c r="D39" s="6"/>
      <c r="E39" s="6"/>
      <c r="F39" s="6"/>
      <c r="G39" s="6"/>
      <c r="H39" s="6"/>
      <c r="I39" s="2"/>
    </row>
    <row r="40" spans="3:9" x14ac:dyDescent="0.25">
      <c r="C40" s="6"/>
      <c r="D40" s="6"/>
      <c r="E40" s="6"/>
      <c r="F40" s="6"/>
      <c r="G40" s="6"/>
      <c r="H40" s="6"/>
      <c r="I40" s="2"/>
    </row>
    <row r="41" spans="3:9" x14ac:dyDescent="0.25">
      <c r="C41" s="6"/>
      <c r="D41" s="6"/>
      <c r="E41" s="6"/>
      <c r="F41" s="6"/>
      <c r="G41" s="6"/>
      <c r="H41" s="6"/>
      <c r="I41" s="2"/>
    </row>
    <row r="42" spans="3:9" x14ac:dyDescent="0.25">
      <c r="C42" s="6"/>
      <c r="D42" s="6"/>
      <c r="E42" s="6"/>
      <c r="F42" s="6"/>
      <c r="G42" s="6"/>
      <c r="H42" s="6"/>
      <c r="I42" s="2"/>
    </row>
    <row r="43" spans="3:9" x14ac:dyDescent="0.25">
      <c r="C43" s="6"/>
      <c r="D43" s="6"/>
      <c r="E43" s="6"/>
      <c r="F43" s="6"/>
      <c r="G43" s="6"/>
      <c r="H43" s="6"/>
      <c r="I43" s="2"/>
    </row>
    <row r="44" spans="3:9" x14ac:dyDescent="0.25">
      <c r="C44" s="6"/>
      <c r="D44" s="6"/>
      <c r="E44" s="6"/>
      <c r="F44" s="6"/>
      <c r="G44" s="6"/>
      <c r="H44" s="6"/>
      <c r="I44" s="2"/>
    </row>
    <row r="45" spans="3:9" x14ac:dyDescent="0.25">
      <c r="C45" s="6"/>
      <c r="D45" s="6"/>
      <c r="E45" s="6"/>
      <c r="F45" s="6"/>
      <c r="G45" s="6"/>
      <c r="H45" s="6"/>
      <c r="I45" s="2"/>
    </row>
    <row r="46" spans="3:9" x14ac:dyDescent="0.25">
      <c r="C46" s="6"/>
      <c r="D46" s="6"/>
      <c r="E46" s="6"/>
      <c r="F46" s="6"/>
      <c r="G46" s="6"/>
      <c r="H46" s="6"/>
      <c r="I46" s="2"/>
    </row>
    <row r="47" spans="3:9" x14ac:dyDescent="0.25">
      <c r="C47" s="6"/>
      <c r="D47" s="6"/>
      <c r="E47" s="6"/>
      <c r="F47" s="6"/>
      <c r="G47" s="6"/>
      <c r="H47" s="6"/>
      <c r="I47" s="2"/>
    </row>
    <row r="48" spans="3:9" x14ac:dyDescent="0.25">
      <c r="C48" s="6"/>
      <c r="D48" s="6"/>
      <c r="E48" s="6"/>
      <c r="F48" s="6"/>
      <c r="G48" s="6"/>
      <c r="H48" s="6"/>
      <c r="I48" s="2"/>
    </row>
    <row r="49" spans="3:9" x14ac:dyDescent="0.25">
      <c r="C49" s="6"/>
      <c r="D49" s="6"/>
      <c r="E49" s="6"/>
      <c r="F49" s="6"/>
      <c r="G49" s="6"/>
      <c r="H49" s="6"/>
      <c r="I49" s="2"/>
    </row>
    <row r="50" spans="3:9" x14ac:dyDescent="0.25">
      <c r="C50" s="6"/>
      <c r="D50" s="6"/>
      <c r="E50" s="6"/>
      <c r="F50" s="6"/>
      <c r="G50" s="6"/>
      <c r="H50" s="6"/>
      <c r="I50" s="2"/>
    </row>
    <row r="51" spans="3:9" x14ac:dyDescent="0.25">
      <c r="C51" s="6"/>
      <c r="D51" s="6"/>
      <c r="E51" s="6"/>
      <c r="F51" s="6"/>
      <c r="G51" s="6"/>
      <c r="H51" s="6"/>
      <c r="I51" s="2"/>
    </row>
    <row r="52" spans="3:9" x14ac:dyDescent="0.25">
      <c r="I52" s="2"/>
    </row>
    <row r="53" spans="3:9" x14ac:dyDescent="0.25">
      <c r="I53" s="2"/>
    </row>
    <row r="54" spans="3:9" x14ac:dyDescent="0.25">
      <c r="I54" s="2"/>
    </row>
    <row r="55" spans="3:9" x14ac:dyDescent="0.25">
      <c r="I55" s="2"/>
    </row>
    <row r="56" spans="3:9" x14ac:dyDescent="0.25">
      <c r="I56" s="2"/>
    </row>
    <row r="57" spans="3:9" x14ac:dyDescent="0.25">
      <c r="I57" s="2"/>
    </row>
    <row r="58" spans="3:9" x14ac:dyDescent="0.25">
      <c r="I58" s="2"/>
    </row>
    <row r="59" spans="3:9" x14ac:dyDescent="0.25">
      <c r="I59" s="2"/>
    </row>
    <row r="60" spans="3:9" x14ac:dyDescent="0.25">
      <c r="I60" s="2"/>
    </row>
    <row r="61" spans="3:9" x14ac:dyDescent="0.25">
      <c r="I61" s="2"/>
    </row>
    <row r="62" spans="3:9" x14ac:dyDescent="0.25">
      <c r="I62" s="2"/>
    </row>
    <row r="63" spans="3:9" x14ac:dyDescent="0.25">
      <c r="I63" s="2"/>
    </row>
    <row r="64" spans="3: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6" spans="9:9" x14ac:dyDescent="0.25">
      <c r="I76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1" spans="9:9" x14ac:dyDescent="0.25">
      <c r="I81" s="2"/>
    </row>
    <row r="82" spans="9:9" x14ac:dyDescent="0.25">
      <c r="I82" s="2"/>
    </row>
    <row r="83" spans="9:9" x14ac:dyDescent="0.25">
      <c r="I83" s="2"/>
    </row>
    <row r="84" spans="9:9" x14ac:dyDescent="0.25">
      <c r="I84" s="2"/>
    </row>
    <row r="85" spans="9:9" x14ac:dyDescent="0.25">
      <c r="I85" s="2"/>
    </row>
    <row r="86" spans="9:9" x14ac:dyDescent="0.25">
      <c r="I86" s="2"/>
    </row>
    <row r="87" spans="9:9" x14ac:dyDescent="0.25">
      <c r="I87" s="2"/>
    </row>
    <row r="88" spans="9:9" x14ac:dyDescent="0.25">
      <c r="I88" s="2"/>
    </row>
    <row r="89" spans="9:9" x14ac:dyDescent="0.25">
      <c r="I89" s="2"/>
    </row>
    <row r="90" spans="9:9" x14ac:dyDescent="0.25">
      <c r="I90" s="2"/>
    </row>
    <row r="91" spans="9:9" x14ac:dyDescent="0.25">
      <c r="I91" s="2"/>
    </row>
    <row r="92" spans="9:9" x14ac:dyDescent="0.25">
      <c r="I92" s="2"/>
    </row>
    <row r="93" spans="9:9" x14ac:dyDescent="0.25">
      <c r="I93" s="2"/>
    </row>
    <row r="94" spans="9:9" x14ac:dyDescent="0.25">
      <c r="I94" s="2"/>
    </row>
    <row r="95" spans="9:9" x14ac:dyDescent="0.25">
      <c r="I95" s="2"/>
    </row>
    <row r="96" spans="9:9" x14ac:dyDescent="0.25">
      <c r="I96" s="2"/>
    </row>
    <row r="97" spans="9:9" x14ac:dyDescent="0.25">
      <c r="I97" s="2"/>
    </row>
    <row r="98" spans="9:9" x14ac:dyDescent="0.25">
      <c r="I98" s="2"/>
    </row>
  </sheetData>
  <mergeCells count="1">
    <mergeCell ref="H3:K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919C4-D618-4858-9787-8BCE105FD28E}">
  <dimension ref="A1:V68"/>
  <sheetViews>
    <sheetView tabSelected="1" topLeftCell="A56" workbookViewId="0">
      <selection activeCell="A64" sqref="A64"/>
    </sheetView>
  </sheetViews>
  <sheetFormatPr defaultColWidth="9.140625" defaultRowHeight="15" x14ac:dyDescent="0.25"/>
  <cols>
    <col min="1" max="1" width="46.140625" customWidth="1"/>
    <col min="2" max="2" width="23.140625" style="7" customWidth="1"/>
    <col min="3" max="3" width="15.28515625" style="7" customWidth="1"/>
    <col min="4" max="4" width="20.85546875" style="7" customWidth="1"/>
    <col min="5" max="7" width="15.28515625" style="7" customWidth="1"/>
    <col min="8" max="8" width="15.28515625" style="7" bestFit="1" customWidth="1"/>
    <col min="9" max="10" width="15.28515625" style="7" customWidth="1"/>
    <col min="11" max="11" width="17.5703125" style="7" customWidth="1"/>
    <col min="12" max="12" width="18.5703125" customWidth="1"/>
    <col min="13" max="13" width="17.28515625" customWidth="1"/>
    <col min="14" max="14" width="17.5703125" customWidth="1"/>
    <col min="15" max="15" width="16" customWidth="1"/>
    <col min="16" max="16" width="16.5703125" customWidth="1"/>
    <col min="17" max="17" width="22.7109375" customWidth="1"/>
    <col min="18" max="18" width="17.42578125" customWidth="1"/>
    <col min="19" max="19" width="14.140625" customWidth="1"/>
    <col min="20" max="20" width="13.85546875" customWidth="1"/>
    <col min="21" max="21" width="19.85546875" customWidth="1"/>
    <col min="22" max="22" width="10.85546875" customWidth="1"/>
    <col min="23" max="23" width="10.42578125" customWidth="1"/>
    <col min="24" max="24" width="11" customWidth="1"/>
    <col min="25" max="26" width="11.42578125" customWidth="1"/>
    <col min="27" max="27" width="10.140625" customWidth="1"/>
    <col min="28" max="28" width="11" customWidth="1"/>
    <col min="29" max="29" width="10.7109375" customWidth="1"/>
    <col min="30" max="30" width="13.42578125" customWidth="1"/>
  </cols>
  <sheetData>
    <row r="1" spans="1:22" x14ac:dyDescent="0.25">
      <c r="A1" s="55" t="s">
        <v>49</v>
      </c>
      <c r="B1" s="55"/>
      <c r="C1" s="55"/>
      <c r="D1" s="55"/>
    </row>
    <row r="2" spans="1:22" x14ac:dyDescent="0.25">
      <c r="A2" s="55"/>
      <c r="B2" s="55"/>
      <c r="C2" s="55"/>
      <c r="D2" s="55"/>
    </row>
    <row r="3" spans="1:22" ht="7.9" customHeight="1" x14ac:dyDescent="0.25"/>
    <row r="4" spans="1:22" ht="7.9" customHeight="1" x14ac:dyDescent="0.25">
      <c r="S4" s="8"/>
    </row>
    <row r="5" spans="1:22" ht="15" customHeight="1" x14ac:dyDescent="0.25">
      <c r="A5" t="s">
        <v>26</v>
      </c>
      <c r="B5" s="9">
        <v>0.12</v>
      </c>
      <c r="S5" s="8"/>
    </row>
    <row r="6" spans="1:22" ht="15" customHeight="1" x14ac:dyDescent="0.25">
      <c r="A6" t="s">
        <v>27</v>
      </c>
      <c r="B6" s="10">
        <f>56593000</f>
        <v>56593000</v>
      </c>
    </row>
    <row r="7" spans="1:22" ht="9.6" customHeight="1" x14ac:dyDescent="0.25"/>
    <row r="8" spans="1:22" ht="9.6" customHeight="1" x14ac:dyDescent="0.25">
      <c r="B8" s="9"/>
    </row>
    <row r="9" spans="1:22" s="13" customFormat="1" ht="15" customHeight="1" x14ac:dyDescent="0.25">
      <c r="A9" s="11" t="s">
        <v>28</v>
      </c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22" ht="15" customHeight="1" x14ac:dyDescent="0.25">
      <c r="B10" s="14">
        <v>2020</v>
      </c>
      <c r="C10" s="14">
        <v>2021</v>
      </c>
      <c r="D10" s="14">
        <v>2022</v>
      </c>
      <c r="E10" s="14">
        <v>2023</v>
      </c>
      <c r="F10" s="14">
        <v>2024</v>
      </c>
      <c r="G10" s="14">
        <v>2025</v>
      </c>
      <c r="H10" s="14">
        <v>2026</v>
      </c>
      <c r="I10" s="14">
        <v>2027</v>
      </c>
      <c r="J10" s="14">
        <v>2028</v>
      </c>
      <c r="K10" s="14">
        <v>2029</v>
      </c>
      <c r="L10" s="14">
        <v>2030</v>
      </c>
      <c r="M10" s="14">
        <v>2031</v>
      </c>
      <c r="N10" s="14">
        <v>2032</v>
      </c>
      <c r="O10" s="14">
        <v>2033</v>
      </c>
      <c r="P10" s="14">
        <v>2034</v>
      </c>
      <c r="Q10" s="14">
        <v>2035</v>
      </c>
      <c r="R10" s="14">
        <v>2036</v>
      </c>
      <c r="S10" s="14">
        <v>2037</v>
      </c>
      <c r="T10" s="14">
        <v>2038</v>
      </c>
      <c r="U10" s="14">
        <v>2039</v>
      </c>
    </row>
    <row r="11" spans="1:22" ht="15" customHeight="1" x14ac:dyDescent="0.25">
      <c r="A11" s="15" t="s">
        <v>29</v>
      </c>
      <c r="B11" s="16">
        <v>0</v>
      </c>
      <c r="C11" s="16">
        <v>1</v>
      </c>
      <c r="D11" s="16">
        <v>2</v>
      </c>
      <c r="E11" s="16">
        <v>3</v>
      </c>
      <c r="F11" s="16">
        <v>4</v>
      </c>
      <c r="G11" s="16">
        <v>5</v>
      </c>
      <c r="H11" s="16">
        <v>6</v>
      </c>
      <c r="I11" s="16">
        <v>7</v>
      </c>
      <c r="J11" s="16">
        <v>8</v>
      </c>
      <c r="K11" s="16">
        <v>9</v>
      </c>
      <c r="L11" s="16">
        <v>10</v>
      </c>
      <c r="M11" s="16">
        <v>11</v>
      </c>
      <c r="N11" s="16">
        <v>12</v>
      </c>
      <c r="O11" s="16">
        <v>13</v>
      </c>
      <c r="P11" s="16">
        <v>14</v>
      </c>
      <c r="Q11" s="16">
        <v>15</v>
      </c>
      <c r="R11" s="16">
        <v>16</v>
      </c>
      <c r="S11" s="16">
        <v>17</v>
      </c>
      <c r="T11" s="16">
        <v>18</v>
      </c>
      <c r="U11" s="16">
        <v>19</v>
      </c>
    </row>
    <row r="12" spans="1:22" x14ac:dyDescent="0.25">
      <c r="A12" s="17" t="s">
        <v>0</v>
      </c>
      <c r="B12" s="18">
        <f>Homicidios!$L11</f>
        <v>15282656.672631713</v>
      </c>
      <c r="C12" s="18">
        <f>Homicidios!$L12</f>
        <v>15744192.904145189</v>
      </c>
      <c r="D12" s="18">
        <f>Homicidios!$L13</f>
        <v>16219667.529850369</v>
      </c>
      <c r="E12" s="18">
        <f>Homicidios!$L14</f>
        <v>16709501.489251858</v>
      </c>
      <c r="F12" s="18">
        <f>Homicidios!$L15</f>
        <v>17214128.434227265</v>
      </c>
      <c r="G12" s="18">
        <f>Homicidios!$L16</f>
        <v>17733995.112940919</v>
      </c>
      <c r="H12" s="18">
        <f>Homicidios!$L17</f>
        <v>18269561.765351731</v>
      </c>
      <c r="I12" s="18">
        <f>Homicidios!$L18</f>
        <v>18821302.530665379</v>
      </c>
      <c r="J12" s="18">
        <f>Homicidios!$L19</f>
        <v>19389705.867091458</v>
      </c>
      <c r="K12" s="18">
        <f>Homicidios!$L20</f>
        <v>19975274.984277625</v>
      </c>
      <c r="L12" s="18">
        <f>Homicidios!$L21</f>
        <v>20578528.288802803</v>
      </c>
      <c r="M12" s="18">
        <f>Homicidios!$L22</f>
        <v>21199999.843124662</v>
      </c>
      <c r="N12" s="18">
        <f>Homicidios!$L23</f>
        <v>21840239.838387024</v>
      </c>
      <c r="O12" s="18">
        <f>Homicidios!$L24</f>
        <v>22499815.081506308</v>
      </c>
      <c r="P12" s="18">
        <f>Homicidios!$L25</f>
        <v>23179309.496967785</v>
      </c>
      <c r="Q12" s="18">
        <f>Homicidios!$L26</f>
        <v>23879324.643776231</v>
      </c>
      <c r="R12" s="18">
        <f>Homicidios!$L27</f>
        <v>24600480.248018272</v>
      </c>
      <c r="S12" s="18">
        <f>Homicidios!$L28</f>
        <v>25343414.75150843</v>
      </c>
      <c r="T12" s="18">
        <f>Homicidios!$L29</f>
        <v>26108785.877003968</v>
      </c>
      <c r="U12" s="18">
        <f>Homicidios!$L30</f>
        <v>26897271.210489515</v>
      </c>
      <c r="V12" s="18"/>
    </row>
    <row r="13" spans="1:22" x14ac:dyDescent="0.25">
      <c r="A13" s="17" t="s">
        <v>47</v>
      </c>
      <c r="B13" s="18">
        <f>Robo!$K11</f>
        <v>26475.749999999971</v>
      </c>
      <c r="C13" s="18">
        <f>Robo!$K12</f>
        <v>27275.317650000005</v>
      </c>
      <c r="D13" s="18">
        <f>Robo!$K13</f>
        <v>28099.032243029997</v>
      </c>
      <c r="E13" s="18">
        <f>Robo!$K14</f>
        <v>28947.62301676955</v>
      </c>
      <c r="F13" s="18">
        <f>Robo!$K15</f>
        <v>29821.841231875973</v>
      </c>
      <c r="G13" s="18">
        <f>Robo!$K16</f>
        <v>30722.460837078626</v>
      </c>
      <c r="H13" s="18">
        <f>Robo!$K17</f>
        <v>31650.279154358424</v>
      </c>
      <c r="I13" s="18">
        <f>Robo!$K18</f>
        <v>32606.117584819993</v>
      </c>
      <c r="J13" s="18">
        <f>Robo!$K19</f>
        <v>33590.822335881639</v>
      </c>
      <c r="K13" s="18">
        <f>Robo!$K20</f>
        <v>34605.26517042522</v>
      </c>
      <c r="L13" s="18">
        <f>Robo!$K21</f>
        <v>35650.344178572101</v>
      </c>
      <c r="M13" s="18">
        <f>Robo!$K22</f>
        <v>36726.984572764952</v>
      </c>
      <c r="N13" s="18">
        <f>Robo!$K23</f>
        <v>37836.139506862441</v>
      </c>
      <c r="O13" s="18">
        <f>Robo!$K24</f>
        <v>38978.790919969739</v>
      </c>
      <c r="P13" s="18">
        <f>Robo!$K25</f>
        <v>40155.950405752737</v>
      </c>
      <c r="Q13" s="18">
        <f>Robo!$K26</f>
        <v>41368.660108006552</v>
      </c>
      <c r="R13" s="18">
        <f>Robo!$K27</f>
        <v>42617.993643268288</v>
      </c>
      <c r="S13" s="18">
        <f>Robo!$K28</f>
        <v>43905.057051295014</v>
      </c>
      <c r="T13" s="18">
        <f>Robo!$K29</f>
        <v>45230.98977424419</v>
      </c>
      <c r="U13" s="18">
        <f>Robo!$K30</f>
        <v>46596.965665426411</v>
      </c>
    </row>
    <row r="14" spans="1:22" x14ac:dyDescent="0.25">
      <c r="A14" s="17" t="s">
        <v>48</v>
      </c>
      <c r="B14" s="18">
        <f>'Robo vehiculos'!$K11</f>
        <v>18148.437500000011</v>
      </c>
      <c r="C14" s="18">
        <f>'Robo vehiculos'!$K12</f>
        <v>18696.520312500023</v>
      </c>
      <c r="D14" s="18">
        <f>'Robo vehiculos'!$K13</f>
        <v>19261.15522593752</v>
      </c>
      <c r="E14" s="18">
        <f>'Robo vehiculos'!$K14</f>
        <v>19842.842113760835</v>
      </c>
      <c r="F14" s="18">
        <f>'Robo vehiculos'!$K15</f>
        <v>20442.095945596426</v>
      </c>
      <c r="G14" s="18">
        <f>'Robo vehiculos'!$K16</f>
        <v>21059.44724315342</v>
      </c>
      <c r="H14" s="18">
        <f>'Robo vehiculos'!$K17</f>
        <v>21695.442549896659</v>
      </c>
      <c r="I14" s="18">
        <f>'Robo vehiculos'!$K18</f>
        <v>22350.644914903525</v>
      </c>
      <c r="J14" s="18">
        <f>'Robo vehiculos'!$K19</f>
        <v>23025.63439133366</v>
      </c>
      <c r="K14" s="18">
        <f>'Robo vehiculos'!$K20</f>
        <v>23721.008549951919</v>
      </c>
      <c r="L14" s="18">
        <f>'Robo vehiculos'!$K21</f>
        <v>24437.383008160479</v>
      </c>
      <c r="M14" s="18">
        <f>'Robo vehiculos'!$K22</f>
        <v>25175.3919750069</v>
      </c>
      <c r="N14" s="18">
        <f>'Robo vehiculos'!$K23</f>
        <v>25935.688812652061</v>
      </c>
      <c r="O14" s="18">
        <f>'Robo vehiculos'!$K24</f>
        <v>26718.946614794211</v>
      </c>
      <c r="P14" s="18">
        <f>'Robo vehiculos'!$K25</f>
        <v>27525.858802560997</v>
      </c>
      <c r="Q14" s="18">
        <f>'Robo vehiculos'!$K26</f>
        <v>28357.139738398346</v>
      </c>
      <c r="R14" s="18">
        <f>'Robo vehiculos'!$K27</f>
        <v>29213.525358498002</v>
      </c>
      <c r="S14" s="18">
        <f>'Robo vehiculos'!$K28</f>
        <v>30095.773824324519</v>
      </c>
      <c r="T14" s="18">
        <f>'Robo vehiculos'!$K29</f>
        <v>31004.666193819194</v>
      </c>
      <c r="U14" s="18">
        <f>'Robo vehiculos'!$K30</f>
        <v>31941.007112872456</v>
      </c>
    </row>
    <row r="15" spans="1:22" ht="15" customHeight="1" x14ac:dyDescent="0.25">
      <c r="A15" s="19" t="s">
        <v>30</v>
      </c>
      <c r="B15" s="18">
        <f>SUM(B12:B13)</f>
        <v>15309132.422631713</v>
      </c>
      <c r="C15" s="18">
        <f t="shared" ref="C15:Q15" si="0">SUM(C12:C14)</f>
        <v>15790164.742107688</v>
      </c>
      <c r="D15" s="18">
        <f t="shared" si="0"/>
        <v>16267027.717319338</v>
      </c>
      <c r="E15" s="18">
        <f t="shared" si="0"/>
        <v>16758291.954382388</v>
      </c>
      <c r="F15" s="18">
        <f t="shared" si="0"/>
        <v>17264392.371404737</v>
      </c>
      <c r="G15" s="18">
        <f>SUM(G12:G14)</f>
        <v>17785777.02102115</v>
      </c>
      <c r="H15" s="18">
        <f t="shared" si="0"/>
        <v>18322907.487055983</v>
      </c>
      <c r="I15" s="18">
        <f t="shared" si="0"/>
        <v>18876259.293165103</v>
      </c>
      <c r="J15" s="18">
        <f t="shared" si="0"/>
        <v>19446322.323818672</v>
      </c>
      <c r="K15" s="18">
        <f t="shared" si="0"/>
        <v>20033601.257998001</v>
      </c>
      <c r="L15" s="18">
        <f t="shared" si="0"/>
        <v>20638616.015989535</v>
      </c>
      <c r="M15" s="18">
        <f t="shared" si="0"/>
        <v>21261902.219672434</v>
      </c>
      <c r="N15" s="18">
        <f t="shared" si="0"/>
        <v>21904011.666706536</v>
      </c>
      <c r="O15" s="18">
        <f t="shared" si="0"/>
        <v>22565512.819041073</v>
      </c>
      <c r="P15" s="18">
        <f t="shared" si="0"/>
        <v>23246991.3061761</v>
      </c>
      <c r="Q15" s="18">
        <f t="shared" si="0"/>
        <v>23949050.443622638</v>
      </c>
      <c r="R15" s="18">
        <f t="shared" ref="R15:U15" si="1">SUM(R12:R14)</f>
        <v>24672311.767020039</v>
      </c>
      <c r="S15" s="18">
        <f t="shared" si="1"/>
        <v>25417415.582384046</v>
      </c>
      <c r="T15" s="18">
        <f t="shared" si="1"/>
        <v>26185021.532972034</v>
      </c>
      <c r="U15" s="18">
        <f t="shared" si="1"/>
        <v>26975809.183267813</v>
      </c>
    </row>
    <row r="16" spans="1:22" ht="15" customHeight="1" x14ac:dyDescent="0.25">
      <c r="A16" s="19" t="s">
        <v>31</v>
      </c>
      <c r="B16" s="18">
        <f t="shared" ref="B16:Q16" si="2">B15/(1+$B$5)^B11</f>
        <v>15309132.422631713</v>
      </c>
      <c r="C16" s="18">
        <f t="shared" si="2"/>
        <v>14098361.376881862</v>
      </c>
      <c r="D16" s="18">
        <f t="shared" si="2"/>
        <v>12967974.902199725</v>
      </c>
      <c r="E16" s="18">
        <f t="shared" si="2"/>
        <v>11928221.200219786</v>
      </c>
      <c r="F16" s="18">
        <f t="shared" si="2"/>
        <v>10971833.464702165</v>
      </c>
      <c r="G16" s="18">
        <f t="shared" si="2"/>
        <v>10092127.531550147</v>
      </c>
      <c r="H16" s="18">
        <f t="shared" si="2"/>
        <v>9282955.1633954961</v>
      </c>
      <c r="I16" s="18">
        <f t="shared" si="2"/>
        <v>8538661.0797589775</v>
      </c>
      <c r="J16" s="18">
        <f t="shared" si="2"/>
        <v>7854043.4324711524</v>
      </c>
      <c r="K16" s="18">
        <f t="shared" si="2"/>
        <v>7224317.4501176625</v>
      </c>
      <c r="L16" s="18">
        <f t="shared" si="2"/>
        <v>6645081.9974207263</v>
      </c>
      <c r="M16" s="18">
        <f t="shared" si="2"/>
        <v>6112288.8158418182</v>
      </c>
      <c r="N16" s="18">
        <f t="shared" si="2"/>
        <v>5622214.2304287851</v>
      </c>
      <c r="O16" s="18">
        <f t="shared" si="2"/>
        <v>5171433.1251676194</v>
      </c>
      <c r="P16" s="18">
        <f t="shared" si="2"/>
        <v>4756795.0049532838</v>
      </c>
      <c r="Q16" s="18">
        <f t="shared" si="2"/>
        <v>4375401.9768775692</v>
      </c>
      <c r="R16" s="18">
        <f t="shared" ref="R16:U16" si="3">R15/(1+$B$5)^R11</f>
        <v>4024588.4969457774</v>
      </c>
      <c r="S16" s="18">
        <f t="shared" si="3"/>
        <v>3701902.7406728035</v>
      </c>
      <c r="T16" s="18">
        <f t="shared" si="3"/>
        <v>3405089.4673581431</v>
      </c>
      <c r="U16" s="18">
        <f t="shared" si="3"/>
        <v>3132074.2582788942</v>
      </c>
    </row>
    <row r="17" spans="1:21" ht="15" customHeight="1" x14ac:dyDescent="0.25">
      <c r="A17" s="19" t="s">
        <v>32</v>
      </c>
      <c r="B17" s="20">
        <f>NPV(B5,C15:U15)</f>
        <v>139905365.71524236</v>
      </c>
      <c r="D17" s="18"/>
      <c r="E17" s="18"/>
      <c r="F17" s="18"/>
      <c r="G17" s="18"/>
      <c r="H17" s="18"/>
      <c r="I17" s="18"/>
      <c r="J17" s="18"/>
      <c r="K17" s="18"/>
    </row>
    <row r="18" spans="1:21" s="22" customFormat="1" ht="15" customHeight="1" x14ac:dyDescent="0.25">
      <c r="A18" s="15" t="s">
        <v>33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21" ht="15" customHeight="1" x14ac:dyDescent="0.25">
      <c r="A19" s="19" t="s">
        <v>34</v>
      </c>
      <c r="B19" s="18">
        <v>6732991.3685431499</v>
      </c>
      <c r="C19" s="18">
        <v>16993600.680351906</v>
      </c>
      <c r="D19" s="18">
        <v>16126496.128654972</v>
      </c>
      <c r="E19" s="18">
        <v>9595340.444444444</v>
      </c>
      <c r="F19" s="18">
        <v>5551571.6374268997</v>
      </c>
      <c r="G19" s="18">
        <v>2750000.0129710683</v>
      </c>
      <c r="H19" s="18">
        <v>2750000.0129710683</v>
      </c>
      <c r="I19" s="18">
        <v>2750000.0129710683</v>
      </c>
      <c r="J19" s="18">
        <v>2750000.0129710683</v>
      </c>
      <c r="K19" s="18">
        <v>2750000.0129710683</v>
      </c>
      <c r="L19" s="18">
        <v>2750000.0129710683</v>
      </c>
      <c r="M19" s="18">
        <v>2750000.0129710683</v>
      </c>
      <c r="N19" s="18">
        <v>2750000.0129710683</v>
      </c>
      <c r="O19" s="18">
        <v>2750000.0129710683</v>
      </c>
      <c r="P19" s="18">
        <v>2750000.0129710683</v>
      </c>
      <c r="Q19" s="18">
        <v>2750000.0129710683</v>
      </c>
      <c r="R19" s="18">
        <v>2750000.0129710683</v>
      </c>
      <c r="S19" s="18">
        <v>2750000.0129710683</v>
      </c>
      <c r="T19" s="18">
        <v>2750000.0129710683</v>
      </c>
      <c r="U19" s="18">
        <v>2750000.0129710683</v>
      </c>
    </row>
    <row r="20" spans="1:21" x14ac:dyDescent="0.25">
      <c r="A20" s="19" t="s">
        <v>35</v>
      </c>
      <c r="B20" s="23">
        <f>B15-B19</f>
        <v>8576141.0540885627</v>
      </c>
      <c r="C20" s="23">
        <f>C15-C19</f>
        <v>-1203435.938244218</v>
      </c>
      <c r="D20" s="23">
        <f>D15-D19</f>
        <v>140531.58866436593</v>
      </c>
      <c r="E20" s="23">
        <f>E15-E19</f>
        <v>7162951.5099379439</v>
      </c>
      <c r="F20" s="23">
        <f t="shared" ref="F20:U20" si="4">F15-F19</f>
        <v>11712820.733977837</v>
      </c>
      <c r="G20" s="23">
        <f t="shared" si="4"/>
        <v>15035777.008050082</v>
      </c>
      <c r="H20" s="23">
        <f t="shared" si="4"/>
        <v>15572907.474084916</v>
      </c>
      <c r="I20" s="23">
        <f t="shared" si="4"/>
        <v>16126259.280194035</v>
      </c>
      <c r="J20" s="23">
        <f t="shared" si="4"/>
        <v>16696322.310847605</v>
      </c>
      <c r="K20" s="23">
        <f t="shared" si="4"/>
        <v>17283601.245026931</v>
      </c>
      <c r="L20" s="23">
        <f t="shared" si="4"/>
        <v>17888616.003018465</v>
      </c>
      <c r="M20" s="23">
        <f t="shared" si="4"/>
        <v>18511902.206701364</v>
      </c>
      <c r="N20" s="23">
        <f t="shared" si="4"/>
        <v>19154011.653735466</v>
      </c>
      <c r="O20" s="23">
        <f t="shared" si="4"/>
        <v>19815512.806070004</v>
      </c>
      <c r="P20" s="23">
        <f t="shared" si="4"/>
        <v>20496991.29320503</v>
      </c>
      <c r="Q20" s="23">
        <f t="shared" si="4"/>
        <v>21199050.430651568</v>
      </c>
      <c r="R20" s="23">
        <f t="shared" si="4"/>
        <v>21922311.75404897</v>
      </c>
      <c r="S20" s="23">
        <f t="shared" si="4"/>
        <v>22667415.569412977</v>
      </c>
      <c r="T20" s="23">
        <f t="shared" si="4"/>
        <v>23435021.520000964</v>
      </c>
      <c r="U20" s="23">
        <f t="shared" si="4"/>
        <v>24225809.170296744</v>
      </c>
    </row>
    <row r="21" spans="1:21" x14ac:dyDescent="0.25">
      <c r="A21" s="19" t="s">
        <v>36</v>
      </c>
      <c r="B21" s="23">
        <f t="shared" ref="B21:U21" si="5">B19/(1+$B$5)^B11</f>
        <v>6732991.3685431499</v>
      </c>
      <c r="C21" s="23">
        <f t="shared" si="5"/>
        <v>15172857.7503142</v>
      </c>
      <c r="D21" s="23">
        <f t="shared" si="5"/>
        <v>12855943.980113974</v>
      </c>
      <c r="E21" s="23">
        <f t="shared" si="5"/>
        <v>6829773.7994007105</v>
      </c>
      <c r="F21" s="23">
        <f t="shared" si="5"/>
        <v>3528124.1391443056</v>
      </c>
      <c r="G21" s="23">
        <f t="shared" si="5"/>
        <v>1560423.8605862805</v>
      </c>
      <c r="H21" s="23">
        <f t="shared" si="5"/>
        <v>1393235.5898091786</v>
      </c>
      <c r="I21" s="23">
        <f t="shared" si="5"/>
        <v>1243960.3480439095</v>
      </c>
      <c r="J21" s="23">
        <f t="shared" si="5"/>
        <v>1110678.8821820619</v>
      </c>
      <c r="K21" s="23">
        <f t="shared" si="5"/>
        <v>991677.57337684103</v>
      </c>
      <c r="L21" s="23">
        <f t="shared" si="5"/>
        <v>885426.4048007509</v>
      </c>
      <c r="M21" s="23">
        <f t="shared" si="5"/>
        <v>790559.29000067024</v>
      </c>
      <c r="N21" s="23">
        <f t="shared" si="5"/>
        <v>705856.50892916997</v>
      </c>
      <c r="O21" s="23">
        <f t="shared" si="5"/>
        <v>630229.02582961589</v>
      </c>
      <c r="P21" s="23">
        <f t="shared" si="5"/>
        <v>562704.4873478713</v>
      </c>
      <c r="Q21" s="23">
        <f t="shared" si="5"/>
        <v>502414.72084631369</v>
      </c>
      <c r="R21" s="23">
        <f t="shared" si="5"/>
        <v>448584.57218420861</v>
      </c>
      <c r="S21" s="23">
        <f t="shared" si="5"/>
        <v>400521.93945018621</v>
      </c>
      <c r="T21" s="23">
        <f t="shared" si="5"/>
        <v>357608.87450909481</v>
      </c>
      <c r="U21" s="23">
        <f t="shared" si="5"/>
        <v>319293.63795454887</v>
      </c>
    </row>
    <row r="22" spans="1:21" x14ac:dyDescent="0.25">
      <c r="A22" s="19" t="s">
        <v>37</v>
      </c>
      <c r="B22" s="23">
        <f>SUM(C21:U21)</f>
        <v>50289875.384823889</v>
      </c>
      <c r="C22" s="24"/>
      <c r="D22" s="23"/>
      <c r="E22" s="23"/>
      <c r="F22" s="23"/>
      <c r="G22" s="23"/>
      <c r="H22" s="23"/>
      <c r="I22" s="23"/>
      <c r="J22" s="23"/>
      <c r="K22" s="23"/>
    </row>
    <row r="23" spans="1:21" x14ac:dyDescent="0.25">
      <c r="A23" s="25" t="s">
        <v>38</v>
      </c>
      <c r="B23" s="21">
        <f>B16-B21</f>
        <v>8576141.0540885627</v>
      </c>
      <c r="C23" s="21">
        <f t="shared" ref="C23:U23" si="6">C16-C21</f>
        <v>-1074496.3734323382</v>
      </c>
      <c r="D23" s="21">
        <f t="shared" si="6"/>
        <v>112030.92208575085</v>
      </c>
      <c r="E23" s="21">
        <f t="shared" si="6"/>
        <v>5098447.4008190753</v>
      </c>
      <c r="F23" s="21">
        <f t="shared" si="6"/>
        <v>7443709.3255578596</v>
      </c>
      <c r="G23" s="21">
        <f t="shared" si="6"/>
        <v>8531703.6709638666</v>
      </c>
      <c r="H23" s="21">
        <f t="shared" si="6"/>
        <v>7889719.5735863177</v>
      </c>
      <c r="I23" s="21">
        <f t="shared" si="6"/>
        <v>7294700.7317150682</v>
      </c>
      <c r="J23" s="21">
        <f t="shared" si="6"/>
        <v>6743364.5502890907</v>
      </c>
      <c r="K23" s="21">
        <f t="shared" si="6"/>
        <v>6232639.8767408216</v>
      </c>
      <c r="L23" s="21">
        <f t="shared" si="6"/>
        <v>5759655.5926199751</v>
      </c>
      <c r="M23" s="21">
        <f t="shared" si="6"/>
        <v>5321729.5258411476</v>
      </c>
      <c r="N23" s="21">
        <f t="shared" si="6"/>
        <v>4916357.7214996153</v>
      </c>
      <c r="O23" s="21">
        <f t="shared" si="6"/>
        <v>4541204.0993380034</v>
      </c>
      <c r="P23" s="21">
        <f t="shared" si="6"/>
        <v>4194090.5176054128</v>
      </c>
      <c r="Q23" s="21">
        <f t="shared" si="6"/>
        <v>3872987.2560312557</v>
      </c>
      <c r="R23" s="21">
        <f t="shared" si="6"/>
        <v>3576003.9247615687</v>
      </c>
      <c r="S23" s="21">
        <f t="shared" si="6"/>
        <v>3301380.8012226173</v>
      </c>
      <c r="T23" s="21">
        <f t="shared" si="6"/>
        <v>3047480.5928490483</v>
      </c>
      <c r="U23" s="21">
        <f t="shared" si="6"/>
        <v>2812780.6203243453</v>
      </c>
    </row>
    <row r="24" spans="1:21" x14ac:dyDescent="0.25">
      <c r="A24" s="26" t="s">
        <v>39</v>
      </c>
      <c r="B24" s="27">
        <f>NPV(B5,C20:U20)</f>
        <v>89615490.330418482</v>
      </c>
    </row>
    <row r="25" spans="1:21" hidden="1" x14ac:dyDescent="0.25">
      <c r="A25" s="26" t="s">
        <v>40</v>
      </c>
      <c r="B25" s="28">
        <f>SUM(B23:K23)</f>
        <v>56847960.732414074</v>
      </c>
    </row>
    <row r="26" spans="1:21" x14ac:dyDescent="0.25">
      <c r="A26" s="26" t="s">
        <v>41</v>
      </c>
      <c r="B26" s="28">
        <f>B17/B22</f>
        <v>2.7819787709687183</v>
      </c>
    </row>
    <row r="27" spans="1:21" x14ac:dyDescent="0.25">
      <c r="A27" s="26" t="s">
        <v>42</v>
      </c>
      <c r="B27" s="29">
        <f>IRR(C20:E20)</f>
        <v>1.4987755031907861</v>
      </c>
    </row>
    <row r="29" spans="1:21" s="32" customFormat="1" ht="15" customHeight="1" x14ac:dyDescent="0.25">
      <c r="A29" s="30" t="s">
        <v>43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</row>
    <row r="30" spans="1:21" ht="15" customHeight="1" x14ac:dyDescent="0.25">
      <c r="B30" s="14">
        <v>2020</v>
      </c>
      <c r="C30" s="14">
        <v>2021</v>
      </c>
      <c r="D30" s="14">
        <v>2022</v>
      </c>
      <c r="E30" s="14">
        <v>2023</v>
      </c>
      <c r="F30" s="14">
        <v>2024</v>
      </c>
      <c r="G30" s="14">
        <v>2025</v>
      </c>
      <c r="H30" s="14">
        <v>2026</v>
      </c>
      <c r="I30" s="14">
        <v>2027</v>
      </c>
      <c r="J30" s="14">
        <v>2028</v>
      </c>
      <c r="K30" s="14">
        <v>2029</v>
      </c>
      <c r="L30" s="14">
        <v>2030</v>
      </c>
      <c r="M30" s="14">
        <v>2031</v>
      </c>
      <c r="N30" s="14">
        <v>2032</v>
      </c>
      <c r="O30" s="14">
        <v>2033</v>
      </c>
      <c r="P30" s="14">
        <v>2034</v>
      </c>
      <c r="Q30" s="14">
        <v>2035</v>
      </c>
      <c r="R30" s="14">
        <v>2036</v>
      </c>
      <c r="S30" s="14">
        <v>2037</v>
      </c>
      <c r="T30" s="14">
        <v>2038</v>
      </c>
      <c r="U30" s="14">
        <v>2039</v>
      </c>
    </row>
    <row r="31" spans="1:21" ht="15" customHeight="1" x14ac:dyDescent="0.25">
      <c r="A31" s="33" t="s">
        <v>29</v>
      </c>
      <c r="B31" s="34">
        <v>0</v>
      </c>
      <c r="C31" s="34">
        <v>1</v>
      </c>
      <c r="D31" s="34">
        <v>2</v>
      </c>
      <c r="E31" s="34">
        <v>3</v>
      </c>
      <c r="F31" s="34">
        <v>4</v>
      </c>
      <c r="G31" s="34">
        <v>5</v>
      </c>
      <c r="H31" s="34">
        <v>6</v>
      </c>
      <c r="I31" s="34">
        <v>7</v>
      </c>
      <c r="J31" s="34">
        <v>8</v>
      </c>
      <c r="K31" s="34">
        <v>9</v>
      </c>
      <c r="L31" s="34">
        <v>10</v>
      </c>
      <c r="M31" s="34">
        <v>11</v>
      </c>
      <c r="N31" s="34">
        <v>12</v>
      </c>
      <c r="O31" s="34">
        <v>13</v>
      </c>
      <c r="P31" s="34">
        <v>14</v>
      </c>
      <c r="Q31" s="34">
        <v>15</v>
      </c>
      <c r="R31" s="34">
        <v>16</v>
      </c>
      <c r="S31" s="34">
        <v>17</v>
      </c>
      <c r="T31" s="34">
        <v>18</v>
      </c>
      <c r="U31" s="34">
        <v>19</v>
      </c>
    </row>
    <row r="32" spans="1:21" x14ac:dyDescent="0.25">
      <c r="A32" s="17" t="s">
        <v>0</v>
      </c>
      <c r="B32" s="18">
        <f>Homicidios!$Q11</f>
        <v>6946662.1239235038</v>
      </c>
      <c r="C32" s="18">
        <f>Homicidios!$Q12</f>
        <v>7156451.3200659957</v>
      </c>
      <c r="D32" s="18">
        <f>Homicidios!$Q13</f>
        <v>7372576.1499319877</v>
      </c>
      <c r="E32" s="18">
        <f>Homicidios!$Q14</f>
        <v>7595227.9496599408</v>
      </c>
      <c r="F32" s="18">
        <f>Homicidios!$Q15</f>
        <v>7824603.8337396663</v>
      </c>
      <c r="G32" s="18">
        <f>Homicidios!$Q16</f>
        <v>8060906.8695185995</v>
      </c>
      <c r="H32" s="18">
        <f>Homicidios!$Q17</f>
        <v>8304346.2569780611</v>
      </c>
      <c r="I32" s="18">
        <f>Homicidios!$Q18</f>
        <v>8555137.5139388107</v>
      </c>
      <c r="J32" s="18">
        <f>Homicidios!$Q19</f>
        <v>8813502.6668597646</v>
      </c>
      <c r="K32" s="18">
        <f>Homicidios!$Q20</f>
        <v>9079670.4473989159</v>
      </c>
      <c r="L32" s="18">
        <f>Homicidios!$Q21</f>
        <v>9353876.4949103668</v>
      </c>
      <c r="M32" s="18">
        <f>Homicidios!$Q22</f>
        <v>9636363.565056676</v>
      </c>
      <c r="N32" s="18">
        <f>Homicidios!$Q23</f>
        <v>9927381.7447213773</v>
      </c>
      <c r="O32" s="18">
        <f>Homicidios!$Q24</f>
        <v>10227188.673411962</v>
      </c>
      <c r="P32" s="18">
        <f>Homicidios!$Q25</f>
        <v>10536049.771348994</v>
      </c>
      <c r="Q32" s="18">
        <f>Homicidios!$Q26</f>
        <v>10854238.474443745</v>
      </c>
      <c r="R32" s="18">
        <f>Homicidios!$Q27</f>
        <v>11182036.47637195</v>
      </c>
      <c r="S32" s="18">
        <f>Homicidios!$Q28</f>
        <v>11519733.977958379</v>
      </c>
      <c r="T32" s="18">
        <f>Homicidios!$Q29</f>
        <v>11867629.944092706</v>
      </c>
      <c r="U32" s="18">
        <f>Homicidios!$Q30</f>
        <v>12226032.368404329</v>
      </c>
    </row>
    <row r="33" spans="1:21" x14ac:dyDescent="0.25">
      <c r="A33" s="17" t="s">
        <v>47</v>
      </c>
      <c r="B33" s="18">
        <v>26475.749999999971</v>
      </c>
      <c r="C33" s="18">
        <v>27275.317650000005</v>
      </c>
      <c r="D33" s="18">
        <v>28099.032243029997</v>
      </c>
      <c r="E33" s="18">
        <v>28947.62301676955</v>
      </c>
      <c r="F33" s="18">
        <v>29821.841231875973</v>
      </c>
      <c r="G33" s="18">
        <v>30722.460837078626</v>
      </c>
      <c r="H33" s="18">
        <v>31650.279154358424</v>
      </c>
      <c r="I33" s="18">
        <v>32606.117584819993</v>
      </c>
      <c r="J33" s="18">
        <v>33590.822335881639</v>
      </c>
      <c r="K33" s="18">
        <v>34605.26517042522</v>
      </c>
      <c r="L33" s="18">
        <v>35650.344178572101</v>
      </c>
      <c r="M33" s="18">
        <v>36726.984572764952</v>
      </c>
      <c r="N33" s="18">
        <v>37836.139506862441</v>
      </c>
      <c r="O33" s="18">
        <v>38978.790919969739</v>
      </c>
      <c r="P33" s="18">
        <v>40155.950405752737</v>
      </c>
      <c r="Q33" s="18">
        <v>41368.660108006552</v>
      </c>
      <c r="R33" s="18">
        <v>42617.993643268288</v>
      </c>
      <c r="S33" s="18">
        <v>43905.057051295014</v>
      </c>
      <c r="T33" s="18">
        <v>45230.98977424419</v>
      </c>
      <c r="U33" s="18">
        <v>46596.965665426411</v>
      </c>
    </row>
    <row r="34" spans="1:21" x14ac:dyDescent="0.25">
      <c r="A34" s="17" t="s">
        <v>48</v>
      </c>
      <c r="B34" s="18">
        <v>18148.437500000011</v>
      </c>
      <c r="C34" s="18">
        <v>18696.520312500023</v>
      </c>
      <c r="D34" s="18">
        <v>19261.15522593752</v>
      </c>
      <c r="E34" s="18">
        <v>19842.842113760835</v>
      </c>
      <c r="F34" s="18">
        <v>20442.095945596426</v>
      </c>
      <c r="G34" s="18">
        <v>21059.44724315342</v>
      </c>
      <c r="H34" s="18">
        <v>21695.442549896659</v>
      </c>
      <c r="I34" s="18">
        <v>22350.644914903525</v>
      </c>
      <c r="J34" s="18">
        <v>23025.63439133366</v>
      </c>
      <c r="K34" s="18">
        <v>23721.008549951919</v>
      </c>
      <c r="L34" s="18">
        <v>24437.383008160479</v>
      </c>
      <c r="M34" s="18">
        <v>25175.3919750069</v>
      </c>
      <c r="N34" s="18">
        <v>25935.688812652061</v>
      </c>
      <c r="O34" s="18">
        <v>26718.946614794211</v>
      </c>
      <c r="P34" s="18">
        <v>27525.858802560997</v>
      </c>
      <c r="Q34" s="18">
        <v>28357.139738398346</v>
      </c>
      <c r="R34" s="18">
        <v>29213.525358498002</v>
      </c>
      <c r="S34" s="18">
        <v>30095.773824324519</v>
      </c>
      <c r="T34" s="18">
        <v>31004.666193819194</v>
      </c>
      <c r="U34" s="18">
        <v>31941.007112872456</v>
      </c>
    </row>
    <row r="35" spans="1:21" x14ac:dyDescent="0.25">
      <c r="A35" s="19" t="s">
        <v>30</v>
      </c>
      <c r="B35" s="35">
        <f>SUM(B32:B34)</f>
        <v>6991286.3114235038</v>
      </c>
      <c r="C35" s="35">
        <f t="shared" ref="C35:U35" si="7">SUM(C32:C34)</f>
        <v>7202423.1580284955</v>
      </c>
      <c r="D35" s="35">
        <f t="shared" si="7"/>
        <v>7419936.3374009551</v>
      </c>
      <c r="E35" s="35">
        <f t="shared" si="7"/>
        <v>7644018.414790472</v>
      </c>
      <c r="F35" s="35">
        <f t="shared" si="7"/>
        <v>7874867.770917139</v>
      </c>
      <c r="G35" s="35">
        <f t="shared" si="7"/>
        <v>8112688.7775988309</v>
      </c>
      <c r="H35" s="35">
        <f t="shared" si="7"/>
        <v>8357691.9786823159</v>
      </c>
      <c r="I35" s="35">
        <f t="shared" si="7"/>
        <v>8610094.2764385343</v>
      </c>
      <c r="J35" s="35">
        <f t="shared" si="7"/>
        <v>8870119.1235869806</v>
      </c>
      <c r="K35" s="35">
        <f t="shared" si="7"/>
        <v>9137996.7211192921</v>
      </c>
      <c r="L35" s="35">
        <f t="shared" si="7"/>
        <v>9413964.2220970988</v>
      </c>
      <c r="M35" s="35">
        <f t="shared" si="7"/>
        <v>9698265.9416044466</v>
      </c>
      <c r="N35" s="35">
        <f t="shared" si="7"/>
        <v>9991153.5730408914</v>
      </c>
      <c r="O35" s="35">
        <f t="shared" si="7"/>
        <v>10292886.410946725</v>
      </c>
      <c r="P35" s="35">
        <f t="shared" si="7"/>
        <v>10603731.580557307</v>
      </c>
      <c r="Q35" s="35">
        <f t="shared" si="7"/>
        <v>10923964.274290148</v>
      </c>
      <c r="R35" s="35">
        <f t="shared" si="7"/>
        <v>11253867.995373717</v>
      </c>
      <c r="S35" s="35">
        <f t="shared" si="7"/>
        <v>11593734.808834</v>
      </c>
      <c r="T35" s="35">
        <f t="shared" si="7"/>
        <v>11943865.600060768</v>
      </c>
      <c r="U35" s="35">
        <f t="shared" si="7"/>
        <v>12304570.341182627</v>
      </c>
    </row>
    <row r="36" spans="1:21" ht="15" customHeight="1" x14ac:dyDescent="0.25">
      <c r="A36" s="19" t="s">
        <v>31</v>
      </c>
      <c r="B36" s="18">
        <f>B35/(1+$B$5)^B31</f>
        <v>6991286.3114235038</v>
      </c>
      <c r="C36" s="18">
        <f t="shared" ref="C36:P36" si="8">C35/(1+$B$5)^C31</f>
        <v>6430734.9625254422</v>
      </c>
      <c r="D36" s="18">
        <f t="shared" si="8"/>
        <v>5915127.8199943835</v>
      </c>
      <c r="E36" s="18">
        <f t="shared" si="8"/>
        <v>5440861.3215698386</v>
      </c>
      <c r="F36" s="18">
        <f t="shared" si="8"/>
        <v>5004620.8334653964</v>
      </c>
      <c r="G36" s="18">
        <f t="shared" si="8"/>
        <v>4603357.4844964705</v>
      </c>
      <c r="H36" s="18">
        <f t="shared" si="8"/>
        <v>4234266.8576145209</v>
      </c>
      <c r="I36" s="18">
        <f t="shared" si="8"/>
        <v>3894769.3899236484</v>
      </c>
      <c r="J36" s="18">
        <f t="shared" si="8"/>
        <v>3582492.3441958423</v>
      </c>
      <c r="K36" s="18">
        <f t="shared" si="8"/>
        <v>3295253.2258844199</v>
      </c>
      <c r="L36" s="18">
        <f t="shared" si="8"/>
        <v>3031044.5297376169</v>
      </c>
      <c r="M36" s="18">
        <f t="shared" si="8"/>
        <v>2788019.7094068723</v>
      </c>
      <c r="N36" s="18">
        <f t="shared" si="8"/>
        <v>2564480.2719919262</v>
      </c>
      <c r="O36" s="18">
        <f t="shared" si="8"/>
        <v>2358863.9073268585</v>
      </c>
      <c r="P36" s="18">
        <f t="shared" si="8"/>
        <v>2169733.5690429709</v>
      </c>
      <c r="Q36" s="18">
        <f>Q35/(1+$B$5)^Q31</f>
        <v>1995767.4310964921</v>
      </c>
      <c r="R36" s="18">
        <f t="shared" ref="R36:U36" si="9">R35/(1+$B$5)^R31</f>
        <v>1835749.649567506</v>
      </c>
      <c r="S36" s="18">
        <f t="shared" si="9"/>
        <v>1688561.8651646823</v>
      </c>
      <c r="T36" s="18">
        <f t="shared" si="9"/>
        <v>1553175.3870470114</v>
      </c>
      <c r="U36" s="18">
        <f t="shared" si="9"/>
        <v>1428644.003335566</v>
      </c>
    </row>
    <row r="37" spans="1:21" ht="15" customHeight="1" x14ac:dyDescent="0.25">
      <c r="A37" s="19" t="s">
        <v>32</v>
      </c>
      <c r="B37" s="20">
        <f>NPV(B5,C35:U35)</f>
        <v>63815524.563387454</v>
      </c>
      <c r="D37" s="18"/>
      <c r="E37" s="18"/>
      <c r="F37" s="18"/>
      <c r="G37" s="18"/>
      <c r="H37" s="18"/>
      <c r="I37" s="18"/>
      <c r="J37" s="18"/>
      <c r="K37" s="18"/>
    </row>
    <row r="38" spans="1:21" s="32" customFormat="1" ht="15" customHeight="1" x14ac:dyDescent="0.25">
      <c r="A38" s="33" t="s">
        <v>33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pans="1:21" ht="15" customHeight="1" x14ac:dyDescent="0.25">
      <c r="A39" s="19" t="s">
        <v>34</v>
      </c>
      <c r="B39" s="18">
        <v>6732991.3685431499</v>
      </c>
      <c r="C39" s="18">
        <v>16993600.680351906</v>
      </c>
      <c r="D39" s="18">
        <v>16126496.128654972</v>
      </c>
      <c r="E39" s="18">
        <v>9595340.444444444</v>
      </c>
      <c r="F39" s="18">
        <v>5551571.6374268997</v>
      </c>
      <c r="G39" s="18">
        <v>2750000.0129710683</v>
      </c>
      <c r="H39" s="18">
        <v>2750000.0129710683</v>
      </c>
      <c r="I39" s="18">
        <v>2750000.0129710683</v>
      </c>
      <c r="J39" s="18">
        <v>2750000.0129710683</v>
      </c>
      <c r="K39" s="18">
        <v>2750000.0129710683</v>
      </c>
      <c r="L39" s="18">
        <v>2750000.0129710683</v>
      </c>
      <c r="M39" s="18">
        <v>2750000.0129710683</v>
      </c>
      <c r="N39" s="18">
        <v>2750000.0129710683</v>
      </c>
      <c r="O39" s="18">
        <v>2750000.0129710683</v>
      </c>
      <c r="P39" s="18">
        <v>2750000.0129710683</v>
      </c>
      <c r="Q39" s="18">
        <v>2750000.0129710683</v>
      </c>
      <c r="R39" s="18">
        <v>2750000.0129710683</v>
      </c>
      <c r="S39" s="18">
        <v>2750000.0129710683</v>
      </c>
      <c r="T39" s="18">
        <v>2750000.0129710683</v>
      </c>
      <c r="U39" s="18">
        <v>2750000.0129710683</v>
      </c>
    </row>
    <row r="40" spans="1:21" x14ac:dyDescent="0.25">
      <c r="A40" s="19" t="s">
        <v>35</v>
      </c>
      <c r="B40" s="23">
        <f>B35-B39</f>
        <v>258294.94288035389</v>
      </c>
      <c r="C40" s="23">
        <f>C35-C39</f>
        <v>-9791177.522323411</v>
      </c>
      <c r="D40" s="23">
        <f>D35-D39</f>
        <v>-8706559.7912540175</v>
      </c>
      <c r="E40" s="23">
        <f>E35-E39</f>
        <v>-1951322.029653972</v>
      </c>
      <c r="F40" s="23">
        <f t="shared" ref="F40:P40" si="10">F35-F39</f>
        <v>2323296.1334902393</v>
      </c>
      <c r="G40" s="23">
        <f t="shared" si="10"/>
        <v>5362688.7646277621</v>
      </c>
      <c r="H40" s="23">
        <f t="shared" si="10"/>
        <v>5607691.9657112472</v>
      </c>
      <c r="I40" s="23">
        <f t="shared" si="10"/>
        <v>5860094.2634674665</v>
      </c>
      <c r="J40" s="23">
        <f t="shared" si="10"/>
        <v>6120119.1106159128</v>
      </c>
      <c r="K40" s="23">
        <f t="shared" si="10"/>
        <v>6387996.7081482243</v>
      </c>
      <c r="L40" s="23">
        <f t="shared" si="10"/>
        <v>6663964.209126031</v>
      </c>
      <c r="M40" s="23">
        <f t="shared" si="10"/>
        <v>6948265.9286333788</v>
      </c>
      <c r="N40" s="23">
        <f t="shared" si="10"/>
        <v>7241153.5600698236</v>
      </c>
      <c r="O40" s="23">
        <f t="shared" si="10"/>
        <v>7542886.3979756571</v>
      </c>
      <c r="P40" s="23">
        <f t="shared" si="10"/>
        <v>7853731.5675862394</v>
      </c>
      <c r="Q40" s="23">
        <f>Q35-Q39</f>
        <v>8173964.2613190804</v>
      </c>
      <c r="R40" s="23">
        <f t="shared" ref="R40:U40" si="11">R35-R39</f>
        <v>8503867.9824026488</v>
      </c>
      <c r="S40" s="23">
        <f t="shared" si="11"/>
        <v>8843734.7958629318</v>
      </c>
      <c r="T40" s="23">
        <f t="shared" si="11"/>
        <v>9193865.5870897006</v>
      </c>
      <c r="U40" s="23">
        <f t="shared" si="11"/>
        <v>9554570.328211559</v>
      </c>
    </row>
    <row r="41" spans="1:21" x14ac:dyDescent="0.25">
      <c r="A41" s="19" t="s">
        <v>36</v>
      </c>
      <c r="B41" s="23">
        <f t="shared" ref="B41:U41" si="12">B39/(1+$B$5)^B31</f>
        <v>6732991.3685431499</v>
      </c>
      <c r="C41" s="23">
        <f t="shared" si="12"/>
        <v>15172857.7503142</v>
      </c>
      <c r="D41" s="23">
        <f t="shared" si="12"/>
        <v>12855943.980113974</v>
      </c>
      <c r="E41" s="23">
        <f t="shared" si="12"/>
        <v>6829773.7994007105</v>
      </c>
      <c r="F41" s="23">
        <f t="shared" si="12"/>
        <v>3528124.1391443056</v>
      </c>
      <c r="G41" s="23">
        <f t="shared" si="12"/>
        <v>1560423.8605862805</v>
      </c>
      <c r="H41" s="23">
        <f t="shared" si="12"/>
        <v>1393235.5898091786</v>
      </c>
      <c r="I41" s="23">
        <f t="shared" si="12"/>
        <v>1243960.3480439095</v>
      </c>
      <c r="J41" s="23">
        <f t="shared" si="12"/>
        <v>1110678.8821820619</v>
      </c>
      <c r="K41" s="23">
        <f t="shared" si="12"/>
        <v>991677.57337684103</v>
      </c>
      <c r="L41" s="23">
        <f t="shared" si="12"/>
        <v>885426.4048007509</v>
      </c>
      <c r="M41" s="23">
        <f t="shared" si="12"/>
        <v>790559.29000067024</v>
      </c>
      <c r="N41" s="23">
        <f t="shared" si="12"/>
        <v>705856.50892916997</v>
      </c>
      <c r="O41" s="23">
        <f t="shared" si="12"/>
        <v>630229.02582961589</v>
      </c>
      <c r="P41" s="23">
        <f t="shared" si="12"/>
        <v>562704.4873478713</v>
      </c>
      <c r="Q41" s="23">
        <f t="shared" si="12"/>
        <v>502414.72084631369</v>
      </c>
      <c r="R41" s="23">
        <f t="shared" si="12"/>
        <v>448584.57218420861</v>
      </c>
      <c r="S41" s="23">
        <f t="shared" si="12"/>
        <v>400521.93945018621</v>
      </c>
      <c r="T41" s="23">
        <f t="shared" si="12"/>
        <v>357608.87450909481</v>
      </c>
      <c r="U41" s="23">
        <f t="shared" si="12"/>
        <v>319293.63795454887</v>
      </c>
    </row>
    <row r="42" spans="1:21" x14ac:dyDescent="0.25">
      <c r="A42" s="19" t="s">
        <v>37</v>
      </c>
      <c r="B42" s="23">
        <f>SUM(C41:U41)</f>
        <v>50289875.384823889</v>
      </c>
      <c r="C42" s="24"/>
      <c r="D42" s="23"/>
      <c r="E42" s="23"/>
      <c r="F42" s="23"/>
      <c r="G42" s="23"/>
      <c r="H42" s="23"/>
      <c r="I42" s="23"/>
      <c r="J42" s="23"/>
      <c r="K42" s="23"/>
    </row>
    <row r="43" spans="1:21" x14ac:dyDescent="0.25">
      <c r="A43" s="37" t="s">
        <v>38</v>
      </c>
      <c r="B43" s="36">
        <f>B36-B41</f>
        <v>258294.94288035389</v>
      </c>
      <c r="C43" s="36">
        <f t="shared" ref="C43:P43" si="13">C36-C41</f>
        <v>-8742122.7877887581</v>
      </c>
      <c r="D43" s="36">
        <f t="shared" si="13"/>
        <v>-6940816.1601195903</v>
      </c>
      <c r="E43" s="36">
        <f t="shared" si="13"/>
        <v>-1388912.4778308719</v>
      </c>
      <c r="F43" s="36">
        <f t="shared" si="13"/>
        <v>1476496.6943210908</v>
      </c>
      <c r="G43" s="36">
        <f t="shared" si="13"/>
        <v>3042933.6239101901</v>
      </c>
      <c r="H43" s="36">
        <f t="shared" si="13"/>
        <v>2841031.2678053426</v>
      </c>
      <c r="I43" s="36">
        <f t="shared" si="13"/>
        <v>2650809.0418797387</v>
      </c>
      <c r="J43" s="36">
        <f t="shared" si="13"/>
        <v>2471813.4620137801</v>
      </c>
      <c r="K43" s="36">
        <f t="shared" si="13"/>
        <v>2303575.652507579</v>
      </c>
      <c r="L43" s="36">
        <f t="shared" si="13"/>
        <v>2145618.1249368661</v>
      </c>
      <c r="M43" s="36">
        <f t="shared" si="13"/>
        <v>1997460.4194062022</v>
      </c>
      <c r="N43" s="36">
        <f t="shared" si="13"/>
        <v>1858623.7630627563</v>
      </c>
      <c r="O43" s="36">
        <f t="shared" si="13"/>
        <v>1728634.8814972425</v>
      </c>
      <c r="P43" s="36">
        <f t="shared" si="13"/>
        <v>1607029.0816950996</v>
      </c>
      <c r="Q43" s="36">
        <f>Q36-Q41</f>
        <v>1493352.7102501784</v>
      </c>
      <c r="R43" s="36">
        <f t="shared" ref="R43:U43" si="14">R36-R41</f>
        <v>1387165.0773832975</v>
      </c>
      <c r="S43" s="36">
        <f t="shared" si="14"/>
        <v>1288039.9257144961</v>
      </c>
      <c r="T43" s="36">
        <f t="shared" si="14"/>
        <v>1195566.5125379167</v>
      </c>
      <c r="U43" s="36">
        <f t="shared" si="14"/>
        <v>1109350.3653810171</v>
      </c>
    </row>
    <row r="44" spans="1:21" x14ac:dyDescent="0.25">
      <c r="A44" s="38" t="s">
        <v>39</v>
      </c>
      <c r="B44" s="39">
        <f>NPV(B5,C40:U40)</f>
        <v>13525649.178563567</v>
      </c>
    </row>
    <row r="45" spans="1:21" hidden="1" x14ac:dyDescent="0.25">
      <c r="A45" s="38" t="s">
        <v>40</v>
      </c>
      <c r="B45" s="40">
        <f>SUM(B43:K43)</f>
        <v>-2026896.7404211462</v>
      </c>
    </row>
    <row r="46" spans="1:21" x14ac:dyDescent="0.25">
      <c r="A46" s="38" t="s">
        <v>41</v>
      </c>
      <c r="B46" s="40">
        <f>B37/B42</f>
        <v>1.2689537222962624</v>
      </c>
    </row>
    <row r="47" spans="1:21" x14ac:dyDescent="0.25">
      <c r="A47" s="38" t="s">
        <v>42</v>
      </c>
      <c r="B47" s="41">
        <f>IRR(C40:Q40)</f>
        <v>0.1855382095173288</v>
      </c>
    </row>
    <row r="50" spans="1:21" s="44" customFormat="1" ht="15" customHeight="1" x14ac:dyDescent="0.25">
      <c r="A50" s="42" t="s">
        <v>44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21" ht="15" customHeight="1" x14ac:dyDescent="0.25">
      <c r="B51" s="14">
        <v>2020</v>
      </c>
      <c r="C51" s="14">
        <v>2021</v>
      </c>
      <c r="D51" s="14">
        <v>2022</v>
      </c>
      <c r="E51" s="14">
        <v>2023</v>
      </c>
      <c r="F51" s="14">
        <v>2024</v>
      </c>
      <c r="G51" s="14">
        <v>2025</v>
      </c>
      <c r="H51" s="14">
        <v>2026</v>
      </c>
      <c r="I51" s="14">
        <v>2027</v>
      </c>
      <c r="J51" s="14">
        <v>2028</v>
      </c>
      <c r="K51" s="14">
        <v>2029</v>
      </c>
      <c r="L51" s="14">
        <v>2030</v>
      </c>
      <c r="M51" s="14">
        <v>2031</v>
      </c>
      <c r="N51" s="14">
        <v>2032</v>
      </c>
      <c r="O51" s="14">
        <v>2033</v>
      </c>
      <c r="P51" s="14">
        <v>2034</v>
      </c>
      <c r="Q51" s="14">
        <v>2035</v>
      </c>
      <c r="R51" s="14">
        <v>2036</v>
      </c>
      <c r="S51" s="14">
        <v>2037</v>
      </c>
      <c r="T51" s="14">
        <v>2038</v>
      </c>
      <c r="U51" s="14">
        <v>2039</v>
      </c>
    </row>
    <row r="52" spans="1:21" ht="15" customHeight="1" x14ac:dyDescent="0.25">
      <c r="A52" s="45" t="s">
        <v>29</v>
      </c>
      <c r="B52" s="46">
        <v>0</v>
      </c>
      <c r="C52" s="46">
        <v>1</v>
      </c>
      <c r="D52" s="46">
        <v>2</v>
      </c>
      <c r="E52" s="46">
        <v>3</v>
      </c>
      <c r="F52" s="46">
        <v>4</v>
      </c>
      <c r="G52" s="46">
        <v>5</v>
      </c>
      <c r="H52" s="46">
        <v>6</v>
      </c>
      <c r="I52" s="46">
        <v>7</v>
      </c>
      <c r="J52" s="46">
        <v>8</v>
      </c>
      <c r="K52" s="46">
        <v>9</v>
      </c>
      <c r="L52" s="46">
        <v>10</v>
      </c>
      <c r="M52" s="46">
        <v>11</v>
      </c>
      <c r="N52" s="46">
        <v>12</v>
      </c>
      <c r="O52" s="46">
        <v>13</v>
      </c>
      <c r="P52" s="46">
        <v>14</v>
      </c>
      <c r="Q52" s="46">
        <v>15</v>
      </c>
      <c r="R52" s="46">
        <v>16</v>
      </c>
      <c r="S52" s="46">
        <v>17</v>
      </c>
      <c r="T52" s="46">
        <v>18</v>
      </c>
      <c r="U52" s="46">
        <v>19</v>
      </c>
    </row>
    <row r="53" spans="1:21" x14ac:dyDescent="0.25">
      <c r="A53" s="17" t="s">
        <v>0</v>
      </c>
      <c r="B53" s="18">
        <f>Homicidios!$V11</f>
        <v>17366655.309808757</v>
      </c>
      <c r="C53" s="18">
        <f>Homicidios!$V12</f>
        <v>17891128.300164994</v>
      </c>
      <c r="D53" s="18">
        <f>Homicidios!$V13</f>
        <v>18431440.374829974</v>
      </c>
      <c r="E53" s="18">
        <f>Homicidios!$V14</f>
        <v>18988069.87414984</v>
      </c>
      <c r="F53" s="18">
        <f>Homicidios!$V15</f>
        <v>19561509.584349159</v>
      </c>
      <c r="G53" s="18">
        <f>Homicidios!$V16</f>
        <v>20152267.173796505</v>
      </c>
      <c r="H53" s="18">
        <f>Homicidios!$V17</f>
        <v>20760865.642445151</v>
      </c>
      <c r="I53" s="18">
        <f>Homicidios!$V18</f>
        <v>21387843.784847017</v>
      </c>
      <c r="J53" s="18">
        <f>Homicidios!$V19</f>
        <v>22033756.667149384</v>
      </c>
      <c r="K53" s="18">
        <f>Homicidios!$V20</f>
        <v>22699176.118497301</v>
      </c>
      <c r="L53" s="18">
        <f>Homicidios!$V21</f>
        <v>23384691.237275917</v>
      </c>
      <c r="M53" s="18">
        <f>Homicidios!$V22</f>
        <v>24090908.912641667</v>
      </c>
      <c r="N53" s="18">
        <f>Homicidios!$V23</f>
        <v>24818454.361803427</v>
      </c>
      <c r="O53" s="18">
        <f>Homicidios!$V24</f>
        <v>25567971.683529902</v>
      </c>
      <c r="P53" s="18">
        <f>Homicidios!$V25</f>
        <v>26340124.428372487</v>
      </c>
      <c r="Q53" s="18">
        <f>Homicidios!$V26</f>
        <v>27135596.186109357</v>
      </c>
      <c r="R53" s="18">
        <f>Homicidios!$V27</f>
        <v>27955091.190929852</v>
      </c>
      <c r="S53" s="18">
        <f>Homicidios!$V28</f>
        <v>28799334.944895953</v>
      </c>
      <c r="T53" s="18">
        <f>Homicidios!$V29</f>
        <v>29669074.860231776</v>
      </c>
      <c r="U53" s="18">
        <f>Homicidios!$V30</f>
        <v>30565080.921010815</v>
      </c>
    </row>
    <row r="54" spans="1:21" x14ac:dyDescent="0.25">
      <c r="A54" s="17" t="s">
        <v>47</v>
      </c>
      <c r="B54" s="18">
        <v>26475.749999999971</v>
      </c>
      <c r="C54" s="18">
        <v>27275.317650000005</v>
      </c>
      <c r="D54" s="18">
        <v>28099.032243029997</v>
      </c>
      <c r="E54" s="18">
        <v>28947.62301676955</v>
      </c>
      <c r="F54" s="18">
        <v>29821.841231875973</v>
      </c>
      <c r="G54" s="18">
        <v>30722.460837078626</v>
      </c>
      <c r="H54" s="18">
        <v>31650.279154358424</v>
      </c>
      <c r="I54" s="18">
        <v>32606.117584819993</v>
      </c>
      <c r="J54" s="18">
        <v>33590.822335881639</v>
      </c>
      <c r="K54" s="18">
        <v>34605.26517042522</v>
      </c>
      <c r="L54" s="18">
        <v>35650.344178572101</v>
      </c>
      <c r="M54" s="18">
        <v>36726.984572764952</v>
      </c>
      <c r="N54" s="18">
        <v>37836.139506862441</v>
      </c>
      <c r="O54" s="18">
        <v>38978.790919969739</v>
      </c>
      <c r="P54" s="18">
        <v>40155.950405752737</v>
      </c>
      <c r="Q54" s="18">
        <v>41368.660108006552</v>
      </c>
      <c r="R54" s="18">
        <v>42617.993643268288</v>
      </c>
      <c r="S54" s="18">
        <v>43905.057051295014</v>
      </c>
      <c r="T54" s="18">
        <v>45230.98977424419</v>
      </c>
      <c r="U54" s="18">
        <v>46596.965665426411</v>
      </c>
    </row>
    <row r="55" spans="1:21" x14ac:dyDescent="0.25">
      <c r="A55" s="17" t="s">
        <v>48</v>
      </c>
      <c r="B55" s="18">
        <v>18148.437500000011</v>
      </c>
      <c r="C55" s="18">
        <v>18696.520312500023</v>
      </c>
      <c r="D55" s="18">
        <v>19261.15522593752</v>
      </c>
      <c r="E55" s="18">
        <v>19842.842113760835</v>
      </c>
      <c r="F55" s="18">
        <v>20442.095945596426</v>
      </c>
      <c r="G55" s="18">
        <v>21059.44724315342</v>
      </c>
      <c r="H55" s="18">
        <v>21695.442549896659</v>
      </c>
      <c r="I55" s="18">
        <v>22350.644914903525</v>
      </c>
      <c r="J55" s="18">
        <v>23025.63439133366</v>
      </c>
      <c r="K55" s="18">
        <v>23721.008549951919</v>
      </c>
      <c r="L55" s="18">
        <v>24437.383008160479</v>
      </c>
      <c r="M55" s="18">
        <v>25175.3919750069</v>
      </c>
      <c r="N55" s="18">
        <v>25935.688812652061</v>
      </c>
      <c r="O55" s="18">
        <v>26718.946614794211</v>
      </c>
      <c r="P55" s="18">
        <v>27525.858802560997</v>
      </c>
      <c r="Q55" s="18">
        <v>28357.139738398346</v>
      </c>
      <c r="R55" s="18">
        <v>29213.525358498002</v>
      </c>
      <c r="S55" s="18">
        <v>30095.773824324519</v>
      </c>
      <c r="T55" s="18">
        <v>31004.666193819194</v>
      </c>
      <c r="U55" s="18">
        <v>31941.007112872456</v>
      </c>
    </row>
    <row r="56" spans="1:21" x14ac:dyDescent="0.25">
      <c r="A56" s="19" t="s">
        <v>30</v>
      </c>
      <c r="B56" s="18">
        <f>SUM(B53:B54)</f>
        <v>17393131.059808757</v>
      </c>
      <c r="C56" s="18">
        <f t="shared" ref="C56:Q56" si="15">SUM(C53:C55)</f>
        <v>17937100.138127495</v>
      </c>
      <c r="D56" s="18">
        <f t="shared" si="15"/>
        <v>18478800.562298939</v>
      </c>
      <c r="E56" s="18">
        <f t="shared" si="15"/>
        <v>19036860.339280371</v>
      </c>
      <c r="F56" s="18">
        <f t="shared" si="15"/>
        <v>19611773.521526631</v>
      </c>
      <c r="G56" s="18">
        <f t="shared" si="15"/>
        <v>20204049.081876736</v>
      </c>
      <c r="H56" s="18">
        <f t="shared" si="15"/>
        <v>20814211.364149403</v>
      </c>
      <c r="I56" s="18">
        <f t="shared" si="15"/>
        <v>21442800.547346741</v>
      </c>
      <c r="J56" s="18">
        <f t="shared" si="15"/>
        <v>22090373.123876598</v>
      </c>
      <c r="K56" s="18">
        <f t="shared" si="15"/>
        <v>22757502.392217677</v>
      </c>
      <c r="L56" s="18">
        <f t="shared" si="15"/>
        <v>23444778.964462649</v>
      </c>
      <c r="M56" s="18">
        <f t="shared" si="15"/>
        <v>24152811.289189439</v>
      </c>
      <c r="N56" s="18">
        <f t="shared" si="15"/>
        <v>24882226.19012294</v>
      </c>
      <c r="O56" s="18">
        <f t="shared" si="15"/>
        <v>25633669.421064667</v>
      </c>
      <c r="P56" s="18">
        <f t="shared" si="15"/>
        <v>26407806.237580802</v>
      </c>
      <c r="Q56" s="18">
        <f t="shared" si="15"/>
        <v>27205321.985955764</v>
      </c>
      <c r="R56" s="18">
        <f t="shared" ref="R56:U56" si="16">SUM(R53:R55)</f>
        <v>28026922.709931619</v>
      </c>
      <c r="S56" s="18">
        <f t="shared" si="16"/>
        <v>28873335.775771569</v>
      </c>
      <c r="T56" s="18">
        <f t="shared" si="16"/>
        <v>29745310.516199842</v>
      </c>
      <c r="U56" s="18">
        <f t="shared" si="16"/>
        <v>30643618.893789113</v>
      </c>
    </row>
    <row r="57" spans="1:21" ht="15" customHeight="1" x14ac:dyDescent="0.25">
      <c r="A57" s="19" t="s">
        <v>31</v>
      </c>
      <c r="B57" s="18">
        <f t="shared" ref="B57:Q57" si="17">B56/(1+$B$5)^B52</f>
        <v>17393131.059808757</v>
      </c>
      <c r="C57" s="18">
        <f t="shared" si="17"/>
        <v>16015267.980470976</v>
      </c>
      <c r="D57" s="18">
        <f t="shared" si="17"/>
        <v>14731186.672751065</v>
      </c>
      <c r="E57" s="18">
        <f t="shared" si="17"/>
        <v>13550061.169882275</v>
      </c>
      <c r="F57" s="18">
        <f t="shared" si="17"/>
        <v>12463636.622511353</v>
      </c>
      <c r="G57" s="18">
        <f t="shared" si="17"/>
        <v>11464320.043313568</v>
      </c>
      <c r="H57" s="18">
        <f t="shared" si="17"/>
        <v>10545127.23984074</v>
      </c>
      <c r="I57" s="18">
        <f t="shared" si="17"/>
        <v>9699634.0022178069</v>
      </c>
      <c r="J57" s="18">
        <f t="shared" si="17"/>
        <v>8921931.2045399807</v>
      </c>
      <c r="K57" s="18">
        <f t="shared" si="17"/>
        <v>8206583.5061759735</v>
      </c>
      <c r="L57" s="18">
        <f t="shared" si="17"/>
        <v>7548591.3643415058</v>
      </c>
      <c r="M57" s="18">
        <f t="shared" si="17"/>
        <v>6943356.0924505563</v>
      </c>
      <c r="N57" s="18">
        <f t="shared" si="17"/>
        <v>6386647.7200379986</v>
      </c>
      <c r="O57" s="18">
        <f t="shared" si="17"/>
        <v>5874575.4296278115</v>
      </c>
      <c r="P57" s="18">
        <f t="shared" si="17"/>
        <v>5403560.3639308633</v>
      </c>
      <c r="Q57" s="18">
        <f t="shared" si="17"/>
        <v>4970310.6133228391</v>
      </c>
      <c r="R57" s="18">
        <f t="shared" ref="R57:U57" si="18">R56/(1+$B$5)^R52</f>
        <v>4571798.2087903451</v>
      </c>
      <c r="S57" s="18">
        <f t="shared" si="18"/>
        <v>4205237.959549835</v>
      </c>
      <c r="T57" s="18">
        <f t="shared" si="18"/>
        <v>3868067.9874359248</v>
      </c>
      <c r="U57" s="18">
        <f t="shared" si="18"/>
        <v>3557931.8220147267</v>
      </c>
    </row>
    <row r="58" spans="1:21" ht="15" customHeight="1" x14ac:dyDescent="0.25">
      <c r="A58" s="19" t="s">
        <v>32</v>
      </c>
      <c r="B58" s="20">
        <f>NPV(B5,C56:U56)</f>
        <v>158927826.00320613</v>
      </c>
      <c r="D58" s="18"/>
      <c r="E58" s="18"/>
      <c r="F58" s="18"/>
      <c r="G58" s="18"/>
      <c r="H58" s="18"/>
      <c r="I58" s="18"/>
      <c r="J58" s="18"/>
      <c r="K58" s="18"/>
    </row>
    <row r="59" spans="1:21" s="44" customFormat="1" ht="15" customHeight="1" x14ac:dyDescent="0.25">
      <c r="A59" s="45" t="s">
        <v>33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</row>
    <row r="60" spans="1:21" ht="15" customHeight="1" x14ac:dyDescent="0.25">
      <c r="A60" s="19" t="s">
        <v>34</v>
      </c>
      <c r="B60" s="18">
        <v>6732991.3685431499</v>
      </c>
      <c r="C60" s="18">
        <v>16993600.680351906</v>
      </c>
      <c r="D60" s="18">
        <v>16126496.128654972</v>
      </c>
      <c r="E60" s="18">
        <v>9595340.444444444</v>
      </c>
      <c r="F60" s="18">
        <v>5551571.6374268997</v>
      </c>
      <c r="G60" s="18">
        <v>2750000.0129710683</v>
      </c>
      <c r="H60" s="18">
        <v>2750000.0129710683</v>
      </c>
      <c r="I60" s="18">
        <v>2750000.0129710683</v>
      </c>
      <c r="J60" s="18">
        <v>2750000.0129710683</v>
      </c>
      <c r="K60" s="18">
        <v>2750000.0129710683</v>
      </c>
      <c r="L60" s="18">
        <v>2750000.0129710683</v>
      </c>
      <c r="M60" s="18">
        <v>2750000.0129710683</v>
      </c>
      <c r="N60" s="18">
        <v>2750000.0129710683</v>
      </c>
      <c r="O60" s="18">
        <v>2750000.0129710683</v>
      </c>
      <c r="P60" s="18">
        <v>2750000.0129710683</v>
      </c>
      <c r="Q60" s="18">
        <v>2750000.0129710683</v>
      </c>
      <c r="R60" s="18">
        <v>2750000.0129710683</v>
      </c>
      <c r="S60" s="18">
        <v>2750000.0129710683</v>
      </c>
      <c r="T60" s="18">
        <v>2750000.0129710683</v>
      </c>
      <c r="U60" s="18">
        <v>2750000.0129710683</v>
      </c>
    </row>
    <row r="61" spans="1:21" x14ac:dyDescent="0.25">
      <c r="A61" s="19" t="s">
        <v>35</v>
      </c>
      <c r="B61" s="23">
        <f>B56-B60</f>
        <v>10660139.691265607</v>
      </c>
      <c r="C61" s="23">
        <f>C56-C60</f>
        <v>943499.45777558908</v>
      </c>
      <c r="D61" s="23">
        <f>D56-D60</f>
        <v>2352304.4336439669</v>
      </c>
      <c r="E61" s="23">
        <f>E56-E60</f>
        <v>9441519.8948359266</v>
      </c>
      <c r="F61" s="23">
        <f t="shared" ref="F61:P61" si="19">F56-F60</f>
        <v>14060201.884099731</v>
      </c>
      <c r="G61" s="23">
        <f t="shared" si="19"/>
        <v>17454049.068905666</v>
      </c>
      <c r="H61" s="23">
        <f t="shared" si="19"/>
        <v>18064211.351178333</v>
      </c>
      <c r="I61" s="23">
        <f t="shared" si="19"/>
        <v>18692800.534375671</v>
      </c>
      <c r="J61" s="23">
        <f t="shared" si="19"/>
        <v>19340373.110905528</v>
      </c>
      <c r="K61" s="23">
        <f t="shared" si="19"/>
        <v>20007502.379246607</v>
      </c>
      <c r="L61" s="23">
        <f t="shared" si="19"/>
        <v>20694778.951491579</v>
      </c>
      <c r="M61" s="23">
        <f t="shared" si="19"/>
        <v>21402811.27621837</v>
      </c>
      <c r="N61" s="23">
        <f t="shared" si="19"/>
        <v>22132226.17715187</v>
      </c>
      <c r="O61" s="23">
        <f t="shared" si="19"/>
        <v>22883669.408093598</v>
      </c>
      <c r="P61" s="23">
        <f t="shared" si="19"/>
        <v>23657806.224609733</v>
      </c>
      <c r="Q61" s="23">
        <f>Q56-Q60</f>
        <v>24455321.972984694</v>
      </c>
      <c r="R61" s="23">
        <f t="shared" ref="R61" si="20">R56-R60</f>
        <v>25276922.69696055</v>
      </c>
      <c r="S61" s="23">
        <f t="shared" ref="S61" si="21">S56-S60</f>
        <v>26123335.7628005</v>
      </c>
      <c r="T61" s="23">
        <f t="shared" ref="T61" si="22">T56-T60</f>
        <v>26995310.503228772</v>
      </c>
      <c r="U61" s="23">
        <f t="shared" ref="U61" si="23">U56-U60</f>
        <v>27893618.880818043</v>
      </c>
    </row>
    <row r="62" spans="1:21" x14ac:dyDescent="0.25">
      <c r="A62" s="19" t="s">
        <v>36</v>
      </c>
      <c r="B62" s="23">
        <f t="shared" ref="B62:U62" si="24">B60/(1+$B$5)^B52</f>
        <v>6732991.3685431499</v>
      </c>
      <c r="C62" s="23">
        <f t="shared" si="24"/>
        <v>15172857.7503142</v>
      </c>
      <c r="D62" s="23">
        <f t="shared" si="24"/>
        <v>12855943.980113974</v>
      </c>
      <c r="E62" s="23">
        <f t="shared" si="24"/>
        <v>6829773.7994007105</v>
      </c>
      <c r="F62" s="23">
        <f t="shared" si="24"/>
        <v>3528124.1391443056</v>
      </c>
      <c r="G62" s="23">
        <f t="shared" si="24"/>
        <v>1560423.8605862805</v>
      </c>
      <c r="H62" s="23">
        <f t="shared" si="24"/>
        <v>1393235.5898091786</v>
      </c>
      <c r="I62" s="23">
        <f t="shared" si="24"/>
        <v>1243960.3480439095</v>
      </c>
      <c r="J62" s="23">
        <f t="shared" si="24"/>
        <v>1110678.8821820619</v>
      </c>
      <c r="K62" s="23">
        <f t="shared" si="24"/>
        <v>991677.57337684103</v>
      </c>
      <c r="L62" s="23">
        <f t="shared" si="24"/>
        <v>885426.4048007509</v>
      </c>
      <c r="M62" s="23">
        <f t="shared" si="24"/>
        <v>790559.29000067024</v>
      </c>
      <c r="N62" s="23">
        <f t="shared" si="24"/>
        <v>705856.50892916997</v>
      </c>
      <c r="O62" s="23">
        <f t="shared" si="24"/>
        <v>630229.02582961589</v>
      </c>
      <c r="P62" s="23">
        <f t="shared" si="24"/>
        <v>562704.4873478713</v>
      </c>
      <c r="Q62" s="23">
        <f t="shared" si="24"/>
        <v>502414.72084631369</v>
      </c>
      <c r="R62" s="23">
        <f t="shared" si="24"/>
        <v>448584.57218420861</v>
      </c>
      <c r="S62" s="23">
        <f t="shared" si="24"/>
        <v>400521.93945018621</v>
      </c>
      <c r="T62" s="23">
        <f t="shared" si="24"/>
        <v>357608.87450909481</v>
      </c>
      <c r="U62" s="23">
        <f t="shared" si="24"/>
        <v>319293.63795454887</v>
      </c>
    </row>
    <row r="63" spans="1:21" x14ac:dyDescent="0.25">
      <c r="A63" s="19" t="s">
        <v>37</v>
      </c>
      <c r="B63" s="23">
        <f>SUM(C62:U62)</f>
        <v>50289875.384823889</v>
      </c>
      <c r="C63" s="24"/>
      <c r="D63" s="23"/>
      <c r="E63" s="23"/>
      <c r="F63" s="23"/>
      <c r="G63" s="23"/>
      <c r="H63" s="23"/>
      <c r="I63" s="23"/>
      <c r="J63" s="23"/>
      <c r="K63" s="23"/>
    </row>
    <row r="64" spans="1:21" x14ac:dyDescent="0.25">
      <c r="A64" s="48" t="s">
        <v>38</v>
      </c>
      <c r="B64" s="47">
        <f>B57-B62</f>
        <v>10660139.691265607</v>
      </c>
      <c r="C64" s="47">
        <f t="shared" ref="C64:Q64" si="25">C57-C62</f>
        <v>842410.23015677556</v>
      </c>
      <c r="D64" s="47">
        <f t="shared" si="25"/>
        <v>1875242.6926370915</v>
      </c>
      <c r="E64" s="47">
        <f t="shared" si="25"/>
        <v>6720287.3704815647</v>
      </c>
      <c r="F64" s="47">
        <f t="shared" si="25"/>
        <v>8935512.4833670482</v>
      </c>
      <c r="G64" s="47">
        <f t="shared" si="25"/>
        <v>9903896.1827272885</v>
      </c>
      <c r="H64" s="47">
        <f t="shared" si="25"/>
        <v>9151891.650031561</v>
      </c>
      <c r="I64" s="47">
        <f t="shared" si="25"/>
        <v>8455673.6541738976</v>
      </c>
      <c r="J64" s="47">
        <f t="shared" si="25"/>
        <v>7811252.3223579191</v>
      </c>
      <c r="K64" s="47">
        <f t="shared" si="25"/>
        <v>7214905.9327991325</v>
      </c>
      <c r="L64" s="47">
        <f t="shared" si="25"/>
        <v>6663164.9595407546</v>
      </c>
      <c r="M64" s="47">
        <f t="shared" si="25"/>
        <v>6152796.8024498858</v>
      </c>
      <c r="N64" s="47">
        <f t="shared" si="25"/>
        <v>5680791.2111088289</v>
      </c>
      <c r="O64" s="47">
        <f t="shared" si="25"/>
        <v>5244346.4037981955</v>
      </c>
      <c r="P64" s="47">
        <f t="shared" si="25"/>
        <v>4840855.8765829923</v>
      </c>
      <c r="Q64" s="47">
        <f t="shared" si="25"/>
        <v>4467895.8924765252</v>
      </c>
    </row>
    <row r="65" spans="1:2" x14ac:dyDescent="0.25">
      <c r="A65" s="49" t="s">
        <v>39</v>
      </c>
      <c r="B65" s="50">
        <f>NPV(B5,C61:Q61)</f>
        <v>93960923.664689422</v>
      </c>
    </row>
    <row r="66" spans="1:2" hidden="1" x14ac:dyDescent="0.25">
      <c r="A66" s="49" t="s">
        <v>40</v>
      </c>
      <c r="B66" s="51">
        <f>SUM(B64:K64)</f>
        <v>71571212.209997877</v>
      </c>
    </row>
    <row r="67" spans="1:2" x14ac:dyDescent="0.25">
      <c r="A67" s="49" t="s">
        <v>41</v>
      </c>
      <c r="B67" s="51">
        <f>B58/B63</f>
        <v>3.1602350331368334</v>
      </c>
    </row>
    <row r="68" spans="1:2" x14ac:dyDescent="0.25">
      <c r="A68" s="49" t="s">
        <v>42</v>
      </c>
      <c r="B68" s="52">
        <v>2.1</v>
      </c>
    </row>
  </sheetData>
  <mergeCells count="1">
    <mergeCell ref="A1:D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0EDEB9A06DA74A9055BD27FB034A94" ma:contentTypeVersion="12" ma:contentTypeDescription="Create a new document." ma:contentTypeScope="" ma:versionID="a587792ac379b2f26f066ed1b2a57174">
  <xsd:schema xmlns:xsd="http://www.w3.org/2001/XMLSchema" xmlns:xs="http://www.w3.org/2001/XMLSchema" xmlns:p="http://schemas.microsoft.com/office/2006/metadata/properties" xmlns:ns3="0440d2a1-6646-4199-b35c-1d170b650be6" xmlns:ns4="732190a5-1257-41e6-abab-579a9767b9cf" targetNamespace="http://schemas.microsoft.com/office/2006/metadata/properties" ma:root="true" ma:fieldsID="dc1d166dd13ee987e416026a2a2e8b48" ns3:_="" ns4:_="">
    <xsd:import namespace="0440d2a1-6646-4199-b35c-1d170b650be6"/>
    <xsd:import namespace="732190a5-1257-41e6-abab-579a9767b9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40d2a1-6646-4199-b35c-1d170b650b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190a5-1257-41e6-abab-579a9767b9c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A7B49F-0C89-4248-A747-18E9806863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40d2a1-6646-4199-b35c-1d170b650be6"/>
    <ds:schemaRef ds:uri="732190a5-1257-41e6-abab-579a9767b9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CF2F66-B143-4753-B72B-B451DCE671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A4BCE7-596A-4CAC-984F-BEDE19F8B38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732190a5-1257-41e6-abab-579a9767b9cf"/>
    <ds:schemaRef ds:uri="0440d2a1-6646-4199-b35c-1d170b650be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supuestos</vt:lpstr>
      <vt:lpstr>Homicidios</vt:lpstr>
      <vt:lpstr>Robo</vt:lpstr>
      <vt:lpstr>Robo vehiculos</vt:lpstr>
      <vt:lpstr>Calculos ACB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Villalba Castrillon, Harold</dc:creator>
  <cp:lastModifiedBy>Mahfouz, Giovanna L.</cp:lastModifiedBy>
  <dcterms:created xsi:type="dcterms:W3CDTF">2019-08-30T15:00:18Z</dcterms:created>
  <dcterms:modified xsi:type="dcterms:W3CDTF">2019-09-04T15:24:40Z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0x010100830EDEB9A06DA74A9055BD27FB034A94</vt:lpwstr>
  </property>
</Properties>
</file>