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8.xml" ContentType="application/vnd.openxmlformats-officedocument.spreadsheetml.worksheet+xml"/>
  <Override PartName="/xl/worksheets/sheet9.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4.xml" ContentType="application/vnd.openxmlformats-officedocument.spreadsheetml.externalLink+xml"/>
  <Override PartName="/xl/externalLinks/externalLink3.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externalLinks/externalLink2.xml" ContentType="application/vnd.openxmlformats-officedocument.spreadsheetml.externalLink+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66"/>
  <workbookPr checkCompatibility="1" defaultThemeVersion="124226"/>
  <mc:AlternateContent xmlns:mc="http://schemas.openxmlformats.org/markup-compatibility/2006">
    <mc:Choice Requires="x15">
      <x15ac:absPath xmlns:x15ac="http://schemas.microsoft.com/office/spreadsheetml/2010/11/ac" url="C:\Users\FlorenciaC\Desktop\DOCS IP\Proyectos\2017\Argentina INDEC\POD Para revision final ICS\"/>
    </mc:Choice>
  </mc:AlternateContent>
  <bookViews>
    <workbookView xWindow="240" yWindow="36" windowWidth="15480" windowHeight="7728" tabRatio="924"/>
  </bookViews>
  <sheets>
    <sheet name="1_B_Uso_EPublicas" sheetId="42" r:id="rId1"/>
    <sheet name="HT_1_2" sheetId="40" r:id="rId2"/>
    <sheet name="2_B_Uso_Empresas" sheetId="43" r:id="rId3"/>
    <sheet name="HT_1_3" sheetId="41" r:id="rId4"/>
    <sheet name="3_B_Uso_Población" sheetId="47" r:id="rId5"/>
    <sheet name="HT_1_4" sheetId="48" r:id="rId6"/>
    <sheet name="5_B_Inversión" sheetId="36" r:id="rId7"/>
    <sheet name="4_B_Programas sociales" sheetId="44" r:id="rId8"/>
    <sheet name="Ev_So_PM" sheetId="8" r:id="rId9"/>
    <sheet name="Ev_So_PS" sheetId="46" r:id="rId10"/>
    <sheet name="Costos" sheetId="45" r:id="rId11"/>
    <sheet name="Estadistica" sheetId="49" r:id="rId12"/>
  </sheets>
  <externalReferences>
    <externalReference r:id="rId13"/>
    <externalReference r:id="rId14"/>
    <externalReference r:id="rId15"/>
    <externalReference r:id="rId16"/>
  </externalReferences>
  <calcPr calcId="171027"/>
</workbook>
</file>

<file path=xl/calcChain.xml><?xml version="1.0" encoding="utf-8"?>
<calcChain xmlns="http://schemas.openxmlformats.org/spreadsheetml/2006/main">
  <c r="I12" i="41" l="1"/>
  <c r="H15" i="47" l="1"/>
  <c r="F15" i="47"/>
  <c r="H22" i="43"/>
  <c r="F22" i="43"/>
  <c r="H12" i="42"/>
  <c r="F12" i="42"/>
  <c r="I15" i="8" l="1"/>
  <c r="I10" i="8" s="1"/>
  <c r="J15" i="8"/>
  <c r="J10" i="8" s="1"/>
  <c r="K15" i="8"/>
  <c r="L15" i="8"/>
  <c r="L10" i="8" s="1"/>
  <c r="M15" i="8"/>
  <c r="M10" i="8" s="1"/>
  <c r="N15" i="8"/>
  <c r="N15" i="46" s="1"/>
  <c r="N10" i="46" s="1"/>
  <c r="O15" i="8"/>
  <c r="O15" i="46" s="1"/>
  <c r="O10" i="46" s="1"/>
  <c r="P15" i="8"/>
  <c r="P15" i="46" s="1"/>
  <c r="P10" i="46" s="1"/>
  <c r="Q15" i="8"/>
  <c r="H15" i="8"/>
  <c r="H10" i="8" s="1"/>
  <c r="Q15" i="46"/>
  <c r="Q10" i="46" s="1"/>
  <c r="K10" i="8" l="1"/>
  <c r="K15" i="46"/>
  <c r="C36" i="49"/>
  <c r="B37" i="49" s="1"/>
  <c r="D35" i="49"/>
  <c r="D36" i="49" s="1"/>
  <c r="E35" i="49"/>
  <c r="E36" i="49" s="1"/>
  <c r="F35" i="49"/>
  <c r="F36" i="49" s="1"/>
  <c r="G35" i="49"/>
  <c r="G36" i="49" s="1"/>
  <c r="H35" i="49"/>
  <c r="H36" i="49" s="1"/>
  <c r="I35" i="49"/>
  <c r="I36" i="49" s="1"/>
  <c r="J35" i="49"/>
  <c r="J36" i="49" s="1"/>
  <c r="K35" i="49"/>
  <c r="K36" i="49" s="1"/>
  <c r="L35" i="49"/>
  <c r="L36" i="49" s="1"/>
  <c r="M35" i="49"/>
  <c r="M36" i="49" s="1"/>
  <c r="N35" i="49"/>
  <c r="N36" i="49" s="1"/>
  <c r="O35" i="49"/>
  <c r="O36" i="49" s="1"/>
  <c r="P35" i="49"/>
  <c r="P36" i="49" s="1"/>
  <c r="Q35" i="49"/>
  <c r="Q36" i="49" s="1"/>
  <c r="R35" i="49"/>
  <c r="S35" i="49"/>
  <c r="T35" i="49"/>
  <c r="U35" i="49"/>
  <c r="V35" i="49"/>
  <c r="W35" i="49"/>
  <c r="C35" i="49"/>
  <c r="N10" i="8"/>
  <c r="O10" i="8"/>
  <c r="P10" i="8"/>
  <c r="Q10" i="8"/>
  <c r="D26" i="49" l="1"/>
  <c r="F26" i="49"/>
  <c r="H26" i="49"/>
  <c r="J26" i="49"/>
  <c r="L26" i="49"/>
  <c r="N26" i="49"/>
  <c r="P26" i="49"/>
  <c r="R26" i="49"/>
  <c r="T26" i="49"/>
  <c r="V26" i="49"/>
  <c r="W25" i="49"/>
  <c r="W29" i="49" s="1"/>
  <c r="W30" i="49" s="1"/>
  <c r="C25" i="49"/>
  <c r="D25" i="49"/>
  <c r="E25" i="49"/>
  <c r="E29" i="49" s="1"/>
  <c r="E30" i="49" s="1"/>
  <c r="F25" i="49"/>
  <c r="F29" i="49" s="1"/>
  <c r="F30" i="49" s="1"/>
  <c r="G25" i="49"/>
  <c r="G26" i="49" s="1"/>
  <c r="H25" i="49"/>
  <c r="H29" i="49" s="1"/>
  <c r="H30" i="49" s="1"/>
  <c r="I25" i="49"/>
  <c r="I29" i="49" s="1"/>
  <c r="I30" i="49" s="1"/>
  <c r="J25" i="49"/>
  <c r="J29" i="49" s="1"/>
  <c r="J30" i="49" s="1"/>
  <c r="K25" i="49"/>
  <c r="K26" i="49" s="1"/>
  <c r="L25" i="49"/>
  <c r="L29" i="49" s="1"/>
  <c r="L30" i="49" s="1"/>
  <c r="M25" i="49"/>
  <c r="M29" i="49" s="1"/>
  <c r="M30" i="49" s="1"/>
  <c r="N25" i="49"/>
  <c r="N29" i="49" s="1"/>
  <c r="N30" i="49" s="1"/>
  <c r="O25" i="49"/>
  <c r="O26" i="49" s="1"/>
  <c r="P25" i="49"/>
  <c r="P29" i="49" s="1"/>
  <c r="P30" i="49" s="1"/>
  <c r="Q25" i="49"/>
  <c r="Q29" i="49" s="1"/>
  <c r="Q30" i="49" s="1"/>
  <c r="R25" i="49"/>
  <c r="R29" i="49" s="1"/>
  <c r="R30" i="49" s="1"/>
  <c r="S25" i="49"/>
  <c r="S26" i="49" s="1"/>
  <c r="T25" i="49"/>
  <c r="T29" i="49" s="1"/>
  <c r="T30" i="49" s="1"/>
  <c r="U25" i="49"/>
  <c r="U29" i="49" s="1"/>
  <c r="U30" i="49" s="1"/>
  <c r="V25" i="49"/>
  <c r="V29" i="49" s="1"/>
  <c r="V30" i="49" s="1"/>
  <c r="B25" i="49"/>
  <c r="B26" i="49" s="1"/>
  <c r="C14" i="49"/>
  <c r="C15" i="49" s="1"/>
  <c r="D14" i="49"/>
  <c r="D15" i="49" s="1"/>
  <c r="E14" i="49"/>
  <c r="E15" i="49" s="1"/>
  <c r="F14" i="49"/>
  <c r="F15" i="49" s="1"/>
  <c r="G14" i="49"/>
  <c r="G15" i="49" s="1"/>
  <c r="H14" i="49"/>
  <c r="H15" i="49" s="1"/>
  <c r="I14" i="49"/>
  <c r="I15" i="49" s="1"/>
  <c r="J14" i="49"/>
  <c r="J15" i="49" s="1"/>
  <c r="K14" i="49"/>
  <c r="K15" i="49" s="1"/>
  <c r="L14" i="49"/>
  <c r="L15" i="49" s="1"/>
  <c r="M14" i="49"/>
  <c r="M15" i="49" s="1"/>
  <c r="N14" i="49"/>
  <c r="N15" i="49" s="1"/>
  <c r="O14" i="49"/>
  <c r="O15" i="49" s="1"/>
  <c r="P14" i="49"/>
  <c r="P15" i="49" s="1"/>
  <c r="Q14" i="49"/>
  <c r="Q15" i="49" s="1"/>
  <c r="C20" i="49" s="1"/>
  <c r="R14" i="49"/>
  <c r="R15" i="49" s="1"/>
  <c r="S14" i="49"/>
  <c r="S15" i="49" s="1"/>
  <c r="T14" i="49"/>
  <c r="T15" i="49" s="1"/>
  <c r="U14" i="49"/>
  <c r="U15" i="49" s="1"/>
  <c r="V14" i="49"/>
  <c r="V15" i="49" s="1"/>
  <c r="B14" i="49"/>
  <c r="B15" i="49" s="1"/>
  <c r="W14" i="49"/>
  <c r="W15" i="49" s="1"/>
  <c r="C21" i="49" l="1"/>
  <c r="C28" i="49"/>
  <c r="D29" i="49"/>
  <c r="D30" i="49" s="1"/>
  <c r="S29" i="49"/>
  <c r="S30" i="49" s="1"/>
  <c r="O29" i="49"/>
  <c r="O30" i="49" s="1"/>
  <c r="K29" i="49"/>
  <c r="K30" i="49" s="1"/>
  <c r="G29" i="49"/>
  <c r="G30" i="49" s="1"/>
  <c r="U26" i="49"/>
  <c r="Q26" i="49"/>
  <c r="M26" i="49"/>
  <c r="I26" i="49"/>
  <c r="E26" i="49"/>
  <c r="C19" i="49"/>
  <c r="C22" i="49"/>
  <c r="W26" i="49"/>
  <c r="C26" i="49"/>
  <c r="C17" i="49"/>
  <c r="C18" i="49"/>
  <c r="H8" i="47"/>
  <c r="F8" i="47"/>
  <c r="I15" i="46"/>
  <c r="J15" i="46"/>
  <c r="J10" i="46" s="1"/>
  <c r="K10" i="46"/>
  <c r="L15" i="46"/>
  <c r="L10" i="46" s="1"/>
  <c r="M15" i="46"/>
  <c r="H15" i="46"/>
  <c r="H10" i="46" s="1"/>
  <c r="E15" i="46"/>
  <c r="F15" i="46"/>
  <c r="G15" i="46"/>
  <c r="D15" i="46"/>
  <c r="A15" i="46"/>
  <c r="G10" i="47"/>
  <c r="G11" i="47" s="1"/>
  <c r="G13" i="47" s="1"/>
  <c r="B23" i="46"/>
  <c r="E23" i="47"/>
  <c r="C6" i="8"/>
  <c r="C6" i="46" s="1"/>
  <c r="A6" i="8"/>
  <c r="A6" i="46"/>
  <c r="F7" i="47"/>
  <c r="F9" i="47"/>
  <c r="F11" i="47"/>
  <c r="F13" i="47"/>
  <c r="H7" i="47"/>
  <c r="H9" i="47"/>
  <c r="H11" i="47"/>
  <c r="H13" i="47"/>
  <c r="H14" i="47"/>
  <c r="F14" i="47"/>
  <c r="H6" i="47"/>
  <c r="F6" i="47"/>
  <c r="G14" i="43"/>
  <c r="G15" i="43" s="1"/>
  <c r="A7" i="8"/>
  <c r="A7" i="46" s="1"/>
  <c r="A8" i="8"/>
  <c r="A8" i="46" s="1"/>
  <c r="C8" i="8"/>
  <c r="C8" i="45"/>
  <c r="C9" i="45"/>
  <c r="C10" i="45"/>
  <c r="C11" i="45"/>
  <c r="D8" i="45"/>
  <c r="D9" i="45"/>
  <c r="D10" i="45"/>
  <c r="D11" i="45"/>
  <c r="E8" i="45"/>
  <c r="E9" i="45"/>
  <c r="E10" i="45"/>
  <c r="E11" i="45"/>
  <c r="F8" i="45"/>
  <c r="F9" i="45"/>
  <c r="F10" i="45"/>
  <c r="F11" i="45"/>
  <c r="C15" i="45"/>
  <c r="C16" i="45"/>
  <c r="D15" i="45"/>
  <c r="D16" i="45"/>
  <c r="E15" i="45"/>
  <c r="E16" i="45"/>
  <c r="F15" i="45"/>
  <c r="F16" i="45"/>
  <c r="C20" i="45"/>
  <c r="C21" i="45"/>
  <c r="C22" i="45"/>
  <c r="D20" i="45"/>
  <c r="D21" i="45"/>
  <c r="D22" i="45"/>
  <c r="E20" i="45"/>
  <c r="E21" i="45"/>
  <c r="E22" i="45"/>
  <c r="F20" i="45"/>
  <c r="F21" i="45"/>
  <c r="F22" i="45"/>
  <c r="C25" i="45"/>
  <c r="C24" i="45" s="1"/>
  <c r="D25" i="45"/>
  <c r="D24" i="45" s="1"/>
  <c r="E25" i="45"/>
  <c r="E24" i="45" s="1"/>
  <c r="F25" i="45"/>
  <c r="F24" i="45" s="1"/>
  <c r="H25" i="45"/>
  <c r="H24" i="45" s="1"/>
  <c r="I25" i="45"/>
  <c r="J25" i="45"/>
  <c r="J24" i="45" s="1"/>
  <c r="K25" i="45"/>
  <c r="M25" i="45"/>
  <c r="N25" i="45"/>
  <c r="N24" i="45" s="1"/>
  <c r="O25" i="45"/>
  <c r="O24" i="45" s="1"/>
  <c r="P25" i="45"/>
  <c r="P24" i="45" s="1"/>
  <c r="R25" i="45"/>
  <c r="S25" i="45"/>
  <c r="S24" i="45" s="1"/>
  <c r="T25" i="45"/>
  <c r="U25" i="45"/>
  <c r="U24" i="45" s="1"/>
  <c r="H8" i="45"/>
  <c r="H9" i="45"/>
  <c r="H10" i="45"/>
  <c r="H11" i="45"/>
  <c r="I8" i="45"/>
  <c r="I9" i="45"/>
  <c r="I10" i="45"/>
  <c r="I11" i="45"/>
  <c r="J8" i="45"/>
  <c r="J9" i="45"/>
  <c r="J10" i="45"/>
  <c r="J11" i="45"/>
  <c r="K8" i="45"/>
  <c r="K9" i="45"/>
  <c r="K10" i="45"/>
  <c r="K11" i="45"/>
  <c r="M8" i="45"/>
  <c r="M9" i="45"/>
  <c r="M10" i="45"/>
  <c r="M11" i="45"/>
  <c r="N8" i="45"/>
  <c r="N9" i="45"/>
  <c r="N10" i="45"/>
  <c r="N11" i="45"/>
  <c r="O8" i="45"/>
  <c r="O9" i="45"/>
  <c r="O10" i="45"/>
  <c r="O11" i="45"/>
  <c r="P8" i="45"/>
  <c r="P9" i="45"/>
  <c r="P10" i="45"/>
  <c r="Q10" i="45" s="1"/>
  <c r="AD10" i="45" s="1"/>
  <c r="P11" i="45"/>
  <c r="R8" i="45"/>
  <c r="R9" i="45"/>
  <c r="R10" i="45"/>
  <c r="R11" i="45"/>
  <c r="S8" i="45"/>
  <c r="S9" i="45"/>
  <c r="S10" i="45"/>
  <c r="S11" i="45"/>
  <c r="T8" i="45"/>
  <c r="T9" i="45"/>
  <c r="T10" i="45"/>
  <c r="T11" i="45"/>
  <c r="U8" i="45"/>
  <c r="Z8" i="45" s="1"/>
  <c r="U9" i="45"/>
  <c r="U10" i="45"/>
  <c r="U11" i="45"/>
  <c r="H15" i="45"/>
  <c r="H16" i="45"/>
  <c r="I15" i="45"/>
  <c r="I16" i="45"/>
  <c r="J15" i="45"/>
  <c r="J16" i="45"/>
  <c r="K15" i="45"/>
  <c r="K16" i="45"/>
  <c r="M15" i="45"/>
  <c r="M16" i="45"/>
  <c r="N15" i="45"/>
  <c r="N13" i="45" s="1"/>
  <c r="N16" i="45"/>
  <c r="O15" i="45"/>
  <c r="O16" i="45"/>
  <c r="P15" i="45"/>
  <c r="P16" i="45"/>
  <c r="R15" i="45"/>
  <c r="R16" i="45"/>
  <c r="S15" i="45"/>
  <c r="S16" i="45"/>
  <c r="T15" i="45"/>
  <c r="T16" i="45"/>
  <c r="U15" i="45"/>
  <c r="U16" i="45"/>
  <c r="H20" i="45"/>
  <c r="H21" i="45"/>
  <c r="H22" i="45"/>
  <c r="I20" i="45"/>
  <c r="I21" i="45"/>
  <c r="I22" i="45"/>
  <c r="J20" i="45"/>
  <c r="J21" i="45"/>
  <c r="J22" i="45"/>
  <c r="K20" i="45"/>
  <c r="K21" i="45"/>
  <c r="K22" i="45"/>
  <c r="M20" i="45"/>
  <c r="M21" i="45"/>
  <c r="M22" i="45"/>
  <c r="N20" i="45"/>
  <c r="N21" i="45"/>
  <c r="N22" i="45"/>
  <c r="O20" i="45"/>
  <c r="O21" i="45"/>
  <c r="O22" i="45"/>
  <c r="P20" i="45"/>
  <c r="P21" i="45"/>
  <c r="P22" i="45"/>
  <c r="R20" i="45"/>
  <c r="R21" i="45"/>
  <c r="R22" i="45"/>
  <c r="S20" i="45"/>
  <c r="S21" i="45"/>
  <c r="S22" i="45"/>
  <c r="T20" i="45"/>
  <c r="T21" i="45"/>
  <c r="T22" i="45"/>
  <c r="U20" i="45"/>
  <c r="U21" i="45"/>
  <c r="U22" i="45"/>
  <c r="A4" i="8"/>
  <c r="A4" i="46" s="1"/>
  <c r="A5" i="8"/>
  <c r="A5" i="46" s="1"/>
  <c r="M10" i="46"/>
  <c r="I10" i="46"/>
  <c r="C10" i="46"/>
  <c r="E30" i="43"/>
  <c r="C5" i="46"/>
  <c r="X11" i="45"/>
  <c r="V9" i="45"/>
  <c r="AE9" i="45" s="1"/>
  <c r="L9" i="45"/>
  <c r="AC9" i="45" s="1"/>
  <c r="V8" i="45"/>
  <c r="AE8" i="45" s="1"/>
  <c r="H14" i="44"/>
  <c r="F14" i="44"/>
  <c r="F11" i="44"/>
  <c r="G11" i="44"/>
  <c r="H11" i="44" s="1"/>
  <c r="G10" i="44"/>
  <c r="H10" i="44" s="1"/>
  <c r="G9" i="44"/>
  <c r="H9" i="44" s="1"/>
  <c r="G8" i="44"/>
  <c r="H8" i="44" s="1"/>
  <c r="G7" i="44"/>
  <c r="H7" i="44" s="1"/>
  <c r="G6" i="44"/>
  <c r="E25" i="44"/>
  <c r="H12" i="44"/>
  <c r="F12" i="44"/>
  <c r="F8" i="44"/>
  <c r="H21" i="43"/>
  <c r="F21" i="43"/>
  <c r="H11" i="42"/>
  <c r="F11" i="42"/>
  <c r="H11" i="36"/>
  <c r="F11" i="36"/>
  <c r="H13" i="36"/>
  <c r="F13" i="36"/>
  <c r="G10" i="36"/>
  <c r="H10" i="36" s="1"/>
  <c r="G9" i="36"/>
  <c r="H9" i="36" s="1"/>
  <c r="G8" i="36"/>
  <c r="H8" i="36" s="1"/>
  <c r="G7" i="36"/>
  <c r="H7" i="36" s="1"/>
  <c r="G6" i="36"/>
  <c r="F6" i="36"/>
  <c r="G8" i="42"/>
  <c r="F7" i="36"/>
  <c r="C5" i="8"/>
  <c r="C10" i="8"/>
  <c r="H11" i="43"/>
  <c r="H12" i="43"/>
  <c r="H13" i="43"/>
  <c r="H10" i="43"/>
  <c r="F11" i="43"/>
  <c r="F12" i="43"/>
  <c r="F13" i="43"/>
  <c r="F10" i="43"/>
  <c r="H15" i="43"/>
  <c r="F15" i="43"/>
  <c r="G8" i="43"/>
  <c r="F8" i="43" s="1"/>
  <c r="H10" i="42"/>
  <c r="F10" i="42"/>
  <c r="A75" i="40"/>
  <c r="G6" i="42" s="1"/>
  <c r="G10" i="42" s="1"/>
  <c r="J17" i="42" s="1"/>
  <c r="E20" i="42"/>
  <c r="C4" i="46" s="1"/>
  <c r="L10" i="41"/>
  <c r="N10" i="41" s="1"/>
  <c r="P10" i="41" s="1"/>
  <c r="Q10" i="41" s="1"/>
  <c r="L8" i="41"/>
  <c r="N8" i="41" s="1"/>
  <c r="P8" i="41" s="1"/>
  <c r="L6" i="41"/>
  <c r="L9" i="41" s="1"/>
  <c r="N9" i="41" s="1"/>
  <c r="P9" i="41" s="1"/>
  <c r="Q9" i="41" s="1"/>
  <c r="J9" i="41"/>
  <c r="G7" i="43" s="1"/>
  <c r="H7" i="43" s="1"/>
  <c r="H18" i="43" s="1"/>
  <c r="J10" i="41"/>
  <c r="J11" i="41"/>
  <c r="G9" i="43" s="1"/>
  <c r="J8" i="41"/>
  <c r="E24" i="36"/>
  <c r="F7" i="44"/>
  <c r="F6" i="44"/>
  <c r="F9" i="43" l="1"/>
  <c r="F20" i="43" s="1"/>
  <c r="H9" i="43"/>
  <c r="H20" i="43" s="1"/>
  <c r="C7" i="46"/>
  <c r="H6" i="44"/>
  <c r="H13" i="44" s="1"/>
  <c r="P8" i="44"/>
  <c r="J12" i="41"/>
  <c r="L11" i="41"/>
  <c r="N11" i="41" s="1"/>
  <c r="P11" i="41" s="1"/>
  <c r="Q11" i="41" s="1"/>
  <c r="F19" i="43"/>
  <c r="F8" i="36"/>
  <c r="F12" i="36" s="1"/>
  <c r="F14" i="36" s="1"/>
  <c r="F10" i="36"/>
  <c r="F10" i="44"/>
  <c r="C31" i="49"/>
  <c r="G12" i="36"/>
  <c r="G14" i="36" s="1"/>
  <c r="F22" i="36" s="1"/>
  <c r="Y8" i="45"/>
  <c r="W8" i="45"/>
  <c r="AA8" i="45" s="1"/>
  <c r="C7" i="8"/>
  <c r="H8" i="43"/>
  <c r="H19" i="43" s="1"/>
  <c r="P10" i="36"/>
  <c r="H6" i="36"/>
  <c r="H12" i="36" s="1"/>
  <c r="H14" i="36" s="1"/>
  <c r="F9" i="36"/>
  <c r="C8" i="46"/>
  <c r="F9" i="44"/>
  <c r="F13" i="44" s="1"/>
  <c r="G13" i="44"/>
  <c r="F23" i="44" s="1"/>
  <c r="Q8" i="41"/>
  <c r="Q12" i="41" s="1"/>
  <c r="G6" i="43"/>
  <c r="G8" i="45"/>
  <c r="AB8" i="45" s="1"/>
  <c r="G11" i="45"/>
  <c r="AB11" i="45" s="1"/>
  <c r="L20" i="45"/>
  <c r="AC20" i="45" s="1"/>
  <c r="X10" i="45"/>
  <c r="C13" i="45"/>
  <c r="Y21" i="45"/>
  <c r="I18" i="45"/>
  <c r="V16" i="45"/>
  <c r="AE16" i="45" s="1"/>
  <c r="L15" i="45"/>
  <c r="AC15" i="45" s="1"/>
  <c r="H18" i="45"/>
  <c r="R13" i="45"/>
  <c r="I6" i="45"/>
  <c r="F6" i="45"/>
  <c r="Z22" i="45"/>
  <c r="U18" i="45"/>
  <c r="V20" i="45"/>
  <c r="AE20" i="45" s="1"/>
  <c r="V22" i="45"/>
  <c r="AE22" i="45" s="1"/>
  <c r="Q21" i="45"/>
  <c r="AD21" i="45" s="1"/>
  <c r="O18" i="45"/>
  <c r="Q22" i="45"/>
  <c r="AD22" i="45" s="1"/>
  <c r="J18" i="45"/>
  <c r="S13" i="45"/>
  <c r="Q11" i="45"/>
  <c r="AD11" i="45" s="1"/>
  <c r="Z11" i="45"/>
  <c r="X8" i="45"/>
  <c r="L8" i="45"/>
  <c r="AC8" i="45" s="1"/>
  <c r="G22" i="45"/>
  <c r="AB22" i="45" s="1"/>
  <c r="G21" i="45"/>
  <c r="AB21" i="45" s="1"/>
  <c r="X16" i="45"/>
  <c r="L22" i="45"/>
  <c r="AC22" i="45" s="1"/>
  <c r="K18" i="45"/>
  <c r="X22" i="45"/>
  <c r="U6" i="45"/>
  <c r="S6" i="45"/>
  <c r="V10" i="45"/>
  <c r="AE10" i="45" s="1"/>
  <c r="F13" i="45"/>
  <c r="S18" i="45"/>
  <c r="J13" i="45"/>
  <c r="L16" i="45"/>
  <c r="AC16" i="45" s="1"/>
  <c r="AC13" i="45" s="1"/>
  <c r="O6" i="45"/>
  <c r="E6" i="45"/>
  <c r="G10" i="45"/>
  <c r="AB10" i="45" s="1"/>
  <c r="C3" i="46"/>
  <c r="K20" i="47"/>
  <c r="K21" i="47" s="1"/>
  <c r="O20" i="47"/>
  <c r="O21" i="47" s="1"/>
  <c r="S20" i="47"/>
  <c r="S21" i="47" s="1"/>
  <c r="H20" i="47"/>
  <c r="H21" i="47" s="1"/>
  <c r="L20" i="47"/>
  <c r="L21" i="47" s="1"/>
  <c r="P20" i="47"/>
  <c r="P21" i="47" s="1"/>
  <c r="G20" i="47"/>
  <c r="G21" i="47" s="1"/>
  <c r="I20" i="47"/>
  <c r="I21" i="47" s="1"/>
  <c r="M20" i="47"/>
  <c r="M21" i="47" s="1"/>
  <c r="Q20" i="47"/>
  <c r="Q21" i="47" s="1"/>
  <c r="F20" i="47"/>
  <c r="J20" i="47"/>
  <c r="J21" i="47" s="1"/>
  <c r="N20" i="47"/>
  <c r="N21" i="47" s="1"/>
  <c r="R20" i="47"/>
  <c r="R21" i="47" s="1"/>
  <c r="G23" i="47"/>
  <c r="E6" i="8" s="1"/>
  <c r="E6" i="46" s="1"/>
  <c r="G20" i="43"/>
  <c r="G19" i="43"/>
  <c r="G18" i="43"/>
  <c r="F7" i="43"/>
  <c r="F18" i="43" s="1"/>
  <c r="K17" i="42"/>
  <c r="K18" i="42" s="1"/>
  <c r="O17" i="42"/>
  <c r="O18" i="42" s="1"/>
  <c r="S17" i="42"/>
  <c r="S18" i="42" s="1"/>
  <c r="M17" i="42"/>
  <c r="M18" i="42" s="1"/>
  <c r="F17" i="42"/>
  <c r="F18" i="42" s="1"/>
  <c r="J18" i="42"/>
  <c r="R17" i="42"/>
  <c r="R18" i="42" s="1"/>
  <c r="I17" i="42"/>
  <c r="I18" i="42" s="1"/>
  <c r="L17" i="42"/>
  <c r="L18" i="42" s="1"/>
  <c r="P17" i="42"/>
  <c r="P18" i="42" s="1"/>
  <c r="G17" i="42"/>
  <c r="G18" i="42" s="1"/>
  <c r="H17" i="42"/>
  <c r="H18" i="42" s="1"/>
  <c r="Q17" i="42"/>
  <c r="Q18" i="42" s="1"/>
  <c r="N17" i="42"/>
  <c r="N18" i="42" s="1"/>
  <c r="C4" i="8"/>
  <c r="C3" i="8" s="1"/>
  <c r="F25" i="44"/>
  <c r="D8" i="8" s="1"/>
  <c r="D8" i="46" s="1"/>
  <c r="G23" i="44"/>
  <c r="R15" i="46"/>
  <c r="Q25" i="45"/>
  <c r="AD25" i="45" s="1"/>
  <c r="AD24" i="45" s="1"/>
  <c r="Y11" i="45"/>
  <c r="T18" i="45"/>
  <c r="N18" i="45"/>
  <c r="O13" i="45"/>
  <c r="I13" i="45"/>
  <c r="W11" i="45"/>
  <c r="Q8" i="45"/>
  <c r="AD8" i="45" s="1"/>
  <c r="AF8" i="45" s="1"/>
  <c r="Z9" i="45"/>
  <c r="Y10" i="45"/>
  <c r="P18" i="45"/>
  <c r="L21" i="45"/>
  <c r="AC21" i="45" s="1"/>
  <c r="AC18" i="45" s="1"/>
  <c r="K13" i="45"/>
  <c r="M6" i="45"/>
  <c r="K6" i="45"/>
  <c r="E13" i="45"/>
  <c r="W22" i="45"/>
  <c r="L11" i="45"/>
  <c r="AC11" i="45" s="1"/>
  <c r="Y22" i="45"/>
  <c r="N6" i="45"/>
  <c r="J6" i="45"/>
  <c r="G25" i="45"/>
  <c r="AB25" i="45" s="1"/>
  <c r="AB24" i="45" s="1"/>
  <c r="M24" i="45"/>
  <c r="Q24" i="45" s="1"/>
  <c r="F14" i="8" s="1"/>
  <c r="F14" i="46" s="1"/>
  <c r="L25" i="45"/>
  <c r="AC25" i="45" s="1"/>
  <c r="AC24" i="45" s="1"/>
  <c r="V25" i="45"/>
  <c r="AE25" i="45" s="1"/>
  <c r="AE24" i="45" s="1"/>
  <c r="R24" i="45"/>
  <c r="W25" i="45"/>
  <c r="D18" i="45"/>
  <c r="X20" i="45"/>
  <c r="C6" i="45"/>
  <c r="W10" i="45"/>
  <c r="X9" i="45"/>
  <c r="L10" i="45"/>
  <c r="AC10" i="45" s="1"/>
  <c r="Z21" i="45"/>
  <c r="X21" i="45"/>
  <c r="Q16" i="45"/>
  <c r="AD16" i="45" s="1"/>
  <c r="M13" i="45"/>
  <c r="W16" i="45"/>
  <c r="P6" i="45"/>
  <c r="C18" i="45"/>
  <c r="W20" i="45"/>
  <c r="Y16" i="45"/>
  <c r="G16" i="45"/>
  <c r="AB16" i="45" s="1"/>
  <c r="M18" i="45"/>
  <c r="Q20" i="45"/>
  <c r="AD20" i="45" s="1"/>
  <c r="X25" i="45"/>
  <c r="X24" i="45" s="1"/>
  <c r="I24" i="45"/>
  <c r="G20" i="45"/>
  <c r="AB20" i="45" s="1"/>
  <c r="T13" i="45"/>
  <c r="Y15" i="45"/>
  <c r="P13" i="45"/>
  <c r="Q15" i="45"/>
  <c r="AD15" i="45" s="1"/>
  <c r="Z15" i="45"/>
  <c r="G24" i="45"/>
  <c r="D14" i="8" s="1"/>
  <c r="E18" i="45"/>
  <c r="Y20" i="45"/>
  <c r="D6" i="45"/>
  <c r="G9" i="45"/>
  <c r="AB9" i="45" s="1"/>
  <c r="Q9" i="45"/>
  <c r="AD9" i="45" s="1"/>
  <c r="Z10" i="45"/>
  <c r="V11" i="45"/>
  <c r="AE11" i="45" s="1"/>
  <c r="AE6" i="45" s="1"/>
  <c r="R18" i="45"/>
  <c r="W21" i="45"/>
  <c r="V21" i="45"/>
  <c r="AE21" i="45" s="1"/>
  <c r="Z16" i="45"/>
  <c r="U13" i="45"/>
  <c r="V15" i="45"/>
  <c r="AE15" i="45" s="1"/>
  <c r="H13" i="45"/>
  <c r="W15" i="45"/>
  <c r="T6" i="45"/>
  <c r="Y9" i="45"/>
  <c r="Y6" i="45" s="1"/>
  <c r="R6" i="45"/>
  <c r="H6" i="45"/>
  <c r="W9" i="45"/>
  <c r="T24" i="45"/>
  <c r="Y25" i="45"/>
  <c r="Y24" i="45" s="1"/>
  <c r="Z25" i="45"/>
  <c r="Z24" i="45" s="1"/>
  <c r="K24" i="45"/>
  <c r="F18" i="45"/>
  <c r="Z20" i="45"/>
  <c r="D13" i="45"/>
  <c r="X15" i="45"/>
  <c r="G15" i="45"/>
  <c r="AB15" i="45" s="1"/>
  <c r="X13" i="45" l="1"/>
  <c r="U4" i="45"/>
  <c r="F24" i="36"/>
  <c r="G22" i="36"/>
  <c r="AD13" i="45"/>
  <c r="J4" i="45"/>
  <c r="G20" i="42"/>
  <c r="E4" i="8" s="1"/>
  <c r="E4" i="46" s="1"/>
  <c r="G17" i="43"/>
  <c r="O6" i="43"/>
  <c r="H6" i="43"/>
  <c r="H17" i="43" s="1"/>
  <c r="F6" i="43"/>
  <c r="F17" i="43" s="1"/>
  <c r="AF22" i="45"/>
  <c r="L18" i="45"/>
  <c r="E13" i="8" s="1"/>
  <c r="E13" i="46" s="1"/>
  <c r="AA9" i="45"/>
  <c r="AA22" i="45"/>
  <c r="L13" i="45"/>
  <c r="E12" i="8" s="1"/>
  <c r="E12" i="46" s="1"/>
  <c r="G13" i="45"/>
  <c r="D12" i="8" s="1"/>
  <c r="Z18" i="45"/>
  <c r="F4" i="45"/>
  <c r="AE13" i="45"/>
  <c r="AD6" i="45"/>
  <c r="I4" i="45"/>
  <c r="AF16" i="45"/>
  <c r="N4" i="45"/>
  <c r="O4" i="45"/>
  <c r="S4" i="45"/>
  <c r="AD18" i="45"/>
  <c r="AD4" i="45" s="1"/>
  <c r="AA11" i="45"/>
  <c r="AF21" i="45"/>
  <c r="Z6" i="45"/>
  <c r="Y18" i="45"/>
  <c r="Q18" i="45"/>
  <c r="F13" i="8" s="1"/>
  <c r="F13" i="46" s="1"/>
  <c r="AF10" i="45"/>
  <c r="E4" i="45"/>
  <c r="Q6" i="45"/>
  <c r="F11" i="8" s="1"/>
  <c r="F11" i="46" s="1"/>
  <c r="X6" i="45"/>
  <c r="F21" i="47"/>
  <c r="F23" i="47" s="1"/>
  <c r="H23" i="47"/>
  <c r="F6" i="8" s="1"/>
  <c r="F6" i="46" s="1"/>
  <c r="I23" i="47"/>
  <c r="R27" i="43"/>
  <c r="R28" i="43" s="1"/>
  <c r="R30" i="43" s="1"/>
  <c r="N27" i="43"/>
  <c r="N28" i="43" s="1"/>
  <c r="J27" i="43"/>
  <c r="J28" i="43" s="1"/>
  <c r="S27" i="43"/>
  <c r="M27" i="43"/>
  <c r="M28" i="43" s="1"/>
  <c r="I27" i="43"/>
  <c r="I28" i="43" s="1"/>
  <c r="P27" i="43"/>
  <c r="P28" i="43" s="1"/>
  <c r="P30" i="43" s="1"/>
  <c r="L27" i="43"/>
  <c r="L28" i="43" s="1"/>
  <c r="H27" i="43"/>
  <c r="Q27" i="43"/>
  <c r="Q28" i="43" s="1"/>
  <c r="Q30" i="43" s="1"/>
  <c r="O27" i="43"/>
  <c r="O28" i="43" s="1"/>
  <c r="K27" i="43"/>
  <c r="K28" i="43" s="1"/>
  <c r="F20" i="42"/>
  <c r="D4" i="8" s="1"/>
  <c r="H20" i="42"/>
  <c r="F4" i="8" s="1"/>
  <c r="F4" i="46" s="1"/>
  <c r="G25" i="44"/>
  <c r="E8" i="8" s="1"/>
  <c r="E8" i="46" s="1"/>
  <c r="H23" i="44"/>
  <c r="K4" i="45"/>
  <c r="T4" i="45"/>
  <c r="V18" i="45"/>
  <c r="G13" i="8" s="1"/>
  <c r="G13" i="46" s="1"/>
  <c r="V13" i="45"/>
  <c r="G12" i="8" s="1"/>
  <c r="G12" i="46" s="1"/>
  <c r="AA10" i="45"/>
  <c r="AA21" i="45"/>
  <c r="AE18" i="45"/>
  <c r="AC6" i="45"/>
  <c r="AC4" i="45" s="1"/>
  <c r="AF24" i="45"/>
  <c r="D12" i="46"/>
  <c r="V6" i="45"/>
  <c r="G11" i="8" s="1"/>
  <c r="R4" i="45"/>
  <c r="AB13" i="45"/>
  <c r="AF15" i="45"/>
  <c r="AF20" i="45"/>
  <c r="AB18" i="45"/>
  <c r="AA16" i="45"/>
  <c r="AF25" i="45"/>
  <c r="AF11" i="45"/>
  <c r="W24" i="45"/>
  <c r="AA24" i="45" s="1"/>
  <c r="AA25" i="45"/>
  <c r="L6" i="45"/>
  <c r="E11" i="8" s="1"/>
  <c r="H4" i="45"/>
  <c r="L4" i="45" s="1"/>
  <c r="AA15" i="45"/>
  <c r="W13" i="45"/>
  <c r="AF9" i="45"/>
  <c r="AB6" i="45"/>
  <c r="D14" i="46"/>
  <c r="Y13" i="45"/>
  <c r="W18" i="45"/>
  <c r="AA20" i="45"/>
  <c r="P4" i="45"/>
  <c r="G6" i="45"/>
  <c r="D11" i="8" s="1"/>
  <c r="C4" i="45"/>
  <c r="V24" i="45"/>
  <c r="G14" i="8" s="1"/>
  <c r="G14" i="46" s="1"/>
  <c r="W6" i="45"/>
  <c r="Q13" i="45"/>
  <c r="F12" i="8" s="1"/>
  <c r="F12" i="46" s="1"/>
  <c r="M4" i="45"/>
  <c r="D4" i="45"/>
  <c r="L24" i="45"/>
  <c r="E14" i="8" s="1"/>
  <c r="E14" i="46" s="1"/>
  <c r="Z13" i="45"/>
  <c r="G18" i="45"/>
  <c r="D13" i="8" s="1"/>
  <c r="D13" i="46" s="1"/>
  <c r="X18" i="45"/>
  <c r="D7" i="8" l="1"/>
  <c r="D7" i="46" s="1"/>
  <c r="D6" i="8"/>
  <c r="D6" i="46" s="1"/>
  <c r="H22" i="36"/>
  <c r="G24" i="36"/>
  <c r="E7" i="8" s="1"/>
  <c r="E7" i="46" s="1"/>
  <c r="G27" i="43"/>
  <c r="G28" i="43" s="1"/>
  <c r="G30" i="43" s="1"/>
  <c r="E5" i="8" s="1"/>
  <c r="E5" i="46" s="1"/>
  <c r="E3" i="46" s="1"/>
  <c r="F27" i="43"/>
  <c r="Y4" i="45"/>
  <c r="AF18" i="45"/>
  <c r="AE4" i="45"/>
  <c r="Z4" i="45"/>
  <c r="AF13" i="45"/>
  <c r="X4" i="45"/>
  <c r="I30" i="43"/>
  <c r="G6" i="8"/>
  <c r="G6" i="46" s="1"/>
  <c r="J23" i="47"/>
  <c r="H6" i="8" s="1"/>
  <c r="H6" i="46" s="1"/>
  <c r="H28" i="43"/>
  <c r="H30" i="43" s="1"/>
  <c r="F5" i="8" s="1"/>
  <c r="F5" i="46" s="1"/>
  <c r="F28" i="43"/>
  <c r="F30" i="43" s="1"/>
  <c r="S28" i="43"/>
  <c r="S30" i="43" s="1"/>
  <c r="D4" i="46"/>
  <c r="G5" i="8"/>
  <c r="G5" i="46" s="1"/>
  <c r="J30" i="43"/>
  <c r="H5" i="8" s="1"/>
  <c r="H5" i="46" s="1"/>
  <c r="I20" i="42"/>
  <c r="H25" i="44"/>
  <c r="F8" i="8" s="1"/>
  <c r="F8" i="46" s="1"/>
  <c r="I23" i="44"/>
  <c r="V4" i="45"/>
  <c r="Q4" i="45"/>
  <c r="G4" i="45"/>
  <c r="AA18" i="45"/>
  <c r="AF6" i="45"/>
  <c r="AB4" i="45"/>
  <c r="AF4" i="45" s="1"/>
  <c r="G11" i="46"/>
  <c r="G10" i="46" s="1"/>
  <c r="G10" i="8"/>
  <c r="D11" i="46"/>
  <c r="S11" i="8"/>
  <c r="D10" i="8"/>
  <c r="W4" i="45"/>
  <c r="AA6" i="45"/>
  <c r="S14" i="8"/>
  <c r="E11" i="46"/>
  <c r="E10" i="46" s="1"/>
  <c r="E10" i="8"/>
  <c r="F10" i="46"/>
  <c r="S12" i="8"/>
  <c r="R14" i="46"/>
  <c r="AA13" i="45"/>
  <c r="F10" i="8"/>
  <c r="R12" i="46"/>
  <c r="H24" i="36" l="1"/>
  <c r="I22" i="36"/>
  <c r="D5" i="8"/>
  <c r="D5" i="46" s="1"/>
  <c r="AA4" i="45"/>
  <c r="K23" i="47"/>
  <c r="D3" i="46"/>
  <c r="E3" i="8"/>
  <c r="E17" i="8" s="1"/>
  <c r="K30" i="43"/>
  <c r="I5" i="8" s="1"/>
  <c r="I5" i="46" s="1"/>
  <c r="J20" i="42"/>
  <c r="H4" i="8" s="1"/>
  <c r="H4" i="46" s="1"/>
  <c r="G4" i="8"/>
  <c r="G4" i="46" s="1"/>
  <c r="E17" i="46"/>
  <c r="I25" i="44"/>
  <c r="G8" i="8" s="1"/>
  <c r="G8" i="46" s="1"/>
  <c r="J23" i="44"/>
  <c r="R11" i="46"/>
  <c r="D10" i="46"/>
  <c r="S10" i="8"/>
  <c r="D3" i="8" l="1"/>
  <c r="D17" i="8" s="1"/>
  <c r="J22" i="36"/>
  <c r="I24" i="36"/>
  <c r="G7" i="8" s="1"/>
  <c r="G7" i="46" s="1"/>
  <c r="F7" i="8"/>
  <c r="I6" i="8"/>
  <c r="I6" i="46" s="1"/>
  <c r="L23" i="47"/>
  <c r="L30" i="43"/>
  <c r="J5" i="8" s="1"/>
  <c r="J5" i="46" s="1"/>
  <c r="K20" i="42"/>
  <c r="J25" i="44"/>
  <c r="K23" i="44"/>
  <c r="G3" i="46"/>
  <c r="G17" i="46" s="1"/>
  <c r="G3" i="8"/>
  <c r="G17" i="8" s="1"/>
  <c r="R10" i="46"/>
  <c r="D17" i="46"/>
  <c r="H8" i="8" l="1"/>
  <c r="H8" i="46" s="1"/>
  <c r="F7" i="46"/>
  <c r="F3" i="46" s="1"/>
  <c r="F17" i="46" s="1"/>
  <c r="F3" i="8"/>
  <c r="F17" i="8" s="1"/>
  <c r="J6" i="8"/>
  <c r="J6" i="46" s="1"/>
  <c r="K22" i="36"/>
  <c r="J24" i="36"/>
  <c r="M23" i="47"/>
  <c r="M30" i="43"/>
  <c r="K5" i="8" s="1"/>
  <c r="K5" i="46" s="1"/>
  <c r="L20" i="42"/>
  <c r="J4" i="8" s="1"/>
  <c r="J4" i="46" s="1"/>
  <c r="I4" i="8"/>
  <c r="I4" i="46" s="1"/>
  <c r="K25" i="44"/>
  <c r="I8" i="8" s="1"/>
  <c r="I8" i="46" s="1"/>
  <c r="L23" i="44"/>
  <c r="H7" i="8" l="1"/>
  <c r="L22" i="36"/>
  <c r="K24" i="36"/>
  <c r="I7" i="8" s="1"/>
  <c r="I7" i="46" s="1"/>
  <c r="I3" i="46" s="1"/>
  <c r="I17" i="46" s="1"/>
  <c r="K6" i="8"/>
  <c r="K6" i="46" s="1"/>
  <c r="N23" i="47"/>
  <c r="L6" i="8" s="1"/>
  <c r="L6" i="46" s="1"/>
  <c r="N30" i="43"/>
  <c r="M20" i="42"/>
  <c r="K4" i="8" s="1"/>
  <c r="K4" i="46" s="1"/>
  <c r="I3" i="8"/>
  <c r="I17" i="8" s="1"/>
  <c r="L25" i="44"/>
  <c r="J8" i="8" s="1"/>
  <c r="J8" i="46" s="1"/>
  <c r="M23" i="44"/>
  <c r="M22" i="36" l="1"/>
  <c r="L24" i="36"/>
  <c r="J7" i="8" s="1"/>
  <c r="J7" i="46" s="1"/>
  <c r="H7" i="46"/>
  <c r="H3" i="46" s="1"/>
  <c r="H17" i="46" s="1"/>
  <c r="H3" i="8"/>
  <c r="H17" i="8" s="1"/>
  <c r="O23" i="47"/>
  <c r="L5" i="8"/>
  <c r="L5" i="46" s="1"/>
  <c r="O30" i="43"/>
  <c r="M5" i="8" s="1"/>
  <c r="M5" i="46" s="1"/>
  <c r="N20" i="42"/>
  <c r="M25" i="44"/>
  <c r="K8" i="8" s="1"/>
  <c r="K8" i="46" s="1"/>
  <c r="N23" i="44"/>
  <c r="J3" i="46"/>
  <c r="J17" i="46" s="1"/>
  <c r="J3" i="8" l="1"/>
  <c r="J17" i="8" s="1"/>
  <c r="N22" i="36"/>
  <c r="M24" i="36"/>
  <c r="K7" i="8" s="1"/>
  <c r="K7" i="46" s="1"/>
  <c r="B32" i="43"/>
  <c r="M6" i="8"/>
  <c r="M6" i="46" s="1"/>
  <c r="P23" i="47"/>
  <c r="N6" i="8" s="1"/>
  <c r="N6" i="46" s="1"/>
  <c r="N5" i="8"/>
  <c r="N5" i="46" s="1"/>
  <c r="L4" i="8"/>
  <c r="L4" i="46" s="1"/>
  <c r="O20" i="42"/>
  <c r="K3" i="46"/>
  <c r="K17" i="46" s="1"/>
  <c r="K3" i="8"/>
  <c r="K17" i="8" s="1"/>
  <c r="N25" i="44"/>
  <c r="L8" i="8" s="1"/>
  <c r="L8" i="46" s="1"/>
  <c r="O23" i="44"/>
  <c r="N24" i="36" l="1"/>
  <c r="L7" i="8" s="1"/>
  <c r="L7" i="46" s="1"/>
  <c r="O22" i="36"/>
  <c r="Q23" i="47"/>
  <c r="O6" i="8" s="1"/>
  <c r="O6" i="46" s="1"/>
  <c r="O5" i="8"/>
  <c r="O5" i="46" s="1"/>
  <c r="M4" i="8"/>
  <c r="M4" i="46" s="1"/>
  <c r="P20" i="42"/>
  <c r="N4" i="8" s="1"/>
  <c r="N4" i="46" s="1"/>
  <c r="L3" i="46"/>
  <c r="L17" i="46" s="1"/>
  <c r="L3" i="8"/>
  <c r="L17" i="8" s="1"/>
  <c r="P23" i="44"/>
  <c r="O25" i="44"/>
  <c r="M8" i="8" s="1"/>
  <c r="M8" i="46" s="1"/>
  <c r="P22" i="36" l="1"/>
  <c r="O24" i="36"/>
  <c r="M7" i="8" s="1"/>
  <c r="M7" i="46" s="1"/>
  <c r="M3" i="46" s="1"/>
  <c r="M17" i="46" s="1"/>
  <c r="R23" i="47"/>
  <c r="P6" i="8" s="1"/>
  <c r="P6" i="46" s="1"/>
  <c r="S23" i="47"/>
  <c r="B25" i="47" s="1"/>
  <c r="P5" i="8"/>
  <c r="P5" i="46" s="1"/>
  <c r="Q20" i="42"/>
  <c r="O4" i="8" s="1"/>
  <c r="O4" i="46" s="1"/>
  <c r="Q23" i="44"/>
  <c r="P25" i="44"/>
  <c r="M3" i="8"/>
  <c r="M17" i="8" s="1"/>
  <c r="Q22" i="36" l="1"/>
  <c r="P24" i="36"/>
  <c r="N7" i="8" s="1"/>
  <c r="N7" i="46" s="1"/>
  <c r="Q6" i="8"/>
  <c r="Q6" i="46" s="1"/>
  <c r="R20" i="42"/>
  <c r="P4" i="8" s="1"/>
  <c r="P4" i="46" s="1"/>
  <c r="N8" i="8"/>
  <c r="N8" i="46" s="1"/>
  <c r="R23" i="44"/>
  <c r="Q25" i="44"/>
  <c r="O8" i="8" s="1"/>
  <c r="O8" i="46" s="1"/>
  <c r="Q24" i="36" l="1"/>
  <c r="O7" i="8" s="1"/>
  <c r="O7" i="46" s="1"/>
  <c r="R22" i="36"/>
  <c r="Q5" i="8"/>
  <c r="Q5" i="46" s="1"/>
  <c r="S20" i="42"/>
  <c r="S23" i="44"/>
  <c r="S25" i="44" s="1"/>
  <c r="R25" i="44"/>
  <c r="N3" i="46"/>
  <c r="N17" i="46" s="1"/>
  <c r="N3" i="8"/>
  <c r="N17" i="8" s="1"/>
  <c r="O3" i="46"/>
  <c r="O17" i="46" s="1"/>
  <c r="O3" i="8"/>
  <c r="O17" i="8" s="1"/>
  <c r="R24" i="36" l="1"/>
  <c r="P7" i="8" s="1"/>
  <c r="P7" i="46" s="1"/>
  <c r="S22" i="36"/>
  <c r="S24" i="36" s="1"/>
  <c r="Q8" i="8"/>
  <c r="Q8" i="46" s="1"/>
  <c r="B27" i="44"/>
  <c r="Q4" i="8"/>
  <c r="Q4" i="46" s="1"/>
  <c r="B22" i="42"/>
  <c r="P8" i="8"/>
  <c r="P8" i="46" s="1"/>
  <c r="Q7" i="8" l="1"/>
  <c r="Q7" i="46" s="1"/>
  <c r="B26" i="36"/>
  <c r="Q3" i="46"/>
  <c r="Q17" i="46" s="1"/>
  <c r="Q3" i="8"/>
  <c r="Q17" i="8" s="1"/>
  <c r="P3" i="46"/>
  <c r="P17" i="46" s="1"/>
  <c r="B20" i="46" s="1"/>
  <c r="P3" i="8"/>
  <c r="P17" i="8" s="1"/>
  <c r="B20" i="8" l="1"/>
  <c r="B19" i="8"/>
  <c r="B19" i="46"/>
</calcChain>
</file>

<file path=xl/sharedStrings.xml><?xml version="1.0" encoding="utf-8"?>
<sst xmlns="http://schemas.openxmlformats.org/spreadsheetml/2006/main" count="357" uniqueCount="242">
  <si>
    <t>Horizonte de evaluación</t>
  </si>
  <si>
    <t>VAB</t>
  </si>
  <si>
    <t>Tasa social del descuento</t>
  </si>
  <si>
    <t>Medio</t>
  </si>
  <si>
    <t>Datos</t>
  </si>
  <si>
    <t>Variables</t>
  </si>
  <si>
    <t>Mínimo</t>
  </si>
  <si>
    <t>Máximo</t>
  </si>
  <si>
    <t>Beneficios</t>
  </si>
  <si>
    <t xml:space="preserve">Beneficios </t>
  </si>
  <si>
    <t>Componente 1</t>
  </si>
  <si>
    <t>Componente 2</t>
  </si>
  <si>
    <t>Inversión</t>
  </si>
  <si>
    <t>Flujo Neto</t>
  </si>
  <si>
    <t>VAN</t>
  </si>
  <si>
    <t>TIR</t>
  </si>
  <si>
    <t>EVALUACIÓN SOCIAL</t>
  </si>
  <si>
    <t>TSD</t>
  </si>
  <si>
    <t>FACTOR IVA</t>
  </si>
  <si>
    <t>FACTOR RENTA</t>
  </si>
  <si>
    <t>Supuestos</t>
  </si>
  <si>
    <t>Presidencia de la Nación.6</t>
  </si>
  <si>
    <t>Instituto Nacional de Investigación y Desarrollo Pesquero (INIDEP).</t>
  </si>
  <si>
    <t>Instituto Nacional de Tecnología Agropecuaria (INTA).</t>
  </si>
  <si>
    <t>Instituto Nacional de Vitivinicultura (INV).</t>
  </si>
  <si>
    <t>Consejo Nacional de Investigaciones Científicas y Técnicas (CONICET).</t>
  </si>
  <si>
    <t>Ente Nacional de Comunicaciones (ENACOM).</t>
  </si>
  <si>
    <t>Instituto Geográfico Nacional (IGN).</t>
  </si>
  <si>
    <t>Instituto Nacional de Asociativismo y Economía Social (INAES).</t>
  </si>
  <si>
    <t>Comisión Nacional de Evaluación y Acreditación Universitaria (CONEAU).</t>
  </si>
  <si>
    <t>Ente Nacional Regulador de la Electricidad (ENRE).</t>
  </si>
  <si>
    <t>Ente Nacional Regulador del Gas (ENARGAS).</t>
  </si>
  <si>
    <t>Superintendencia de Seguros de la Nación (SSN).</t>
  </si>
  <si>
    <t>Administración Federal de Ingresos Públicos (AFIP).</t>
  </si>
  <si>
    <t>Dirección Nacional de Migraciones (DNM).</t>
  </si>
  <si>
    <t>Dirección Nacional del Registro Nacional de las Personas (RENAPER).</t>
  </si>
  <si>
    <t>Ente Nacional de Obras Hídricas de Saneamiento (ENOHSA) (D).</t>
  </si>
  <si>
    <t>Instituto Nacional del Agua.</t>
  </si>
  <si>
    <t>Fondo Fiduciario Federal de Infraestructura Regional.</t>
  </si>
  <si>
    <t>Instituto Nacional contra la Discriminación, la Xenofobia y el Racismo (INADI).</t>
  </si>
  <si>
    <t>Instituto Nacional de Asuntos Indígenas (INAI).</t>
  </si>
  <si>
    <t>Hospital Nacional "Prof. Alejandro A. Posadas".</t>
  </si>
  <si>
    <t>Administración Nacional de Laboratorios e Institutos de Salud "Dr. Carlos Malbrán".</t>
  </si>
  <si>
    <t>Agencia Nacional de Laboratorios Públicos (ANLAP).</t>
  </si>
  <si>
    <t>Hospital Nacional "Baldomero Sommer".</t>
  </si>
  <si>
    <t>Hospital Nacional en Red Especializado en Salud Mental y Adicciones "Lic. Laura Bonaparte".</t>
  </si>
  <si>
    <t>Superintendencia de Servicios de Salud.</t>
  </si>
  <si>
    <t>Administración Nacional de la Seguridad Social (ANSES).</t>
  </si>
  <si>
    <t>Registro Nacional de Trabajadores y Empleadores Agrarios (RENATEA).</t>
  </si>
  <si>
    <t>Comisión Nacional de Regulación del Transporte (CNRT).</t>
  </si>
  <si>
    <t>Dirección Nacional de Vialidad (DNV).</t>
  </si>
  <si>
    <t>Organismo Regulador del Sistema Nacional de Aeropuertos (ORSNA).</t>
  </si>
  <si>
    <t>Instituto Nacional de Promoción Turística.</t>
  </si>
  <si>
    <t>Organismos desconcentrados[editar]</t>
  </si>
  <si>
    <t>Consejo Nacional de Coordinación de Políticas Sociales.</t>
  </si>
  <si>
    <t>Comisión Nacional Asesora para la Integración de las Personas con Discapacidad (CONADIS)</t>
  </si>
  <si>
    <t>Consejo Nacional de las Mujeres</t>
  </si>
  <si>
    <t>Agencia Nacional de Promoción Científica y Tecnológica.</t>
  </si>
  <si>
    <t>Fondo Argentino Sectorial (FONARSEC).</t>
  </si>
  <si>
    <t>Fondo para la Investigación Científica y Tecnológica (FONCyT).</t>
  </si>
  <si>
    <t>Fondo Tecnológico Argentino (FONTAR).</t>
  </si>
  <si>
    <t>Comisión Nacional de Pensiones Asistenciales.</t>
  </si>
  <si>
    <t>Comisión Nacional de Coordinación del Programa de Promoción del Microcrédito para el Desarrollo de la Economía Social.</t>
  </si>
  <si>
    <t>Instituto Nacional de Educación Tecnológica (INET).</t>
  </si>
  <si>
    <t>Comisión Nacional de Comercio Exterior.</t>
  </si>
  <si>
    <t>Policía Federal Argentina (PFA).</t>
  </si>
  <si>
    <t>Gendarmeria Nacional Argentina (GNA).</t>
  </si>
  <si>
    <t>Instituto Argentino del Transporte.</t>
  </si>
  <si>
    <t>Ministerio de Agroindustria</t>
  </si>
  <si>
    <t>Ministerio del Interior, Obras Públicas y Vivienda</t>
  </si>
  <si>
    <t>Ministerio de Relaciones Exteriores y Culto</t>
  </si>
  <si>
    <t>Ministerio de Defensa</t>
  </si>
  <si>
    <t>Ministerio de Hacienda</t>
  </si>
  <si>
    <t>Ministerio de Finanzas</t>
  </si>
  <si>
    <t>Ministerio de Producción</t>
  </si>
  <si>
    <t>Ministerio de Turismo</t>
  </si>
  <si>
    <t>Ministerio de Transporte</t>
  </si>
  <si>
    <t>Ministerio de Justicia y Derechos Humanos</t>
  </si>
  <si>
    <t>Ministerio de Seguridad</t>
  </si>
  <si>
    <t>Ministerio de Trabajo, Empleo y Seguridad Social</t>
  </si>
  <si>
    <t>Ministerio de Desarrollo Social</t>
  </si>
  <si>
    <t>Ministerio de Salud</t>
  </si>
  <si>
    <t>Ministerio de Educación y Deportes</t>
  </si>
  <si>
    <t>Ministerio de Ciencia, Tecnología e Innovación Productiva</t>
  </si>
  <si>
    <t>Ministerio de Cultura</t>
  </si>
  <si>
    <t>Ministerio de Ambiente y Desarrollo Sustentable</t>
  </si>
  <si>
    <t>Ministerio de Modernización</t>
  </si>
  <si>
    <t>Ministerio de Energía y Minería</t>
  </si>
  <si>
    <t>Ministerio de Comunicaciones</t>
  </si>
  <si>
    <t>Organsmos descentralizados</t>
  </si>
  <si>
    <t>http://yaesta.blogspot.com.ar/2015/07/cuantas-empresas-hay-en-la-argentina.html</t>
  </si>
  <si>
    <t>IPC-Uso salarial en paritarias (empresas)</t>
  </si>
  <si>
    <t>Uso para alquileres</t>
  </si>
  <si>
    <t>Regstros administrativos</t>
  </si>
  <si>
    <t>Provinicias</t>
  </si>
  <si>
    <t>Distritos</t>
  </si>
  <si>
    <t>Ver https://www.argentina.gob.ar/organismos</t>
  </si>
  <si>
    <t>Tamaño mínimo de una provincia y maximo de un ministerio</t>
  </si>
  <si>
    <t>a) Numero de entidades pública</t>
  </si>
  <si>
    <t>b) Personal a cargo de las estadisticas</t>
  </si>
  <si>
    <t>d) Meses del año</t>
  </si>
  <si>
    <t>e) Gasto de entidad en temas estadísicos</t>
  </si>
  <si>
    <t xml:space="preserve">(a)*(b)*(c)*(d) </t>
  </si>
  <si>
    <t>a) Numero de empresas grandes</t>
  </si>
  <si>
    <t>b) Numero de empresas medianas</t>
  </si>
  <si>
    <t>c) Numero de empresas pequeñas</t>
  </si>
  <si>
    <t>d) Numero de empresas micro</t>
  </si>
  <si>
    <t>e) Tiempor generado por las estadisticas a las  empresas grandes (Horas)</t>
  </si>
  <si>
    <t>f) Tiempor generado por las estadisticas a las  empresas medianas (Horas)</t>
  </si>
  <si>
    <t>g) Tiempor generado por las estadisticas a las  empresas pequeñas (Horas)</t>
  </si>
  <si>
    <t>h) Tiempor generado por las estadisticas a las  empresas micro (Horas)</t>
  </si>
  <si>
    <t>(i) entre 22 días y 8 horas diarias</t>
  </si>
  <si>
    <t>Horas por mes</t>
  </si>
  <si>
    <t>j) Salario promedio de un estadistico o similar por hora</t>
  </si>
  <si>
    <t>k) Meses del año</t>
  </si>
  <si>
    <t>l) Gasto en estadisticas de las  empresas grandes</t>
  </si>
  <si>
    <t>m) Gasto en estadisticas de las  empresas medianas</t>
  </si>
  <si>
    <t>n) Gasto en estadisticas de las  empresas pequeñas</t>
  </si>
  <si>
    <t xml:space="preserve">o) Gasto en estadisticas de las  empresas micro </t>
  </si>
  <si>
    <t>i) Salario promedio de un estadistico o similar (US$)</t>
  </si>
  <si>
    <t>c) Salario promedio de un estadistico o similar (US$)</t>
  </si>
  <si>
    <t>Flujo de beneficios (Liberación de recursos de organismos públicos)</t>
  </si>
  <si>
    <t>Flujo de beneficios (Reducción de costos de transacción de empresas)</t>
  </si>
  <si>
    <t>Gasto anual en temas en estadísiticas sin proyecto</t>
  </si>
  <si>
    <t>Gasto anual en temas en estadísiticas con proyecto</t>
  </si>
  <si>
    <t>http://blogs.perfil.com/contadorlocane/2009/11/22/%C2%BFcuantas-empresas-hay-en-la-argentina/</t>
  </si>
  <si>
    <t>Se asume un crecimiento igual al poblacional ( Censo Nacional de Población, Hogares y Viviendas 2010 Censo del Bicentenario Resultados definitivos, Serie B Nº 2 INDEC PAG 68 WEB</t>
  </si>
  <si>
    <t>Ver http://www.clarin.com/ieco/economia/Radiografia-salario-empleo-Argentina_0_B1YYpI5gx.html</t>
  </si>
  <si>
    <t>http://undav.edu.ar/general/recursos/adjuntos/10264.pdf</t>
  </si>
  <si>
    <t>Inversión Real Directa y Formación Bruta de Capital, expresado en dolares / http://www.mecon.gov.ar/onp/html/presutexto/ley2017/jurent/pdf/D17J57.pdf</t>
  </si>
  <si>
    <t>Inversión Real Directa y Formación Bruta de Capital, expresado en dolares / http://www.mecon.gov.ar/onp/html/presutexto/ley2017/jurent/pdf/D17J30.pdf</t>
  </si>
  <si>
    <t xml:space="preserve">Inversión 2017 MINISTERIO DEL INTERIOR, OBRAS PÚBLICAS Y VIVIENDA </t>
  </si>
  <si>
    <t>Inversión 2017 MINISTERIO DE TRANSPORTE</t>
  </si>
  <si>
    <t>Inversión 2017 MINISTERIO DE AGROINDUSTRIA</t>
  </si>
  <si>
    <t>Inversión Real Directa y Formación Bruta de Capital, expresado en dolares / http://www.mecon.gov.ar/onp/html/presutexto/ley2017/jurent/pdf/D17J52.pdf</t>
  </si>
  <si>
    <t>Inversión 2017 MINISTERIO DE SALUD</t>
  </si>
  <si>
    <t>Inversión Real Directa y Formación Bruta de Capital, expresado en dolares / http://www.mecon.gov.ar/onp/html/presutexto/ley2017/jurent/pdf/D17J80.pdf</t>
  </si>
  <si>
    <t>Inversión 2017 MINISTERIO DE EDUCACIÓN Y DEPORTE</t>
  </si>
  <si>
    <t>f) Tasas de crecimiento poblacional</t>
  </si>
  <si>
    <t>Inversión comprometida por crecimiento poblacional</t>
  </si>
  <si>
    <t>Inversión Real Directa y Formación Bruta de Capital, expresado en dolares / http://www.mecon.gov.ar/onp/html/presutexto/ley2017/jurent/pdf/D17J70.pdf</t>
  </si>
  <si>
    <t>Flujo de beneficios (errores en el dimensionamiento de inversiones)</t>
  </si>
  <si>
    <t>Programa 20: Abordaje territorial</t>
  </si>
  <si>
    <t>Programa 23: Pensiones No Contributivas</t>
  </si>
  <si>
    <t>Programa 24: Economía Social</t>
  </si>
  <si>
    <t>Programa 26: Políticas Alimentarias</t>
  </si>
  <si>
    <t>Programa 38: Apoyo al empleo</t>
  </si>
  <si>
    <t>http://www.mecon.gov.ar/onp/html/presutexto/ley2017/jurent/pdf/D17J85.pdf</t>
  </si>
  <si>
    <t>Margen de errror por distorciones estadísticas</t>
  </si>
  <si>
    <t>Margen de error en US$</t>
  </si>
  <si>
    <t>% de disminución de margen de error</t>
  </si>
  <si>
    <t>Aribución al proyecto</t>
  </si>
  <si>
    <t>Crecimiento de la inversión por crecimiento poblacional como mínimo</t>
  </si>
  <si>
    <t>Programas 43, 44, 45, 46 y 47</t>
  </si>
  <si>
    <t>Errores en la focalización por uso de estadísticas distorsionadas</t>
  </si>
  <si>
    <t>Focalización erronea en dólares</t>
  </si>
  <si>
    <t>Tasas de crecimiento poblacional</t>
  </si>
  <si>
    <t>http://www.mecon.gov.ar/onp/html/presutexto/ley2017/leydosdiecisiete.html</t>
  </si>
  <si>
    <t>COMPONENTE / INCISO – AÑO</t>
  </si>
  <si>
    <t>Total x inciso</t>
  </si>
  <si>
    <t>Consultores</t>
  </si>
  <si>
    <t>No Consultores</t>
  </si>
  <si>
    <t>Capacitación</t>
  </si>
  <si>
    <t>Bienes</t>
  </si>
  <si>
    <t>TOTAL</t>
  </si>
  <si>
    <t>TOTAL PROYECTO</t>
  </si>
  <si>
    <t xml:space="preserve">1). Fortalecimiento institucional del INDEC </t>
  </si>
  <si>
    <t>1.1.  Promocion de la transparencia y la modernizacion en materia estadística</t>
  </si>
  <si>
    <t>1.2. Mejora de la Infraestructura edilicia e informática</t>
  </si>
  <si>
    <t>1.3.  Fortalecimiento de la Organización interna y los recursos humanos</t>
  </si>
  <si>
    <t>1.4.  Mejora de la Coordinación entre el INDEC y otros organismos del SEN</t>
  </si>
  <si>
    <t>2). Actualización de la base estadistica sociodemografica</t>
  </si>
  <si>
    <t>2.1. Pruebas Piloto, Encuestas de validaciòn, Prueba Piloto de la Encuesta Post Censal y Censo Experimental</t>
  </si>
  <si>
    <t xml:space="preserve">2.2. Archivo de domicilios de la Repùblica Argentina (ADRA) y otras tareas cartograficas conexas y relativas a segmentacion </t>
  </si>
  <si>
    <t>3). Mejora de la coordinación entre el INDEC y otros organismos del SEN</t>
  </si>
  <si>
    <t>3.1  Aprovechamiento estadístico de registros administrativos</t>
  </si>
  <si>
    <t>3.2  Actividades preparatorias del CNE</t>
  </si>
  <si>
    <t>3.3  Estadística e indicadores económicos</t>
  </si>
  <si>
    <t>4). Gestión del Proyecto</t>
  </si>
  <si>
    <r>
      <t> </t>
    </r>
    <r>
      <rPr>
        <sz val="8"/>
        <color indexed="8"/>
        <rFont val="Times New Roman"/>
        <family val="1"/>
      </rPr>
      <t>4.1  Unidad ejecutora central del Proyecto</t>
    </r>
  </si>
  <si>
    <t>Componente 3</t>
  </si>
  <si>
    <t>Gestión del proyecto</t>
  </si>
  <si>
    <t>Reducción de errores de focalización de programas sociales</t>
  </si>
  <si>
    <t>Flujo de beneficios (errores en el focalización de los programas sociales)</t>
  </si>
  <si>
    <t>Errores en dimensionamiento de inversiones</t>
  </si>
  <si>
    <t>Supuesto ( Explicar la relación con los indicadores de resultados omisión, relevancia confiabilidad)</t>
  </si>
  <si>
    <t>a) Población total</t>
  </si>
  <si>
    <t>b) Población económicamente activa</t>
  </si>
  <si>
    <t>http://datos.bancomundial.org/indicador/SL.TLF.TOTL.IN</t>
  </si>
  <si>
    <t>d) Población beneficiaria</t>
  </si>
  <si>
    <t>Horas por mes / 6 minutos</t>
  </si>
  <si>
    <t>e) Tiempor generado por las estadisticas a las  personas  (Horas)</t>
  </si>
  <si>
    <t>Horas por mes / 3 minutos</t>
  </si>
  <si>
    <t>Flujo de beneficios (Reducción de costos de transacción de personas)</t>
  </si>
  <si>
    <t>INCORPORAR LA EVALUACIÓN EXPOST SOBRE LA BASE DE LAS METAS PLANTEADAS EN LA EVALUACIÓN EX ANTE</t>
  </si>
  <si>
    <t>http://www.trabajo.gov.ar/left/estadisticas/descargas/revistaDeTrabajo/2012n10_revistaDeTrabajo/2012n10_a15_Bolet%C3%ADndeEstad%C3%ADsticas(BEL).pdf</t>
  </si>
  <si>
    <t>Población asalariada del sector privado</t>
  </si>
  <si>
    <t>CountrySubject DescriptorUnitsScaleCountry/Series-specific Notes2000200120022003200420052006200720082009201020112012201320142015201620172018201920202021ArgentinaGross domestic product, constant pricesPercent change -0.789-4.409-10.8958.8379.0308.8528.0479.0084.057-5.91910.1256.004-1.0262.405-2.5132.459-1.7612.7312.7672.8973.1203.268</t>
  </si>
  <si>
    <t>GDP</t>
  </si>
  <si>
    <t>Media G</t>
  </si>
  <si>
    <t>2000-2015</t>
  </si>
  <si>
    <t>2000-2005</t>
  </si>
  <si>
    <t>2000-2010</t>
  </si>
  <si>
    <t>2017-2021</t>
  </si>
  <si>
    <t>2000-2014</t>
  </si>
  <si>
    <t>2015 -2016</t>
  </si>
  <si>
    <t>2000-2016</t>
  </si>
  <si>
    <t>Country</t>
  </si>
  <si>
    <t>Subject Descriptor</t>
  </si>
  <si>
    <t>Units</t>
  </si>
  <si>
    <t>Scale</t>
  </si>
  <si>
    <t>Country/Series-specific Notes</t>
  </si>
  <si>
    <t>Estimates Start After</t>
  </si>
  <si>
    <t>Argentina</t>
  </si>
  <si>
    <t>Gross domestic product, constant prices</t>
  </si>
  <si>
    <t>Percent change</t>
  </si>
  <si>
    <t>See notes for:  Gross domestic product, constant prices (National currency).</t>
  </si>
  <si>
    <t>Gross domestic product per capita, constant prices</t>
  </si>
  <si>
    <t>National currency</t>
  </si>
  <si>
    <t>See notes for:  Gross domestic product, constant prices (National currency) Population (Persons).</t>
  </si>
  <si>
    <t>Total investment</t>
  </si>
  <si>
    <t>Percent of GDP</t>
  </si>
  <si>
    <t>Source: Ministry of Economy and/or Planning Latest actual data: 2014 Notes: On February 1, 2013, the IMF issued a declaration of censure, and since then has called on Argentina to implement specified actions to address the quality of its official GDP data. The new government that took office in December 2015 released a revised GD National accounts manual used: System of National Accounts (SNA) 2008 GDP valuation: Market prices Start/end months of reporting year: January/December Base year: 2004 Chain-weighted: No Primary domestic currency: Argentine peso Data last updated: 09/2016</t>
  </si>
  <si>
    <t>Population</t>
  </si>
  <si>
    <t>Persons</t>
  </si>
  <si>
    <t>Millions</t>
  </si>
  <si>
    <t>Source: National Statistics Office Latest actual data: 2013 Notes: Based on the National Census of 2001 Primary domestic currency: Argentine peso Data last updated: 09/2016</t>
  </si>
  <si>
    <t>General government total expenditure</t>
  </si>
  <si>
    <t>See notes for:  General government total expenditure (National currency).</t>
  </si>
  <si>
    <t>Gross domestic product per capita, current prices</t>
  </si>
  <si>
    <t>U.S. dollars</t>
  </si>
  <si>
    <t>See notes for:  Gross domestic product, current prices (National currency) Population (Persons).</t>
  </si>
  <si>
    <t>International Monetary Fund, World Economic Outlook Database, October 2016</t>
  </si>
  <si>
    <t xml:space="preserve">Media </t>
  </si>
  <si>
    <t>PBI</t>
  </si>
  <si>
    <t>INVERSIÓN</t>
  </si>
  <si>
    <t>GASTO PÚBLICO</t>
  </si>
  <si>
    <t>POBLACIÓN</t>
  </si>
  <si>
    <t>5% de la inversión</t>
  </si>
  <si>
    <t>% Uso</t>
  </si>
  <si>
    <t>g) % de reducción de costos por menos errores y menos tiempo</t>
  </si>
  <si>
    <t>Operación y mantenimiento (5% de la inversión)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</si>
</sst>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3" formatCode="_(* #,##0.00_);_(* \(#,##0.00\);_(* &quot;-&quot;??_);_(@_)"/>
    <numFmt numFmtId="164" formatCode="_-* #,##0.00_-;\-* #,##0.00_-;_-* &quot;-&quot;??_-;_-@_-"/>
    <numFmt numFmtId="165" formatCode="_ * #,##0.00_ ;_ * \-#,##0.00_ ;_ * &quot;-&quot;??_ ;_ @_ "/>
    <numFmt numFmtId="166" formatCode="#\ ###\ ###\ ###\ ###"/>
    <numFmt numFmtId="167" formatCode="##\ ####\ ###\ ###"/>
    <numFmt numFmtId="168" formatCode="###\ ###\ ###\ ###"/>
    <numFmt numFmtId="169" formatCode="0.0%"/>
    <numFmt numFmtId="170" formatCode="###.0\ ###\ ###\ ###"/>
    <numFmt numFmtId="171" formatCode=".\ \ ###\ ;#"/>
    <numFmt numFmtId="172" formatCode=".\ \ ##\ ;#"/>
    <numFmt numFmtId="173" formatCode="##\ ###\ ###"/>
    <numFmt numFmtId="174" formatCode="0.0"/>
    <numFmt numFmtId="175" formatCode="#\ ###\ ###\ ###\ ###\ ###"/>
    <numFmt numFmtId="176" formatCode="###\ ###\ ###\ ###\ ###"/>
    <numFmt numFmtId="177" formatCode="_ * #,##0.000_ ;_ * \-#,##0.000_ ;_ * &quot;-&quot;??_ ;_ @_ "/>
    <numFmt numFmtId="178" formatCode="0.000%"/>
    <numFmt numFmtId="179" formatCode="0.0000%"/>
    <numFmt numFmtId="180" formatCode="_ * #,##0.0000_ ;_ * \-#,##0.0000_ ;_ * &quot;-&quot;??_ ;_ @_ "/>
    <numFmt numFmtId="181" formatCode="_-* #,##0.000_-;\-* #,##0.000_-;_-* &quot;-&quot;??_-;_-@_-"/>
    <numFmt numFmtId="182" formatCode="0.0000"/>
  </numFmts>
  <fonts count="22" x14ac:knownFonts="1">
    <font>
      <sz val="11"/>
      <color theme="1"/>
      <name val="Calibri"/>
      <family val="2"/>
      <scheme val="minor"/>
    </font>
    <font>
      <sz val="11"/>
      <color indexed="8"/>
      <name val="Calibri"/>
      <family val="2"/>
    </font>
    <font>
      <sz val="10"/>
      <name val="Arial"/>
      <family val="2"/>
    </font>
    <font>
      <sz val="10"/>
      <name val="Arial"/>
      <family val="2"/>
    </font>
    <font>
      <sz val="11"/>
      <color indexed="8"/>
      <name val="Calibri"/>
      <family val="2"/>
    </font>
    <font>
      <b/>
      <sz val="11"/>
      <color indexed="8"/>
      <name val="Calibri"/>
      <family val="2"/>
    </font>
    <font>
      <sz val="8"/>
      <name val="Calibri"/>
      <family val="2"/>
    </font>
    <font>
      <sz val="11"/>
      <color theme="1"/>
      <name val="Calibri"/>
      <family val="2"/>
      <scheme val="minor"/>
    </font>
    <font>
      <u/>
      <sz val="11"/>
      <color theme="10"/>
      <name val="Calibri"/>
      <family val="2"/>
    </font>
    <font>
      <sz val="11"/>
      <color rgb="FFFF0000"/>
      <name val="Calibri"/>
      <family val="2"/>
      <scheme val="minor"/>
    </font>
    <font>
      <sz val="11"/>
      <name val="Calibri"/>
      <family val="2"/>
      <scheme val="minor"/>
    </font>
    <font>
      <b/>
      <sz val="8"/>
      <color rgb="FF000000"/>
      <name val="Times New Roman"/>
      <family val="1"/>
    </font>
    <font>
      <b/>
      <sz val="10"/>
      <color rgb="FF000000"/>
      <name val="Times New Roman"/>
      <family val="1"/>
    </font>
    <font>
      <b/>
      <sz val="11"/>
      <color rgb="FF000000"/>
      <name val="Times New Roman"/>
      <family val="1"/>
    </font>
    <font>
      <sz val="8"/>
      <color rgb="FF000000"/>
      <name val="Times New Roman"/>
      <family val="1"/>
    </font>
    <font>
      <b/>
      <sz val="9"/>
      <color rgb="FF000000"/>
      <name val="Times New Roman"/>
      <family val="1"/>
    </font>
    <font>
      <sz val="8"/>
      <color theme="1"/>
      <name val="Times New Roman"/>
      <family val="1"/>
    </font>
    <font>
      <sz val="8"/>
      <color indexed="8"/>
      <name val="Times New Roman"/>
      <family val="1"/>
    </font>
    <font>
      <b/>
      <sz val="11"/>
      <color theme="1"/>
      <name val="Calibri"/>
      <family val="2"/>
      <scheme val="minor"/>
    </font>
    <font>
      <sz val="11"/>
      <color rgb="FFFF0000"/>
      <name val="Calibri"/>
      <family val="2"/>
    </font>
    <font>
      <b/>
      <sz val="11"/>
      <color rgb="FFFF0000"/>
      <name val="Calibri"/>
      <family val="2"/>
    </font>
    <font>
      <sz val="11"/>
      <color rgb="FF505050"/>
      <name val="Calibri"/>
      <family val="2"/>
      <scheme val="minor"/>
    </font>
  </fonts>
  <fills count="10">
    <fill>
      <patternFill patternType="none"/>
    </fill>
    <fill>
      <patternFill patternType="gray125"/>
    </fill>
    <fill>
      <patternFill patternType="solid">
        <fgColor indexed="30"/>
        <bgColor indexed="64"/>
      </patternFill>
    </fill>
    <fill>
      <patternFill patternType="solid">
        <fgColor indexed="9"/>
        <bgColor indexed="64"/>
      </patternFill>
    </fill>
    <fill>
      <patternFill patternType="solid">
        <fgColor theme="3" tint="0.59999389629810485"/>
        <bgColor indexed="64"/>
      </patternFill>
    </fill>
    <fill>
      <patternFill patternType="solid">
        <fgColor rgb="FFC0C0C0"/>
        <bgColor indexed="64"/>
      </patternFill>
    </fill>
    <fill>
      <patternFill patternType="solid">
        <fgColor rgb="FFFFFF00"/>
        <bgColor indexed="64"/>
      </patternFill>
    </fill>
    <fill>
      <patternFill patternType="solid">
        <fgColor rgb="FFFFFFFF"/>
        <bgColor indexed="64"/>
      </patternFill>
    </fill>
    <fill>
      <patternFill patternType="solid">
        <fgColor rgb="FFDDE7D6"/>
        <bgColor indexed="64"/>
      </patternFill>
    </fill>
    <fill>
      <patternFill patternType="solid">
        <fgColor theme="4" tint="0.59999389629810485"/>
        <bgColor indexed="64"/>
      </patternFill>
    </fill>
  </fills>
  <borders count="26">
    <border>
      <left/>
      <right/>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style="medium">
        <color indexed="64"/>
      </left>
      <right style="medium">
        <color indexed="64"/>
      </right>
      <top/>
      <bottom/>
      <diagonal/>
    </border>
    <border>
      <left style="medium">
        <color rgb="FF000000"/>
      </left>
      <right style="medium">
        <color rgb="FFDDDDDD"/>
      </right>
      <top style="medium">
        <color rgb="FF000000"/>
      </top>
      <bottom style="medium">
        <color rgb="FF000000"/>
      </bottom>
      <diagonal/>
    </border>
    <border>
      <left style="medium">
        <color rgb="FFDDDDDD"/>
      </left>
      <right style="medium">
        <color rgb="FFDDDDDD"/>
      </right>
      <top style="medium">
        <color rgb="FF000000"/>
      </top>
      <bottom style="medium">
        <color rgb="FF000000"/>
      </bottom>
      <diagonal/>
    </border>
    <border>
      <left style="medium">
        <color rgb="FFDDDDDD"/>
      </left>
      <right style="medium">
        <color rgb="FF000000"/>
      </right>
      <top style="medium">
        <color rgb="FF000000"/>
      </top>
      <bottom style="medium">
        <color rgb="FF000000"/>
      </bottom>
      <diagonal/>
    </border>
  </borders>
  <cellStyleXfs count="14">
    <xf numFmtId="0" fontId="0" fillId="0" borderId="0"/>
    <xf numFmtId="0" fontId="8" fillId="0" borderId="0" applyNumberFormat="0" applyFill="0" applyBorder="0" applyAlignment="0" applyProtection="0">
      <alignment vertical="top"/>
      <protection locked="0"/>
    </xf>
    <xf numFmtId="165" fontId="4"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0" fontId="2" fillId="0" borderId="0"/>
    <xf numFmtId="0" fontId="3" fillId="0" borderId="0"/>
    <xf numFmtId="9" fontId="4" fillId="0" borderId="0" applyFont="0" applyFill="0" applyBorder="0" applyAlignment="0" applyProtection="0"/>
    <xf numFmtId="9" fontId="2" fillId="0" borderId="0" applyFont="0" applyFill="0" applyBorder="0" applyAlignment="0" applyProtection="0"/>
    <xf numFmtId="165"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9" fontId="1" fillId="0" borderId="0" applyFont="0" applyFill="0" applyBorder="0" applyAlignment="0" applyProtection="0"/>
  </cellStyleXfs>
  <cellXfs count="178">
    <xf numFmtId="0" fontId="0" fillId="0" borderId="0" xfId="0"/>
    <xf numFmtId="166" fontId="0" fillId="0" borderId="0" xfId="0" applyNumberFormat="1"/>
    <xf numFmtId="0" fontId="0" fillId="0" borderId="1" xfId="0" applyBorder="1"/>
    <xf numFmtId="0" fontId="0" fillId="0" borderId="2" xfId="0" applyBorder="1"/>
    <xf numFmtId="0" fontId="0" fillId="0" borderId="3" xfId="0" applyBorder="1"/>
    <xf numFmtId="0" fontId="5" fillId="0" borderId="4" xfId="0" applyFont="1" applyBorder="1"/>
    <xf numFmtId="0" fontId="5" fillId="0" borderId="4" xfId="0" applyFont="1" applyBorder="1" applyAlignment="1">
      <alignment horizontal="center"/>
    </xf>
    <xf numFmtId="0" fontId="5" fillId="0" borderId="1" xfId="0" applyFont="1" applyBorder="1"/>
    <xf numFmtId="0" fontId="5" fillId="0" borderId="0" xfId="0" applyFont="1"/>
    <xf numFmtId="166" fontId="0" fillId="0" borderId="2" xfId="0" applyNumberFormat="1" applyBorder="1"/>
    <xf numFmtId="0" fontId="0" fillId="0" borderId="5" xfId="0" applyBorder="1"/>
    <xf numFmtId="166" fontId="0" fillId="0" borderId="5" xfId="0" applyNumberFormat="1" applyBorder="1"/>
    <xf numFmtId="0" fontId="0" fillId="0" borderId="6" xfId="0" applyBorder="1"/>
    <xf numFmtId="166" fontId="0" fillId="0" borderId="6" xfId="0" applyNumberFormat="1" applyBorder="1"/>
    <xf numFmtId="166" fontId="5" fillId="0" borderId="4" xfId="0" applyNumberFormat="1" applyFont="1" applyBorder="1"/>
    <xf numFmtId="0" fontId="0" fillId="2" borderId="7" xfId="0" applyFill="1" applyBorder="1"/>
    <xf numFmtId="167" fontId="0" fillId="2" borderId="7" xfId="0" applyNumberFormat="1" applyFill="1" applyBorder="1"/>
    <xf numFmtId="168" fontId="0" fillId="0" borderId="0" xfId="0" applyNumberFormat="1"/>
    <xf numFmtId="0" fontId="0" fillId="0" borderId="4" xfId="0" applyBorder="1"/>
    <xf numFmtId="168" fontId="0" fillId="0" borderId="4" xfId="0" applyNumberFormat="1" applyBorder="1"/>
    <xf numFmtId="168" fontId="5" fillId="0" borderId="0" xfId="0" applyNumberFormat="1" applyFont="1"/>
    <xf numFmtId="168" fontId="5" fillId="0" borderId="4" xfId="0" applyNumberFormat="1" applyFont="1" applyBorder="1"/>
    <xf numFmtId="169" fontId="0" fillId="2" borderId="7" xfId="0" applyNumberFormat="1" applyFill="1" applyBorder="1"/>
    <xf numFmtId="10" fontId="0" fillId="2" borderId="7" xfId="0" applyNumberFormat="1" applyFill="1" applyBorder="1"/>
    <xf numFmtId="0" fontId="0" fillId="0" borderId="8" xfId="0" applyBorder="1"/>
    <xf numFmtId="0" fontId="0" fillId="0" borderId="0" xfId="0" applyBorder="1"/>
    <xf numFmtId="168" fontId="5" fillId="0" borderId="1" xfId="0" applyNumberFormat="1" applyFont="1" applyBorder="1"/>
    <xf numFmtId="168" fontId="0" fillId="0" borderId="2" xfId="0" applyNumberFormat="1" applyBorder="1"/>
    <xf numFmtId="0" fontId="5" fillId="0" borderId="2" xfId="0" applyFont="1" applyBorder="1"/>
    <xf numFmtId="168" fontId="5" fillId="0" borderId="2" xfId="0" applyNumberFormat="1" applyFont="1" applyBorder="1"/>
    <xf numFmtId="168" fontId="0" fillId="3" borderId="2" xfId="0" applyNumberFormat="1" applyFill="1" applyBorder="1"/>
    <xf numFmtId="168" fontId="0" fillId="0" borderId="3" xfId="0" applyNumberFormat="1" applyBorder="1"/>
    <xf numFmtId="1" fontId="0" fillId="0" borderId="4" xfId="0" applyNumberFormat="1" applyBorder="1"/>
    <xf numFmtId="168" fontId="0" fillId="3" borderId="0" xfId="0" applyNumberFormat="1" applyFill="1" applyBorder="1"/>
    <xf numFmtId="171" fontId="0" fillId="0" borderId="0" xfId="0" applyNumberFormat="1" applyBorder="1"/>
    <xf numFmtId="172" fontId="0" fillId="0" borderId="0" xfId="0" applyNumberFormat="1" applyBorder="1"/>
    <xf numFmtId="170" fontId="0" fillId="0" borderId="0" xfId="0" applyNumberFormat="1"/>
    <xf numFmtId="174" fontId="0" fillId="0" borderId="3" xfId="0" applyNumberFormat="1" applyBorder="1"/>
    <xf numFmtId="166" fontId="0" fillId="0" borderId="0" xfId="0" applyNumberFormat="1" applyBorder="1"/>
    <xf numFmtId="0" fontId="5" fillId="0" borderId="2" xfId="0" applyFont="1" applyBorder="1" applyAlignment="1">
      <alignment horizontal="center"/>
    </xf>
    <xf numFmtId="9" fontId="4" fillId="0" borderId="5" xfId="7" applyFont="1" applyBorder="1"/>
    <xf numFmtId="9" fontId="4" fillId="0" borderId="3" xfId="7" applyFont="1" applyBorder="1"/>
    <xf numFmtId="173" fontId="0" fillId="0" borderId="0" xfId="0" applyNumberFormat="1"/>
    <xf numFmtId="173" fontId="0" fillId="0" borderId="2" xfId="0" applyNumberFormat="1" applyFill="1" applyBorder="1"/>
    <xf numFmtId="0" fontId="0" fillId="0" borderId="2" xfId="0" applyFill="1" applyBorder="1" applyAlignment="1">
      <alignment horizontal="center"/>
    </xf>
    <xf numFmtId="10" fontId="4" fillId="0" borderId="2" xfId="7" applyNumberFormat="1" applyFont="1" applyFill="1" applyBorder="1"/>
    <xf numFmtId="0" fontId="0" fillId="0" borderId="2" xfId="0" applyBorder="1" applyAlignment="1">
      <alignment horizontal="center"/>
    </xf>
    <xf numFmtId="0" fontId="0" fillId="0" borderId="2" xfId="0" applyBorder="1" applyAlignment="1">
      <alignment horizontal="center" wrapText="1"/>
    </xf>
    <xf numFmtId="0" fontId="0" fillId="0" borderId="4" xfId="0" applyBorder="1" applyAlignment="1">
      <alignment horizontal="center"/>
    </xf>
    <xf numFmtId="0" fontId="0" fillId="0" borderId="0" xfId="0" applyAlignment="1">
      <alignment vertical="center"/>
    </xf>
    <xf numFmtId="3" fontId="0" fillId="0" borderId="0" xfId="0" applyNumberFormat="1"/>
    <xf numFmtId="175" fontId="0" fillId="0" borderId="0" xfId="0" applyNumberFormat="1"/>
    <xf numFmtId="165" fontId="7" fillId="0" borderId="0" xfId="2" applyFont="1"/>
    <xf numFmtId="0" fontId="0" fillId="0" borderId="2" xfId="0" applyFill="1" applyBorder="1" applyAlignment="1">
      <alignment horizontal="left"/>
    </xf>
    <xf numFmtId="0" fontId="9" fillId="0" borderId="2" xfId="0" applyFont="1" applyFill="1" applyBorder="1" applyAlignment="1">
      <alignment horizontal="left"/>
    </xf>
    <xf numFmtId="0" fontId="10" fillId="0" borderId="2" xfId="0" applyFont="1" applyFill="1" applyBorder="1" applyAlignment="1">
      <alignment horizontal="left"/>
    </xf>
    <xf numFmtId="0" fontId="0" fillId="0" borderId="2" xfId="0" applyFont="1" applyFill="1" applyBorder="1" applyAlignment="1">
      <alignment horizontal="left"/>
    </xf>
    <xf numFmtId="0" fontId="8" fillId="0" borderId="0" xfId="1" applyAlignment="1" applyProtection="1"/>
    <xf numFmtId="165" fontId="7" fillId="0" borderId="2" xfId="2" applyFont="1" applyFill="1" applyBorder="1"/>
    <xf numFmtId="176" fontId="0" fillId="0" borderId="2" xfId="0" applyNumberFormat="1" applyFill="1" applyBorder="1"/>
    <xf numFmtId="176" fontId="0" fillId="0" borderId="0" xfId="0" applyNumberFormat="1"/>
    <xf numFmtId="0" fontId="1" fillId="0" borderId="5" xfId="0" applyFont="1" applyBorder="1"/>
    <xf numFmtId="168" fontId="1" fillId="0" borderId="5" xfId="0" applyNumberFormat="1" applyFont="1" applyBorder="1"/>
    <xf numFmtId="0" fontId="1" fillId="0" borderId="0" xfId="0" applyFont="1"/>
    <xf numFmtId="165" fontId="0" fillId="0" borderId="2" xfId="2" applyFont="1" applyFill="1" applyBorder="1"/>
    <xf numFmtId="0" fontId="0" fillId="4" borderId="7" xfId="0" applyFill="1" applyBorder="1"/>
    <xf numFmtId="166" fontId="0" fillId="4" borderId="7" xfId="0" applyNumberFormat="1" applyFill="1" applyBorder="1"/>
    <xf numFmtId="0" fontId="12" fillId="5" borderId="11" xfId="0" applyFont="1" applyFill="1" applyBorder="1" applyAlignment="1">
      <alignment horizontal="center" vertical="center"/>
    </xf>
    <xf numFmtId="0" fontId="12" fillId="5" borderId="4" xfId="0" applyFont="1" applyFill="1" applyBorder="1" applyAlignment="1">
      <alignment horizontal="center" vertical="center"/>
    </xf>
    <xf numFmtId="0" fontId="12" fillId="5" borderId="14" xfId="0" applyFont="1" applyFill="1" applyBorder="1" applyAlignment="1">
      <alignment horizontal="center" vertical="center"/>
    </xf>
    <xf numFmtId="0" fontId="12" fillId="5" borderId="12" xfId="0" applyFont="1" applyFill="1" applyBorder="1" applyAlignment="1">
      <alignment horizontal="center" vertical="center"/>
    </xf>
    <xf numFmtId="0" fontId="11" fillId="5" borderId="17" xfId="0" applyFont="1" applyFill="1" applyBorder="1" applyAlignment="1">
      <alignment horizontal="center" vertical="center" wrapText="1"/>
    </xf>
    <xf numFmtId="0" fontId="11" fillId="5" borderId="18" xfId="0" applyFont="1" applyFill="1" applyBorder="1" applyAlignment="1">
      <alignment horizontal="center" vertical="center" wrapText="1"/>
    </xf>
    <xf numFmtId="0" fontId="11" fillId="5" borderId="19" xfId="0" applyFont="1" applyFill="1" applyBorder="1" applyAlignment="1">
      <alignment horizontal="center" vertical="center" wrapText="1"/>
    </xf>
    <xf numFmtId="0" fontId="11" fillId="5" borderId="20" xfId="0" applyFont="1" applyFill="1" applyBorder="1" applyAlignment="1">
      <alignment horizontal="center" vertical="center" wrapText="1"/>
    </xf>
    <xf numFmtId="3" fontId="13" fillId="5" borderId="17" xfId="0" applyNumberFormat="1" applyFont="1" applyFill="1" applyBorder="1" applyAlignment="1">
      <alignment horizontal="right" vertical="center"/>
    </xf>
    <xf numFmtId="3" fontId="13" fillId="5" borderId="11" xfId="0" applyNumberFormat="1" applyFont="1" applyFill="1" applyBorder="1" applyAlignment="1">
      <alignment horizontal="right" vertical="center"/>
    </xf>
    <xf numFmtId="0" fontId="14" fillId="0" borderId="15" xfId="0" applyFont="1" applyBorder="1" applyAlignment="1">
      <alignment vertical="center"/>
    </xf>
    <xf numFmtId="0" fontId="11" fillId="0" borderId="0" xfId="0" applyFont="1" applyAlignment="1">
      <alignment vertical="center"/>
    </xf>
    <xf numFmtId="0" fontId="11" fillId="0" borderId="16" xfId="0" applyFont="1" applyBorder="1" applyAlignment="1">
      <alignment vertical="center"/>
    </xf>
    <xf numFmtId="0" fontId="11" fillId="0" borderId="22" xfId="0" applyFont="1" applyBorder="1" applyAlignment="1">
      <alignment vertical="center"/>
    </xf>
    <xf numFmtId="0" fontId="11" fillId="0" borderId="15" xfId="0" applyFont="1" applyBorder="1" applyAlignment="1">
      <alignment vertical="center"/>
    </xf>
    <xf numFmtId="0" fontId="11" fillId="0" borderId="18" xfId="0" applyFont="1" applyBorder="1" applyAlignment="1">
      <alignment vertical="center"/>
    </xf>
    <xf numFmtId="0" fontId="11" fillId="0" borderId="20" xfId="0" applyFont="1" applyBorder="1" applyAlignment="1">
      <alignment vertical="center"/>
    </xf>
    <xf numFmtId="0" fontId="11" fillId="0" borderId="7" xfId="0" applyFont="1" applyBorder="1" applyAlignment="1">
      <alignment vertical="center"/>
    </xf>
    <xf numFmtId="0" fontId="11" fillId="0" borderId="11" xfId="0" applyFont="1" applyBorder="1" applyAlignment="1">
      <alignment vertical="center"/>
    </xf>
    <xf numFmtId="0" fontId="15" fillId="5" borderId="11" xfId="0" applyFont="1" applyFill="1" applyBorder="1" applyAlignment="1">
      <alignment vertical="center"/>
    </xf>
    <xf numFmtId="0" fontId="15" fillId="5" borderId="14" xfId="0" applyFont="1" applyFill="1" applyBorder="1" applyAlignment="1">
      <alignment vertical="center"/>
    </xf>
    <xf numFmtId="3" fontId="15" fillId="5" borderId="17" xfId="0" applyNumberFormat="1" applyFont="1" applyFill="1" applyBorder="1" applyAlignment="1">
      <alignment horizontal="right" vertical="center"/>
    </xf>
    <xf numFmtId="3" fontId="15" fillId="5" borderId="11" xfId="0" applyNumberFormat="1" applyFont="1" applyFill="1" applyBorder="1" applyAlignment="1">
      <alignment horizontal="right" vertical="center"/>
    </xf>
    <xf numFmtId="0" fontId="14" fillId="0" borderId="15" xfId="0" applyFont="1" applyBorder="1" applyAlignment="1">
      <alignment horizontal="center" vertical="center"/>
    </xf>
    <xf numFmtId="0" fontId="16" fillId="0" borderId="16" xfId="0" applyFont="1" applyBorder="1" applyAlignment="1">
      <alignment vertical="center"/>
    </xf>
    <xf numFmtId="3" fontId="14" fillId="0" borderId="22" xfId="0" applyNumberFormat="1" applyFont="1" applyBorder="1" applyAlignment="1">
      <alignment horizontal="right" vertical="center"/>
    </xf>
    <xf numFmtId="3" fontId="11" fillId="5" borderId="22" xfId="0" applyNumberFormat="1" applyFont="1" applyFill="1" applyBorder="1" applyAlignment="1">
      <alignment horizontal="right" vertical="center"/>
    </xf>
    <xf numFmtId="3" fontId="11" fillId="5" borderId="15" xfId="0" applyNumberFormat="1" applyFont="1" applyFill="1" applyBorder="1" applyAlignment="1">
      <alignment horizontal="right" vertical="center"/>
    </xf>
    <xf numFmtId="3" fontId="14" fillId="0" borderId="16" xfId="0" applyNumberFormat="1" applyFont="1" applyBorder="1" applyAlignment="1">
      <alignment horizontal="right" vertical="center"/>
    </xf>
    <xf numFmtId="0" fontId="16" fillId="0" borderId="15" xfId="0" applyFont="1" applyBorder="1" applyAlignment="1">
      <alignment vertical="center"/>
    </xf>
    <xf numFmtId="0" fontId="14" fillId="0" borderId="16" xfId="0" applyFont="1" applyBorder="1" applyAlignment="1">
      <alignment horizontal="center" vertical="center"/>
    </xf>
    <xf numFmtId="0" fontId="14" fillId="0" borderId="22" xfId="0" applyFont="1" applyBorder="1" applyAlignment="1">
      <alignment horizontal="right" vertical="center"/>
    </xf>
    <xf numFmtId="0" fontId="16" fillId="0" borderId="0" xfId="0" applyFont="1" applyBorder="1" applyAlignment="1">
      <alignment vertical="center"/>
    </xf>
    <xf numFmtId="0" fontId="16" fillId="0" borderId="20" xfId="0" applyFont="1" applyBorder="1" applyAlignment="1">
      <alignment vertical="center"/>
    </xf>
    <xf numFmtId="0" fontId="16" fillId="0" borderId="17" xfId="0" applyFont="1" applyBorder="1" applyAlignment="1">
      <alignment vertical="center"/>
    </xf>
    <xf numFmtId="3" fontId="14" fillId="0" borderId="19" xfId="0" applyNumberFormat="1" applyFont="1" applyBorder="1" applyAlignment="1">
      <alignment horizontal="right" vertical="center"/>
    </xf>
    <xf numFmtId="3" fontId="11" fillId="5" borderId="19" xfId="0" applyNumberFormat="1" applyFont="1" applyFill="1" applyBorder="1" applyAlignment="1">
      <alignment horizontal="right" vertical="center"/>
    </xf>
    <xf numFmtId="3" fontId="11" fillId="5" borderId="20" xfId="0" applyNumberFormat="1" applyFont="1" applyFill="1" applyBorder="1" applyAlignment="1">
      <alignment horizontal="right" vertical="center"/>
    </xf>
    <xf numFmtId="3" fontId="14" fillId="0" borderId="17" xfId="0" applyNumberFormat="1" applyFont="1" applyBorder="1" applyAlignment="1">
      <alignment horizontal="right" vertical="center"/>
    </xf>
    <xf numFmtId="3" fontId="15" fillId="5" borderId="14" xfId="0" applyNumberFormat="1" applyFont="1" applyFill="1" applyBorder="1" applyAlignment="1">
      <alignment horizontal="right" vertical="center" wrapText="1"/>
    </xf>
    <xf numFmtId="3" fontId="15" fillId="5" borderId="7" xfId="0" applyNumberFormat="1" applyFont="1" applyFill="1" applyBorder="1" applyAlignment="1">
      <alignment horizontal="right" vertical="center" wrapText="1"/>
    </xf>
    <xf numFmtId="0" fontId="16" fillId="0" borderId="16" xfId="0" applyFont="1" applyBorder="1" applyAlignment="1">
      <alignment horizontal="center" vertical="center"/>
    </xf>
    <xf numFmtId="3" fontId="15" fillId="5" borderId="14" xfId="0" applyNumberFormat="1" applyFont="1" applyFill="1" applyBorder="1" applyAlignment="1">
      <alignment horizontal="right" vertical="center"/>
    </xf>
    <xf numFmtId="3" fontId="15" fillId="5" borderId="7" xfId="0" applyNumberFormat="1" applyFont="1" applyFill="1" applyBorder="1" applyAlignment="1">
      <alignment horizontal="right" vertical="center"/>
    </xf>
    <xf numFmtId="3" fontId="14" fillId="0" borderId="22" xfId="0" applyNumberFormat="1" applyFont="1" applyBorder="1" applyAlignment="1">
      <alignment horizontal="right" vertical="center" wrapText="1"/>
    </xf>
    <xf numFmtId="0" fontId="14" fillId="0" borderId="19" xfId="0" applyFont="1" applyBorder="1" applyAlignment="1">
      <alignment horizontal="right" vertical="center"/>
    </xf>
    <xf numFmtId="0" fontId="15" fillId="5" borderId="12" xfId="0" applyFont="1" applyFill="1" applyBorder="1" applyAlignment="1">
      <alignment vertical="center"/>
    </xf>
    <xf numFmtId="0" fontId="14" fillId="0" borderId="11" xfId="0" applyFont="1" applyBorder="1" applyAlignment="1">
      <alignment vertical="center"/>
    </xf>
    <xf numFmtId="0" fontId="14" fillId="0" borderId="14" xfId="0" applyFont="1" applyBorder="1" applyAlignment="1">
      <alignment vertical="center"/>
    </xf>
    <xf numFmtId="0" fontId="14" fillId="0" borderId="17" xfId="0" applyFont="1" applyBorder="1" applyAlignment="1">
      <alignment horizontal="right" vertical="center"/>
    </xf>
    <xf numFmtId="3" fontId="14" fillId="0" borderId="18" xfId="0" applyNumberFormat="1" applyFont="1" applyBorder="1" applyAlignment="1">
      <alignment horizontal="right" vertical="center"/>
    </xf>
    <xf numFmtId="3" fontId="11" fillId="5" borderId="11" xfId="0" applyNumberFormat="1" applyFont="1" applyFill="1" applyBorder="1" applyAlignment="1">
      <alignment horizontal="right" vertical="center"/>
    </xf>
    <xf numFmtId="0" fontId="0" fillId="0" borderId="4" xfId="0" applyBorder="1" applyAlignment="1">
      <alignment horizontal="center"/>
    </xf>
    <xf numFmtId="0" fontId="9" fillId="0" borderId="2" xfId="0" applyFont="1" applyBorder="1"/>
    <xf numFmtId="10" fontId="19" fillId="0" borderId="2" xfId="7" applyNumberFormat="1" applyFont="1" applyFill="1" applyBorder="1"/>
    <xf numFmtId="0" fontId="9" fillId="0" borderId="0" xfId="0" applyFont="1"/>
    <xf numFmtId="0" fontId="9" fillId="0" borderId="5" xfId="0" applyFont="1" applyBorder="1"/>
    <xf numFmtId="9" fontId="9" fillId="0" borderId="2" xfId="7" applyFont="1" applyFill="1" applyBorder="1"/>
    <xf numFmtId="168" fontId="9" fillId="3" borderId="2" xfId="0" applyNumberFormat="1" applyFont="1" applyFill="1" applyBorder="1"/>
    <xf numFmtId="168" fontId="20" fillId="0" borderId="0" xfId="0" applyNumberFormat="1" applyFont="1"/>
    <xf numFmtId="168" fontId="9" fillId="0" borderId="0" xfId="0" applyNumberFormat="1" applyFont="1"/>
    <xf numFmtId="164" fontId="0" fillId="0" borderId="0" xfId="0" applyNumberFormat="1"/>
    <xf numFmtId="0" fontId="8" fillId="0" borderId="2" xfId="1" applyFill="1" applyBorder="1" applyAlignment="1" applyProtection="1">
      <alignment horizontal="left"/>
    </xf>
    <xf numFmtId="177" fontId="7" fillId="0" borderId="2" xfId="2" applyNumberFormat="1" applyFont="1" applyFill="1" applyBorder="1"/>
    <xf numFmtId="0" fontId="18" fillId="0" borderId="2" xfId="0" applyFont="1" applyBorder="1"/>
    <xf numFmtId="165" fontId="0" fillId="0" borderId="0" xfId="2" applyFont="1"/>
    <xf numFmtId="0" fontId="0" fillId="6" borderId="0" xfId="0" applyFill="1"/>
    <xf numFmtId="168" fontId="0" fillId="3" borderId="2" xfId="0" applyNumberFormat="1" applyFont="1" applyFill="1" applyBorder="1"/>
    <xf numFmtId="10" fontId="0" fillId="0" borderId="0" xfId="7" applyNumberFormat="1" applyFont="1"/>
    <xf numFmtId="0" fontId="0" fillId="0" borderId="0" xfId="0" applyFont="1"/>
    <xf numFmtId="0" fontId="21" fillId="0" borderId="0" xfId="0" applyFont="1"/>
    <xf numFmtId="0" fontId="21" fillId="7" borderId="23" xfId="0" applyFont="1" applyFill="1" applyBorder="1" applyAlignment="1">
      <alignment horizontal="right" vertical="center"/>
    </xf>
    <xf numFmtId="0" fontId="21" fillId="7" borderId="24" xfId="0" applyFont="1" applyFill="1" applyBorder="1" applyAlignment="1">
      <alignment horizontal="right" vertical="center"/>
    </xf>
    <xf numFmtId="0" fontId="21" fillId="8" borderId="24" xfId="0" applyFont="1" applyFill="1" applyBorder="1" applyAlignment="1">
      <alignment horizontal="right" vertical="center"/>
    </xf>
    <xf numFmtId="0" fontId="21" fillId="8" borderId="25" xfId="0" applyFont="1" applyFill="1" applyBorder="1" applyAlignment="1">
      <alignment horizontal="right" vertical="center"/>
    </xf>
    <xf numFmtId="178" fontId="0" fillId="0" borderId="0" xfId="0" applyNumberFormat="1"/>
    <xf numFmtId="180" fontId="0" fillId="0" borderId="0" xfId="2" applyNumberFormat="1" applyFont="1"/>
    <xf numFmtId="181" fontId="0" fillId="0" borderId="0" xfId="0" applyNumberFormat="1"/>
    <xf numFmtId="4" fontId="0" fillId="0" borderId="0" xfId="0" applyNumberFormat="1"/>
    <xf numFmtId="179" fontId="0" fillId="0" borderId="0" xfId="0" applyNumberFormat="1"/>
    <xf numFmtId="0" fontId="0" fillId="9" borderId="0" xfId="0" applyFill="1"/>
    <xf numFmtId="4" fontId="0" fillId="9" borderId="0" xfId="0" applyNumberFormat="1" applyFill="1"/>
    <xf numFmtId="182" fontId="0" fillId="0" borderId="0" xfId="7" applyNumberFormat="1" applyFont="1"/>
    <xf numFmtId="9" fontId="0" fillId="0" borderId="5" xfId="7" applyFont="1" applyBorder="1"/>
    <xf numFmtId="9" fontId="0" fillId="0" borderId="2" xfId="0" applyNumberFormat="1" applyFill="1" applyBorder="1"/>
    <xf numFmtId="0" fontId="0" fillId="0" borderId="2" xfId="0" applyFill="1" applyBorder="1"/>
    <xf numFmtId="0" fontId="0" fillId="0" borderId="0" xfId="0"/>
    <xf numFmtId="166" fontId="0" fillId="0" borderId="0" xfId="0" applyNumberFormat="1"/>
    <xf numFmtId="0" fontId="0" fillId="0" borderId="2" xfId="0" applyBorder="1"/>
    <xf numFmtId="166" fontId="0" fillId="0" borderId="2" xfId="0" applyNumberFormat="1" applyBorder="1"/>
    <xf numFmtId="0" fontId="0" fillId="0" borderId="5" xfId="0" applyBorder="1"/>
    <xf numFmtId="166" fontId="0" fillId="0" borderId="5" xfId="0" applyNumberFormat="1" applyBorder="1"/>
    <xf numFmtId="165" fontId="5" fillId="0" borderId="4" xfId="2" applyFont="1" applyBorder="1"/>
    <xf numFmtId="0" fontId="10" fillId="0" borderId="2" xfId="0" applyFont="1" applyFill="1" applyBorder="1" applyAlignment="1">
      <alignment horizontal="left" wrapText="1"/>
    </xf>
    <xf numFmtId="0" fontId="0" fillId="0" borderId="3" xfId="0" applyBorder="1" applyAlignment="1">
      <alignment horizontal="center" wrapText="1"/>
    </xf>
    <xf numFmtId="0" fontId="0" fillId="0" borderId="4" xfId="0" applyBorder="1" applyAlignment="1">
      <alignment horizontal="center"/>
    </xf>
    <xf numFmtId="0" fontId="0" fillId="0" borderId="2" xfId="0" applyBorder="1" applyAlignment="1">
      <alignment horizontal="left" wrapText="1"/>
    </xf>
    <xf numFmtId="0" fontId="0" fillId="0" borderId="2" xfId="0" applyBorder="1" applyAlignment="1">
      <alignment horizontal="center" wrapText="1"/>
    </xf>
    <xf numFmtId="0" fontId="9" fillId="0" borderId="2" xfId="0" applyFont="1" applyBorder="1" applyAlignment="1">
      <alignment horizontal="left" wrapText="1"/>
    </xf>
    <xf numFmtId="0" fontId="9" fillId="0" borderId="2" xfId="0" applyFont="1" applyFill="1" applyBorder="1" applyAlignment="1">
      <alignment horizontal="left" wrapText="1"/>
    </xf>
    <xf numFmtId="0" fontId="8" fillId="0" borderId="2" xfId="1" applyBorder="1" applyAlignment="1" applyProtection="1">
      <alignment horizontal="left" wrapText="1"/>
    </xf>
    <xf numFmtId="0" fontId="11" fillId="5" borderId="9" xfId="0" applyFont="1" applyFill="1" applyBorder="1" applyAlignment="1">
      <alignment horizontal="center" vertical="center"/>
    </xf>
    <xf numFmtId="0" fontId="11" fillId="5" borderId="10" xfId="0" applyFont="1" applyFill="1" applyBorder="1" applyAlignment="1">
      <alignment horizontal="center" vertical="center"/>
    </xf>
    <xf numFmtId="0" fontId="11" fillId="5" borderId="15" xfId="0" applyFont="1" applyFill="1" applyBorder="1" applyAlignment="1">
      <alignment horizontal="center" vertical="center"/>
    </xf>
    <xf numFmtId="0" fontId="11" fillId="5" borderId="16" xfId="0" applyFont="1" applyFill="1" applyBorder="1" applyAlignment="1">
      <alignment horizontal="center" vertical="center"/>
    </xf>
    <xf numFmtId="0" fontId="12" fillId="5" borderId="11" xfId="0" applyFont="1" applyFill="1" applyBorder="1" applyAlignment="1">
      <alignment horizontal="center" vertical="center"/>
    </xf>
    <xf numFmtId="0" fontId="12" fillId="5" borderId="4"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3" fillId="5" borderId="20" xfId="0" applyFont="1" applyFill="1" applyBorder="1" applyAlignment="1">
      <alignment vertical="center"/>
    </xf>
    <xf numFmtId="0" fontId="13" fillId="5" borderId="21" xfId="0" applyFont="1" applyFill="1" applyBorder="1" applyAlignment="1">
      <alignment vertical="center"/>
    </xf>
  </cellXfs>
  <cellStyles count="14">
    <cellStyle name="Comma" xfId="2" builtinId="3"/>
    <cellStyle name="Hyperlink" xfId="1" builtinId="8"/>
    <cellStyle name="Millares 2" xfId="3"/>
    <cellStyle name="Millares 2 2" xfId="10"/>
    <cellStyle name="Millares 3" xfId="4"/>
    <cellStyle name="Millares 3 2" xfId="11"/>
    <cellStyle name="Millares 4" xfId="9"/>
    <cellStyle name="Normal" xfId="0" builtinId="0"/>
    <cellStyle name="Normal 2" xfId="5"/>
    <cellStyle name="Normal 3" xfId="6"/>
    <cellStyle name="Normal 3 2" xfId="12"/>
    <cellStyle name="Percent" xfId="7" builtinId="5"/>
    <cellStyle name="Porcentaje 2" xfId="13"/>
    <cellStyle name="Porcentual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26" Type="http://schemas.openxmlformats.org/officeDocument/2006/relationships/customXml" Target="../customXml/item6.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www.imf.org/external/pubs/ft/weo/2016/02/weodata/weorept.aspx?sy=2000&amp;ey=2021&amp;scsm=1&amp;ssd=1&amp;sort=country&amp;ds=.&amp;br=1&amp;pr1.x=70&amp;pr1.y=10&amp;c=213&amp;s=NGDP_RPCH&amp;grp=0&amp;a=#cs1"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7</xdr:col>
      <xdr:colOff>123825</xdr:colOff>
      <xdr:row>21</xdr:row>
      <xdr:rowOff>104775</xdr:rowOff>
    </xdr:to>
    <xdr:pic>
      <xdr:nvPicPr>
        <xdr:cNvPr id="3121" name="Imagen 1" descr="http://2.bp.blogspot.com/-IOx_QsiDJjk/VaQck7DfifI/AAAAAAAAEck/hDGD2XhbEwo/s1600/estructura%2Bpor%2Btama%25C3%25B1o%2Bde%2Bempresas%2B2013.bmp">
          <a:extLst>
            <a:ext uri="{FF2B5EF4-FFF2-40B4-BE49-F238E27FC236}">
              <a16:creationId xmlns:a16="http://schemas.microsoft.com/office/drawing/2014/main" id="{00000000-0008-0000-0300-000031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00"/>
          <a:ext cx="5457825"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15</xdr:col>
      <xdr:colOff>360324</xdr:colOff>
      <xdr:row>40</xdr:row>
      <xdr:rowOff>75286</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381000"/>
          <a:ext cx="13009524" cy="731428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8</xdr:row>
      <xdr:rowOff>0</xdr:rowOff>
    </xdr:from>
    <xdr:to>
      <xdr:col>0</xdr:col>
      <xdr:colOff>95250</xdr:colOff>
      <xdr:row>8</xdr:row>
      <xdr:rowOff>104775</xdr:rowOff>
    </xdr:to>
    <xdr:pic>
      <xdr:nvPicPr>
        <xdr:cNvPr id="2" name="Imagen 1" descr="See notes for: &#10;Gross domestic product, constant prices (National currency).">
          <a:hlinkClick xmlns:r="http://schemas.openxmlformats.org/officeDocument/2006/relationships" r:id="rId1"/>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95250" cy="104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9</xdr:row>
      <xdr:rowOff>0</xdr:rowOff>
    </xdr:from>
    <xdr:to>
      <xdr:col>0</xdr:col>
      <xdr:colOff>95250</xdr:colOff>
      <xdr:row>9</xdr:row>
      <xdr:rowOff>104775</xdr:rowOff>
    </xdr:to>
    <xdr:pic>
      <xdr:nvPicPr>
        <xdr:cNvPr id="3" name="Imagen 2" descr="See notes for: &#10;Gross domestic product, constant prices (National currency).">
          <a:hlinkClick xmlns:r="http://schemas.openxmlformats.org/officeDocument/2006/relationships" r:id="rId1"/>
          <a:extLst>
            <a:ext uri="{FF2B5EF4-FFF2-40B4-BE49-F238E27FC236}">
              <a16:creationId xmlns:a16="http://schemas.microsoft.com/office/drawing/2014/main" id="{00000000-0008-0000-0B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95250" cy="104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BID\Componente1%2003feb17%20BI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ID\Componente2%2003feb17%20BI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ID\Componente3%2003feb17%20BID.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ID\bid%20cudro%20princ.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1"/>
      <sheetName val="1.1"/>
      <sheetName val="w1.1"/>
      <sheetName val="1.2"/>
      <sheetName val="w1.2"/>
      <sheetName val="1.3"/>
      <sheetName val="w1.3"/>
      <sheetName val="1.4"/>
      <sheetName val="w1.4"/>
    </sheetNames>
    <sheetDataSet>
      <sheetData sheetId="0" refreshError="1">
        <row r="10">
          <cell r="C10">
            <v>740</v>
          </cell>
          <cell r="D10">
            <v>350</v>
          </cell>
          <cell r="E10">
            <v>180</v>
          </cell>
          <cell r="F10">
            <v>180</v>
          </cell>
          <cell r="H10">
            <v>771</v>
          </cell>
          <cell r="I10">
            <v>136</v>
          </cell>
          <cell r="J10">
            <v>133</v>
          </cell>
          <cell r="K10">
            <v>115</v>
          </cell>
          <cell r="M10">
            <v>793</v>
          </cell>
          <cell r="N10">
            <v>98</v>
          </cell>
          <cell r="O10">
            <v>124</v>
          </cell>
          <cell r="P10">
            <v>100</v>
          </cell>
          <cell r="R10">
            <v>666</v>
          </cell>
          <cell r="S10">
            <v>86</v>
          </cell>
          <cell r="T10">
            <v>98</v>
          </cell>
          <cell r="U10">
            <v>30</v>
          </cell>
        </row>
        <row r="11">
          <cell r="C11">
            <v>130</v>
          </cell>
          <cell r="D11">
            <v>200</v>
          </cell>
          <cell r="E11">
            <v>65</v>
          </cell>
          <cell r="F11">
            <v>1904.9999999999995</v>
          </cell>
          <cell r="H11">
            <v>78</v>
          </cell>
          <cell r="I11">
            <v>500</v>
          </cell>
          <cell r="J11">
            <v>39</v>
          </cell>
          <cell r="K11">
            <v>2663</v>
          </cell>
          <cell r="M11">
            <v>26</v>
          </cell>
          <cell r="N11">
            <v>300</v>
          </cell>
          <cell r="O11">
            <v>13</v>
          </cell>
          <cell r="P11">
            <v>1421</v>
          </cell>
          <cell r="R11">
            <v>26</v>
          </cell>
          <cell r="S11">
            <v>0</v>
          </cell>
          <cell r="T11">
            <v>13</v>
          </cell>
          <cell r="U11">
            <v>221</v>
          </cell>
        </row>
        <row r="12">
          <cell r="C12">
            <v>120</v>
          </cell>
          <cell r="D12">
            <v>120</v>
          </cell>
          <cell r="E12">
            <v>60</v>
          </cell>
          <cell r="F12">
            <v>0</v>
          </cell>
          <cell r="H12">
            <v>120</v>
          </cell>
          <cell r="I12">
            <v>120</v>
          </cell>
          <cell r="J12">
            <v>60</v>
          </cell>
          <cell r="K12">
            <v>0</v>
          </cell>
          <cell r="M12">
            <v>150</v>
          </cell>
          <cell r="N12">
            <v>0</v>
          </cell>
          <cell r="O12">
            <v>0</v>
          </cell>
          <cell r="P12">
            <v>0</v>
          </cell>
          <cell r="R12">
            <v>100</v>
          </cell>
          <cell r="S12">
            <v>0</v>
          </cell>
          <cell r="T12">
            <v>0</v>
          </cell>
          <cell r="U12">
            <v>0</v>
          </cell>
        </row>
        <row r="13">
          <cell r="C13">
            <v>204</v>
          </cell>
          <cell r="D13">
            <v>108</v>
          </cell>
          <cell r="E13">
            <v>202</v>
          </cell>
          <cell r="F13">
            <v>446</v>
          </cell>
          <cell r="H13">
            <v>416</v>
          </cell>
          <cell r="I13">
            <v>232</v>
          </cell>
          <cell r="J13">
            <v>408</v>
          </cell>
          <cell r="K13">
            <v>784</v>
          </cell>
          <cell r="M13">
            <v>172</v>
          </cell>
          <cell r="N13">
            <v>104</v>
          </cell>
          <cell r="O13">
            <v>186</v>
          </cell>
          <cell r="P13">
            <v>218</v>
          </cell>
          <cell r="R13">
            <v>48</v>
          </cell>
          <cell r="S13">
            <v>36</v>
          </cell>
          <cell r="T13">
            <v>24</v>
          </cell>
          <cell r="U13">
            <v>12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2"/>
      <sheetName val="2.1"/>
      <sheetName val="w2.1"/>
      <sheetName val="2.2"/>
      <sheetName val="w2.2"/>
    </sheetNames>
    <sheetDataSet>
      <sheetData sheetId="0" refreshError="1">
        <row r="10">
          <cell r="C10">
            <v>385</v>
          </cell>
          <cell r="D10">
            <v>396</v>
          </cell>
          <cell r="E10">
            <v>112.00000000000001</v>
          </cell>
          <cell r="F10">
            <v>19.999999999999996</v>
          </cell>
          <cell r="H10">
            <v>750</v>
          </cell>
          <cell r="I10">
            <v>792</v>
          </cell>
          <cell r="J10">
            <v>0</v>
          </cell>
          <cell r="K10">
            <v>0</v>
          </cell>
          <cell r="M10">
            <v>950</v>
          </cell>
          <cell r="N10">
            <v>594</v>
          </cell>
          <cell r="O10">
            <v>1055.9999999999998</v>
          </cell>
          <cell r="P10">
            <v>0</v>
          </cell>
          <cell r="R10">
            <v>1500</v>
          </cell>
          <cell r="S10">
            <v>1055.9999999999998</v>
          </cell>
          <cell r="T10">
            <v>1158</v>
          </cell>
          <cell r="U10">
            <v>0</v>
          </cell>
        </row>
        <row r="11">
          <cell r="C11">
            <v>165.00000000000003</v>
          </cell>
          <cell r="D11">
            <v>0</v>
          </cell>
          <cell r="E11">
            <v>240.00000000000003</v>
          </cell>
          <cell r="F11">
            <v>882</v>
          </cell>
          <cell r="H11">
            <v>350</v>
          </cell>
          <cell r="I11">
            <v>0</v>
          </cell>
          <cell r="J11">
            <v>704</v>
          </cell>
          <cell r="K11">
            <v>1804.0000000000002</v>
          </cell>
          <cell r="M11">
            <v>700</v>
          </cell>
          <cell r="N11">
            <v>594</v>
          </cell>
          <cell r="O11">
            <v>0</v>
          </cell>
          <cell r="P11">
            <v>2706.0000000000005</v>
          </cell>
          <cell r="R11">
            <v>700</v>
          </cell>
          <cell r="S11">
            <v>528</v>
          </cell>
          <cell r="T11">
            <v>0</v>
          </cell>
          <cell r="U11">
            <v>3608.0000000000005</v>
          </cell>
        </row>
      </sheetData>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3"/>
      <sheetName val="3.1"/>
      <sheetName val="w3.1"/>
      <sheetName val="3.2"/>
      <sheetName val="w3.2"/>
      <sheetName val="3.3"/>
      <sheetName val="w3.3"/>
    </sheetNames>
    <sheetDataSet>
      <sheetData sheetId="0" refreshError="1">
        <row r="10">
          <cell r="C10">
            <v>24</v>
          </cell>
          <cell r="D10">
            <v>18</v>
          </cell>
          <cell r="E10">
            <v>12</v>
          </cell>
          <cell r="F10">
            <v>6</v>
          </cell>
          <cell r="H10">
            <v>96</v>
          </cell>
          <cell r="I10">
            <v>72</v>
          </cell>
          <cell r="J10">
            <v>48</v>
          </cell>
          <cell r="K10">
            <v>24</v>
          </cell>
          <cell r="M10">
            <v>72</v>
          </cell>
          <cell r="N10">
            <v>54</v>
          </cell>
          <cell r="O10">
            <v>36</v>
          </cell>
          <cell r="P10">
            <v>18</v>
          </cell>
          <cell r="R10">
            <v>48</v>
          </cell>
          <cell r="S10">
            <v>36</v>
          </cell>
          <cell r="T10">
            <v>24</v>
          </cell>
          <cell r="U10">
            <v>12</v>
          </cell>
        </row>
        <row r="11">
          <cell r="C11">
            <v>800</v>
          </cell>
          <cell r="D11">
            <v>400</v>
          </cell>
          <cell r="E11">
            <v>400</v>
          </cell>
          <cell r="F11">
            <v>400</v>
          </cell>
          <cell r="H11">
            <v>2600</v>
          </cell>
          <cell r="I11">
            <v>1300</v>
          </cell>
          <cell r="J11">
            <v>1300</v>
          </cell>
          <cell r="K11">
            <v>1300</v>
          </cell>
          <cell r="M11">
            <v>400</v>
          </cell>
          <cell r="N11">
            <v>200</v>
          </cell>
          <cell r="O11">
            <v>200</v>
          </cell>
          <cell r="P11">
            <v>200</v>
          </cell>
          <cell r="R11">
            <v>200</v>
          </cell>
          <cell r="S11">
            <v>100</v>
          </cell>
          <cell r="T11">
            <v>100</v>
          </cell>
          <cell r="U11">
            <v>100</v>
          </cell>
        </row>
        <row r="12">
          <cell r="C12">
            <v>500</v>
          </cell>
          <cell r="D12">
            <v>62.5</v>
          </cell>
          <cell r="E12">
            <v>0</v>
          </cell>
          <cell r="F12">
            <v>62.5</v>
          </cell>
          <cell r="H12">
            <v>500</v>
          </cell>
          <cell r="I12">
            <v>62.5</v>
          </cell>
          <cell r="J12">
            <v>0</v>
          </cell>
          <cell r="K12">
            <v>62.5</v>
          </cell>
          <cell r="M12">
            <v>500</v>
          </cell>
          <cell r="N12">
            <v>62.5</v>
          </cell>
          <cell r="O12">
            <v>0</v>
          </cell>
          <cell r="P12">
            <v>62.5</v>
          </cell>
          <cell r="R12">
            <v>500</v>
          </cell>
          <cell r="S12">
            <v>62.5</v>
          </cell>
          <cell r="T12">
            <v>0</v>
          </cell>
          <cell r="U12">
            <v>62.5</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4">
          <cell r="C4">
            <v>3803001</v>
          </cell>
        </row>
        <row r="26">
          <cell r="C26">
            <v>735000</v>
          </cell>
          <cell r="D26">
            <v>210000</v>
          </cell>
          <cell r="E26">
            <v>0</v>
          </cell>
          <cell r="F26">
            <v>105000</v>
          </cell>
          <cell r="H26">
            <v>490000</v>
          </cell>
          <cell r="I26">
            <v>140000</v>
          </cell>
          <cell r="J26">
            <v>0</v>
          </cell>
          <cell r="K26">
            <v>70000</v>
          </cell>
          <cell r="M26">
            <v>490000</v>
          </cell>
          <cell r="N26">
            <v>140000</v>
          </cell>
          <cell r="O26">
            <v>0</v>
          </cell>
          <cell r="P26">
            <v>70000</v>
          </cell>
          <cell r="R26">
            <v>735000</v>
          </cell>
          <cell r="S26">
            <v>210000</v>
          </cell>
          <cell r="T26">
            <v>0</v>
          </cell>
          <cell r="U26">
            <v>105000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9.bin"/><Relationship Id="rId1" Type="http://schemas.openxmlformats.org/officeDocument/2006/relationships/hyperlink" Target="http://www.imf.org/external/pubs/ft/weo/2016/02/weodata/weorept.aspx?sy=2000&amp;ey=2021&amp;scsm=1&amp;ssd=1&amp;sort=country&amp;ds=.&amp;br=1&amp;pr1.x=70&amp;pr1.y=10&amp;c=213&amp;s=NGDP_RPCH&amp;grp=0&amp;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undav.edu.ar/general/recursos/adjuntos/10264.pdf" TargetMode="External"/><Relationship Id="rId2" Type="http://schemas.openxmlformats.org/officeDocument/2006/relationships/hyperlink" Target="http://blogs.perfil.com/contadorlocane/2009/11/22/%C2%BFcuantas-empresas-hay-en-la-argentina/" TargetMode="External"/><Relationship Id="rId1" Type="http://schemas.openxmlformats.org/officeDocument/2006/relationships/hyperlink" Target="http://yaesta.blogspot.com.ar/2015/07/cuantas-empresas-hay-en-la-argentina.html" TargetMode="External"/><Relationship Id="rId4"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datos.bancomundial.org/indicador/SL.TLF.TOTL.IN"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hyperlink" Target="http://www.mecon.gov.ar/onp/html/presutexto/ley2017/jurent/pdf/D17J85.pdf" TargetMode="External"/><Relationship Id="rId7" Type="http://schemas.openxmlformats.org/officeDocument/2006/relationships/printerSettings" Target="../printerSettings/printerSettings6.bin"/><Relationship Id="rId2" Type="http://schemas.openxmlformats.org/officeDocument/2006/relationships/hyperlink" Target="http://www.mecon.gov.ar/onp/html/presutexto/ley2017/jurent/pdf/D17J85.pdf" TargetMode="External"/><Relationship Id="rId1" Type="http://schemas.openxmlformats.org/officeDocument/2006/relationships/hyperlink" Target="http://www.mecon.gov.ar/onp/html/presutexto/ley2017/jurent/pdf/D17J85.pdf" TargetMode="External"/><Relationship Id="rId6" Type="http://schemas.openxmlformats.org/officeDocument/2006/relationships/hyperlink" Target="http://www.mecon.gov.ar/onp/html/presutexto/ley2017/jurent/pdf/D17J85.pdf" TargetMode="External"/><Relationship Id="rId5" Type="http://schemas.openxmlformats.org/officeDocument/2006/relationships/hyperlink" Target="http://www.mecon.gov.ar/onp/html/presutexto/ley2017/jurent/pdf/D17J85.pdf" TargetMode="External"/><Relationship Id="rId4" Type="http://schemas.openxmlformats.org/officeDocument/2006/relationships/hyperlink" Target="http://www.mecon.gov.ar/onp/html/presutexto/ley2017/jurent/pdf/D17J85.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S27"/>
  <sheetViews>
    <sheetView showGridLines="0" tabSelected="1" topLeftCell="C1" zoomScale="85" zoomScaleNormal="85" workbookViewId="0">
      <selection activeCell="F20" sqref="F20:S20"/>
    </sheetView>
  </sheetViews>
  <sheetFormatPr defaultColWidth="11.5546875" defaultRowHeight="14.4" x14ac:dyDescent="0.3"/>
  <cols>
    <col min="2" max="2" width="22.33203125" customWidth="1"/>
    <col min="4" max="4" width="14.109375" customWidth="1"/>
    <col min="6" max="6" width="12" bestFit="1" customWidth="1"/>
    <col min="7" max="7" width="13.6640625" bestFit="1" customWidth="1"/>
    <col min="8" max="15" width="12" bestFit="1" customWidth="1"/>
  </cols>
  <sheetData>
    <row r="1" spans="1:19" x14ac:dyDescent="0.3">
      <c r="A1" s="7" t="s">
        <v>4</v>
      </c>
      <c r="B1" s="2"/>
      <c r="C1" s="2"/>
      <c r="D1" s="2"/>
    </row>
    <row r="2" spans="1:19" x14ac:dyDescent="0.3">
      <c r="A2" s="3" t="s">
        <v>0</v>
      </c>
      <c r="B2" s="3"/>
      <c r="C2" s="3"/>
      <c r="D2" s="3">
        <v>14</v>
      </c>
    </row>
    <row r="3" spans="1:19" ht="15" thickBot="1" x14ac:dyDescent="0.35">
      <c r="A3" s="4" t="s">
        <v>2</v>
      </c>
      <c r="B3" s="4"/>
      <c r="C3" s="4"/>
      <c r="D3" s="41">
        <v>0.12</v>
      </c>
    </row>
    <row r="4" spans="1:19" ht="15" thickBot="1" x14ac:dyDescent="0.35">
      <c r="L4" s="38"/>
    </row>
    <row r="5" spans="1:19" ht="15" thickBot="1" x14ac:dyDescent="0.35">
      <c r="A5" s="6" t="s">
        <v>5</v>
      </c>
      <c r="B5" s="6"/>
      <c r="C5" s="6"/>
      <c r="D5" s="6"/>
      <c r="E5" s="6"/>
      <c r="F5" s="6" t="s">
        <v>6</v>
      </c>
      <c r="G5" s="6" t="s">
        <v>3</v>
      </c>
      <c r="H5" s="6" t="s">
        <v>7</v>
      </c>
      <c r="I5" s="48" t="s">
        <v>20</v>
      </c>
      <c r="J5" s="48"/>
      <c r="K5" s="48"/>
      <c r="L5" s="48"/>
      <c r="M5" s="48"/>
      <c r="N5" s="48"/>
    </row>
    <row r="6" spans="1:19" x14ac:dyDescent="0.3">
      <c r="A6" s="3" t="s">
        <v>98</v>
      </c>
      <c r="B6" s="3"/>
      <c r="C6" s="3"/>
      <c r="D6" s="3"/>
      <c r="E6" s="3"/>
      <c r="F6" s="43">
        <v>25</v>
      </c>
      <c r="G6" s="43">
        <f>HT_1_2!A75</f>
        <v>111</v>
      </c>
      <c r="H6" s="43">
        <v>120</v>
      </c>
      <c r="I6" s="53" t="s">
        <v>96</v>
      </c>
      <c r="J6" s="46"/>
      <c r="K6" s="46"/>
      <c r="L6" s="46"/>
      <c r="M6" s="46"/>
      <c r="N6" s="46"/>
    </row>
    <row r="7" spans="1:19" x14ac:dyDescent="0.3">
      <c r="A7" s="3" t="s">
        <v>99</v>
      </c>
      <c r="B7" s="39"/>
      <c r="C7" s="39"/>
      <c r="D7" s="39"/>
      <c r="E7" s="39"/>
      <c r="F7" s="64">
        <v>0.5</v>
      </c>
      <c r="G7" s="43">
        <v>1</v>
      </c>
      <c r="H7" s="43">
        <v>10</v>
      </c>
      <c r="I7" s="53" t="s">
        <v>97</v>
      </c>
      <c r="J7" s="46"/>
      <c r="K7" s="46"/>
      <c r="L7" s="46"/>
      <c r="M7" s="46"/>
      <c r="N7" s="46"/>
    </row>
    <row r="8" spans="1:19" x14ac:dyDescent="0.3">
      <c r="A8" s="3" t="s">
        <v>120</v>
      </c>
      <c r="B8" s="3"/>
      <c r="C8" s="3"/>
      <c r="D8" s="3"/>
      <c r="E8" s="3"/>
      <c r="F8" s="43">
        <v>520</v>
      </c>
      <c r="G8" s="43">
        <f>1566200/1550</f>
        <v>1010.4516129032259</v>
      </c>
      <c r="H8" s="43">
        <v>1500</v>
      </c>
      <c r="I8" s="55" t="s">
        <v>127</v>
      </c>
      <c r="J8" s="46"/>
      <c r="K8" s="46"/>
      <c r="L8" s="46"/>
      <c r="M8" s="46"/>
      <c r="N8" s="46"/>
    </row>
    <row r="9" spans="1:19" x14ac:dyDescent="0.3">
      <c r="A9" s="10" t="s">
        <v>100</v>
      </c>
      <c r="B9" s="10"/>
      <c r="C9" s="10"/>
      <c r="D9" s="10"/>
      <c r="E9" s="10"/>
      <c r="F9" s="43">
        <v>12</v>
      </c>
      <c r="G9" s="43">
        <v>12</v>
      </c>
      <c r="H9" s="43">
        <v>12</v>
      </c>
      <c r="I9" s="44"/>
      <c r="J9" s="46"/>
      <c r="K9" s="46"/>
      <c r="L9" s="46"/>
      <c r="M9" s="46"/>
      <c r="N9" s="46"/>
    </row>
    <row r="10" spans="1:19" ht="15.75" customHeight="1" x14ac:dyDescent="0.3">
      <c r="A10" s="10" t="s">
        <v>101</v>
      </c>
      <c r="B10" s="10"/>
      <c r="C10" s="10"/>
      <c r="D10" s="10"/>
      <c r="E10" s="10"/>
      <c r="F10" s="43">
        <f>F6*F7*F8*F9</f>
        <v>78000</v>
      </c>
      <c r="G10" s="43">
        <f>G6*G7*G8*G9</f>
        <v>1345921.548387097</v>
      </c>
      <c r="H10" s="43">
        <f>H6*H7*H8*H9</f>
        <v>21600000</v>
      </c>
      <c r="I10" s="56" t="s">
        <v>102</v>
      </c>
      <c r="J10" s="47"/>
      <c r="K10" s="47"/>
      <c r="L10" s="47"/>
      <c r="M10" s="47"/>
      <c r="N10" s="47"/>
    </row>
    <row r="11" spans="1:19" ht="43.5" customHeight="1" x14ac:dyDescent="0.3">
      <c r="A11" s="3" t="s">
        <v>138</v>
      </c>
      <c r="B11" s="3"/>
      <c r="C11" s="3"/>
      <c r="D11" s="3"/>
      <c r="E11" s="3"/>
      <c r="F11" s="45">
        <f>G11*0.9</f>
        <v>1.008E-2</v>
      </c>
      <c r="G11" s="45">
        <v>1.12E-2</v>
      </c>
      <c r="H11" s="45">
        <f>G11*1.1</f>
        <v>1.2320000000000001E-2</v>
      </c>
      <c r="I11" s="160" t="s">
        <v>126</v>
      </c>
      <c r="J11" s="160"/>
      <c r="K11" s="160"/>
      <c r="L11" s="160"/>
      <c r="M11" s="160"/>
      <c r="N11" s="160"/>
    </row>
    <row r="12" spans="1:19" x14ac:dyDescent="0.3">
      <c r="A12" s="155" t="s">
        <v>240</v>
      </c>
      <c r="B12" s="155"/>
      <c r="C12" s="155"/>
      <c r="D12" s="155"/>
      <c r="E12" s="155"/>
      <c r="F12" s="151">
        <f>G12*0.5</f>
        <v>0.2</v>
      </c>
      <c r="G12" s="151">
        <v>0.4</v>
      </c>
      <c r="H12" s="151">
        <f>G12*1.5</f>
        <v>0.60000000000000009</v>
      </c>
      <c r="I12" s="152"/>
      <c r="J12" s="155"/>
      <c r="K12" s="155"/>
      <c r="L12" s="155"/>
      <c r="M12" s="155"/>
      <c r="N12" s="155"/>
    </row>
    <row r="14" spans="1:19" ht="15" thickBot="1" x14ac:dyDescent="0.35"/>
    <row r="15" spans="1:19" ht="15" thickBot="1" x14ac:dyDescent="0.35">
      <c r="A15" s="6" t="s">
        <v>9</v>
      </c>
      <c r="B15" s="6"/>
      <c r="C15" s="6"/>
      <c r="D15" s="6"/>
      <c r="E15" s="6">
        <v>0</v>
      </c>
      <c r="F15" s="6">
        <v>1</v>
      </c>
      <c r="G15" s="6">
        <v>2</v>
      </c>
      <c r="H15" s="6">
        <v>3</v>
      </c>
      <c r="I15" s="6">
        <v>4</v>
      </c>
      <c r="J15" s="6">
        <v>5</v>
      </c>
      <c r="K15" s="6">
        <v>6</v>
      </c>
      <c r="L15" s="6">
        <v>7</v>
      </c>
      <c r="M15" s="6">
        <v>8</v>
      </c>
      <c r="N15" s="6">
        <v>9</v>
      </c>
      <c r="O15" s="6">
        <v>10</v>
      </c>
      <c r="P15" s="6">
        <v>11</v>
      </c>
      <c r="Q15" s="6">
        <v>12</v>
      </c>
      <c r="R15" s="6">
        <v>13</v>
      </c>
      <c r="S15" s="6">
        <v>14</v>
      </c>
    </row>
    <row r="16" spans="1:19" x14ac:dyDescent="0.3">
      <c r="A16" s="10" t="s">
        <v>239</v>
      </c>
      <c r="B16" s="10"/>
      <c r="C16" s="10"/>
      <c r="D16" s="10"/>
      <c r="E16" s="11"/>
      <c r="F16" s="150">
        <v>0.2</v>
      </c>
      <c r="G16" s="150">
        <v>0.4</v>
      </c>
      <c r="H16" s="150">
        <v>0.6</v>
      </c>
      <c r="I16" s="150">
        <v>0.8</v>
      </c>
      <c r="J16" s="150">
        <v>0.9</v>
      </c>
      <c r="K16" s="150">
        <v>0.9</v>
      </c>
      <c r="L16" s="150">
        <v>0.9</v>
      </c>
      <c r="M16" s="150">
        <v>0.9</v>
      </c>
      <c r="N16" s="150">
        <v>0.9</v>
      </c>
      <c r="O16" s="150">
        <v>0.9</v>
      </c>
      <c r="P16" s="150">
        <v>0.8</v>
      </c>
      <c r="Q16" s="150">
        <v>0.6</v>
      </c>
      <c r="R16" s="150">
        <v>0.4</v>
      </c>
      <c r="S16" s="150">
        <v>0.2</v>
      </c>
    </row>
    <row r="17" spans="1:19" x14ac:dyDescent="0.3">
      <c r="A17" s="10" t="s">
        <v>123</v>
      </c>
      <c r="B17" s="3"/>
      <c r="C17" s="3"/>
      <c r="D17" s="3"/>
      <c r="E17" s="9"/>
      <c r="F17" s="9">
        <f>G10*(1+G11)*F16</f>
        <v>272199.17394580651</v>
      </c>
      <c r="G17" s="11">
        <f t="shared" ref="G17:S17" si="0">$G$10*((1+$G$11)^G15)*G16</f>
        <v>550495.60938799917</v>
      </c>
      <c r="H17" s="158">
        <f t="shared" si="0"/>
        <v>834991.74031971709</v>
      </c>
      <c r="I17" s="158">
        <f t="shared" si="0"/>
        <v>1125791.5304150642</v>
      </c>
      <c r="J17" s="158">
        <f t="shared" si="0"/>
        <v>1280700.445000177</v>
      </c>
      <c r="K17" s="158">
        <f t="shared" si="0"/>
        <v>1295044.289984179</v>
      </c>
      <c r="L17" s="158">
        <f t="shared" si="0"/>
        <v>1309548.786032002</v>
      </c>
      <c r="M17" s="158">
        <f t="shared" si="0"/>
        <v>1324215.7324355606</v>
      </c>
      <c r="N17" s="158">
        <f t="shared" si="0"/>
        <v>1339046.9486388389</v>
      </c>
      <c r="O17" s="158">
        <f t="shared" si="0"/>
        <v>1354044.274463594</v>
      </c>
      <c r="P17" s="158">
        <f t="shared" si="0"/>
        <v>1217075.1736334101</v>
      </c>
      <c r="Q17" s="158">
        <f t="shared" si="0"/>
        <v>923029.81168357807</v>
      </c>
      <c r="R17" s="158">
        <f t="shared" si="0"/>
        <v>622245.16371628956</v>
      </c>
      <c r="S17" s="158">
        <f t="shared" si="0"/>
        <v>314607.154774956</v>
      </c>
    </row>
    <row r="18" spans="1:19" x14ac:dyDescent="0.3">
      <c r="A18" s="3" t="s">
        <v>124</v>
      </c>
      <c r="B18" s="3"/>
      <c r="C18" s="3"/>
      <c r="D18" s="3"/>
      <c r="E18" s="9"/>
      <c r="F18" s="9">
        <f>F17*(1-$G$12)</f>
        <v>163319.5043674839</v>
      </c>
      <c r="G18" s="156">
        <f t="shared" ref="G18:S18" si="1">G17*(1-$G$12)</f>
        <v>330297.36563279951</v>
      </c>
      <c r="H18" s="156">
        <f t="shared" si="1"/>
        <v>500995.04419183021</v>
      </c>
      <c r="I18" s="156">
        <f t="shared" si="1"/>
        <v>675474.91824903851</v>
      </c>
      <c r="J18" s="156">
        <f t="shared" si="1"/>
        <v>768420.26700010616</v>
      </c>
      <c r="K18" s="156">
        <f t="shared" si="1"/>
        <v>777026.5739905074</v>
      </c>
      <c r="L18" s="156">
        <f t="shared" si="1"/>
        <v>785729.27161920117</v>
      </c>
      <c r="M18" s="156">
        <f t="shared" si="1"/>
        <v>794529.43946133635</v>
      </c>
      <c r="N18" s="156">
        <f t="shared" si="1"/>
        <v>803428.16918330337</v>
      </c>
      <c r="O18" s="156">
        <f t="shared" si="1"/>
        <v>812426.5646781564</v>
      </c>
      <c r="P18" s="156">
        <f t="shared" si="1"/>
        <v>730245.10418004601</v>
      </c>
      <c r="Q18" s="156">
        <f t="shared" si="1"/>
        <v>553817.88701014686</v>
      </c>
      <c r="R18" s="156">
        <f t="shared" si="1"/>
        <v>373347.09822977375</v>
      </c>
      <c r="S18" s="156">
        <f t="shared" si="1"/>
        <v>188764.2928649736</v>
      </c>
    </row>
    <row r="19" spans="1:19" ht="15" thickBot="1" x14ac:dyDescent="0.35">
      <c r="A19" s="12"/>
      <c r="B19" s="12"/>
      <c r="C19" s="12"/>
      <c r="D19" s="12"/>
      <c r="E19" s="13"/>
      <c r="F19" s="13"/>
      <c r="G19" s="13"/>
      <c r="H19" s="13"/>
      <c r="I19" s="13"/>
      <c r="J19" s="13"/>
      <c r="K19" s="13"/>
      <c r="L19" s="13"/>
      <c r="M19" s="13"/>
      <c r="N19" s="13"/>
      <c r="O19" s="13"/>
      <c r="P19" s="13"/>
      <c r="Q19" s="13"/>
      <c r="R19" s="13"/>
      <c r="S19" s="13"/>
    </row>
    <row r="20" spans="1:19" ht="15" thickBot="1" x14ac:dyDescent="0.35">
      <c r="A20" s="5" t="s">
        <v>121</v>
      </c>
      <c r="B20" s="5"/>
      <c r="C20" s="5"/>
      <c r="D20" s="5"/>
      <c r="E20" s="14">
        <f>E17</f>
        <v>0</v>
      </c>
      <c r="F20" s="14">
        <f>F17-F18</f>
        <v>108879.66957832262</v>
      </c>
      <c r="G20" s="14">
        <f t="shared" ref="G20:O20" si="2">G17-G18</f>
        <v>220198.24375519966</v>
      </c>
      <c r="H20" s="14">
        <f t="shared" si="2"/>
        <v>333996.69612788688</v>
      </c>
      <c r="I20" s="14">
        <f t="shared" si="2"/>
        <v>450316.61216602568</v>
      </c>
      <c r="J20" s="14">
        <f t="shared" si="2"/>
        <v>512280.17800007085</v>
      </c>
      <c r="K20" s="14">
        <f t="shared" si="2"/>
        <v>518017.71599367156</v>
      </c>
      <c r="L20" s="14">
        <f t="shared" si="2"/>
        <v>523819.51441280078</v>
      </c>
      <c r="M20" s="14">
        <f t="shared" si="2"/>
        <v>529686.2929742242</v>
      </c>
      <c r="N20" s="14">
        <f t="shared" si="2"/>
        <v>535618.77945553558</v>
      </c>
      <c r="O20" s="14">
        <f t="shared" si="2"/>
        <v>541617.70978543756</v>
      </c>
      <c r="P20" s="14">
        <f t="shared" ref="P20:S20" si="3">P17-P18</f>
        <v>486830.06945336412</v>
      </c>
      <c r="Q20" s="14">
        <f t="shared" si="3"/>
        <v>369211.9246734312</v>
      </c>
      <c r="R20" s="14">
        <f t="shared" si="3"/>
        <v>248898.06548651581</v>
      </c>
      <c r="S20" s="14">
        <f t="shared" si="3"/>
        <v>125842.8619099824</v>
      </c>
    </row>
    <row r="21" spans="1:19" ht="15" thickBot="1" x14ac:dyDescent="0.35">
      <c r="E21" s="1"/>
      <c r="F21" s="1"/>
      <c r="G21" s="1"/>
      <c r="H21" s="1"/>
      <c r="I21" s="1"/>
      <c r="J21" s="1"/>
      <c r="K21" s="1"/>
      <c r="L21" s="1"/>
      <c r="M21" s="1"/>
      <c r="N21" s="1"/>
      <c r="O21" s="1"/>
      <c r="P21" s="1"/>
    </row>
    <row r="22" spans="1:19" ht="15" thickBot="1" x14ac:dyDescent="0.35">
      <c r="A22" s="65" t="s">
        <v>1</v>
      </c>
      <c r="B22" s="66">
        <f>NPV($D$3,E20:S20)</f>
        <v>2219396.2904876661</v>
      </c>
      <c r="D22" s="1"/>
      <c r="E22" s="1"/>
      <c r="F22" s="1"/>
      <c r="G22" s="154"/>
      <c r="H22" s="154"/>
      <c r="I22" s="154"/>
      <c r="J22" s="154"/>
      <c r="K22" s="154"/>
      <c r="L22" s="154"/>
      <c r="M22" s="154"/>
      <c r="N22" s="154"/>
      <c r="O22" s="154"/>
      <c r="P22" s="154"/>
      <c r="Q22" s="154"/>
      <c r="R22" s="154"/>
      <c r="S22" s="154"/>
    </row>
    <row r="23" spans="1:19" x14ac:dyDescent="0.3">
      <c r="E23" s="1"/>
      <c r="F23" s="1"/>
      <c r="G23" s="1"/>
      <c r="H23" s="1"/>
      <c r="I23" s="1"/>
      <c r="J23" s="1"/>
      <c r="K23" s="1"/>
      <c r="L23" s="1"/>
      <c r="M23" s="1"/>
      <c r="N23" s="1"/>
      <c r="O23" s="1"/>
      <c r="P23" s="1"/>
    </row>
    <row r="27" spans="1:19" x14ac:dyDescent="0.3">
      <c r="E27" s="8"/>
    </row>
  </sheetData>
  <mergeCells count="1">
    <mergeCell ref="I11:N1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zoomScale="85" zoomScaleNormal="85" workbookViewId="0">
      <selection activeCell="F24" sqref="F24"/>
    </sheetView>
  </sheetViews>
  <sheetFormatPr defaultColWidth="11.5546875" defaultRowHeight="14.4" x14ac:dyDescent="0.3"/>
  <cols>
    <col min="1" max="1" width="14" bestFit="1" customWidth="1"/>
    <col min="2" max="2" width="50.33203125" customWidth="1"/>
    <col min="3" max="3" width="7.44140625" customWidth="1"/>
    <col min="4" max="4" width="10.44140625" bestFit="1" customWidth="1"/>
    <col min="5" max="5" width="11.44140625" bestFit="1" customWidth="1"/>
    <col min="6" max="15" width="10.6640625" bestFit="1" customWidth="1"/>
    <col min="16" max="17" width="9.6640625" bestFit="1" customWidth="1"/>
  </cols>
  <sheetData>
    <row r="1" spans="1:18" ht="15" thickBot="1" x14ac:dyDescent="0.35">
      <c r="A1" s="8" t="s">
        <v>16</v>
      </c>
    </row>
    <row r="2" spans="1:18" ht="15" thickBot="1" x14ac:dyDescent="0.35">
      <c r="A2" s="18"/>
      <c r="B2" s="18"/>
      <c r="C2" s="32">
        <v>0</v>
      </c>
      <c r="D2" s="19">
        <v>1</v>
      </c>
      <c r="E2" s="19">
        <v>2</v>
      </c>
      <c r="F2" s="19">
        <v>3</v>
      </c>
      <c r="G2" s="19">
        <v>4</v>
      </c>
      <c r="H2" s="19">
        <v>5</v>
      </c>
      <c r="I2" s="19">
        <v>6</v>
      </c>
      <c r="J2" s="19">
        <v>7</v>
      </c>
      <c r="K2" s="19">
        <v>8</v>
      </c>
      <c r="L2" s="19">
        <v>9</v>
      </c>
      <c r="M2" s="19">
        <v>10</v>
      </c>
      <c r="N2" s="19">
        <v>11</v>
      </c>
      <c r="O2" s="19">
        <v>12</v>
      </c>
      <c r="P2" s="19">
        <v>13</v>
      </c>
      <c r="Q2" s="19">
        <v>14</v>
      </c>
    </row>
    <row r="3" spans="1:18" s="8" customFormat="1" x14ac:dyDescent="0.3">
      <c r="A3" s="7" t="s">
        <v>8</v>
      </c>
      <c r="B3" s="7"/>
      <c r="C3" s="26">
        <f>SUM(C4:C8)</f>
        <v>0</v>
      </c>
      <c r="D3" s="26">
        <f>SUM(D4:D8)</f>
        <v>3056257.8930209037</v>
      </c>
      <c r="E3" s="26">
        <f t="shared" ref="E3:M3" si="0">SUM(E4:E8)</f>
        <v>6180975.9628454754</v>
      </c>
      <c r="F3" s="26">
        <f t="shared" si="0"/>
        <v>9375304.3404440172</v>
      </c>
      <c r="G3" s="26">
        <f t="shared" si="0"/>
        <v>11396714.958948538</v>
      </c>
      <c r="H3" s="26">
        <f t="shared" si="0"/>
        <v>12147684.356046826</v>
      </c>
      <c r="I3" s="26">
        <f t="shared" si="0"/>
        <v>12283738.420834552</v>
      </c>
      <c r="J3" s="26">
        <f t="shared" si="0"/>
        <v>12421316.291147901</v>
      </c>
      <c r="K3" s="26">
        <f t="shared" si="0"/>
        <v>12560435.033608757</v>
      </c>
      <c r="L3" s="26">
        <f t="shared" si="0"/>
        <v>12701111.905985177</v>
      </c>
      <c r="M3" s="26">
        <f t="shared" si="0"/>
        <v>12843364.359332211</v>
      </c>
      <c r="N3" s="26">
        <f t="shared" ref="N3:Q3" si="1">SUM(N4:N8)</f>
        <v>12320805.817751043</v>
      </c>
      <c r="O3" s="26">
        <f t="shared" si="1"/>
        <v>10363797.606576074</v>
      </c>
      <c r="P3" s="26">
        <f t="shared" si="1"/>
        <v>6986581.4265131522</v>
      </c>
      <c r="Q3" s="26">
        <f t="shared" si="1"/>
        <v>3532415.5692450497</v>
      </c>
    </row>
    <row r="4" spans="1:18" x14ac:dyDescent="0.3">
      <c r="A4" s="61" t="str">
        <f>Ev_So_PM!A4</f>
        <v>Flujo de beneficios (Liberación de recursos de organismos públicos)</v>
      </c>
      <c r="B4" s="3"/>
      <c r="C4" s="27">
        <f>'1_B_Uso_EPublicas'!E20</f>
        <v>0</v>
      </c>
      <c r="D4" s="62">
        <f>Ev_So_PM!D4</f>
        <v>108879.66957832262</v>
      </c>
      <c r="E4" s="62">
        <f>Ev_So_PM!E4</f>
        <v>220198.24375519966</v>
      </c>
      <c r="F4" s="62">
        <f>Ev_So_PM!F4</f>
        <v>333996.69612788688</v>
      </c>
      <c r="G4" s="62">
        <f>Ev_So_PM!G4</f>
        <v>450316.61216602568</v>
      </c>
      <c r="H4" s="62">
        <f>Ev_So_PM!H4</f>
        <v>512280.17800007085</v>
      </c>
      <c r="I4" s="62">
        <f>Ev_So_PM!I4</f>
        <v>518017.71599367156</v>
      </c>
      <c r="J4" s="62">
        <f>Ev_So_PM!J4</f>
        <v>523819.51441280078</v>
      </c>
      <c r="K4" s="62">
        <f>Ev_So_PM!K4</f>
        <v>529686.2929742242</v>
      </c>
      <c r="L4" s="62">
        <f>Ev_So_PM!L4</f>
        <v>535618.77945553558</v>
      </c>
      <c r="M4" s="62">
        <f>Ev_So_PM!M4</f>
        <v>541617.70978543756</v>
      </c>
      <c r="N4" s="62">
        <f>Ev_So_PM!N4</f>
        <v>486830.06945336412</v>
      </c>
      <c r="O4" s="62">
        <f>Ev_So_PM!O4</f>
        <v>369211.9246734312</v>
      </c>
      <c r="P4" s="62">
        <f>Ev_So_PM!P4</f>
        <v>248898.06548651581</v>
      </c>
      <c r="Q4" s="62">
        <f>Ev_So_PM!Q4</f>
        <v>125842.8619099824</v>
      </c>
    </row>
    <row r="5" spans="1:18" x14ac:dyDescent="0.3">
      <c r="A5" s="61" t="str">
        <f>Ev_So_PM!A5</f>
        <v>Flujo de beneficios (Reducción de costos de transacción de empresas)</v>
      </c>
      <c r="B5" s="3"/>
      <c r="C5" s="27">
        <f>'2_B_Uso_Empresas'!E30</f>
        <v>0</v>
      </c>
      <c r="D5" s="62">
        <f>Ev_So_PM!D5</f>
        <v>1118223.6335070969</v>
      </c>
      <c r="E5" s="62">
        <f>Ev_So_PM!E5</f>
        <v>2261495.476404753</v>
      </c>
      <c r="F5" s="62">
        <f>Ev_So_PM!F5</f>
        <v>3430236.3386107292</v>
      </c>
      <c r="G5" s="62">
        <f>Ev_So_PM!G5</f>
        <v>4046764.1498703649</v>
      </c>
      <c r="H5" s="62">
        <f>Ev_So_PM!H5</f>
        <v>4092087.9083489133</v>
      </c>
      <c r="I5" s="62">
        <f>Ev_So_PM!I5</f>
        <v>4137919.2929224214</v>
      </c>
      <c r="J5" s="62">
        <f>Ev_So_PM!J5</f>
        <v>4184263.9890031535</v>
      </c>
      <c r="K5" s="62">
        <f>Ev_So_PM!K5</f>
        <v>4231127.7456799885</v>
      </c>
      <c r="L5" s="62">
        <f>Ev_So_PM!L5</f>
        <v>4278516.3764316048</v>
      </c>
      <c r="M5" s="62">
        <f>Ev_So_PM!M5</f>
        <v>4326435.7598476382</v>
      </c>
      <c r="N5" s="62">
        <f>Ev_So_PM!N5</f>
        <v>4374891.8403579323</v>
      </c>
      <c r="O5" s="62">
        <f>Ev_So_PM!O5</f>
        <v>3791906.2534028068</v>
      </c>
      <c r="P5" s="62">
        <f>Ev_So_PM!P5</f>
        <v>2556250.4022939461</v>
      </c>
      <c r="Q5" s="62">
        <f>Ev_So_PM!Q5</f>
        <v>1292440.2033998193</v>
      </c>
    </row>
    <row r="6" spans="1:18" x14ac:dyDescent="0.3">
      <c r="A6" s="3" t="str">
        <f>Ev_So_PM!A6</f>
        <v>Flujo de beneficios (Reducción de costos de transacción de personas)</v>
      </c>
      <c r="B6" s="3"/>
      <c r="C6" s="62">
        <f>Ev_So_PM!C6</f>
        <v>0</v>
      </c>
      <c r="D6" s="62">
        <f>Ev_So_PM!D6</f>
        <v>1287428.5254193551</v>
      </c>
      <c r="E6" s="62">
        <f>Ev_So_PM!E6</f>
        <v>2603695.449808104</v>
      </c>
      <c r="F6" s="62">
        <f>Ev_So_PM!F6</f>
        <v>3949285.2582689319</v>
      </c>
      <c r="G6" s="62">
        <f>Ev_So_PM!G6</f>
        <v>4659103.4620218007</v>
      </c>
      <c r="H6" s="62">
        <f>Ev_So_PM!H6</f>
        <v>4711285.4207964456</v>
      </c>
      <c r="I6" s="62">
        <f>Ev_So_PM!I6</f>
        <v>4764051.8175093662</v>
      </c>
      <c r="J6" s="62">
        <f>Ev_So_PM!J6</f>
        <v>4817409.1978654722</v>
      </c>
      <c r="K6" s="62">
        <f>Ev_So_PM!K6</f>
        <v>4871364.1808815645</v>
      </c>
      <c r="L6" s="62">
        <f>Ev_So_PM!L6</f>
        <v>4925923.4597074389</v>
      </c>
      <c r="M6" s="62">
        <f>Ev_So_PM!M6</f>
        <v>4981093.8024561629</v>
      </c>
      <c r="N6" s="62">
        <f>Ev_So_PM!N6</f>
        <v>5036882.0530436719</v>
      </c>
      <c r="O6" s="62">
        <f>Ev_So_PM!O6</f>
        <v>4365681.5417466527</v>
      </c>
      <c r="P6" s="62">
        <f>Ev_So_PM!P6</f>
        <v>2943051.4500094773</v>
      </c>
      <c r="Q6" s="62">
        <f>Ev_So_PM!Q6</f>
        <v>1488006.8131247917</v>
      </c>
    </row>
    <row r="7" spans="1:18" s="63" customFormat="1" x14ac:dyDescent="0.3">
      <c r="A7" s="61" t="str">
        <f>Ev_So_PM!A7</f>
        <v>Flujo de beneficios (errores en el dimensionamiento de inversiones)</v>
      </c>
      <c r="B7" s="61"/>
      <c r="C7" s="62">
        <f>'5_B_Inversión'!E24</f>
        <v>0</v>
      </c>
      <c r="D7" s="62">
        <f>Ev_So_PM!D7</f>
        <v>131180.90322580645</v>
      </c>
      <c r="E7" s="62">
        <f>Ev_So_PM!E7</f>
        <v>265300.25868387095</v>
      </c>
      <c r="F7" s="62">
        <f>Ev_So_PM!F7</f>
        <v>402407.43237169547</v>
      </c>
      <c r="G7" s="62">
        <f>Ev_So_PM!G7</f>
        <v>542552.52748567809</v>
      </c>
      <c r="H7" s="62">
        <f>Ev_So_PM!H7</f>
        <v>685786.39474189712</v>
      </c>
      <c r="I7" s="62">
        <f>Ev_So_PM!I7</f>
        <v>693467.20236300642</v>
      </c>
      <c r="J7" s="62">
        <f>Ev_So_PM!J7</f>
        <v>701234.0350294722</v>
      </c>
      <c r="K7" s="62">
        <f>Ev_So_PM!K7</f>
        <v>709087.85622180242</v>
      </c>
      <c r="L7" s="62">
        <f>Ev_So_PM!L7</f>
        <v>717029.64021148672</v>
      </c>
      <c r="M7" s="62">
        <f>Ev_So_PM!M7</f>
        <v>725060.37218185549</v>
      </c>
      <c r="N7" s="62">
        <f>Ev_So_PM!N7</f>
        <v>586544.83868023392</v>
      </c>
      <c r="O7" s="62">
        <f>Ev_So_PM!O7</f>
        <v>444835.60565508943</v>
      </c>
      <c r="P7" s="62">
        <f>Ev_So_PM!P7</f>
        <v>299878.50962561765</v>
      </c>
      <c r="Q7" s="62">
        <f>Ev_So_PM!Q7</f>
        <v>151618.57446671231</v>
      </c>
    </row>
    <row r="8" spans="1:18" s="63" customFormat="1" x14ac:dyDescent="0.3">
      <c r="A8" s="61" t="str">
        <f>Ev_So_PM!A8</f>
        <v>Flujo de beneficios (errores en el focalización de los programas sociales)</v>
      </c>
      <c r="B8" s="61"/>
      <c r="C8" s="62">
        <f>'4_B_Programas sociales'!E25</f>
        <v>0</v>
      </c>
      <c r="D8" s="62">
        <f>Ev_So_PM!D8</f>
        <v>410545.16129032261</v>
      </c>
      <c r="E8" s="62">
        <f>Ev_So_PM!E8</f>
        <v>830286.53419354849</v>
      </c>
      <c r="F8" s="62">
        <f>Ev_So_PM!F8</f>
        <v>1259378.6150647744</v>
      </c>
      <c r="G8" s="62">
        <f>Ev_So_PM!G8</f>
        <v>1697978.2074046668</v>
      </c>
      <c r="H8" s="62">
        <f>Ev_So_PM!H8</f>
        <v>2146244.4541594991</v>
      </c>
      <c r="I8" s="62">
        <f>Ev_So_PM!I8</f>
        <v>2170282.3920460856</v>
      </c>
      <c r="J8" s="62">
        <f>Ev_So_PM!J8</f>
        <v>2194589.554837002</v>
      </c>
      <c r="K8" s="62">
        <f>Ev_So_PM!K8</f>
        <v>2219168.9578511766</v>
      </c>
      <c r="L8" s="62">
        <f>Ev_So_PM!L8</f>
        <v>2244023.65017911</v>
      </c>
      <c r="M8" s="62">
        <f>Ev_So_PM!M8</f>
        <v>2269156.715061116</v>
      </c>
      <c r="N8" s="62">
        <f>Ev_So_PM!N8</f>
        <v>1835657.0162158408</v>
      </c>
      <c r="O8" s="62">
        <f>Ev_So_PM!O8</f>
        <v>1392162.2810980936</v>
      </c>
      <c r="P8" s="62">
        <f>Ev_So_PM!P8</f>
        <v>938502.99909759499</v>
      </c>
      <c r="Q8" s="62">
        <f>Ev_So_PM!Q8</f>
        <v>474507.1163437441</v>
      </c>
    </row>
    <row r="9" spans="1:18" x14ac:dyDescent="0.3">
      <c r="A9" s="3"/>
      <c r="B9" s="3"/>
      <c r="C9" s="27"/>
      <c r="D9" s="27"/>
      <c r="E9" s="27"/>
      <c r="F9" s="27"/>
      <c r="G9" s="27"/>
      <c r="H9" s="27"/>
      <c r="I9" s="27"/>
      <c r="J9" s="27"/>
      <c r="K9" s="27"/>
      <c r="L9" s="27"/>
      <c r="M9" s="27"/>
      <c r="N9" s="27"/>
      <c r="O9" s="27"/>
      <c r="P9" s="27"/>
      <c r="Q9" s="27"/>
    </row>
    <row r="10" spans="1:18" s="8" customFormat="1" x14ac:dyDescent="0.3">
      <c r="A10" s="28" t="s">
        <v>12</v>
      </c>
      <c r="B10" s="28"/>
      <c r="C10" s="29">
        <f t="shared" ref="C10:M10" si="2">SUM(C11:C15)</f>
        <v>0</v>
      </c>
      <c r="D10" s="29">
        <f>SUM(D11:D15)</f>
        <v>9673600</v>
      </c>
      <c r="E10" s="29">
        <f t="shared" si="2"/>
        <v>16783200</v>
      </c>
      <c r="F10" s="29">
        <f t="shared" si="2"/>
        <v>11300800</v>
      </c>
      <c r="G10" s="29">
        <f t="shared" si="2"/>
        <v>10782400</v>
      </c>
      <c r="H10" s="29">
        <f t="shared" si="2"/>
        <v>2530000</v>
      </c>
      <c r="I10" s="29">
        <f t="shared" si="2"/>
        <v>2530000</v>
      </c>
      <c r="J10" s="29">
        <f t="shared" si="2"/>
        <v>2530000</v>
      </c>
      <c r="K10" s="29">
        <f t="shared" si="2"/>
        <v>2530000</v>
      </c>
      <c r="L10" s="29">
        <f t="shared" si="2"/>
        <v>2530000</v>
      </c>
      <c r="M10" s="29">
        <f t="shared" si="2"/>
        <v>2530000</v>
      </c>
      <c r="N10" s="29">
        <f t="shared" ref="N10:Q10" si="3">SUM(N11:N15)</f>
        <v>2530000</v>
      </c>
      <c r="O10" s="29">
        <f t="shared" si="3"/>
        <v>2530000</v>
      </c>
      <c r="P10" s="29">
        <f t="shared" si="3"/>
        <v>2530000</v>
      </c>
      <c r="Q10" s="29">
        <f t="shared" si="3"/>
        <v>2530000</v>
      </c>
      <c r="R10" s="20">
        <f>SUM(D10:J10)</f>
        <v>56130000</v>
      </c>
    </row>
    <row r="11" spans="1:18" x14ac:dyDescent="0.3">
      <c r="A11" s="3" t="s">
        <v>10</v>
      </c>
      <c r="B11" s="3"/>
      <c r="C11" s="30"/>
      <c r="D11" s="30">
        <f>Ev_So_PM!D11*Ev_So_PS!$B$23</f>
        <v>4408800</v>
      </c>
      <c r="E11" s="30">
        <f>Ev_So_PM!E11*Ev_So_PS!$B$23</f>
        <v>5786000</v>
      </c>
      <c r="F11" s="30">
        <f>Ev_So_PM!F11*Ev_So_PS!$B$23</f>
        <v>3260400</v>
      </c>
      <c r="G11" s="30">
        <f>Ev_So_PM!G11*Ev_So_PS!$B$23</f>
        <v>1196800</v>
      </c>
      <c r="H11" s="30"/>
      <c r="I11" s="30"/>
      <c r="J11" s="30"/>
      <c r="K11" s="30"/>
      <c r="L11" s="30"/>
      <c r="M11" s="30"/>
      <c r="N11" s="30"/>
      <c r="O11" s="30"/>
      <c r="P11" s="30"/>
      <c r="Q11" s="30"/>
      <c r="R11" s="20">
        <f>SUM(D11:J11)</f>
        <v>14652000</v>
      </c>
    </row>
    <row r="12" spans="1:18" x14ac:dyDescent="0.3">
      <c r="A12" s="3" t="s">
        <v>11</v>
      </c>
      <c r="B12" s="3"/>
      <c r="C12" s="30"/>
      <c r="D12" s="30">
        <f>Ev_So_PM!D12*Ev_So_PS!$B$23</f>
        <v>1936000</v>
      </c>
      <c r="E12" s="30">
        <f>Ev_So_PM!E12*Ev_So_PS!$B$23</f>
        <v>3872000</v>
      </c>
      <c r="F12" s="30">
        <f>Ev_So_PM!F12*Ev_So_PS!$B$23</f>
        <v>5808000</v>
      </c>
      <c r="G12" s="30">
        <f>Ev_So_PM!G12*Ev_So_PS!$B$23</f>
        <v>7524000</v>
      </c>
      <c r="H12" s="27"/>
      <c r="I12" s="27"/>
      <c r="J12" s="27"/>
      <c r="K12" s="27"/>
      <c r="L12" s="27"/>
      <c r="M12" s="27"/>
      <c r="N12" s="27"/>
      <c r="O12" s="27"/>
      <c r="P12" s="27"/>
      <c r="Q12" s="27"/>
      <c r="R12" s="20">
        <f>SUM(D12:J12)</f>
        <v>19140000</v>
      </c>
    </row>
    <row r="13" spans="1:18" x14ac:dyDescent="0.3">
      <c r="A13" s="3" t="s">
        <v>180</v>
      </c>
      <c r="B13" s="3"/>
      <c r="C13" s="30"/>
      <c r="D13" s="30">
        <f>Ev_So_PM!D13*Ev_So_PS!$B$23</f>
        <v>2362800</v>
      </c>
      <c r="E13" s="30">
        <f>Ev_So_PM!E13*Ev_So_PS!$B$23</f>
        <v>6481200</v>
      </c>
      <c r="F13" s="30">
        <f>Ev_So_PM!F13*Ev_So_PS!$B$23</f>
        <v>1588400</v>
      </c>
      <c r="G13" s="30">
        <f>Ev_So_PM!G13*Ev_So_PS!$B$23</f>
        <v>1095600</v>
      </c>
      <c r="H13" s="27"/>
      <c r="I13" s="27"/>
      <c r="J13" s="27"/>
      <c r="K13" s="27"/>
      <c r="L13" s="27"/>
      <c r="M13" s="27"/>
      <c r="N13" s="27"/>
      <c r="O13" s="27"/>
      <c r="P13" s="27"/>
      <c r="Q13" s="27"/>
      <c r="R13" s="20"/>
    </row>
    <row r="14" spans="1:18" x14ac:dyDescent="0.3">
      <c r="A14" s="3" t="s">
        <v>181</v>
      </c>
      <c r="B14" s="3"/>
      <c r="C14" s="30"/>
      <c r="D14" s="30">
        <f>Ev_So_PM!D14*Ev_So_PS!$B$24</f>
        <v>966000</v>
      </c>
      <c r="E14" s="30">
        <f>Ev_So_PM!E14*Ev_So_PS!$B$24</f>
        <v>644000</v>
      </c>
      <c r="F14" s="30">
        <f>Ev_So_PM!F14*Ev_So_PS!$B$24</f>
        <v>644000</v>
      </c>
      <c r="G14" s="30">
        <f>Ev_So_PM!G14*Ev_So_PS!$B$24</f>
        <v>966000</v>
      </c>
      <c r="H14" s="27"/>
      <c r="I14" s="27"/>
      <c r="J14" s="27"/>
      <c r="K14" s="27"/>
      <c r="L14" s="27"/>
      <c r="M14" s="27"/>
      <c r="N14" s="27"/>
      <c r="O14" s="27"/>
      <c r="P14" s="27"/>
      <c r="Q14" s="27"/>
      <c r="R14" s="20">
        <f>SUM(D14:J14)</f>
        <v>3220000</v>
      </c>
    </row>
    <row r="15" spans="1:18" s="122" customFormat="1" x14ac:dyDescent="0.3">
      <c r="A15" s="131" t="str">
        <f>Ev_So_PM!A15</f>
        <v>Operación y mantenimiento (5% de la inversión)</v>
      </c>
      <c r="B15" s="120"/>
      <c r="C15" s="125"/>
      <c r="D15" s="125">
        <f>Ev_So_PM!D15</f>
        <v>0</v>
      </c>
      <c r="E15" s="125">
        <f>Ev_So_PM!E15</f>
        <v>0</v>
      </c>
      <c r="F15" s="125">
        <f>Ev_So_PM!F15</f>
        <v>0</v>
      </c>
      <c r="G15" s="134">
        <f>Ev_So_PM!G15</f>
        <v>0</v>
      </c>
      <c r="H15" s="134">
        <f>Ev_So_PM!H15*$B$24</f>
        <v>2530000</v>
      </c>
      <c r="I15" s="134">
        <f>Ev_So_PM!I15*$B$24</f>
        <v>2530000</v>
      </c>
      <c r="J15" s="134">
        <f>Ev_So_PM!J15*$B$24</f>
        <v>2530000</v>
      </c>
      <c r="K15" s="134">
        <f>Ev_So_PM!K15*$B$24</f>
        <v>2530000</v>
      </c>
      <c r="L15" s="134">
        <f>Ev_So_PM!L15*$B$24</f>
        <v>2530000</v>
      </c>
      <c r="M15" s="134">
        <f>Ev_So_PM!M15*$B$24</f>
        <v>2530000</v>
      </c>
      <c r="N15" s="134">
        <f>Ev_So_PM!N15*$B$24</f>
        <v>2530000</v>
      </c>
      <c r="O15" s="134">
        <f>Ev_So_PM!O15*$B$24</f>
        <v>2530000</v>
      </c>
      <c r="P15" s="134">
        <f>Ev_So_PM!P15*$B$24</f>
        <v>2530000</v>
      </c>
      <c r="Q15" s="134">
        <f>Ev_So_PM!Q15*$B$24</f>
        <v>2530000</v>
      </c>
      <c r="R15" s="126">
        <f>SUM(D15:J15)</f>
        <v>7590000</v>
      </c>
    </row>
    <row r="16" spans="1:18" ht="15" thickBot="1" x14ac:dyDescent="0.35">
      <c r="A16" s="4"/>
      <c r="B16" s="4"/>
      <c r="C16" s="31"/>
      <c r="D16" s="31"/>
      <c r="E16" s="31"/>
      <c r="F16" s="31"/>
      <c r="G16" s="31"/>
      <c r="H16" s="31"/>
      <c r="I16" s="31"/>
      <c r="J16" s="31"/>
      <c r="K16" s="31"/>
      <c r="L16" s="31"/>
      <c r="M16" s="31"/>
      <c r="N16" s="31"/>
      <c r="O16" s="31"/>
      <c r="P16" s="31"/>
      <c r="Q16" s="31"/>
    </row>
    <row r="17" spans="1:17" ht="15" thickBot="1" x14ac:dyDescent="0.35">
      <c r="A17" s="5" t="s">
        <v>13</v>
      </c>
      <c r="B17" s="5"/>
      <c r="C17" s="159">
        <v>0</v>
      </c>
      <c r="D17" s="21">
        <f t="shared" ref="D17:M17" si="4">D3-D10</f>
        <v>-6617342.1069790963</v>
      </c>
      <c r="E17" s="21">
        <f t="shared" si="4"/>
        <v>-10602224.037154526</v>
      </c>
      <c r="F17" s="21">
        <f t="shared" si="4"/>
        <v>-1925495.6595559828</v>
      </c>
      <c r="G17" s="21">
        <f t="shared" si="4"/>
        <v>614314.95894853771</v>
      </c>
      <c r="H17" s="21">
        <f t="shared" si="4"/>
        <v>9617684.3560468256</v>
      </c>
      <c r="I17" s="21">
        <f t="shared" si="4"/>
        <v>9753738.4208345525</v>
      </c>
      <c r="J17" s="21">
        <f t="shared" si="4"/>
        <v>9891316.2911479007</v>
      </c>
      <c r="K17" s="21">
        <f t="shared" si="4"/>
        <v>10030435.033608757</v>
      </c>
      <c r="L17" s="21">
        <f t="shared" si="4"/>
        <v>10171111.905985177</v>
      </c>
      <c r="M17" s="21">
        <f t="shared" si="4"/>
        <v>10313364.359332211</v>
      </c>
      <c r="N17" s="21">
        <f t="shared" ref="N17:Q17" si="5">N3-N10</f>
        <v>9790805.8177510425</v>
      </c>
      <c r="O17" s="21">
        <f t="shared" si="5"/>
        <v>7833797.6065760739</v>
      </c>
      <c r="P17" s="21">
        <f t="shared" si="5"/>
        <v>4456581.4265131522</v>
      </c>
      <c r="Q17" s="21">
        <f t="shared" si="5"/>
        <v>1002415.5692450497</v>
      </c>
    </row>
    <row r="18" spans="1:17" ht="15" thickBot="1" x14ac:dyDescent="0.35">
      <c r="N18" s="17"/>
    </row>
    <row r="19" spans="1:17" ht="15" thickBot="1" x14ac:dyDescent="0.35">
      <c r="A19" s="16" t="s">
        <v>14</v>
      </c>
      <c r="B19" s="16">
        <f>NPV(B21,C17:Q17)</f>
        <v>14842933.82334763</v>
      </c>
      <c r="D19" s="35"/>
      <c r="E19" s="34"/>
      <c r="F19" s="25"/>
      <c r="G19" s="25"/>
      <c r="H19" s="25"/>
      <c r="I19" s="25"/>
      <c r="J19" s="25"/>
      <c r="K19" s="25"/>
      <c r="L19" s="25"/>
      <c r="M19" s="25"/>
    </row>
    <row r="20" spans="1:17" ht="15" thickBot="1" x14ac:dyDescent="0.35">
      <c r="A20" s="15" t="s">
        <v>15</v>
      </c>
      <c r="B20" s="23">
        <f>IRR(C17:Q17)</f>
        <v>0.26290896602125802</v>
      </c>
      <c r="D20" s="33"/>
      <c r="E20" s="33"/>
      <c r="F20" s="33"/>
      <c r="G20" s="33"/>
      <c r="H20" s="33"/>
      <c r="I20" s="33"/>
      <c r="J20" s="33"/>
      <c r="K20" s="33"/>
      <c r="L20" s="33"/>
      <c r="M20" s="33"/>
    </row>
    <row r="21" spans="1:17" ht="15" thickBot="1" x14ac:dyDescent="0.35">
      <c r="A21" s="15" t="s">
        <v>17</v>
      </c>
      <c r="B21" s="22">
        <v>0.12</v>
      </c>
      <c r="D21" s="25"/>
      <c r="E21" s="25"/>
      <c r="F21" s="25"/>
      <c r="G21" s="25"/>
      <c r="H21" s="25"/>
      <c r="N21" s="17"/>
    </row>
    <row r="22" spans="1:17" x14ac:dyDescent="0.3">
      <c r="J22" s="36"/>
    </row>
    <row r="23" spans="1:17" x14ac:dyDescent="0.3">
      <c r="A23" s="24" t="s">
        <v>18</v>
      </c>
      <c r="B23" s="24">
        <f>1-0.12</f>
        <v>0.88</v>
      </c>
    </row>
    <row r="24" spans="1:17" x14ac:dyDescent="0.3">
      <c r="A24" s="24" t="s">
        <v>19</v>
      </c>
      <c r="B24" s="24">
        <v>0.92</v>
      </c>
      <c r="G24" s="17"/>
    </row>
    <row r="26" spans="1:17" x14ac:dyDescent="0.3">
      <c r="A26" s="133" t="s">
        <v>194</v>
      </c>
      <c r="B26" s="133"/>
      <c r="C26" s="133"/>
      <c r="D26" s="133"/>
      <c r="E26" s="133"/>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5"/>
  <sheetViews>
    <sheetView topLeftCell="A5" workbookViewId="0">
      <selection activeCell="AJ27" sqref="AJ27"/>
    </sheetView>
  </sheetViews>
  <sheetFormatPr defaultColWidth="11.5546875" defaultRowHeight="14.4" x14ac:dyDescent="0.3"/>
  <cols>
    <col min="2" max="2" width="37.5546875" customWidth="1"/>
    <col min="3" max="27" width="0" hidden="1" customWidth="1"/>
  </cols>
  <sheetData>
    <row r="1" spans="1:32" ht="15" thickBot="1" x14ac:dyDescent="0.35"/>
    <row r="2" spans="1:32" ht="15" thickBot="1" x14ac:dyDescent="0.35">
      <c r="A2" s="168" t="s">
        <v>158</v>
      </c>
      <c r="B2" s="169"/>
      <c r="C2" s="172">
        <v>2017</v>
      </c>
      <c r="D2" s="173"/>
      <c r="E2" s="173"/>
      <c r="F2" s="173"/>
      <c r="G2" s="174"/>
      <c r="H2" s="175">
        <v>2018</v>
      </c>
      <c r="I2" s="173"/>
      <c r="J2" s="173"/>
      <c r="K2" s="173"/>
      <c r="L2" s="174"/>
      <c r="M2" s="172">
        <v>2019</v>
      </c>
      <c r="N2" s="173"/>
      <c r="O2" s="173"/>
      <c r="P2" s="173"/>
      <c r="Q2" s="173"/>
      <c r="R2" s="67">
        <v>2020</v>
      </c>
      <c r="S2" s="68"/>
      <c r="T2" s="68"/>
      <c r="U2" s="68"/>
      <c r="V2" s="69"/>
      <c r="W2" s="68" t="s">
        <v>159</v>
      </c>
      <c r="X2" s="68"/>
      <c r="Y2" s="68"/>
      <c r="Z2" s="68"/>
      <c r="AA2" s="70"/>
      <c r="AB2" s="68" t="s">
        <v>159</v>
      </c>
      <c r="AC2" s="68"/>
      <c r="AD2" s="68"/>
      <c r="AE2" s="68"/>
      <c r="AF2" s="70"/>
    </row>
    <row r="3" spans="1:32" ht="15" thickBot="1" x14ac:dyDescent="0.35">
      <c r="A3" s="170"/>
      <c r="B3" s="171"/>
      <c r="C3" s="71" t="s">
        <v>160</v>
      </c>
      <c r="D3" s="71" t="s">
        <v>161</v>
      </c>
      <c r="E3" s="71" t="s">
        <v>162</v>
      </c>
      <c r="F3" s="71" t="s">
        <v>163</v>
      </c>
      <c r="G3" s="71" t="s">
        <v>164</v>
      </c>
      <c r="H3" s="71" t="s">
        <v>160</v>
      </c>
      <c r="I3" s="71" t="s">
        <v>161</v>
      </c>
      <c r="J3" s="71" t="s">
        <v>162</v>
      </c>
      <c r="K3" s="71" t="s">
        <v>163</v>
      </c>
      <c r="L3" s="71" t="s">
        <v>164</v>
      </c>
      <c r="M3" s="71" t="s">
        <v>160</v>
      </c>
      <c r="N3" s="71" t="s">
        <v>161</v>
      </c>
      <c r="O3" s="71" t="s">
        <v>162</v>
      </c>
      <c r="P3" s="71" t="s">
        <v>163</v>
      </c>
      <c r="Q3" s="72" t="s">
        <v>164</v>
      </c>
      <c r="R3" s="73" t="s">
        <v>160</v>
      </c>
      <c r="S3" s="71" t="s">
        <v>161</v>
      </c>
      <c r="T3" s="71" t="s">
        <v>162</v>
      </c>
      <c r="U3" s="71" t="s">
        <v>163</v>
      </c>
      <c r="V3" s="73" t="s">
        <v>164</v>
      </c>
      <c r="W3" s="71" t="s">
        <v>160</v>
      </c>
      <c r="X3" s="71" t="s">
        <v>161</v>
      </c>
      <c r="Y3" s="71" t="s">
        <v>162</v>
      </c>
      <c r="Z3" s="71" t="s">
        <v>163</v>
      </c>
      <c r="AA3" s="74" t="s">
        <v>164</v>
      </c>
      <c r="AB3" s="71">
        <v>2017</v>
      </c>
      <c r="AC3" s="71">
        <v>2018</v>
      </c>
      <c r="AD3" s="71">
        <v>2019</v>
      </c>
      <c r="AE3" s="71">
        <v>2020</v>
      </c>
      <c r="AF3" s="74" t="s">
        <v>164</v>
      </c>
    </row>
    <row r="4" spans="1:32" ht="15" thickBot="1" x14ac:dyDescent="0.35">
      <c r="A4" s="176" t="s">
        <v>165</v>
      </c>
      <c r="B4" s="177"/>
      <c r="C4" s="75">
        <f>C6+C13+C18+C24</f>
        <v>3803</v>
      </c>
      <c r="D4" s="75">
        <f>D6+D13+D18+D24</f>
        <v>1864.5</v>
      </c>
      <c r="E4" s="75">
        <f>E6+E13+E18+E24</f>
        <v>1271</v>
      </c>
      <c r="F4" s="75">
        <f>F6+F13+F18+F24</f>
        <v>4006.4999999999995</v>
      </c>
      <c r="G4" s="76">
        <f>SUM(C4:F4)</f>
        <v>10945</v>
      </c>
      <c r="H4" s="75">
        <f>H6+H13+H18+H24</f>
        <v>6171</v>
      </c>
      <c r="I4" s="75">
        <f>I6+I13+I18+I24</f>
        <v>3354.5</v>
      </c>
      <c r="J4" s="75">
        <f>J6+J13+J18+J24</f>
        <v>2692</v>
      </c>
      <c r="K4" s="75">
        <f>K6+K13+K18+K24</f>
        <v>6822.5</v>
      </c>
      <c r="L4" s="76">
        <f>SUM(H4:K4)</f>
        <v>19040</v>
      </c>
      <c r="M4" s="75">
        <f>M6+M13+M18+M24</f>
        <v>4253</v>
      </c>
      <c r="N4" s="75">
        <f>N6+N13+N18+N24</f>
        <v>2146.5</v>
      </c>
      <c r="O4" s="75">
        <f>O6+O13+O18+O24</f>
        <v>1614.9999999999998</v>
      </c>
      <c r="P4" s="75">
        <f>P6+P13+P18+P24</f>
        <v>4795.5</v>
      </c>
      <c r="Q4" s="76">
        <f>SUM(M4:P4)</f>
        <v>12810</v>
      </c>
      <c r="R4" s="75">
        <f>R6+R13+R18+R24</f>
        <v>4523</v>
      </c>
      <c r="S4" s="75">
        <f>S6+S13+S18+S24</f>
        <v>2114.5</v>
      </c>
      <c r="T4" s="75">
        <f>T6+T13+T18+T24</f>
        <v>1417</v>
      </c>
      <c r="U4" s="75">
        <f>U6+U13+U18+U24</f>
        <v>4150.5</v>
      </c>
      <c r="V4" s="76">
        <f>SUM(R4:U4)</f>
        <v>12205</v>
      </c>
      <c r="W4" s="75">
        <f>W6+W13+W18+W24</f>
        <v>18750</v>
      </c>
      <c r="X4" s="75">
        <f>X6+X13+X18+X24</f>
        <v>9480</v>
      </c>
      <c r="Y4" s="75">
        <f>Y6+Y13+Y18+Y24</f>
        <v>6995</v>
      </c>
      <c r="Z4" s="75">
        <f>Z6+Z13+Z18+Z24</f>
        <v>19775</v>
      </c>
      <c r="AA4" s="76">
        <f>SUM(W4:Z4)</f>
        <v>55000</v>
      </c>
      <c r="AB4" s="75">
        <f>AB6+AB13+AB18+AB24</f>
        <v>10945</v>
      </c>
      <c r="AC4" s="75">
        <f>AC6+AC13+AC18+AC24</f>
        <v>19040</v>
      </c>
      <c r="AD4" s="75">
        <f>AD6+AD13+AD18+AD24</f>
        <v>12810</v>
      </c>
      <c r="AE4" s="75">
        <f>AE6+AE13+AE18+AE24</f>
        <v>12205</v>
      </c>
      <c r="AF4" s="76">
        <f>SUM(AB4:AE4)</f>
        <v>55000</v>
      </c>
    </row>
    <row r="5" spans="1:32" ht="15" thickBot="1" x14ac:dyDescent="0.35">
      <c r="A5" s="77"/>
      <c r="B5" s="78"/>
      <c r="C5" s="79"/>
      <c r="D5" s="79"/>
      <c r="E5" s="79"/>
      <c r="F5" s="78"/>
      <c r="G5" s="80"/>
      <c r="H5" s="78"/>
      <c r="I5" s="81"/>
      <c r="J5" s="81"/>
      <c r="K5" s="81"/>
      <c r="L5" s="80"/>
      <c r="M5" s="82"/>
      <c r="N5" s="83"/>
      <c r="O5" s="83"/>
      <c r="P5" s="83"/>
      <c r="Q5" s="83"/>
      <c r="R5" s="83"/>
      <c r="S5" s="83"/>
      <c r="T5" s="83"/>
      <c r="U5" s="83"/>
      <c r="V5" s="84"/>
      <c r="W5" s="82"/>
      <c r="X5" s="83"/>
      <c r="Y5" s="83"/>
      <c r="Z5" s="83"/>
      <c r="AA5" s="85"/>
      <c r="AB5" s="82"/>
      <c r="AC5" s="83"/>
      <c r="AD5" s="83"/>
      <c r="AE5" s="83"/>
      <c r="AF5" s="85"/>
    </row>
    <row r="6" spans="1:32" ht="15" thickBot="1" x14ac:dyDescent="0.35">
      <c r="A6" s="86" t="s">
        <v>166</v>
      </c>
      <c r="B6" s="87"/>
      <c r="C6" s="88">
        <f t="shared" ref="C6:AE6" si="0">SUM(C8:C11)</f>
        <v>1194</v>
      </c>
      <c r="D6" s="88">
        <f t="shared" si="0"/>
        <v>778</v>
      </c>
      <c r="E6" s="88">
        <f t="shared" si="0"/>
        <v>507</v>
      </c>
      <c r="F6" s="88">
        <f t="shared" si="0"/>
        <v>2530.9999999999995</v>
      </c>
      <c r="G6" s="89">
        <f>SUM(C6:F6)</f>
        <v>5010</v>
      </c>
      <c r="H6" s="88">
        <f t="shared" si="0"/>
        <v>1385</v>
      </c>
      <c r="I6" s="88">
        <f t="shared" si="0"/>
        <v>988</v>
      </c>
      <c r="J6" s="88">
        <f t="shared" si="0"/>
        <v>640</v>
      </c>
      <c r="K6" s="88">
        <f t="shared" si="0"/>
        <v>3562</v>
      </c>
      <c r="L6" s="89">
        <f t="shared" ref="L6" si="1">SUM(H6:K6)</f>
        <v>6575</v>
      </c>
      <c r="M6" s="88">
        <f t="shared" si="0"/>
        <v>1141</v>
      </c>
      <c r="N6" s="88">
        <f t="shared" si="0"/>
        <v>502</v>
      </c>
      <c r="O6" s="88">
        <f t="shared" si="0"/>
        <v>323</v>
      </c>
      <c r="P6" s="88">
        <f t="shared" si="0"/>
        <v>1739</v>
      </c>
      <c r="Q6" s="89">
        <f t="shared" ref="Q6" si="2">SUM(M6:P6)</f>
        <v>3705</v>
      </c>
      <c r="R6" s="88">
        <f t="shared" si="0"/>
        <v>840</v>
      </c>
      <c r="S6" s="88">
        <f t="shared" si="0"/>
        <v>122</v>
      </c>
      <c r="T6" s="88">
        <f t="shared" si="0"/>
        <v>135</v>
      </c>
      <c r="U6" s="88">
        <f t="shared" si="0"/>
        <v>263</v>
      </c>
      <c r="V6" s="89">
        <f t="shared" ref="V6" si="3">SUM(R6:U6)</f>
        <v>1360</v>
      </c>
      <c r="W6" s="88">
        <f t="shared" si="0"/>
        <v>4560</v>
      </c>
      <c r="X6" s="88">
        <f t="shared" si="0"/>
        <v>2390</v>
      </c>
      <c r="Y6" s="88">
        <f t="shared" si="0"/>
        <v>1605</v>
      </c>
      <c r="Z6" s="88">
        <f t="shared" si="0"/>
        <v>8095</v>
      </c>
      <c r="AA6" s="89">
        <f t="shared" ref="AA6" si="4">SUM(W6:Z6)</f>
        <v>16650</v>
      </c>
      <c r="AB6" s="88">
        <f t="shared" si="0"/>
        <v>5010</v>
      </c>
      <c r="AC6" s="88">
        <f t="shared" si="0"/>
        <v>6575</v>
      </c>
      <c r="AD6" s="88">
        <f t="shared" si="0"/>
        <v>3705</v>
      </c>
      <c r="AE6" s="88">
        <f t="shared" si="0"/>
        <v>1360</v>
      </c>
      <c r="AF6" s="89">
        <f t="shared" ref="AF6" si="5">SUM(AB6:AE6)</f>
        <v>16650</v>
      </c>
    </row>
    <row r="7" spans="1:32" x14ac:dyDescent="0.3">
      <c r="A7" s="90"/>
      <c r="B7" s="91"/>
      <c r="C7" s="92"/>
      <c r="D7" s="92"/>
      <c r="E7" s="92"/>
      <c r="F7" s="92"/>
      <c r="G7" s="93"/>
      <c r="H7" s="92"/>
      <c r="I7" s="92"/>
      <c r="J7" s="92"/>
      <c r="K7" s="92"/>
      <c r="L7" s="93"/>
      <c r="M7" s="92"/>
      <c r="N7" s="92"/>
      <c r="O7" s="92"/>
      <c r="P7" s="92"/>
      <c r="Q7" s="94"/>
      <c r="R7" s="92"/>
      <c r="S7" s="92"/>
      <c r="T7" s="92"/>
      <c r="U7" s="92"/>
      <c r="V7" s="93"/>
      <c r="W7" s="95"/>
      <c r="X7" s="92"/>
      <c r="Y7" s="92"/>
      <c r="Z7" s="92"/>
      <c r="AA7" s="94"/>
      <c r="AB7" s="95"/>
      <c r="AC7" s="92"/>
      <c r="AD7" s="92"/>
      <c r="AE7" s="92"/>
      <c r="AF7" s="94"/>
    </row>
    <row r="8" spans="1:32" x14ac:dyDescent="0.3">
      <c r="A8" s="96" t="s">
        <v>167</v>
      </c>
      <c r="B8" s="97"/>
      <c r="C8" s="92">
        <f>'[1]BID 1'!C10</f>
        <v>740</v>
      </c>
      <c r="D8" s="92">
        <f>'[1]BID 1'!D10</f>
        <v>350</v>
      </c>
      <c r="E8" s="92">
        <f>'[1]BID 1'!E10</f>
        <v>180</v>
      </c>
      <c r="F8" s="92">
        <f>'[1]BID 1'!F10</f>
        <v>180</v>
      </c>
      <c r="G8" s="93">
        <f t="shared" ref="G8:G11" si="6">SUM(C8:F8)</f>
        <v>1450</v>
      </c>
      <c r="H8" s="92">
        <f>'[1]BID 1'!H10</f>
        <v>771</v>
      </c>
      <c r="I8" s="92">
        <f>'[1]BID 1'!I10</f>
        <v>136</v>
      </c>
      <c r="J8" s="92">
        <f>'[1]BID 1'!J10</f>
        <v>133</v>
      </c>
      <c r="K8" s="92">
        <f>'[1]BID 1'!K10</f>
        <v>115</v>
      </c>
      <c r="L8" s="93">
        <f t="shared" ref="L8:L11" si="7">SUM(H8:K8)</f>
        <v>1155</v>
      </c>
      <c r="M8" s="92">
        <f>'[1]BID 1'!M10</f>
        <v>793</v>
      </c>
      <c r="N8" s="92">
        <f>'[1]BID 1'!N10</f>
        <v>98</v>
      </c>
      <c r="O8" s="92">
        <f>'[1]BID 1'!O10</f>
        <v>124</v>
      </c>
      <c r="P8" s="92">
        <f>'[1]BID 1'!P10</f>
        <v>100</v>
      </c>
      <c r="Q8" s="93">
        <f t="shared" ref="Q8:Q11" si="8">SUM(M8:P8)</f>
        <v>1115</v>
      </c>
      <c r="R8" s="92">
        <f>'[1]BID 1'!R10</f>
        <v>666</v>
      </c>
      <c r="S8" s="92">
        <f>'[1]BID 1'!S10</f>
        <v>86</v>
      </c>
      <c r="T8" s="92">
        <f>'[1]BID 1'!T10</f>
        <v>98</v>
      </c>
      <c r="U8" s="92">
        <f>'[1]BID 1'!U10</f>
        <v>30</v>
      </c>
      <c r="V8" s="93">
        <f t="shared" ref="V8:V11" si="9">SUM(R8:U8)</f>
        <v>880</v>
      </c>
      <c r="W8" s="95">
        <f t="shared" ref="W8:Z11" si="10">C8+H8+M8+R8</f>
        <v>2970</v>
      </c>
      <c r="X8" s="92">
        <f t="shared" si="10"/>
        <v>670</v>
      </c>
      <c r="Y8" s="92">
        <f t="shared" si="10"/>
        <v>535</v>
      </c>
      <c r="Z8" s="92">
        <f t="shared" si="10"/>
        <v>425</v>
      </c>
      <c r="AA8" s="94">
        <f t="shared" ref="AA8:AA11" si="11">SUM(W8:Z8)</f>
        <v>4600</v>
      </c>
      <c r="AB8" s="95">
        <f>G8</f>
        <v>1450</v>
      </c>
      <c r="AC8" s="92">
        <f>L8</f>
        <v>1155</v>
      </c>
      <c r="AD8" s="92">
        <f>Q8</f>
        <v>1115</v>
      </c>
      <c r="AE8" s="92">
        <f>V8</f>
        <v>880</v>
      </c>
      <c r="AF8" s="94">
        <f t="shared" ref="AF8:AF11" si="12">SUM(AB8:AE8)</f>
        <v>4600</v>
      </c>
    </row>
    <row r="9" spans="1:32" x14ac:dyDescent="0.3">
      <c r="A9" s="96" t="s">
        <v>168</v>
      </c>
      <c r="B9" s="97"/>
      <c r="C9" s="92">
        <f>'[1]BID 1'!C11</f>
        <v>130</v>
      </c>
      <c r="D9" s="92">
        <f>'[1]BID 1'!D11</f>
        <v>200</v>
      </c>
      <c r="E9" s="92">
        <f>'[1]BID 1'!E11</f>
        <v>65</v>
      </c>
      <c r="F9" s="92">
        <f>'[1]BID 1'!F11</f>
        <v>1904.9999999999995</v>
      </c>
      <c r="G9" s="93">
        <f t="shared" si="6"/>
        <v>2299.9999999999995</v>
      </c>
      <c r="H9" s="92">
        <f>'[1]BID 1'!H11</f>
        <v>78</v>
      </c>
      <c r="I9" s="92">
        <f>'[1]BID 1'!I11</f>
        <v>500</v>
      </c>
      <c r="J9" s="92">
        <f>'[1]BID 1'!J11</f>
        <v>39</v>
      </c>
      <c r="K9" s="92">
        <f>'[1]BID 1'!K11</f>
        <v>2663</v>
      </c>
      <c r="L9" s="93">
        <f t="shared" si="7"/>
        <v>3280</v>
      </c>
      <c r="M9" s="92">
        <f>'[1]BID 1'!M11</f>
        <v>26</v>
      </c>
      <c r="N9" s="92">
        <f>'[1]BID 1'!N11</f>
        <v>300</v>
      </c>
      <c r="O9" s="92">
        <f>'[1]BID 1'!O11</f>
        <v>13</v>
      </c>
      <c r="P9" s="92">
        <f>'[1]BID 1'!P11</f>
        <v>1421</v>
      </c>
      <c r="Q9" s="93">
        <f t="shared" si="8"/>
        <v>1760</v>
      </c>
      <c r="R9" s="92">
        <f>'[1]BID 1'!R11</f>
        <v>26</v>
      </c>
      <c r="S9" s="92">
        <f>'[1]BID 1'!S11</f>
        <v>0</v>
      </c>
      <c r="T9" s="92">
        <f>'[1]BID 1'!T11</f>
        <v>13</v>
      </c>
      <c r="U9" s="92">
        <f>'[1]BID 1'!U11</f>
        <v>221</v>
      </c>
      <c r="V9" s="93">
        <f t="shared" si="9"/>
        <v>260</v>
      </c>
      <c r="W9" s="95">
        <f t="shared" si="10"/>
        <v>260</v>
      </c>
      <c r="X9" s="98">
        <f t="shared" si="10"/>
        <v>1000</v>
      </c>
      <c r="Y9" s="92">
        <f t="shared" si="10"/>
        <v>130</v>
      </c>
      <c r="Z9" s="92">
        <f t="shared" si="10"/>
        <v>6210</v>
      </c>
      <c r="AA9" s="94">
        <f t="shared" si="11"/>
        <v>7600</v>
      </c>
      <c r="AB9" s="95">
        <f>G9</f>
        <v>2299.9999999999995</v>
      </c>
      <c r="AC9" s="98">
        <f>L9</f>
        <v>3280</v>
      </c>
      <c r="AD9" s="92">
        <f>Q9</f>
        <v>1760</v>
      </c>
      <c r="AE9" s="92">
        <f>V9</f>
        <v>260</v>
      </c>
      <c r="AF9" s="94">
        <f t="shared" si="12"/>
        <v>7600</v>
      </c>
    </row>
    <row r="10" spans="1:32" x14ac:dyDescent="0.3">
      <c r="A10" s="96" t="s">
        <v>169</v>
      </c>
      <c r="B10" s="97"/>
      <c r="C10" s="92">
        <f>'[1]BID 1'!C12</f>
        <v>120</v>
      </c>
      <c r="D10" s="92">
        <f>'[1]BID 1'!D12</f>
        <v>120</v>
      </c>
      <c r="E10" s="92">
        <f>'[1]BID 1'!E12</f>
        <v>60</v>
      </c>
      <c r="F10" s="98">
        <f>'[1]BID 1'!F12</f>
        <v>0</v>
      </c>
      <c r="G10" s="93">
        <f t="shared" si="6"/>
        <v>300</v>
      </c>
      <c r="H10" s="92">
        <f>'[1]BID 1'!H12</f>
        <v>120</v>
      </c>
      <c r="I10" s="92">
        <f>'[1]BID 1'!I12</f>
        <v>120</v>
      </c>
      <c r="J10" s="92">
        <f>'[1]BID 1'!J12</f>
        <v>60</v>
      </c>
      <c r="K10" s="98">
        <f>'[1]BID 1'!K12</f>
        <v>0</v>
      </c>
      <c r="L10" s="93">
        <f t="shared" si="7"/>
        <v>300</v>
      </c>
      <c r="M10" s="92">
        <f>'[1]BID 1'!M12</f>
        <v>150</v>
      </c>
      <c r="N10" s="92">
        <f>'[1]BID 1'!N12</f>
        <v>0</v>
      </c>
      <c r="O10" s="92">
        <f>'[1]BID 1'!O12</f>
        <v>0</v>
      </c>
      <c r="P10" s="98">
        <f>'[1]BID 1'!P12</f>
        <v>0</v>
      </c>
      <c r="Q10" s="93">
        <f t="shared" si="8"/>
        <v>150</v>
      </c>
      <c r="R10" s="92">
        <f>'[1]BID 1'!R12</f>
        <v>100</v>
      </c>
      <c r="S10" s="92">
        <f>'[1]BID 1'!S12</f>
        <v>0</v>
      </c>
      <c r="T10" s="92">
        <f>'[1]BID 1'!T12</f>
        <v>0</v>
      </c>
      <c r="U10" s="98">
        <f>'[1]BID 1'!U12</f>
        <v>0</v>
      </c>
      <c r="V10" s="93">
        <f t="shared" si="9"/>
        <v>100</v>
      </c>
      <c r="W10" s="95">
        <f t="shared" si="10"/>
        <v>490</v>
      </c>
      <c r="X10" s="98">
        <f t="shared" si="10"/>
        <v>240</v>
      </c>
      <c r="Y10" s="98">
        <f t="shared" si="10"/>
        <v>120</v>
      </c>
      <c r="Z10" s="98">
        <f t="shared" si="10"/>
        <v>0</v>
      </c>
      <c r="AA10" s="94">
        <f t="shared" si="11"/>
        <v>850</v>
      </c>
      <c r="AB10" s="95">
        <f>G10</f>
        <v>300</v>
      </c>
      <c r="AC10" s="98">
        <f>L10</f>
        <v>300</v>
      </c>
      <c r="AD10" s="98">
        <f>Q10</f>
        <v>150</v>
      </c>
      <c r="AE10" s="98">
        <f>V10</f>
        <v>100</v>
      </c>
      <c r="AF10" s="94">
        <f t="shared" si="12"/>
        <v>850</v>
      </c>
    </row>
    <row r="11" spans="1:32" x14ac:dyDescent="0.3">
      <c r="A11" s="99" t="s">
        <v>170</v>
      </c>
      <c r="B11" s="97"/>
      <c r="C11" s="92">
        <f>'[1]BID 1'!C13</f>
        <v>204</v>
      </c>
      <c r="D11" s="92">
        <f>'[1]BID 1'!D13</f>
        <v>108</v>
      </c>
      <c r="E11" s="92">
        <f>'[1]BID 1'!E13</f>
        <v>202</v>
      </c>
      <c r="F11" s="92">
        <f>'[1]BID 1'!F13</f>
        <v>446</v>
      </c>
      <c r="G11" s="93">
        <f t="shared" si="6"/>
        <v>960</v>
      </c>
      <c r="H11" s="92">
        <f>'[1]BID 1'!H13</f>
        <v>416</v>
      </c>
      <c r="I11" s="92">
        <f>'[1]BID 1'!I13</f>
        <v>232</v>
      </c>
      <c r="J11" s="92">
        <f>'[1]BID 1'!J13</f>
        <v>408</v>
      </c>
      <c r="K11" s="92">
        <f>'[1]BID 1'!K13</f>
        <v>784</v>
      </c>
      <c r="L11" s="93">
        <f t="shared" si="7"/>
        <v>1840</v>
      </c>
      <c r="M11" s="92">
        <f>'[1]BID 1'!M13</f>
        <v>172</v>
      </c>
      <c r="N11" s="92">
        <f>'[1]BID 1'!N13</f>
        <v>104</v>
      </c>
      <c r="O11" s="92">
        <f>'[1]BID 1'!O13</f>
        <v>186</v>
      </c>
      <c r="P11" s="92">
        <f>'[1]BID 1'!P13</f>
        <v>218</v>
      </c>
      <c r="Q11" s="93">
        <f t="shared" si="8"/>
        <v>680</v>
      </c>
      <c r="R11" s="92">
        <f>'[1]BID 1'!R13</f>
        <v>48</v>
      </c>
      <c r="S11" s="92">
        <f>'[1]BID 1'!S13</f>
        <v>36</v>
      </c>
      <c r="T11" s="92">
        <f>'[1]BID 1'!T13</f>
        <v>24</v>
      </c>
      <c r="U11" s="92">
        <f>'[1]BID 1'!U13</f>
        <v>12</v>
      </c>
      <c r="V11" s="93">
        <f t="shared" si="9"/>
        <v>120</v>
      </c>
      <c r="W11" s="95">
        <f t="shared" si="10"/>
        <v>840</v>
      </c>
      <c r="X11" s="92">
        <f t="shared" si="10"/>
        <v>480</v>
      </c>
      <c r="Y11" s="92">
        <f t="shared" si="10"/>
        <v>820</v>
      </c>
      <c r="Z11" s="92">
        <f t="shared" si="10"/>
        <v>1460</v>
      </c>
      <c r="AA11" s="94">
        <f t="shared" si="11"/>
        <v>3600</v>
      </c>
      <c r="AB11" s="95">
        <f>G11</f>
        <v>960</v>
      </c>
      <c r="AC11" s="92">
        <f>L11</f>
        <v>1840</v>
      </c>
      <c r="AD11" s="92">
        <f>Q11</f>
        <v>680</v>
      </c>
      <c r="AE11" s="92">
        <f>V11</f>
        <v>120</v>
      </c>
      <c r="AF11" s="94">
        <f t="shared" si="12"/>
        <v>3600</v>
      </c>
    </row>
    <row r="12" spans="1:32" ht="15" thickBot="1" x14ac:dyDescent="0.35">
      <c r="A12" s="100"/>
      <c r="B12" s="101"/>
      <c r="C12" s="102"/>
      <c r="D12" s="102"/>
      <c r="E12" s="102"/>
      <c r="F12" s="102"/>
      <c r="G12" s="103"/>
      <c r="H12" s="102"/>
      <c r="I12" s="102"/>
      <c r="J12" s="102"/>
      <c r="K12" s="102"/>
      <c r="L12" s="103"/>
      <c r="M12" s="102"/>
      <c r="N12" s="102"/>
      <c r="O12" s="102"/>
      <c r="P12" s="102"/>
      <c r="Q12" s="104"/>
      <c r="R12" s="102"/>
      <c r="S12" s="102"/>
      <c r="T12" s="102"/>
      <c r="U12" s="102"/>
      <c r="V12" s="103"/>
      <c r="W12" s="105"/>
      <c r="X12" s="102"/>
      <c r="Y12" s="102"/>
      <c r="Z12" s="102"/>
      <c r="AA12" s="104"/>
      <c r="AB12" s="105"/>
      <c r="AC12" s="102"/>
      <c r="AD12" s="102"/>
      <c r="AE12" s="102"/>
      <c r="AF12" s="104"/>
    </row>
    <row r="13" spans="1:32" ht="15" thickBot="1" x14ac:dyDescent="0.35">
      <c r="A13" s="86" t="s">
        <v>171</v>
      </c>
      <c r="B13" s="87"/>
      <c r="C13" s="106">
        <f>SUM(C15:C16)</f>
        <v>550</v>
      </c>
      <c r="D13" s="106">
        <f>SUM(D15:D16)</f>
        <v>396</v>
      </c>
      <c r="E13" s="106">
        <f>SUM(E15:E16)</f>
        <v>352.00000000000006</v>
      </c>
      <c r="F13" s="106">
        <f>SUM(F15:F16)</f>
        <v>902</v>
      </c>
      <c r="G13" s="107">
        <f>SUM(C13:F13)</f>
        <v>2200</v>
      </c>
      <c r="H13" s="106">
        <f t="shared" ref="H13:K13" si="13">SUM(H15:H16)</f>
        <v>1100</v>
      </c>
      <c r="I13" s="106">
        <f t="shared" si="13"/>
        <v>792</v>
      </c>
      <c r="J13" s="106">
        <f t="shared" si="13"/>
        <v>704</v>
      </c>
      <c r="K13" s="106">
        <f t="shared" si="13"/>
        <v>1804.0000000000002</v>
      </c>
      <c r="L13" s="107">
        <f t="shared" ref="L13" si="14">SUM(H13:K13)</f>
        <v>4400</v>
      </c>
      <c r="M13" s="106">
        <f t="shared" ref="M13:P13" si="15">SUM(M15:M16)</f>
        <v>1650</v>
      </c>
      <c r="N13" s="106">
        <f t="shared" si="15"/>
        <v>1188</v>
      </c>
      <c r="O13" s="106">
        <f t="shared" si="15"/>
        <v>1055.9999999999998</v>
      </c>
      <c r="P13" s="106">
        <f t="shared" si="15"/>
        <v>2706.0000000000005</v>
      </c>
      <c r="Q13" s="107">
        <f t="shared" ref="Q13" si="16">SUM(M13:P13)</f>
        <v>6600</v>
      </c>
      <c r="R13" s="106">
        <f t="shared" ref="R13:U13" si="17">SUM(R15:R16)</f>
        <v>2200</v>
      </c>
      <c r="S13" s="106">
        <f t="shared" si="17"/>
        <v>1583.9999999999998</v>
      </c>
      <c r="T13" s="106">
        <f t="shared" si="17"/>
        <v>1158</v>
      </c>
      <c r="U13" s="106">
        <f t="shared" si="17"/>
        <v>3608.0000000000005</v>
      </c>
      <c r="V13" s="107">
        <f t="shared" ref="V13" si="18">SUM(R13:U13)</f>
        <v>8550</v>
      </c>
      <c r="W13" s="106">
        <f t="shared" ref="W13:Z13" si="19">SUM(W15:W16)</f>
        <v>5500</v>
      </c>
      <c r="X13" s="106">
        <f t="shared" si="19"/>
        <v>3960</v>
      </c>
      <c r="Y13" s="106">
        <f t="shared" si="19"/>
        <v>3270</v>
      </c>
      <c r="Z13" s="106">
        <f t="shared" si="19"/>
        <v>9020</v>
      </c>
      <c r="AA13" s="107">
        <f t="shared" ref="AA13" si="20">SUM(W13:Z13)</f>
        <v>21750</v>
      </c>
      <c r="AB13" s="106">
        <f t="shared" ref="AB13:AE13" si="21">SUM(AB15:AB16)</f>
        <v>2200</v>
      </c>
      <c r="AC13" s="106">
        <f t="shared" si="21"/>
        <v>4400</v>
      </c>
      <c r="AD13" s="106">
        <f t="shared" si="21"/>
        <v>6600</v>
      </c>
      <c r="AE13" s="106">
        <f t="shared" si="21"/>
        <v>8550</v>
      </c>
      <c r="AF13" s="107">
        <f t="shared" ref="AF13" si="22">SUM(AB13:AE13)</f>
        <v>21750</v>
      </c>
    </row>
    <row r="14" spans="1:32" x14ac:dyDescent="0.3">
      <c r="A14" s="90"/>
      <c r="B14" s="91"/>
      <c r="C14" s="92"/>
      <c r="D14" s="92"/>
      <c r="E14" s="92"/>
      <c r="F14" s="92"/>
      <c r="G14" s="93"/>
      <c r="H14" s="92"/>
      <c r="I14" s="92"/>
      <c r="J14" s="92"/>
      <c r="K14" s="92"/>
      <c r="L14" s="93"/>
      <c r="M14" s="92"/>
      <c r="N14" s="92"/>
      <c r="O14" s="92"/>
      <c r="P14" s="92"/>
      <c r="Q14" s="94"/>
      <c r="R14" s="92"/>
      <c r="S14" s="92"/>
      <c r="T14" s="92"/>
      <c r="U14" s="92"/>
      <c r="V14" s="93"/>
      <c r="W14" s="95"/>
      <c r="X14" s="92"/>
      <c r="Y14" s="92"/>
      <c r="Z14" s="92"/>
      <c r="AA14" s="94"/>
      <c r="AB14" s="95"/>
      <c r="AC14" s="92"/>
      <c r="AD14" s="92"/>
      <c r="AE14" s="92"/>
      <c r="AF14" s="94"/>
    </row>
    <row r="15" spans="1:32" x14ac:dyDescent="0.3">
      <c r="A15" s="96" t="s">
        <v>172</v>
      </c>
      <c r="B15" s="108"/>
      <c r="C15" s="92">
        <f>'[2]BID 2'!C10</f>
        <v>385</v>
      </c>
      <c r="D15" s="92">
        <f>'[2]BID 2'!D10</f>
        <v>396</v>
      </c>
      <c r="E15" s="92">
        <f>'[2]BID 2'!E10</f>
        <v>112.00000000000001</v>
      </c>
      <c r="F15" s="92">
        <f>'[2]BID 2'!F10</f>
        <v>19.999999999999996</v>
      </c>
      <c r="G15" s="93">
        <f t="shared" ref="G15:G16" si="23">SUM(C15:F15)</f>
        <v>913</v>
      </c>
      <c r="H15" s="92">
        <f>'[2]BID 2'!H10</f>
        <v>750</v>
      </c>
      <c r="I15" s="92">
        <f>'[2]BID 2'!I10</f>
        <v>792</v>
      </c>
      <c r="J15" s="92">
        <f>'[2]BID 2'!J10</f>
        <v>0</v>
      </c>
      <c r="K15" s="92">
        <f>'[2]BID 2'!K10</f>
        <v>0</v>
      </c>
      <c r="L15" s="93">
        <f t="shared" ref="L15:L16" si="24">SUM(H15:K15)</f>
        <v>1542</v>
      </c>
      <c r="M15" s="92">
        <f>'[2]BID 2'!M10</f>
        <v>950</v>
      </c>
      <c r="N15" s="92">
        <f>'[2]BID 2'!N10</f>
        <v>594</v>
      </c>
      <c r="O15" s="92">
        <f>'[2]BID 2'!O10</f>
        <v>1055.9999999999998</v>
      </c>
      <c r="P15" s="92">
        <f>'[2]BID 2'!P10</f>
        <v>0</v>
      </c>
      <c r="Q15" s="93">
        <f t="shared" ref="Q15:Q16" si="25">SUM(M15:P15)</f>
        <v>2600</v>
      </c>
      <c r="R15" s="92">
        <f>'[2]BID 2'!R10</f>
        <v>1500</v>
      </c>
      <c r="S15" s="92">
        <f>'[2]BID 2'!S10</f>
        <v>1055.9999999999998</v>
      </c>
      <c r="T15" s="92">
        <f>'[2]BID 2'!T10</f>
        <v>1158</v>
      </c>
      <c r="U15" s="92">
        <f>'[2]BID 2'!U10</f>
        <v>0</v>
      </c>
      <c r="V15" s="93">
        <f t="shared" ref="V15:V16" si="26">SUM(R15:U15)</f>
        <v>3714</v>
      </c>
      <c r="W15" s="95">
        <f t="shared" ref="W15:Z16" si="27">C15+H15+M15+R15</f>
        <v>3585</v>
      </c>
      <c r="X15" s="92">
        <f t="shared" si="27"/>
        <v>2838</v>
      </c>
      <c r="Y15" s="92">
        <f t="shared" si="27"/>
        <v>2326</v>
      </c>
      <c r="Z15" s="92">
        <f t="shared" si="27"/>
        <v>19.999999999999996</v>
      </c>
      <c r="AA15" s="94">
        <f t="shared" ref="AA15:AA16" si="28">SUM(W15:Z15)</f>
        <v>8769</v>
      </c>
      <c r="AB15" s="95">
        <f>G15</f>
        <v>913</v>
      </c>
      <c r="AC15" s="92">
        <f>L15</f>
        <v>1542</v>
      </c>
      <c r="AD15" s="92">
        <f>Q15</f>
        <v>2600</v>
      </c>
      <c r="AE15" s="92">
        <f>V15</f>
        <v>3714</v>
      </c>
      <c r="AF15" s="94">
        <f t="shared" ref="AF15:AF16" si="29">SUM(AB15:AE15)</f>
        <v>8769</v>
      </c>
    </row>
    <row r="16" spans="1:32" x14ac:dyDescent="0.3">
      <c r="A16" s="96" t="s">
        <v>173</v>
      </c>
      <c r="B16" s="97"/>
      <c r="C16" s="92">
        <f>'[2]BID 2'!C11</f>
        <v>165.00000000000003</v>
      </c>
      <c r="D16" s="92">
        <f>'[2]BID 2'!D11</f>
        <v>0</v>
      </c>
      <c r="E16" s="92">
        <f>'[2]BID 2'!E11</f>
        <v>240.00000000000003</v>
      </c>
      <c r="F16" s="92">
        <f>'[2]BID 2'!F11</f>
        <v>882</v>
      </c>
      <c r="G16" s="93">
        <f t="shared" si="23"/>
        <v>1287</v>
      </c>
      <c r="H16" s="92">
        <f>'[2]BID 2'!H11</f>
        <v>350</v>
      </c>
      <c r="I16" s="92">
        <f>'[2]BID 2'!I11</f>
        <v>0</v>
      </c>
      <c r="J16" s="92">
        <f>'[2]BID 2'!J11</f>
        <v>704</v>
      </c>
      <c r="K16" s="92">
        <f>'[2]BID 2'!K11</f>
        <v>1804.0000000000002</v>
      </c>
      <c r="L16" s="93">
        <f t="shared" si="24"/>
        <v>2858</v>
      </c>
      <c r="M16" s="92">
        <f>'[2]BID 2'!M11</f>
        <v>700</v>
      </c>
      <c r="N16" s="92">
        <f>'[2]BID 2'!N11</f>
        <v>594</v>
      </c>
      <c r="O16" s="92">
        <f>'[2]BID 2'!O11</f>
        <v>0</v>
      </c>
      <c r="P16" s="92">
        <f>'[2]BID 2'!P11</f>
        <v>2706.0000000000005</v>
      </c>
      <c r="Q16" s="93">
        <f t="shared" si="25"/>
        <v>4000.0000000000005</v>
      </c>
      <c r="R16" s="92">
        <f>'[2]BID 2'!R11</f>
        <v>700</v>
      </c>
      <c r="S16" s="92">
        <f>'[2]BID 2'!S11</f>
        <v>528</v>
      </c>
      <c r="T16" s="92">
        <f>'[2]BID 2'!T11</f>
        <v>0</v>
      </c>
      <c r="U16" s="92">
        <f>'[2]BID 2'!U11</f>
        <v>3608.0000000000005</v>
      </c>
      <c r="V16" s="93">
        <f t="shared" si="26"/>
        <v>4836</v>
      </c>
      <c r="W16" s="95">
        <f t="shared" si="27"/>
        <v>1915</v>
      </c>
      <c r="X16" s="92">
        <f t="shared" si="27"/>
        <v>1122</v>
      </c>
      <c r="Y16" s="92">
        <f t="shared" si="27"/>
        <v>944</v>
      </c>
      <c r="Z16" s="92">
        <f t="shared" si="27"/>
        <v>9000</v>
      </c>
      <c r="AA16" s="94">
        <f t="shared" si="28"/>
        <v>12981</v>
      </c>
      <c r="AB16" s="95">
        <f>G16</f>
        <v>1287</v>
      </c>
      <c r="AC16" s="92">
        <f>L16</f>
        <v>2858</v>
      </c>
      <c r="AD16" s="92">
        <f>Q16</f>
        <v>4000.0000000000005</v>
      </c>
      <c r="AE16" s="92">
        <f>V16</f>
        <v>4836</v>
      </c>
      <c r="AF16" s="94">
        <f t="shared" si="29"/>
        <v>12981</v>
      </c>
    </row>
    <row r="17" spans="1:32" ht="15" thickBot="1" x14ac:dyDescent="0.35">
      <c r="A17" s="100"/>
      <c r="B17" s="101"/>
      <c r="C17" s="102"/>
      <c r="D17" s="102"/>
      <c r="E17" s="102"/>
      <c r="F17" s="102"/>
      <c r="G17" s="103"/>
      <c r="H17" s="102"/>
      <c r="I17" s="102"/>
      <c r="J17" s="102"/>
      <c r="K17" s="102"/>
      <c r="L17" s="103"/>
      <c r="M17" s="102"/>
      <c r="N17" s="102"/>
      <c r="O17" s="102"/>
      <c r="P17" s="102"/>
      <c r="Q17" s="104"/>
      <c r="R17" s="102"/>
      <c r="S17" s="102"/>
      <c r="T17" s="102"/>
      <c r="U17" s="102"/>
      <c r="V17" s="103"/>
      <c r="W17" s="105"/>
      <c r="X17" s="102"/>
      <c r="Y17" s="102"/>
      <c r="Z17" s="102"/>
      <c r="AA17" s="104"/>
      <c r="AB17" s="105"/>
      <c r="AC17" s="102"/>
      <c r="AD17" s="102"/>
      <c r="AE17" s="102"/>
      <c r="AF17" s="104"/>
    </row>
    <row r="18" spans="1:32" ht="15" thickBot="1" x14ac:dyDescent="0.35">
      <c r="A18" s="86" t="s">
        <v>174</v>
      </c>
      <c r="B18" s="87"/>
      <c r="C18" s="109">
        <f>SUM(C20:C22)</f>
        <v>1324</v>
      </c>
      <c r="D18" s="109">
        <f t="shared" ref="D18:F18" si="30">SUM(D20:D22)</f>
        <v>480.5</v>
      </c>
      <c r="E18" s="109">
        <f t="shared" si="30"/>
        <v>412</v>
      </c>
      <c r="F18" s="109">
        <f t="shared" si="30"/>
        <v>468.5</v>
      </c>
      <c r="G18" s="110">
        <f>SUM(C18:F18)</f>
        <v>2685</v>
      </c>
      <c r="H18" s="109">
        <f t="shared" ref="H18:AE18" si="31">SUM(H20:H22)</f>
        <v>3196</v>
      </c>
      <c r="I18" s="109">
        <f t="shared" si="31"/>
        <v>1434.5</v>
      </c>
      <c r="J18" s="109">
        <f t="shared" si="31"/>
        <v>1348</v>
      </c>
      <c r="K18" s="109">
        <f t="shared" si="31"/>
        <v>1386.5</v>
      </c>
      <c r="L18" s="110">
        <f t="shared" ref="L18" si="32">SUM(H18:K18)</f>
        <v>7365</v>
      </c>
      <c r="M18" s="109">
        <f t="shared" ref="M18" si="33">SUM(M20:M22)</f>
        <v>972</v>
      </c>
      <c r="N18" s="109">
        <f t="shared" si="31"/>
        <v>316.5</v>
      </c>
      <c r="O18" s="109">
        <f t="shared" si="31"/>
        <v>236</v>
      </c>
      <c r="P18" s="109">
        <f t="shared" si="31"/>
        <v>280.5</v>
      </c>
      <c r="Q18" s="110">
        <f t="shared" ref="Q18" si="34">SUM(M18:P18)</f>
        <v>1805</v>
      </c>
      <c r="R18" s="109">
        <f t="shared" ref="R18" si="35">SUM(R20:R22)</f>
        <v>748</v>
      </c>
      <c r="S18" s="109">
        <f t="shared" si="31"/>
        <v>198.5</v>
      </c>
      <c r="T18" s="109">
        <f t="shared" si="31"/>
        <v>124</v>
      </c>
      <c r="U18" s="109">
        <f t="shared" si="31"/>
        <v>174.5</v>
      </c>
      <c r="V18" s="110">
        <f t="shared" ref="V18" si="36">SUM(R18:U18)</f>
        <v>1245</v>
      </c>
      <c r="W18" s="109">
        <f t="shared" ref="W18" si="37">SUM(W20:W22)</f>
        <v>6240</v>
      </c>
      <c r="X18" s="109">
        <f t="shared" si="31"/>
        <v>2430</v>
      </c>
      <c r="Y18" s="109">
        <f t="shared" si="31"/>
        <v>2120</v>
      </c>
      <c r="Z18" s="109">
        <f t="shared" si="31"/>
        <v>2310</v>
      </c>
      <c r="AA18" s="110">
        <f t="shared" ref="AA18" si="38">SUM(W18:Z18)</f>
        <v>13100</v>
      </c>
      <c r="AB18" s="109">
        <f t="shared" ref="AB18" si="39">SUM(AB20:AB22)</f>
        <v>2685</v>
      </c>
      <c r="AC18" s="109">
        <f t="shared" si="31"/>
        <v>7365</v>
      </c>
      <c r="AD18" s="109">
        <f t="shared" si="31"/>
        <v>1805</v>
      </c>
      <c r="AE18" s="109">
        <f t="shared" si="31"/>
        <v>1245</v>
      </c>
      <c r="AF18" s="110">
        <f t="shared" ref="AF18" si="40">SUM(AB18:AE18)</f>
        <v>13100</v>
      </c>
    </row>
    <row r="19" spans="1:32" x14ac:dyDescent="0.3">
      <c r="A19" s="90"/>
      <c r="B19" s="91"/>
      <c r="C19" s="92"/>
      <c r="D19" s="92"/>
      <c r="E19" s="92"/>
      <c r="F19" s="92"/>
      <c r="G19" s="93"/>
      <c r="H19" s="92"/>
      <c r="I19" s="92"/>
      <c r="J19" s="92"/>
      <c r="K19" s="92"/>
      <c r="L19" s="93"/>
      <c r="M19" s="92"/>
      <c r="N19" s="92"/>
      <c r="O19" s="92"/>
      <c r="P19" s="92"/>
      <c r="Q19" s="94"/>
      <c r="R19" s="92"/>
      <c r="S19" s="92"/>
      <c r="T19" s="92"/>
      <c r="U19" s="92"/>
      <c r="V19" s="93"/>
      <c r="W19" s="95"/>
      <c r="X19" s="92"/>
      <c r="Y19" s="92"/>
      <c r="Z19" s="92"/>
      <c r="AA19" s="94"/>
      <c r="AB19" s="95"/>
      <c r="AC19" s="92"/>
      <c r="AD19" s="92"/>
      <c r="AE19" s="92"/>
      <c r="AF19" s="94"/>
    </row>
    <row r="20" spans="1:32" x14ac:dyDescent="0.3">
      <c r="A20" s="96" t="s">
        <v>175</v>
      </c>
      <c r="B20" s="97"/>
      <c r="C20" s="92">
        <f>'[3]BID 3'!C10</f>
        <v>24</v>
      </c>
      <c r="D20" s="92">
        <f>'[3]BID 3'!D10</f>
        <v>18</v>
      </c>
      <c r="E20" s="92">
        <f>'[3]BID 3'!E10</f>
        <v>12</v>
      </c>
      <c r="F20" s="92">
        <f>'[3]BID 3'!F10</f>
        <v>6</v>
      </c>
      <c r="G20" s="93">
        <f t="shared" ref="G20:G22" si="41">SUM(C20:F20)</f>
        <v>60</v>
      </c>
      <c r="H20" s="92">
        <f>'[3]BID 3'!H10</f>
        <v>96</v>
      </c>
      <c r="I20" s="92">
        <f>'[3]BID 3'!I10</f>
        <v>72</v>
      </c>
      <c r="J20" s="92">
        <f>'[3]BID 3'!J10</f>
        <v>48</v>
      </c>
      <c r="K20" s="92">
        <f>'[3]BID 3'!K10</f>
        <v>24</v>
      </c>
      <c r="L20" s="93">
        <f t="shared" ref="L20:L22" si="42">SUM(H20:K20)</f>
        <v>240</v>
      </c>
      <c r="M20" s="92">
        <f>'[3]BID 3'!M10</f>
        <v>72</v>
      </c>
      <c r="N20" s="92">
        <f>'[3]BID 3'!N10</f>
        <v>54</v>
      </c>
      <c r="O20" s="92">
        <f>'[3]BID 3'!O10</f>
        <v>36</v>
      </c>
      <c r="P20" s="92">
        <f>'[3]BID 3'!P10</f>
        <v>18</v>
      </c>
      <c r="Q20" s="93">
        <f t="shared" ref="Q20:Q22" si="43">SUM(M20:P20)</f>
        <v>180</v>
      </c>
      <c r="R20" s="92">
        <f>'[3]BID 3'!R10</f>
        <v>48</v>
      </c>
      <c r="S20" s="92">
        <f>'[3]BID 3'!S10</f>
        <v>36</v>
      </c>
      <c r="T20" s="92">
        <f>'[3]BID 3'!T10</f>
        <v>24</v>
      </c>
      <c r="U20" s="92">
        <f>'[3]BID 3'!U10</f>
        <v>12</v>
      </c>
      <c r="V20" s="93">
        <f t="shared" ref="V20:V22" si="44">SUM(R20:U20)</f>
        <v>120</v>
      </c>
      <c r="W20" s="95">
        <f t="shared" ref="W20:Z22" si="45">C20+H20+M20+R20</f>
        <v>240</v>
      </c>
      <c r="X20" s="111">
        <f t="shared" si="45"/>
        <v>180</v>
      </c>
      <c r="Y20" s="111">
        <f t="shared" si="45"/>
        <v>120</v>
      </c>
      <c r="Z20" s="111">
        <f t="shared" si="45"/>
        <v>60</v>
      </c>
      <c r="AA20" s="94">
        <f t="shared" ref="AA20:AA22" si="46">SUM(W20:Z20)</f>
        <v>600</v>
      </c>
      <c r="AB20" s="95">
        <f>G20</f>
        <v>60</v>
      </c>
      <c r="AC20" s="111">
        <f>L20</f>
        <v>240</v>
      </c>
      <c r="AD20" s="111">
        <f>Q20</f>
        <v>180</v>
      </c>
      <c r="AE20" s="111">
        <f>V20</f>
        <v>120</v>
      </c>
      <c r="AF20" s="94">
        <f t="shared" ref="AF20:AF22" si="47">SUM(AB20:AE20)</f>
        <v>600</v>
      </c>
    </row>
    <row r="21" spans="1:32" x14ac:dyDescent="0.3">
      <c r="A21" s="96" t="s">
        <v>176</v>
      </c>
      <c r="B21" s="97"/>
      <c r="C21" s="92">
        <f>'[3]BID 3'!C11</f>
        <v>800</v>
      </c>
      <c r="D21" s="92">
        <f>'[3]BID 3'!D11</f>
        <v>400</v>
      </c>
      <c r="E21" s="92">
        <f>'[3]BID 3'!E11</f>
        <v>400</v>
      </c>
      <c r="F21" s="92">
        <f>'[3]BID 3'!F11</f>
        <v>400</v>
      </c>
      <c r="G21" s="93">
        <f t="shared" si="41"/>
        <v>2000</v>
      </c>
      <c r="H21" s="92">
        <f>'[3]BID 3'!H11</f>
        <v>2600</v>
      </c>
      <c r="I21" s="92">
        <f>'[3]BID 3'!I11</f>
        <v>1300</v>
      </c>
      <c r="J21" s="92">
        <f>'[3]BID 3'!J11</f>
        <v>1300</v>
      </c>
      <c r="K21" s="92">
        <f>'[3]BID 3'!K11</f>
        <v>1300</v>
      </c>
      <c r="L21" s="93">
        <f t="shared" si="42"/>
        <v>6500</v>
      </c>
      <c r="M21" s="92">
        <f>'[3]BID 3'!M11</f>
        <v>400</v>
      </c>
      <c r="N21" s="92">
        <f>'[3]BID 3'!N11</f>
        <v>200</v>
      </c>
      <c r="O21" s="92">
        <f>'[3]BID 3'!O11</f>
        <v>200</v>
      </c>
      <c r="P21" s="92">
        <f>'[3]BID 3'!P11</f>
        <v>200</v>
      </c>
      <c r="Q21" s="93">
        <f t="shared" si="43"/>
        <v>1000</v>
      </c>
      <c r="R21" s="92">
        <f>'[3]BID 3'!R11</f>
        <v>200</v>
      </c>
      <c r="S21" s="92">
        <f>'[3]BID 3'!S11</f>
        <v>100</v>
      </c>
      <c r="T21" s="92">
        <f>'[3]BID 3'!T11</f>
        <v>100</v>
      </c>
      <c r="U21" s="92">
        <f>'[3]BID 3'!U11</f>
        <v>100</v>
      </c>
      <c r="V21" s="93">
        <f t="shared" si="44"/>
        <v>500</v>
      </c>
      <c r="W21" s="95">
        <f t="shared" si="45"/>
        <v>4000</v>
      </c>
      <c r="X21" s="92">
        <f t="shared" si="45"/>
        <v>2000</v>
      </c>
      <c r="Y21" s="92">
        <f t="shared" si="45"/>
        <v>2000</v>
      </c>
      <c r="Z21" s="92">
        <f t="shared" si="45"/>
        <v>2000</v>
      </c>
      <c r="AA21" s="94">
        <f t="shared" si="46"/>
        <v>10000</v>
      </c>
      <c r="AB21" s="95">
        <f>G21</f>
        <v>2000</v>
      </c>
      <c r="AC21" s="92">
        <f>L21</f>
        <v>6500</v>
      </c>
      <c r="AD21" s="92">
        <f>Q21</f>
        <v>1000</v>
      </c>
      <c r="AE21" s="92">
        <f>V21</f>
        <v>500</v>
      </c>
      <c r="AF21" s="94">
        <f t="shared" si="47"/>
        <v>10000</v>
      </c>
    </row>
    <row r="22" spans="1:32" x14ac:dyDescent="0.3">
      <c r="A22" s="99" t="s">
        <v>177</v>
      </c>
      <c r="B22" s="97"/>
      <c r="C22" s="92">
        <f>'[3]BID 3'!C12</f>
        <v>500</v>
      </c>
      <c r="D22" s="92">
        <f>'[3]BID 3'!D12</f>
        <v>62.5</v>
      </c>
      <c r="E22" s="92">
        <f>'[3]BID 3'!E12</f>
        <v>0</v>
      </c>
      <c r="F22" s="92">
        <f>'[3]BID 3'!F12</f>
        <v>62.5</v>
      </c>
      <c r="G22" s="93">
        <f t="shared" si="41"/>
        <v>625</v>
      </c>
      <c r="H22" s="92">
        <f>'[3]BID 3'!H12</f>
        <v>500</v>
      </c>
      <c r="I22" s="92">
        <f>'[3]BID 3'!I12</f>
        <v>62.5</v>
      </c>
      <c r="J22" s="92">
        <f>'[3]BID 3'!J12</f>
        <v>0</v>
      </c>
      <c r="K22" s="92">
        <f>'[3]BID 3'!K12</f>
        <v>62.5</v>
      </c>
      <c r="L22" s="93">
        <f t="shared" si="42"/>
        <v>625</v>
      </c>
      <c r="M22" s="92">
        <f>'[3]BID 3'!M12</f>
        <v>500</v>
      </c>
      <c r="N22" s="92">
        <f>'[3]BID 3'!N12</f>
        <v>62.5</v>
      </c>
      <c r="O22" s="92">
        <f>'[3]BID 3'!O12</f>
        <v>0</v>
      </c>
      <c r="P22" s="92">
        <f>'[3]BID 3'!P12</f>
        <v>62.5</v>
      </c>
      <c r="Q22" s="93">
        <f t="shared" si="43"/>
        <v>625</v>
      </c>
      <c r="R22" s="92">
        <f>'[3]BID 3'!R12</f>
        <v>500</v>
      </c>
      <c r="S22" s="92">
        <f>'[3]BID 3'!S12</f>
        <v>62.5</v>
      </c>
      <c r="T22" s="92">
        <f>'[3]BID 3'!T12</f>
        <v>0</v>
      </c>
      <c r="U22" s="92">
        <f>'[3]BID 3'!U12</f>
        <v>62.5</v>
      </c>
      <c r="V22" s="93">
        <f t="shared" si="44"/>
        <v>625</v>
      </c>
      <c r="W22" s="95">
        <f t="shared" si="45"/>
        <v>2000</v>
      </c>
      <c r="X22" s="92">
        <f t="shared" si="45"/>
        <v>250</v>
      </c>
      <c r="Y22" s="98">
        <f t="shared" si="45"/>
        <v>0</v>
      </c>
      <c r="Z22" s="92">
        <f t="shared" si="45"/>
        <v>250</v>
      </c>
      <c r="AA22" s="94">
        <f t="shared" si="46"/>
        <v>2500</v>
      </c>
      <c r="AB22" s="95">
        <f>G22</f>
        <v>625</v>
      </c>
      <c r="AC22" s="92">
        <f>L22</f>
        <v>625</v>
      </c>
      <c r="AD22" s="98">
        <f>Q22</f>
        <v>625</v>
      </c>
      <c r="AE22" s="92">
        <f>V22</f>
        <v>625</v>
      </c>
      <c r="AF22" s="94">
        <f t="shared" si="47"/>
        <v>2500</v>
      </c>
    </row>
    <row r="23" spans="1:32" ht="15" thickBot="1" x14ac:dyDescent="0.35">
      <c r="A23" s="100"/>
      <c r="B23" s="101"/>
      <c r="C23" s="102"/>
      <c r="D23" s="102"/>
      <c r="E23" s="112"/>
      <c r="F23" s="102"/>
      <c r="G23" s="103"/>
      <c r="H23" s="102"/>
      <c r="I23" s="102"/>
      <c r="J23" s="112"/>
      <c r="K23" s="102"/>
      <c r="L23" s="103"/>
      <c r="M23" s="102"/>
      <c r="N23" s="102"/>
      <c r="O23" s="112"/>
      <c r="P23" s="102"/>
      <c r="Q23" s="104"/>
      <c r="R23" s="102"/>
      <c r="S23" s="102"/>
      <c r="T23" s="112"/>
      <c r="U23" s="102"/>
      <c r="V23" s="103"/>
      <c r="W23" s="105"/>
      <c r="X23" s="102"/>
      <c r="Y23" s="112"/>
      <c r="Z23" s="102"/>
      <c r="AA23" s="104"/>
      <c r="AB23" s="105"/>
      <c r="AC23" s="102"/>
      <c r="AD23" s="112"/>
      <c r="AE23" s="102"/>
      <c r="AF23" s="104"/>
    </row>
    <row r="24" spans="1:32" ht="15" thickBot="1" x14ac:dyDescent="0.35">
      <c r="A24" s="86" t="s">
        <v>178</v>
      </c>
      <c r="B24" s="113"/>
      <c r="C24" s="109">
        <f>C25</f>
        <v>735</v>
      </c>
      <c r="D24" s="109">
        <f t="shared" ref="D24:F24" si="48">D25</f>
        <v>210</v>
      </c>
      <c r="E24" s="109">
        <f t="shared" si="48"/>
        <v>0</v>
      </c>
      <c r="F24" s="109">
        <f t="shared" si="48"/>
        <v>105</v>
      </c>
      <c r="G24" s="109">
        <f t="shared" ref="G24:G25" si="49">SUM(C24:F24)</f>
        <v>1050</v>
      </c>
      <c r="H24" s="109">
        <f t="shared" ref="H24:K24" si="50">H25</f>
        <v>490</v>
      </c>
      <c r="I24" s="109">
        <f t="shared" si="50"/>
        <v>140</v>
      </c>
      <c r="J24" s="109">
        <f t="shared" si="50"/>
        <v>0</v>
      </c>
      <c r="K24" s="109">
        <f t="shared" si="50"/>
        <v>70</v>
      </c>
      <c r="L24" s="109">
        <f t="shared" ref="L24" si="51">SUM(H24:K24)</f>
        <v>700</v>
      </c>
      <c r="M24" s="109">
        <f t="shared" ref="M24:P24" si="52">M25</f>
        <v>490</v>
      </c>
      <c r="N24" s="109">
        <f t="shared" si="52"/>
        <v>140</v>
      </c>
      <c r="O24" s="109">
        <f t="shared" si="52"/>
        <v>0</v>
      </c>
      <c r="P24" s="109">
        <f t="shared" si="52"/>
        <v>70</v>
      </c>
      <c r="Q24" s="109">
        <f t="shared" ref="Q24" si="53">SUM(M24:P24)</f>
        <v>700</v>
      </c>
      <c r="R24" s="109">
        <f t="shared" ref="R24:U24" si="54">R25</f>
        <v>735</v>
      </c>
      <c r="S24" s="109">
        <f t="shared" si="54"/>
        <v>210</v>
      </c>
      <c r="T24" s="109">
        <f t="shared" si="54"/>
        <v>0</v>
      </c>
      <c r="U24" s="109">
        <f t="shared" si="54"/>
        <v>105</v>
      </c>
      <c r="V24" s="109">
        <f t="shared" ref="V24" si="55">SUM(R24:U24)</f>
        <v>1050</v>
      </c>
      <c r="W24" s="109">
        <f t="shared" ref="W24:Z24" si="56">W25</f>
        <v>2450</v>
      </c>
      <c r="X24" s="109">
        <f t="shared" si="56"/>
        <v>700</v>
      </c>
      <c r="Y24" s="109">
        <f t="shared" si="56"/>
        <v>0</v>
      </c>
      <c r="Z24" s="109">
        <f t="shared" si="56"/>
        <v>350</v>
      </c>
      <c r="AA24" s="109">
        <f t="shared" ref="AA24" si="57">SUM(W24:Z24)</f>
        <v>3500</v>
      </c>
      <c r="AB24" s="109">
        <f t="shared" ref="AB24:AE24" si="58">AB25</f>
        <v>1050</v>
      </c>
      <c r="AC24" s="109">
        <f t="shared" si="58"/>
        <v>700</v>
      </c>
      <c r="AD24" s="109">
        <f t="shared" si="58"/>
        <v>700</v>
      </c>
      <c r="AE24" s="109">
        <f t="shared" si="58"/>
        <v>1050</v>
      </c>
      <c r="AF24" s="109">
        <f t="shared" ref="AF24" si="59">SUM(AB24:AE24)</f>
        <v>3500</v>
      </c>
    </row>
    <row r="25" spans="1:32" ht="15" thickBot="1" x14ac:dyDescent="0.35">
      <c r="A25" s="114" t="s">
        <v>179</v>
      </c>
      <c r="B25" s="115"/>
      <c r="C25" s="105">
        <f>[4]Sheet1!C26/1000</f>
        <v>735</v>
      </c>
      <c r="D25" s="105">
        <f>[4]Sheet1!D26/1000</f>
        <v>210</v>
      </c>
      <c r="E25" s="116">
        <f>[4]Sheet1!E26/1000</f>
        <v>0</v>
      </c>
      <c r="F25" s="117">
        <f>[4]Sheet1!F26/1000</f>
        <v>105</v>
      </c>
      <c r="G25" s="103">
        <f t="shared" si="49"/>
        <v>1050</v>
      </c>
      <c r="H25" s="105">
        <f>[4]Sheet1!H26/1000</f>
        <v>490</v>
      </c>
      <c r="I25" s="105">
        <f>[4]Sheet1!I26/1000</f>
        <v>140</v>
      </c>
      <c r="J25" s="116">
        <f>[4]Sheet1!J26/1000</f>
        <v>0</v>
      </c>
      <c r="K25" s="117">
        <f>[4]Sheet1!K26/1000</f>
        <v>70</v>
      </c>
      <c r="L25" s="103">
        <f t="shared" ref="L25" si="60">SUM(H25:K25)</f>
        <v>700</v>
      </c>
      <c r="M25" s="105">
        <f>[4]Sheet1!M26/1000</f>
        <v>490</v>
      </c>
      <c r="N25" s="105">
        <f>[4]Sheet1!N26/1000</f>
        <v>140</v>
      </c>
      <c r="O25" s="116">
        <f>[4]Sheet1!O26/1000</f>
        <v>0</v>
      </c>
      <c r="P25" s="117">
        <f>[4]Sheet1!P26/1000</f>
        <v>70</v>
      </c>
      <c r="Q25" s="103">
        <f t="shared" ref="Q25" si="61">SUM(M25:P25)</f>
        <v>700</v>
      </c>
      <c r="R25" s="105">
        <f>[4]Sheet1!R26/1000</f>
        <v>735</v>
      </c>
      <c r="S25" s="105">
        <f>[4]Sheet1!S26/1000</f>
        <v>210</v>
      </c>
      <c r="T25" s="116">
        <f>[4]Sheet1!T26/1000</f>
        <v>0</v>
      </c>
      <c r="U25" s="117">
        <f>[4]Sheet1!U26/1000</f>
        <v>105</v>
      </c>
      <c r="V25" s="103">
        <f t="shared" ref="V25" si="62">SUM(R25:U25)</f>
        <v>1050</v>
      </c>
      <c r="W25" s="105">
        <f t="shared" ref="W25:Z25" si="63">C25+H25+M25+R25</f>
        <v>2450</v>
      </c>
      <c r="X25" s="105">
        <f t="shared" si="63"/>
        <v>700</v>
      </c>
      <c r="Y25" s="116">
        <f t="shared" si="63"/>
        <v>0</v>
      </c>
      <c r="Z25" s="117">
        <f t="shared" si="63"/>
        <v>350</v>
      </c>
      <c r="AA25" s="118">
        <f t="shared" ref="AA25" si="64">SUM(W25:Z25)</f>
        <v>3500</v>
      </c>
      <c r="AB25" s="105">
        <f>G25</f>
        <v>1050</v>
      </c>
      <c r="AC25" s="105">
        <f>L25</f>
        <v>700</v>
      </c>
      <c r="AD25" s="116">
        <f>Q25</f>
        <v>700</v>
      </c>
      <c r="AE25" s="117">
        <f>V25</f>
        <v>1050</v>
      </c>
      <c r="AF25" s="118">
        <f t="shared" ref="AF25" si="65">SUM(AB25:AE25)</f>
        <v>3500</v>
      </c>
    </row>
  </sheetData>
  <mergeCells count="5">
    <mergeCell ref="A2:B3"/>
    <mergeCell ref="C2:G2"/>
    <mergeCell ref="H2:L2"/>
    <mergeCell ref="M2:Q2"/>
    <mergeCell ref="A4:B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B37"/>
  <sheetViews>
    <sheetView zoomScale="70" zoomScaleNormal="70" workbookViewId="0">
      <selection activeCell="B7" sqref="B7"/>
    </sheetView>
  </sheetViews>
  <sheetFormatPr defaultColWidth="11.5546875" defaultRowHeight="14.4" x14ac:dyDescent="0.3"/>
  <cols>
    <col min="2" max="2" width="29.5546875" customWidth="1"/>
    <col min="3" max="3" width="23.109375" customWidth="1"/>
    <col min="4" max="4" width="12" customWidth="1"/>
    <col min="5" max="5" width="8.109375" customWidth="1"/>
    <col min="6" max="27" width="9.33203125" bestFit="1" customWidth="1"/>
  </cols>
  <sheetData>
    <row r="1" spans="1:28" x14ac:dyDescent="0.3">
      <c r="A1" t="s">
        <v>207</v>
      </c>
      <c r="B1" t="s">
        <v>208</v>
      </c>
      <c r="C1" t="s">
        <v>209</v>
      </c>
      <c r="D1" t="s">
        <v>210</v>
      </c>
      <c r="E1" t="s">
        <v>211</v>
      </c>
      <c r="F1">
        <v>2000</v>
      </c>
      <c r="G1">
        <v>2001</v>
      </c>
      <c r="H1">
        <v>2002</v>
      </c>
      <c r="I1">
        <v>2003</v>
      </c>
      <c r="J1">
        <v>2004</v>
      </c>
      <c r="K1">
        <v>2005</v>
      </c>
      <c r="L1">
        <v>2006</v>
      </c>
      <c r="M1">
        <v>2007</v>
      </c>
      <c r="N1">
        <v>2008</v>
      </c>
      <c r="O1">
        <v>2009</v>
      </c>
      <c r="P1">
        <v>2010</v>
      </c>
      <c r="Q1">
        <v>2011</v>
      </c>
      <c r="R1">
        <v>2012</v>
      </c>
      <c r="S1">
        <v>2013</v>
      </c>
      <c r="T1">
        <v>2014</v>
      </c>
      <c r="U1">
        <v>2015</v>
      </c>
      <c r="V1">
        <v>2016</v>
      </c>
      <c r="W1">
        <v>2017</v>
      </c>
      <c r="X1">
        <v>2018</v>
      </c>
      <c r="Y1">
        <v>2019</v>
      </c>
      <c r="Z1">
        <v>2020</v>
      </c>
      <c r="AA1">
        <v>2021</v>
      </c>
      <c r="AB1" t="s">
        <v>212</v>
      </c>
    </row>
    <row r="2" spans="1:28" x14ac:dyDescent="0.3">
      <c r="A2" t="s">
        <v>213</v>
      </c>
      <c r="B2" t="s">
        <v>214</v>
      </c>
      <c r="C2" t="s">
        <v>215</v>
      </c>
      <c r="E2" t="s">
        <v>216</v>
      </c>
      <c r="F2">
        <v>-0.78900000000000003</v>
      </c>
      <c r="G2">
        <v>-4.4089999999999998</v>
      </c>
      <c r="H2">
        <v>-10.895</v>
      </c>
      <c r="I2">
        <v>8.8369999999999997</v>
      </c>
      <c r="J2">
        <v>9.0299999999999994</v>
      </c>
      <c r="K2">
        <v>8.8520000000000003</v>
      </c>
      <c r="L2">
        <v>8.0470000000000006</v>
      </c>
      <c r="M2">
        <v>9.0079999999999991</v>
      </c>
      <c r="N2">
        <v>4.0570000000000004</v>
      </c>
      <c r="O2">
        <v>-5.9189999999999996</v>
      </c>
      <c r="P2">
        <v>10.125</v>
      </c>
      <c r="Q2">
        <v>6.0039999999999996</v>
      </c>
      <c r="R2">
        <v>-1.026</v>
      </c>
      <c r="S2">
        <v>2.4049999999999998</v>
      </c>
      <c r="T2">
        <v>-2.5129999999999999</v>
      </c>
      <c r="U2">
        <v>2.4590000000000001</v>
      </c>
      <c r="V2">
        <v>-1.7609999999999999</v>
      </c>
      <c r="W2">
        <v>2.7309999999999999</v>
      </c>
      <c r="X2">
        <v>2.7669999999999999</v>
      </c>
      <c r="Y2">
        <v>2.8969999999999998</v>
      </c>
      <c r="Z2">
        <v>3.12</v>
      </c>
      <c r="AA2">
        <v>3.2679999999999998</v>
      </c>
      <c r="AB2">
        <v>2014</v>
      </c>
    </row>
    <row r="3" spans="1:28" x14ac:dyDescent="0.3">
      <c r="A3" t="s">
        <v>213</v>
      </c>
      <c r="B3" t="s">
        <v>217</v>
      </c>
      <c r="C3" t="s">
        <v>218</v>
      </c>
      <c r="D3" t="s">
        <v>209</v>
      </c>
      <c r="E3" t="s">
        <v>219</v>
      </c>
      <c r="F3" s="145">
        <v>13048.013000000001</v>
      </c>
      <c r="G3" s="145">
        <v>12347.772000000001</v>
      </c>
      <c r="H3" s="145">
        <v>10897.112999999999</v>
      </c>
      <c r="I3" s="145">
        <v>11749.205</v>
      </c>
      <c r="J3" s="145">
        <v>12690.696</v>
      </c>
      <c r="K3" s="145">
        <v>13682.987999999999</v>
      </c>
      <c r="L3" s="145">
        <v>14640.504000000001</v>
      </c>
      <c r="M3" s="145">
        <v>15802.837</v>
      </c>
      <c r="N3" s="145">
        <v>16282.958000000001</v>
      </c>
      <c r="O3" s="145">
        <v>15170.838</v>
      </c>
      <c r="P3" s="145">
        <v>16439.056</v>
      </c>
      <c r="Q3" s="145">
        <v>17226.271000000001</v>
      </c>
      <c r="R3" s="145">
        <v>16856.718000000001</v>
      </c>
      <c r="S3" s="145">
        <v>17070.071</v>
      </c>
      <c r="T3" s="145">
        <v>16459.205000000002</v>
      </c>
      <c r="U3" s="145">
        <v>16683.187000000002</v>
      </c>
      <c r="V3" s="145">
        <v>16213.493</v>
      </c>
      <c r="W3" s="145">
        <v>16474.041000000001</v>
      </c>
      <c r="X3" s="145">
        <v>16742.044999999998</v>
      </c>
      <c r="Y3" s="145">
        <v>17033.875</v>
      </c>
      <c r="Z3" s="145">
        <v>17366.616000000002</v>
      </c>
      <c r="AA3" s="145">
        <v>17729.021000000001</v>
      </c>
      <c r="AB3">
        <v>2013</v>
      </c>
    </row>
    <row r="4" spans="1:28" x14ac:dyDescent="0.3">
      <c r="A4" t="s">
        <v>213</v>
      </c>
      <c r="B4" t="s">
        <v>229</v>
      </c>
      <c r="C4" t="s">
        <v>230</v>
      </c>
      <c r="D4" t="s">
        <v>209</v>
      </c>
      <c r="E4" t="s">
        <v>231</v>
      </c>
      <c r="F4" s="145">
        <v>8386.5859999999993</v>
      </c>
      <c r="G4" s="145">
        <v>7851.6570000000002</v>
      </c>
      <c r="H4" s="145">
        <v>2898.2890000000002</v>
      </c>
      <c r="I4" s="145">
        <v>3648.0610000000001</v>
      </c>
      <c r="J4" s="145">
        <v>4314.3959999999997</v>
      </c>
      <c r="K4" s="145">
        <v>5163.55</v>
      </c>
      <c r="L4" s="145">
        <v>5976.0820000000003</v>
      </c>
      <c r="M4" s="145">
        <v>7315.7259999999997</v>
      </c>
      <c r="N4" s="145">
        <v>9146.7900000000009</v>
      </c>
      <c r="O4" s="145">
        <v>8337.8109999999997</v>
      </c>
      <c r="P4" s="145">
        <v>10412.945</v>
      </c>
      <c r="Q4" s="145">
        <v>12787.806</v>
      </c>
      <c r="R4" s="145">
        <v>13889.791999999999</v>
      </c>
      <c r="S4" s="145">
        <v>14488.829</v>
      </c>
      <c r="T4" s="145">
        <v>13208.832</v>
      </c>
      <c r="U4" s="145">
        <v>14616.724</v>
      </c>
      <c r="V4" s="145">
        <v>12425.386</v>
      </c>
      <c r="W4" s="145">
        <v>13496.957</v>
      </c>
      <c r="X4" s="145">
        <v>14611.504999999999</v>
      </c>
      <c r="Y4" s="145">
        <v>15737.163</v>
      </c>
      <c r="Z4" s="145">
        <v>16962.221000000001</v>
      </c>
      <c r="AA4" s="145">
        <v>18226.217000000001</v>
      </c>
      <c r="AB4">
        <v>2013</v>
      </c>
    </row>
    <row r="5" spans="1:28" x14ac:dyDescent="0.3">
      <c r="A5" t="s">
        <v>213</v>
      </c>
      <c r="B5" t="s">
        <v>220</v>
      </c>
      <c r="C5" t="s">
        <v>221</v>
      </c>
      <c r="E5" t="s">
        <v>222</v>
      </c>
      <c r="F5">
        <v>15.797000000000001</v>
      </c>
      <c r="G5">
        <v>14.045999999999999</v>
      </c>
      <c r="H5">
        <v>10.305999999999999</v>
      </c>
      <c r="I5">
        <v>13.284000000000001</v>
      </c>
      <c r="J5">
        <v>17.550999999999998</v>
      </c>
      <c r="K5">
        <v>18.89</v>
      </c>
      <c r="L5">
        <v>18.68</v>
      </c>
      <c r="M5">
        <v>20.099</v>
      </c>
      <c r="N5">
        <v>19.573</v>
      </c>
      <c r="O5">
        <v>16.053000000000001</v>
      </c>
      <c r="P5">
        <v>17.706</v>
      </c>
      <c r="Q5">
        <v>18.398</v>
      </c>
      <c r="R5">
        <v>16.501999999999999</v>
      </c>
      <c r="S5">
        <v>17.306000000000001</v>
      </c>
      <c r="T5">
        <v>17.263000000000002</v>
      </c>
      <c r="U5">
        <v>16.818000000000001</v>
      </c>
      <c r="V5">
        <v>16.504000000000001</v>
      </c>
      <c r="W5">
        <v>17.074999999999999</v>
      </c>
      <c r="X5">
        <v>17.507999999999999</v>
      </c>
      <c r="Y5">
        <v>17.943000000000001</v>
      </c>
      <c r="Z5">
        <v>18.207999999999998</v>
      </c>
      <c r="AA5">
        <v>18.484999999999999</v>
      </c>
      <c r="AB5">
        <v>2014</v>
      </c>
    </row>
    <row r="6" spans="1:28" x14ac:dyDescent="0.3">
      <c r="A6" t="s">
        <v>213</v>
      </c>
      <c r="B6" t="s">
        <v>223</v>
      </c>
      <c r="C6" t="s">
        <v>224</v>
      </c>
      <c r="D6" t="s">
        <v>225</v>
      </c>
      <c r="E6" t="s">
        <v>226</v>
      </c>
      <c r="F6">
        <v>36.783999999999999</v>
      </c>
      <c r="G6">
        <v>37.155999999999999</v>
      </c>
      <c r="H6">
        <v>37.515999999999998</v>
      </c>
      <c r="I6">
        <v>37.869999999999997</v>
      </c>
      <c r="J6">
        <v>38.225999999999999</v>
      </c>
      <c r="K6">
        <v>38.591999999999999</v>
      </c>
      <c r="L6">
        <v>38.970999999999997</v>
      </c>
      <c r="M6">
        <v>39.356000000000002</v>
      </c>
      <c r="N6">
        <v>39.746000000000002</v>
      </c>
      <c r="O6">
        <v>40.134</v>
      </c>
      <c r="P6">
        <v>40.787999999999997</v>
      </c>
      <c r="Q6">
        <v>41.261000000000003</v>
      </c>
      <c r="R6">
        <v>41.732999999999997</v>
      </c>
      <c r="S6">
        <v>42.203000000000003</v>
      </c>
      <c r="T6">
        <v>42.67</v>
      </c>
      <c r="U6">
        <v>43.131999999999998</v>
      </c>
      <c r="V6">
        <v>43.6</v>
      </c>
      <c r="W6">
        <v>44.082000000000001</v>
      </c>
      <c r="X6">
        <v>44.576999999999998</v>
      </c>
      <c r="Y6">
        <v>45.082000000000001</v>
      </c>
      <c r="Z6">
        <v>45.597999999999999</v>
      </c>
      <c r="AA6">
        <v>46.125999999999998</v>
      </c>
      <c r="AB6">
        <v>2013</v>
      </c>
    </row>
    <row r="7" spans="1:28" x14ac:dyDescent="0.3">
      <c r="A7" t="s">
        <v>213</v>
      </c>
      <c r="B7" t="s">
        <v>227</v>
      </c>
      <c r="C7" t="s">
        <v>221</v>
      </c>
      <c r="E7" t="s">
        <v>228</v>
      </c>
      <c r="F7">
        <v>26.004000000000001</v>
      </c>
      <c r="G7">
        <v>27.216999999999999</v>
      </c>
      <c r="H7">
        <v>22.6</v>
      </c>
      <c r="I7">
        <v>22.709</v>
      </c>
      <c r="J7">
        <v>22.995999999999999</v>
      </c>
      <c r="K7">
        <v>24.414000000000001</v>
      </c>
      <c r="L7">
        <v>25.206</v>
      </c>
      <c r="M7">
        <v>28.100999999999999</v>
      </c>
      <c r="N7">
        <v>29.05</v>
      </c>
      <c r="O7">
        <v>32.622999999999998</v>
      </c>
      <c r="P7">
        <v>31.721</v>
      </c>
      <c r="Q7">
        <v>33.142000000000003</v>
      </c>
      <c r="R7">
        <v>34.86</v>
      </c>
      <c r="S7">
        <v>35.621000000000002</v>
      </c>
      <c r="T7">
        <v>36.43</v>
      </c>
      <c r="U7">
        <v>40.603999999999999</v>
      </c>
      <c r="V7">
        <v>39.581000000000003</v>
      </c>
      <c r="W7">
        <v>39.729999999999997</v>
      </c>
      <c r="X7">
        <v>38.773000000000003</v>
      </c>
      <c r="Y7">
        <v>37.444000000000003</v>
      </c>
      <c r="Z7">
        <v>36.146000000000001</v>
      </c>
      <c r="AA7">
        <v>35.847999999999999</v>
      </c>
      <c r="AB7">
        <v>2015</v>
      </c>
    </row>
    <row r="9" spans="1:28" x14ac:dyDescent="0.3">
      <c r="A9" t="s">
        <v>232</v>
      </c>
    </row>
    <row r="10" spans="1:28" x14ac:dyDescent="0.3">
      <c r="A10" s="57" t="s">
        <v>197</v>
      </c>
    </row>
    <row r="11" spans="1:28" s="147" customFormat="1" x14ac:dyDescent="0.3">
      <c r="A11" s="147" t="s">
        <v>234</v>
      </c>
    </row>
    <row r="12" spans="1:28" ht="15" thickBot="1" x14ac:dyDescent="0.35">
      <c r="A12" s="136"/>
      <c r="B12" s="136">
        <v>2000</v>
      </c>
      <c r="C12" s="136">
        <v>2001</v>
      </c>
      <c r="D12" s="136">
        <v>2002</v>
      </c>
      <c r="E12" s="136">
        <v>2003</v>
      </c>
      <c r="F12" s="136">
        <v>2004</v>
      </c>
      <c r="G12" s="136">
        <v>2005</v>
      </c>
      <c r="H12" s="136">
        <v>2006</v>
      </c>
      <c r="I12" s="136">
        <v>2007</v>
      </c>
      <c r="J12" s="136">
        <v>2008</v>
      </c>
      <c r="K12" s="136">
        <v>2009</v>
      </c>
      <c r="L12" s="136">
        <v>2010</v>
      </c>
      <c r="M12" s="136">
        <v>2011</v>
      </c>
      <c r="N12" s="136">
        <v>2012</v>
      </c>
      <c r="O12" s="136">
        <v>2013</v>
      </c>
      <c r="P12" s="136">
        <v>2014</v>
      </c>
      <c r="Q12" s="136">
        <v>2015</v>
      </c>
      <c r="R12" s="136">
        <v>2016</v>
      </c>
      <c r="S12" s="136">
        <v>2017</v>
      </c>
      <c r="T12" s="136">
        <v>2018</v>
      </c>
      <c r="U12" s="136">
        <v>2019</v>
      </c>
      <c r="V12" s="136">
        <v>2020</v>
      </c>
      <c r="W12" s="136">
        <v>2021</v>
      </c>
    </row>
    <row r="13" spans="1:28" ht="15" thickBot="1" x14ac:dyDescent="0.35">
      <c r="A13" s="136" t="s">
        <v>198</v>
      </c>
      <c r="B13" s="137">
        <v>-0.78900000000000003</v>
      </c>
      <c r="C13" s="138">
        <v>-4.4089999999999998</v>
      </c>
      <c r="D13" s="139">
        <v>-10.895</v>
      </c>
      <c r="E13" s="139">
        <v>8.8369999999999997</v>
      </c>
      <c r="F13" s="139">
        <v>9.0299999999999994</v>
      </c>
      <c r="G13" s="139">
        <v>8.8520000000000003</v>
      </c>
      <c r="H13" s="139">
        <v>8.0470000000000006</v>
      </c>
      <c r="I13" s="139">
        <v>9.0079999999999991</v>
      </c>
      <c r="J13" s="139">
        <v>4.0570000000000004</v>
      </c>
      <c r="K13" s="139">
        <v>-5.9189999999999996</v>
      </c>
      <c r="L13" s="139">
        <v>10.125</v>
      </c>
      <c r="M13" s="139">
        <v>6.0039999999999996</v>
      </c>
      <c r="N13" s="139">
        <v>-1.026</v>
      </c>
      <c r="O13" s="139">
        <v>2.4049999999999998</v>
      </c>
      <c r="P13" s="139">
        <v>-2.5129999999999999</v>
      </c>
      <c r="Q13" s="140">
        <v>2.4590000000000001</v>
      </c>
      <c r="R13" s="140">
        <v>-1.7609999999999999</v>
      </c>
      <c r="S13" s="140">
        <v>2.7309999999999999</v>
      </c>
      <c r="T13" s="140">
        <v>2.7669999999999999</v>
      </c>
      <c r="U13" s="140">
        <v>2.8969999999999998</v>
      </c>
      <c r="V13" s="141">
        <v>3.12</v>
      </c>
      <c r="W13" s="137">
        <v>3.2679999999999998</v>
      </c>
    </row>
    <row r="14" spans="1:28" s="132" customFormat="1" x14ac:dyDescent="0.3">
      <c r="B14" s="143">
        <f>B13/100</f>
        <v>-7.8900000000000012E-3</v>
      </c>
      <c r="C14" s="143">
        <f t="shared" ref="C14:V14" si="0">C13/100</f>
        <v>-4.4089999999999997E-2</v>
      </c>
      <c r="D14" s="143">
        <f t="shared" si="0"/>
        <v>-0.10894999999999999</v>
      </c>
      <c r="E14" s="143">
        <f t="shared" si="0"/>
        <v>8.8370000000000004E-2</v>
      </c>
      <c r="F14" s="143">
        <f t="shared" si="0"/>
        <v>9.0299999999999991E-2</v>
      </c>
      <c r="G14" s="143">
        <f t="shared" si="0"/>
        <v>8.8520000000000001E-2</v>
      </c>
      <c r="H14" s="143">
        <f t="shared" si="0"/>
        <v>8.047E-2</v>
      </c>
      <c r="I14" s="143">
        <f t="shared" si="0"/>
        <v>9.0079999999999993E-2</v>
      </c>
      <c r="J14" s="143">
        <f t="shared" si="0"/>
        <v>4.0570000000000002E-2</v>
      </c>
      <c r="K14" s="143">
        <f t="shared" si="0"/>
        <v>-5.9189999999999993E-2</v>
      </c>
      <c r="L14" s="143">
        <f t="shared" si="0"/>
        <v>0.10125000000000001</v>
      </c>
      <c r="M14" s="143">
        <f t="shared" si="0"/>
        <v>6.0039999999999996E-2</v>
      </c>
      <c r="N14" s="143">
        <f t="shared" si="0"/>
        <v>-1.026E-2</v>
      </c>
      <c r="O14" s="143">
        <f t="shared" si="0"/>
        <v>2.4049999999999998E-2</v>
      </c>
      <c r="P14" s="143">
        <f t="shared" si="0"/>
        <v>-2.513E-2</v>
      </c>
      <c r="Q14" s="143">
        <f t="shared" si="0"/>
        <v>2.4590000000000001E-2</v>
      </c>
      <c r="R14" s="143">
        <f t="shared" si="0"/>
        <v>-1.7610000000000001E-2</v>
      </c>
      <c r="S14" s="143">
        <f t="shared" si="0"/>
        <v>2.7309999999999997E-2</v>
      </c>
      <c r="T14" s="143">
        <f t="shared" si="0"/>
        <v>2.767E-2</v>
      </c>
      <c r="U14" s="143">
        <f t="shared" si="0"/>
        <v>2.8969999999999999E-2</v>
      </c>
      <c r="V14" s="143">
        <f t="shared" si="0"/>
        <v>3.1200000000000002E-2</v>
      </c>
      <c r="W14" s="143">
        <f t="shared" ref="W14" si="1">W13/100</f>
        <v>3.2680000000000001E-2</v>
      </c>
    </row>
    <row r="15" spans="1:28" x14ac:dyDescent="0.3">
      <c r="B15" s="144">
        <f>1+B14</f>
        <v>0.99211000000000005</v>
      </c>
      <c r="C15" s="144">
        <f t="shared" ref="C15:W15" si="2">1+C14</f>
        <v>0.95591000000000004</v>
      </c>
      <c r="D15" s="144">
        <f t="shared" si="2"/>
        <v>0.89105000000000001</v>
      </c>
      <c r="E15" s="144">
        <f t="shared" si="2"/>
        <v>1.0883700000000001</v>
      </c>
      <c r="F15" s="144">
        <f t="shared" si="2"/>
        <v>1.0903</v>
      </c>
      <c r="G15" s="144">
        <f t="shared" si="2"/>
        <v>1.0885199999999999</v>
      </c>
      <c r="H15" s="144">
        <f t="shared" si="2"/>
        <v>1.08047</v>
      </c>
      <c r="I15" s="144">
        <f t="shared" si="2"/>
        <v>1.0900799999999999</v>
      </c>
      <c r="J15" s="144">
        <f t="shared" si="2"/>
        <v>1.04057</v>
      </c>
      <c r="K15" s="144">
        <f t="shared" si="2"/>
        <v>0.94081000000000004</v>
      </c>
      <c r="L15" s="144">
        <f t="shared" si="2"/>
        <v>1.1012500000000001</v>
      </c>
      <c r="M15" s="144">
        <f t="shared" si="2"/>
        <v>1.0600400000000001</v>
      </c>
      <c r="N15" s="144">
        <f t="shared" si="2"/>
        <v>0.98973999999999995</v>
      </c>
      <c r="O15" s="144">
        <f t="shared" si="2"/>
        <v>1.0240499999999999</v>
      </c>
      <c r="P15" s="144">
        <f t="shared" si="2"/>
        <v>0.97487000000000001</v>
      </c>
      <c r="Q15" s="144">
        <f t="shared" si="2"/>
        <v>1.0245899999999999</v>
      </c>
      <c r="R15" s="144">
        <f t="shared" si="2"/>
        <v>0.98238999999999999</v>
      </c>
      <c r="S15" s="144">
        <f t="shared" si="2"/>
        <v>1.0273099999999999</v>
      </c>
      <c r="T15" s="144">
        <f t="shared" si="2"/>
        <v>1.0276700000000001</v>
      </c>
      <c r="U15" s="144">
        <f t="shared" si="2"/>
        <v>1.0289699999999999</v>
      </c>
      <c r="V15" s="144">
        <f t="shared" si="2"/>
        <v>1.0311999999999999</v>
      </c>
      <c r="W15" s="144">
        <f t="shared" si="2"/>
        <v>1.03268</v>
      </c>
    </row>
    <row r="16" spans="1:28" x14ac:dyDescent="0.3">
      <c r="C16" s="142"/>
      <c r="D16" s="142"/>
      <c r="E16" s="142"/>
      <c r="F16" s="142"/>
      <c r="G16" s="142"/>
      <c r="H16" s="142"/>
      <c r="I16" s="142"/>
      <c r="J16" s="142"/>
      <c r="K16" s="142"/>
      <c r="L16" s="142"/>
      <c r="M16" s="142"/>
      <c r="N16" s="142"/>
      <c r="O16" s="142"/>
      <c r="P16" s="142"/>
      <c r="Q16" s="142"/>
      <c r="R16" s="142"/>
      <c r="S16" s="142"/>
      <c r="T16" s="142"/>
      <c r="U16" s="142"/>
      <c r="V16" s="142"/>
    </row>
    <row r="17" spans="1:23" x14ac:dyDescent="0.3">
      <c r="B17" t="s">
        <v>201</v>
      </c>
      <c r="C17" s="142">
        <f>GEOMEAN(B15:G15)-1</f>
        <v>1.47046462820144E-2</v>
      </c>
    </row>
    <row r="18" spans="1:23" x14ac:dyDescent="0.3">
      <c r="B18" t="s">
        <v>202</v>
      </c>
      <c r="C18" s="142">
        <f>GEOMEAN(B15:L15)-1</f>
        <v>3.0120456009479213E-2</v>
      </c>
    </row>
    <row r="19" spans="1:23" x14ac:dyDescent="0.3">
      <c r="A19" t="s">
        <v>199</v>
      </c>
      <c r="B19" t="s">
        <v>204</v>
      </c>
      <c r="C19" s="142">
        <f>GEOMEAN(B15:P15)-1</f>
        <v>2.5160721254832819E-2</v>
      </c>
    </row>
    <row r="20" spans="1:23" x14ac:dyDescent="0.3">
      <c r="B20" t="s">
        <v>205</v>
      </c>
      <c r="C20" s="142">
        <f>GEOMEAN(Q15:R15)-1</f>
        <v>3.2681446652234047E-3</v>
      </c>
    </row>
    <row r="21" spans="1:23" x14ac:dyDescent="0.3">
      <c r="B21" t="s">
        <v>203</v>
      </c>
      <c r="C21" s="142">
        <f>GEOMEAN(S15:W15)-1</f>
        <v>2.9563921826100126E-2</v>
      </c>
    </row>
    <row r="22" spans="1:23" x14ac:dyDescent="0.3">
      <c r="B22" t="s">
        <v>200</v>
      </c>
      <c r="C22" s="142">
        <f>GEOMEAN(B15:Q15)-1</f>
        <v>2.5125041864606068E-2</v>
      </c>
    </row>
    <row r="24" spans="1:23" s="147" customFormat="1" x14ac:dyDescent="0.3">
      <c r="A24" s="147" t="s">
        <v>235</v>
      </c>
    </row>
    <row r="25" spans="1:23" x14ac:dyDescent="0.3">
      <c r="A25" t="s">
        <v>12</v>
      </c>
      <c r="B25">
        <f>F5/100</f>
        <v>0.15797</v>
      </c>
      <c r="C25">
        <f t="shared" ref="C25:V25" si="3">G5/100</f>
        <v>0.14046</v>
      </c>
      <c r="D25">
        <f t="shared" si="3"/>
        <v>0.10305999999999998</v>
      </c>
      <c r="E25">
        <f t="shared" si="3"/>
        <v>0.13284000000000001</v>
      </c>
      <c r="F25">
        <f t="shared" si="3"/>
        <v>0.17550999999999997</v>
      </c>
      <c r="G25">
        <f t="shared" si="3"/>
        <v>0.18890000000000001</v>
      </c>
      <c r="H25">
        <f t="shared" si="3"/>
        <v>0.18679999999999999</v>
      </c>
      <c r="I25">
        <f t="shared" si="3"/>
        <v>0.20099</v>
      </c>
      <c r="J25">
        <f t="shared" si="3"/>
        <v>0.19573000000000002</v>
      </c>
      <c r="K25">
        <f t="shared" si="3"/>
        <v>0.16053000000000001</v>
      </c>
      <c r="L25">
        <f t="shared" si="3"/>
        <v>0.17706</v>
      </c>
      <c r="M25">
        <f t="shared" si="3"/>
        <v>0.18398</v>
      </c>
      <c r="N25">
        <f t="shared" si="3"/>
        <v>0.16502</v>
      </c>
      <c r="O25">
        <f t="shared" si="3"/>
        <v>0.17306000000000002</v>
      </c>
      <c r="P25">
        <f t="shared" si="3"/>
        <v>0.17263000000000001</v>
      </c>
      <c r="Q25">
        <f t="shared" si="3"/>
        <v>0.16818000000000002</v>
      </c>
      <c r="R25">
        <f t="shared" si="3"/>
        <v>0.16504000000000002</v>
      </c>
      <c r="S25">
        <f t="shared" si="3"/>
        <v>0.17074999999999999</v>
      </c>
      <c r="T25">
        <f t="shared" si="3"/>
        <v>0.17507999999999999</v>
      </c>
      <c r="U25">
        <f t="shared" si="3"/>
        <v>0.17943000000000001</v>
      </c>
      <c r="V25">
        <f t="shared" si="3"/>
        <v>0.18207999999999999</v>
      </c>
      <c r="W25">
        <f>AA5/100</f>
        <v>0.18484999999999999</v>
      </c>
    </row>
    <row r="26" spans="1:23" x14ac:dyDescent="0.3">
      <c r="B26">
        <f>1+B25</f>
        <v>1.1579699999999999</v>
      </c>
      <c r="C26">
        <f t="shared" ref="C26:W26" si="4">1+C25</f>
        <v>1.14046</v>
      </c>
      <c r="D26">
        <f t="shared" si="4"/>
        <v>1.1030599999999999</v>
      </c>
      <c r="E26">
        <f t="shared" si="4"/>
        <v>1.1328400000000001</v>
      </c>
      <c r="F26">
        <f t="shared" si="4"/>
        <v>1.1755100000000001</v>
      </c>
      <c r="G26">
        <f t="shared" si="4"/>
        <v>1.1889000000000001</v>
      </c>
      <c r="H26">
        <f t="shared" si="4"/>
        <v>1.1868000000000001</v>
      </c>
      <c r="I26">
        <f t="shared" si="4"/>
        <v>1.20099</v>
      </c>
      <c r="J26">
        <f t="shared" si="4"/>
        <v>1.19573</v>
      </c>
      <c r="K26">
        <f t="shared" si="4"/>
        <v>1.1605300000000001</v>
      </c>
      <c r="L26">
        <f t="shared" si="4"/>
        <v>1.17706</v>
      </c>
      <c r="M26">
        <f t="shared" si="4"/>
        <v>1.18398</v>
      </c>
      <c r="N26">
        <f t="shared" si="4"/>
        <v>1.1650199999999999</v>
      </c>
      <c r="O26">
        <f t="shared" si="4"/>
        <v>1.17306</v>
      </c>
      <c r="P26">
        <f t="shared" si="4"/>
        <v>1.1726300000000001</v>
      </c>
      <c r="Q26">
        <f t="shared" si="4"/>
        <v>1.16818</v>
      </c>
      <c r="R26">
        <f t="shared" si="4"/>
        <v>1.1650400000000001</v>
      </c>
      <c r="S26">
        <f t="shared" si="4"/>
        <v>1.17075</v>
      </c>
      <c r="T26">
        <f t="shared" si="4"/>
        <v>1.1750799999999999</v>
      </c>
      <c r="U26">
        <f t="shared" si="4"/>
        <v>1.17943</v>
      </c>
      <c r="V26">
        <f t="shared" si="4"/>
        <v>1.18208</v>
      </c>
      <c r="W26">
        <f t="shared" si="4"/>
        <v>1.18485</v>
      </c>
    </row>
    <row r="28" spans="1:23" x14ac:dyDescent="0.3">
      <c r="A28" t="s">
        <v>233</v>
      </c>
      <c r="B28" t="s">
        <v>206</v>
      </c>
      <c r="C28" s="135">
        <f>AVERAGE(C25:Q25)</f>
        <v>0.16831666666666664</v>
      </c>
    </row>
    <row r="29" spans="1:23" x14ac:dyDescent="0.3">
      <c r="D29">
        <f t="shared" ref="D29:W29" si="5">(D25-C25)/C25</f>
        <v>-0.26626797664815616</v>
      </c>
      <c r="E29">
        <f t="shared" si="5"/>
        <v>0.28895788860857785</v>
      </c>
      <c r="F29">
        <f t="shared" si="5"/>
        <v>0.32121348991267656</v>
      </c>
      <c r="G29">
        <f t="shared" si="5"/>
        <v>7.6291949176685331E-2</v>
      </c>
      <c r="H29">
        <f t="shared" si="5"/>
        <v>-1.1116993118051977E-2</v>
      </c>
      <c r="I29">
        <f t="shared" si="5"/>
        <v>7.5963597430406898E-2</v>
      </c>
      <c r="J29">
        <f t="shared" si="5"/>
        <v>-2.6170456241603995E-2</v>
      </c>
      <c r="K29">
        <f t="shared" si="5"/>
        <v>-0.17983957492464112</v>
      </c>
      <c r="L29">
        <f t="shared" si="5"/>
        <v>0.10297140721360486</v>
      </c>
      <c r="M29">
        <f t="shared" si="5"/>
        <v>3.9082796792047951E-2</v>
      </c>
      <c r="N29">
        <f t="shared" si="5"/>
        <v>-0.10305467985650617</v>
      </c>
      <c r="O29">
        <f t="shared" si="5"/>
        <v>4.8721367107017445E-2</v>
      </c>
      <c r="P29">
        <f t="shared" si="5"/>
        <v>-2.4846873916561521E-3</v>
      </c>
      <c r="Q29">
        <f t="shared" si="5"/>
        <v>-2.5777674795805953E-2</v>
      </c>
      <c r="R29">
        <f t="shared" si="5"/>
        <v>-1.8670472113212055E-2</v>
      </c>
      <c r="S29">
        <f t="shared" si="5"/>
        <v>3.45976732913231E-2</v>
      </c>
      <c r="T29">
        <f t="shared" si="5"/>
        <v>2.5358711566617866E-2</v>
      </c>
      <c r="U29">
        <f t="shared" si="5"/>
        <v>2.4845784784098816E-2</v>
      </c>
      <c r="V29">
        <f t="shared" si="5"/>
        <v>1.4768990692749182E-2</v>
      </c>
      <c r="W29">
        <f t="shared" si="5"/>
        <v>1.5213093145869919E-2</v>
      </c>
    </row>
    <row r="30" spans="1:23" x14ac:dyDescent="0.3">
      <c r="D30">
        <f>1+D29</f>
        <v>0.73373202335184384</v>
      </c>
      <c r="E30">
        <f t="shared" ref="E30:W30" si="6">1+E29</f>
        <v>1.2889578886085777</v>
      </c>
      <c r="F30">
        <f t="shared" si="6"/>
        <v>1.3212134899126766</v>
      </c>
      <c r="G30">
        <f t="shared" si="6"/>
        <v>1.0762919491766854</v>
      </c>
      <c r="H30">
        <f t="shared" si="6"/>
        <v>0.98888300688194808</v>
      </c>
      <c r="I30">
        <f t="shared" si="6"/>
        <v>1.0759635974304069</v>
      </c>
      <c r="J30">
        <f t="shared" si="6"/>
        <v>0.97382954375839603</v>
      </c>
      <c r="K30">
        <f t="shared" si="6"/>
        <v>0.82016042507535891</v>
      </c>
      <c r="L30">
        <f t="shared" si="6"/>
        <v>1.1029714072136048</v>
      </c>
      <c r="M30">
        <f t="shared" si="6"/>
        <v>1.039082796792048</v>
      </c>
      <c r="N30">
        <f t="shared" si="6"/>
        <v>0.89694532014349382</v>
      </c>
      <c r="O30">
        <f t="shared" si="6"/>
        <v>1.0487213671070175</v>
      </c>
      <c r="P30">
        <f t="shared" si="6"/>
        <v>0.99751531260834381</v>
      </c>
      <c r="Q30">
        <f t="shared" si="6"/>
        <v>0.97422232520419405</v>
      </c>
      <c r="R30">
        <f t="shared" si="6"/>
        <v>0.98132952788678796</v>
      </c>
      <c r="S30">
        <f t="shared" si="6"/>
        <v>1.0345976732913231</v>
      </c>
      <c r="T30">
        <f t="shared" si="6"/>
        <v>1.0253587115666178</v>
      </c>
      <c r="U30">
        <f t="shared" si="6"/>
        <v>1.0248457847840988</v>
      </c>
      <c r="V30">
        <f t="shared" si="6"/>
        <v>1.0147689906927493</v>
      </c>
      <c r="W30">
        <f t="shared" si="6"/>
        <v>1.0152130931458698</v>
      </c>
    </row>
    <row r="31" spans="1:23" x14ac:dyDescent="0.3">
      <c r="A31" t="s">
        <v>199</v>
      </c>
      <c r="B31" t="s">
        <v>206</v>
      </c>
      <c r="C31" s="146">
        <f>GEOMEAN(D30:Q30)-1</f>
        <v>1.2948260895012664E-2</v>
      </c>
    </row>
    <row r="33" spans="1:27" s="147" customFormat="1" x14ac:dyDescent="0.3">
      <c r="A33" s="147" t="s">
        <v>236</v>
      </c>
      <c r="F33" s="148"/>
      <c r="G33" s="148"/>
      <c r="H33" s="148"/>
      <c r="I33" s="148"/>
      <c r="J33" s="148"/>
      <c r="K33" s="148"/>
      <c r="L33" s="148"/>
      <c r="M33" s="148"/>
      <c r="N33" s="148"/>
      <c r="O33" s="148"/>
      <c r="P33" s="148"/>
      <c r="Q33" s="148"/>
      <c r="R33" s="148"/>
      <c r="S33" s="148"/>
      <c r="T33" s="148"/>
      <c r="U33" s="148"/>
      <c r="V33" s="148"/>
      <c r="W33" s="148"/>
      <c r="X33" s="148"/>
      <c r="Y33" s="148"/>
      <c r="Z33" s="148"/>
      <c r="AA33" s="148"/>
    </row>
    <row r="35" spans="1:27" x14ac:dyDescent="0.3">
      <c r="A35" t="s">
        <v>237</v>
      </c>
      <c r="C35" s="149">
        <f>(G7-F7)/F7</f>
        <v>4.6646669743116341E-2</v>
      </c>
      <c r="D35" s="149">
        <f t="shared" ref="D35:W35" si="7">(H7-G7)/G7</f>
        <v>-0.169636624168718</v>
      </c>
      <c r="E35" s="149">
        <f t="shared" si="7"/>
        <v>4.8230088495574428E-3</v>
      </c>
      <c r="F35" s="149">
        <f t="shared" si="7"/>
        <v>1.2638161081509492E-2</v>
      </c>
      <c r="G35" s="149">
        <f t="shared" si="7"/>
        <v>6.1662897895286263E-2</v>
      </c>
      <c r="H35" s="149">
        <f t="shared" si="7"/>
        <v>3.2440403047431718E-2</v>
      </c>
      <c r="I35" s="149">
        <f t="shared" si="7"/>
        <v>0.11485360628421803</v>
      </c>
      <c r="J35" s="149">
        <f t="shared" si="7"/>
        <v>3.3771040176506235E-2</v>
      </c>
      <c r="K35" s="149">
        <f t="shared" si="7"/>
        <v>0.12299483648881228</v>
      </c>
      <c r="L35" s="149">
        <f t="shared" si="7"/>
        <v>-2.7649204548937791E-2</v>
      </c>
      <c r="M35" s="149">
        <f t="shared" si="7"/>
        <v>4.4796822294379209E-2</v>
      </c>
      <c r="N35" s="149">
        <f t="shared" si="7"/>
        <v>5.183754752278065E-2</v>
      </c>
      <c r="O35" s="149">
        <f t="shared" si="7"/>
        <v>2.1830177854274321E-2</v>
      </c>
      <c r="P35" s="149">
        <f t="shared" si="7"/>
        <v>2.2711321972993387E-2</v>
      </c>
      <c r="Q35" s="149">
        <f t="shared" si="7"/>
        <v>0.11457589898435354</v>
      </c>
      <c r="R35" s="149">
        <f t="shared" si="7"/>
        <v>-2.5194562112107088E-2</v>
      </c>
      <c r="S35" s="149">
        <f t="shared" si="7"/>
        <v>3.7644324297009626E-3</v>
      </c>
      <c r="T35" s="149">
        <f t="shared" si="7"/>
        <v>-2.4087591240875755E-2</v>
      </c>
      <c r="U35" s="149">
        <f t="shared" si="7"/>
        <v>-3.4276429474118603E-2</v>
      </c>
      <c r="V35" s="149">
        <f t="shared" si="7"/>
        <v>-3.4665099882491231E-2</v>
      </c>
      <c r="W35" s="149">
        <f t="shared" si="7"/>
        <v>-8.2443423891994088E-3</v>
      </c>
    </row>
    <row r="36" spans="1:27" x14ac:dyDescent="0.3">
      <c r="A36" t="s">
        <v>199</v>
      </c>
      <c r="C36" s="143">
        <f>1+C35</f>
        <v>1.0466466697431163</v>
      </c>
      <c r="D36" s="143">
        <f t="shared" ref="D36:Q36" si="8">1+D35</f>
        <v>0.83036337583128206</v>
      </c>
      <c r="E36" s="143">
        <f t="shared" si="8"/>
        <v>1.0048230088495576</v>
      </c>
      <c r="F36" s="143">
        <f t="shared" si="8"/>
        <v>1.0126381610815094</v>
      </c>
      <c r="G36" s="143">
        <f t="shared" si="8"/>
        <v>1.0616628978952862</v>
      </c>
      <c r="H36" s="143">
        <f t="shared" si="8"/>
        <v>1.0324404030474317</v>
      </c>
      <c r="I36" s="143">
        <f t="shared" si="8"/>
        <v>1.114853606284218</v>
      </c>
      <c r="J36" s="143">
        <f t="shared" si="8"/>
        <v>1.0337710401765063</v>
      </c>
      <c r="K36" s="143">
        <f t="shared" si="8"/>
        <v>1.1229948364888123</v>
      </c>
      <c r="L36" s="143">
        <f t="shared" si="8"/>
        <v>0.97235079545106218</v>
      </c>
      <c r="M36" s="143">
        <f t="shared" si="8"/>
        <v>1.0447968222943793</v>
      </c>
      <c r="N36" s="143">
        <f t="shared" si="8"/>
        <v>1.0518375475227806</v>
      </c>
      <c r="O36" s="143">
        <f t="shared" si="8"/>
        <v>1.0218301778542742</v>
      </c>
      <c r="P36" s="143">
        <f t="shared" si="8"/>
        <v>1.0227113219729933</v>
      </c>
      <c r="Q36" s="143">
        <f t="shared" si="8"/>
        <v>1.1145758989843535</v>
      </c>
    </row>
    <row r="37" spans="1:27" x14ac:dyDescent="0.3">
      <c r="B37" s="146">
        <f>GEOMEAN(C36:Q36)-1</f>
        <v>3.0153424978706544E-2</v>
      </c>
    </row>
  </sheetData>
  <hyperlinks>
    <hyperlink ref="A10" r:id="rId1" location="cs1" display="http://www.imf.org/external/pubs/ft/weo/2016/02/weodata/weorept.aspx?sy=2000&amp;ey=2021&amp;scsm=1&amp;ssd=1&amp;sort=country&amp;ds=.&amp;br=1&amp;pr1.x=70&amp;pr1.y=10&amp;c=213&amp;s=NGDP_RPCH&amp;grp=0&amp;a= - cs1"/>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75"/>
  <sheetViews>
    <sheetView topLeftCell="A54" workbookViewId="0">
      <selection activeCell="A75" sqref="A75"/>
    </sheetView>
  </sheetViews>
  <sheetFormatPr defaultColWidth="11.5546875" defaultRowHeight="14.4" x14ac:dyDescent="0.3"/>
  <sheetData>
    <row r="1" spans="1:2" x14ac:dyDescent="0.3">
      <c r="A1">
        <v>1</v>
      </c>
      <c r="B1" s="49" t="s">
        <v>21</v>
      </c>
    </row>
    <row r="2" spans="1:2" x14ac:dyDescent="0.3">
      <c r="A2">
        <v>1</v>
      </c>
      <c r="B2" s="49" t="s">
        <v>69</v>
      </c>
    </row>
    <row r="3" spans="1:2" x14ac:dyDescent="0.3">
      <c r="A3">
        <v>1</v>
      </c>
      <c r="B3" s="49" t="s">
        <v>70</v>
      </c>
    </row>
    <row r="4" spans="1:2" x14ac:dyDescent="0.3">
      <c r="A4">
        <v>1</v>
      </c>
      <c r="B4" s="49" t="s">
        <v>71</v>
      </c>
    </row>
    <row r="5" spans="1:2" x14ac:dyDescent="0.3">
      <c r="A5">
        <v>1</v>
      </c>
      <c r="B5" s="49" t="s">
        <v>72</v>
      </c>
    </row>
    <row r="6" spans="1:2" x14ac:dyDescent="0.3">
      <c r="A6">
        <v>1</v>
      </c>
      <c r="B6" s="49" t="s">
        <v>73</v>
      </c>
    </row>
    <row r="7" spans="1:2" x14ac:dyDescent="0.3">
      <c r="A7">
        <v>1</v>
      </c>
      <c r="B7" s="49" t="s">
        <v>74</v>
      </c>
    </row>
    <row r="8" spans="1:2" x14ac:dyDescent="0.3">
      <c r="A8">
        <v>1</v>
      </c>
      <c r="B8" s="49" t="s">
        <v>68</v>
      </c>
    </row>
    <row r="9" spans="1:2" x14ac:dyDescent="0.3">
      <c r="A9">
        <v>1</v>
      </c>
      <c r="B9" s="49" t="s">
        <v>75</v>
      </c>
    </row>
    <row r="10" spans="1:2" x14ac:dyDescent="0.3">
      <c r="A10">
        <v>1</v>
      </c>
      <c r="B10" s="49" t="s">
        <v>76</v>
      </c>
    </row>
    <row r="11" spans="1:2" x14ac:dyDescent="0.3">
      <c r="A11">
        <v>1</v>
      </c>
      <c r="B11" s="49" t="s">
        <v>77</v>
      </c>
    </row>
    <row r="12" spans="1:2" x14ac:dyDescent="0.3">
      <c r="A12">
        <v>1</v>
      </c>
      <c r="B12" s="49" t="s">
        <v>78</v>
      </c>
    </row>
    <row r="13" spans="1:2" x14ac:dyDescent="0.3">
      <c r="A13">
        <v>1</v>
      </c>
      <c r="B13" s="49" t="s">
        <v>79</v>
      </c>
    </row>
    <row r="14" spans="1:2" x14ac:dyDescent="0.3">
      <c r="A14">
        <v>1</v>
      </c>
      <c r="B14" s="49" t="s">
        <v>80</v>
      </c>
    </row>
    <row r="15" spans="1:2" x14ac:dyDescent="0.3">
      <c r="A15">
        <v>1</v>
      </c>
      <c r="B15" s="49" t="s">
        <v>81</v>
      </c>
    </row>
    <row r="16" spans="1:2" x14ac:dyDescent="0.3">
      <c r="A16">
        <v>1</v>
      </c>
      <c r="B16" s="49" t="s">
        <v>82</v>
      </c>
    </row>
    <row r="17" spans="1:3" x14ac:dyDescent="0.3">
      <c r="A17">
        <v>1</v>
      </c>
      <c r="B17" s="49" t="s">
        <v>83</v>
      </c>
    </row>
    <row r="18" spans="1:3" x14ac:dyDescent="0.3">
      <c r="A18">
        <v>1</v>
      </c>
      <c r="B18" s="49" t="s">
        <v>84</v>
      </c>
    </row>
    <row r="19" spans="1:3" x14ac:dyDescent="0.3">
      <c r="A19">
        <v>1</v>
      </c>
      <c r="B19" s="49" t="s">
        <v>85</v>
      </c>
    </row>
    <row r="20" spans="1:3" x14ac:dyDescent="0.3">
      <c r="A20">
        <v>1</v>
      </c>
      <c r="B20" s="49" t="s">
        <v>86</v>
      </c>
    </row>
    <row r="21" spans="1:3" x14ac:dyDescent="0.3">
      <c r="A21">
        <v>1</v>
      </c>
      <c r="B21" s="49" t="s">
        <v>87</v>
      </c>
    </row>
    <row r="22" spans="1:3" x14ac:dyDescent="0.3">
      <c r="A22">
        <v>1</v>
      </c>
      <c r="B22" s="49" t="s">
        <v>88</v>
      </c>
    </row>
    <row r="23" spans="1:3" x14ac:dyDescent="0.3">
      <c r="B23" s="49"/>
      <c r="C23" t="s">
        <v>89</v>
      </c>
    </row>
    <row r="24" spans="1:3" x14ac:dyDescent="0.3">
      <c r="A24">
        <v>1</v>
      </c>
      <c r="B24" s="49" t="s">
        <v>22</v>
      </c>
    </row>
    <row r="25" spans="1:3" x14ac:dyDescent="0.3">
      <c r="A25">
        <v>1</v>
      </c>
      <c r="B25" s="49" t="s">
        <v>23</v>
      </c>
    </row>
    <row r="26" spans="1:3" x14ac:dyDescent="0.3">
      <c r="A26">
        <v>1</v>
      </c>
      <c r="B26" s="49" t="s">
        <v>24</v>
      </c>
    </row>
    <row r="27" spans="1:3" x14ac:dyDescent="0.3">
      <c r="A27">
        <v>1</v>
      </c>
      <c r="B27" s="49" t="s">
        <v>25</v>
      </c>
    </row>
    <row r="28" spans="1:3" x14ac:dyDescent="0.3">
      <c r="A28">
        <v>1</v>
      </c>
      <c r="B28" s="49" t="s">
        <v>26</v>
      </c>
    </row>
    <row r="29" spans="1:3" x14ac:dyDescent="0.3">
      <c r="A29">
        <v>1</v>
      </c>
      <c r="B29" s="49" t="s">
        <v>27</v>
      </c>
    </row>
    <row r="30" spans="1:3" x14ac:dyDescent="0.3">
      <c r="A30">
        <v>1</v>
      </c>
      <c r="B30" s="49" t="s">
        <v>28</v>
      </c>
    </row>
    <row r="31" spans="1:3" x14ac:dyDescent="0.3">
      <c r="A31">
        <v>1</v>
      </c>
      <c r="B31" s="49" t="s">
        <v>29</v>
      </c>
    </row>
    <row r="32" spans="1:3" x14ac:dyDescent="0.3">
      <c r="A32">
        <v>1</v>
      </c>
      <c r="B32" s="49" t="s">
        <v>30</v>
      </c>
    </row>
    <row r="33" spans="1:2" x14ac:dyDescent="0.3">
      <c r="A33">
        <v>1</v>
      </c>
      <c r="B33" s="49" t="s">
        <v>31</v>
      </c>
    </row>
    <row r="34" spans="1:2" x14ac:dyDescent="0.3">
      <c r="A34">
        <v>1</v>
      </c>
      <c r="B34" s="49" t="s">
        <v>32</v>
      </c>
    </row>
    <row r="35" spans="1:2" x14ac:dyDescent="0.3">
      <c r="A35">
        <v>1</v>
      </c>
      <c r="B35" s="49" t="s">
        <v>33</v>
      </c>
    </row>
    <row r="36" spans="1:2" x14ac:dyDescent="0.3">
      <c r="A36">
        <v>1</v>
      </c>
      <c r="B36" s="49" t="s">
        <v>34</v>
      </c>
    </row>
    <row r="37" spans="1:2" x14ac:dyDescent="0.3">
      <c r="A37">
        <v>1</v>
      </c>
      <c r="B37" s="49" t="s">
        <v>35</v>
      </c>
    </row>
    <row r="38" spans="1:2" x14ac:dyDescent="0.3">
      <c r="A38">
        <v>1</v>
      </c>
      <c r="B38" s="49" t="s">
        <v>36</v>
      </c>
    </row>
    <row r="39" spans="1:2" x14ac:dyDescent="0.3">
      <c r="A39">
        <v>1</v>
      </c>
      <c r="B39" s="49" t="s">
        <v>37</v>
      </c>
    </row>
    <row r="40" spans="1:2" x14ac:dyDescent="0.3">
      <c r="A40">
        <v>1</v>
      </c>
      <c r="B40" s="49" t="s">
        <v>38</v>
      </c>
    </row>
    <row r="41" spans="1:2" x14ac:dyDescent="0.3">
      <c r="A41">
        <v>1</v>
      </c>
      <c r="B41" s="49" t="s">
        <v>39</v>
      </c>
    </row>
    <row r="42" spans="1:2" x14ac:dyDescent="0.3">
      <c r="A42">
        <v>1</v>
      </c>
      <c r="B42" s="49" t="s">
        <v>40</v>
      </c>
    </row>
    <row r="43" spans="1:2" x14ac:dyDescent="0.3">
      <c r="A43">
        <v>1</v>
      </c>
      <c r="B43" s="49" t="s">
        <v>41</v>
      </c>
    </row>
    <row r="44" spans="1:2" x14ac:dyDescent="0.3">
      <c r="A44">
        <v>1</v>
      </c>
      <c r="B44" s="49" t="s">
        <v>42</v>
      </c>
    </row>
    <row r="45" spans="1:2" x14ac:dyDescent="0.3">
      <c r="A45">
        <v>1</v>
      </c>
      <c r="B45" s="49" t="s">
        <v>43</v>
      </c>
    </row>
    <row r="46" spans="1:2" x14ac:dyDescent="0.3">
      <c r="A46">
        <v>1</v>
      </c>
      <c r="B46" s="49" t="s">
        <v>44</v>
      </c>
    </row>
    <row r="47" spans="1:2" x14ac:dyDescent="0.3">
      <c r="A47">
        <v>1</v>
      </c>
      <c r="B47" s="49" t="s">
        <v>45</v>
      </c>
    </row>
    <row r="48" spans="1:2" x14ac:dyDescent="0.3">
      <c r="A48">
        <v>1</v>
      </c>
      <c r="B48" s="49" t="s">
        <v>46</v>
      </c>
    </row>
    <row r="49" spans="1:3" x14ac:dyDescent="0.3">
      <c r="A49">
        <v>1</v>
      </c>
      <c r="B49" s="49" t="s">
        <v>47</v>
      </c>
    </row>
    <row r="50" spans="1:3" x14ac:dyDescent="0.3">
      <c r="A50">
        <v>1</v>
      </c>
      <c r="B50" s="49" t="s">
        <v>48</v>
      </c>
    </row>
    <row r="51" spans="1:3" x14ac:dyDescent="0.3">
      <c r="A51">
        <v>1</v>
      </c>
      <c r="B51" s="49" t="s">
        <v>49</v>
      </c>
    </row>
    <row r="52" spans="1:3" x14ac:dyDescent="0.3">
      <c r="A52">
        <v>1</v>
      </c>
      <c r="B52" s="49" t="s">
        <v>50</v>
      </c>
    </row>
    <row r="53" spans="1:3" x14ac:dyDescent="0.3">
      <c r="A53">
        <v>1</v>
      </c>
      <c r="B53" s="49" t="s">
        <v>51</v>
      </c>
    </row>
    <row r="54" spans="1:3" x14ac:dyDescent="0.3">
      <c r="A54">
        <v>1</v>
      </c>
      <c r="B54" s="49" t="s">
        <v>52</v>
      </c>
    </row>
    <row r="55" spans="1:3" x14ac:dyDescent="0.3">
      <c r="C55" s="49" t="s">
        <v>53</v>
      </c>
    </row>
    <row r="56" spans="1:3" x14ac:dyDescent="0.3">
      <c r="A56">
        <v>1</v>
      </c>
      <c r="B56" s="49" t="s">
        <v>54</v>
      </c>
    </row>
    <row r="57" spans="1:3" x14ac:dyDescent="0.3">
      <c r="A57">
        <v>1</v>
      </c>
      <c r="B57" s="49" t="s">
        <v>55</v>
      </c>
    </row>
    <row r="58" spans="1:3" x14ac:dyDescent="0.3">
      <c r="A58">
        <v>1</v>
      </c>
      <c r="B58" s="49" t="s">
        <v>56</v>
      </c>
    </row>
    <row r="59" spans="1:3" x14ac:dyDescent="0.3">
      <c r="A59">
        <v>1</v>
      </c>
      <c r="B59" s="49" t="s">
        <v>57</v>
      </c>
    </row>
    <row r="60" spans="1:3" x14ac:dyDescent="0.3">
      <c r="A60">
        <v>1</v>
      </c>
      <c r="B60" s="49" t="s">
        <v>58</v>
      </c>
    </row>
    <row r="61" spans="1:3" x14ac:dyDescent="0.3">
      <c r="A61">
        <v>1</v>
      </c>
      <c r="B61" s="49" t="s">
        <v>59</v>
      </c>
    </row>
    <row r="62" spans="1:3" x14ac:dyDescent="0.3">
      <c r="A62">
        <v>1</v>
      </c>
      <c r="B62" s="49" t="s">
        <v>60</v>
      </c>
    </row>
    <row r="63" spans="1:3" x14ac:dyDescent="0.3">
      <c r="A63">
        <v>1</v>
      </c>
      <c r="B63" s="49" t="s">
        <v>61</v>
      </c>
    </row>
    <row r="64" spans="1:3" x14ac:dyDescent="0.3">
      <c r="A64">
        <v>1</v>
      </c>
      <c r="B64" s="49" t="s">
        <v>62</v>
      </c>
    </row>
    <row r="65" spans="1:3" x14ac:dyDescent="0.3">
      <c r="A65">
        <v>1</v>
      </c>
      <c r="B65" s="49" t="s">
        <v>63</v>
      </c>
    </row>
    <row r="66" spans="1:3" x14ac:dyDescent="0.3">
      <c r="A66">
        <v>1</v>
      </c>
      <c r="B66" s="49" t="s">
        <v>64</v>
      </c>
    </row>
    <row r="67" spans="1:3" x14ac:dyDescent="0.3">
      <c r="A67">
        <v>1</v>
      </c>
      <c r="B67" s="49" t="s">
        <v>65</v>
      </c>
    </row>
    <row r="68" spans="1:3" x14ac:dyDescent="0.3">
      <c r="A68">
        <v>1</v>
      </c>
      <c r="B68" s="49" t="s">
        <v>66</v>
      </c>
    </row>
    <row r="69" spans="1:3" x14ac:dyDescent="0.3">
      <c r="A69">
        <v>1</v>
      </c>
      <c r="B69" s="49" t="s">
        <v>67</v>
      </c>
    </row>
    <row r="70" spans="1:3" x14ac:dyDescent="0.3">
      <c r="B70" s="49"/>
      <c r="C70" t="s">
        <v>94</v>
      </c>
    </row>
    <row r="71" spans="1:3" x14ac:dyDescent="0.3">
      <c r="A71">
        <v>22</v>
      </c>
    </row>
    <row r="73" spans="1:3" x14ac:dyDescent="0.3">
      <c r="C73" t="s">
        <v>95</v>
      </c>
    </row>
    <row r="74" spans="1:3" x14ac:dyDescent="0.3">
      <c r="A74">
        <v>22</v>
      </c>
    </row>
    <row r="75" spans="1:3" x14ac:dyDescent="0.3">
      <c r="A75">
        <f>SUM(A1:A74)</f>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S37"/>
  <sheetViews>
    <sheetView showGridLines="0" topLeftCell="A7" zoomScale="70" zoomScaleNormal="70" workbookViewId="0">
      <selection activeCell="G21" sqref="G21"/>
    </sheetView>
  </sheetViews>
  <sheetFormatPr defaultColWidth="11.5546875" defaultRowHeight="14.4" x14ac:dyDescent="0.3"/>
  <cols>
    <col min="2" max="2" width="22.33203125" customWidth="1"/>
    <col min="6" max="6" width="12" bestFit="1" customWidth="1"/>
    <col min="7" max="7" width="13.6640625" bestFit="1" customWidth="1"/>
    <col min="8" max="19" width="12" bestFit="1" customWidth="1"/>
  </cols>
  <sheetData>
    <row r="1" spans="1:15" x14ac:dyDescent="0.3">
      <c r="A1" s="7" t="s">
        <v>4</v>
      </c>
      <c r="B1" s="2"/>
      <c r="C1" s="2"/>
      <c r="D1" s="2"/>
    </row>
    <row r="2" spans="1:15" x14ac:dyDescent="0.3">
      <c r="A2" s="3" t="s">
        <v>0</v>
      </c>
      <c r="B2" s="3"/>
      <c r="C2" s="3"/>
      <c r="D2" s="3">
        <v>14</v>
      </c>
    </row>
    <row r="3" spans="1:15" ht="15" thickBot="1" x14ac:dyDescent="0.35">
      <c r="A3" s="4" t="s">
        <v>2</v>
      </c>
      <c r="B3" s="4"/>
      <c r="C3" s="4"/>
      <c r="D3" s="41">
        <v>0.12</v>
      </c>
    </row>
    <row r="4" spans="1:15" ht="15" thickBot="1" x14ac:dyDescent="0.35">
      <c r="L4" s="38"/>
    </row>
    <row r="5" spans="1:15" ht="15" thickBot="1" x14ac:dyDescent="0.35">
      <c r="A5" s="6" t="s">
        <v>5</v>
      </c>
      <c r="B5" s="6"/>
      <c r="C5" s="6"/>
      <c r="D5" s="6"/>
      <c r="E5" s="6"/>
      <c r="F5" s="6" t="s">
        <v>6</v>
      </c>
      <c r="G5" s="6" t="s">
        <v>3</v>
      </c>
      <c r="H5" s="6" t="s">
        <v>7</v>
      </c>
      <c r="I5" s="48" t="s">
        <v>20</v>
      </c>
      <c r="J5" s="48"/>
      <c r="K5" s="48"/>
      <c r="L5" s="48"/>
      <c r="M5" s="48"/>
      <c r="N5" s="48"/>
    </row>
    <row r="6" spans="1:15" x14ac:dyDescent="0.3">
      <c r="A6" s="3" t="s">
        <v>103</v>
      </c>
      <c r="B6" s="3"/>
      <c r="C6" s="3"/>
      <c r="D6" s="3"/>
      <c r="E6" s="3"/>
      <c r="F6" s="43">
        <f>G6*0.9</f>
        <v>10260</v>
      </c>
      <c r="G6" s="43">
        <f>HT_1_3!J8</f>
        <v>11400</v>
      </c>
      <c r="H6" s="43">
        <f>G6*1.1</f>
        <v>12540.000000000002</v>
      </c>
      <c r="I6" s="53"/>
      <c r="J6" s="46"/>
      <c r="K6" s="46"/>
      <c r="L6" s="46"/>
      <c r="M6" s="46"/>
      <c r="N6" s="46"/>
      <c r="O6" s="42">
        <f>SUM(G6:G9)</f>
        <v>600600</v>
      </c>
    </row>
    <row r="7" spans="1:15" x14ac:dyDescent="0.3">
      <c r="A7" s="3" t="s">
        <v>104</v>
      </c>
      <c r="B7" s="3"/>
      <c r="C7" s="3"/>
      <c r="D7" s="3"/>
      <c r="E7" s="3"/>
      <c r="F7" s="43">
        <f>G7*0.9</f>
        <v>30240</v>
      </c>
      <c r="G7" s="43">
        <f>HT_1_3!J9</f>
        <v>33600</v>
      </c>
      <c r="H7" s="43">
        <f>G7*1.1</f>
        <v>36960</v>
      </c>
      <c r="I7" s="53"/>
      <c r="J7" s="46"/>
      <c r="K7" s="46"/>
      <c r="L7" s="46"/>
      <c r="M7" s="46"/>
      <c r="N7" s="46"/>
    </row>
    <row r="8" spans="1:15" x14ac:dyDescent="0.3">
      <c r="A8" s="3" t="s">
        <v>105</v>
      </c>
      <c r="B8" s="3"/>
      <c r="C8" s="3"/>
      <c r="D8" s="3"/>
      <c r="E8" s="3"/>
      <c r="F8" s="43">
        <f>G8*0.9</f>
        <v>122580</v>
      </c>
      <c r="G8" s="43">
        <f>HT_1_3!J10</f>
        <v>136200</v>
      </c>
      <c r="H8" s="43">
        <f>G8*1.1</f>
        <v>149820</v>
      </c>
      <c r="I8" s="53"/>
      <c r="J8" s="46"/>
      <c r="K8" s="46"/>
      <c r="L8" s="46"/>
      <c r="M8" s="46"/>
      <c r="N8" s="46"/>
    </row>
    <row r="9" spans="1:15" x14ac:dyDescent="0.3">
      <c r="A9" s="3" t="s">
        <v>106</v>
      </c>
      <c r="B9" s="3"/>
      <c r="C9" s="3"/>
      <c r="D9" s="3"/>
      <c r="E9" s="3"/>
      <c r="F9" s="43">
        <f>G9*0.9</f>
        <v>377460</v>
      </c>
      <c r="G9" s="43">
        <f>HT_1_3!J11</f>
        <v>419400</v>
      </c>
      <c r="H9" s="43">
        <f>G9*1.1</f>
        <v>461340.00000000006</v>
      </c>
      <c r="I9" s="53"/>
      <c r="J9" s="46"/>
      <c r="K9" s="46"/>
      <c r="L9" s="46"/>
      <c r="M9" s="46"/>
      <c r="N9" s="46"/>
    </row>
    <row r="10" spans="1:15" x14ac:dyDescent="0.3">
      <c r="A10" s="3" t="s">
        <v>107</v>
      </c>
      <c r="B10" s="39"/>
      <c r="C10" s="39"/>
      <c r="D10" s="39"/>
      <c r="E10" s="39"/>
      <c r="F10" s="58">
        <f>G10*0.5</f>
        <v>2.5</v>
      </c>
      <c r="G10" s="58">
        <v>5</v>
      </c>
      <c r="H10" s="58">
        <f>G10*1.5</f>
        <v>7.5</v>
      </c>
      <c r="I10" s="54" t="s">
        <v>112</v>
      </c>
      <c r="J10" s="46"/>
      <c r="K10" s="46"/>
      <c r="L10" s="46"/>
      <c r="M10" s="46"/>
      <c r="N10" s="46"/>
    </row>
    <row r="11" spans="1:15" x14ac:dyDescent="0.3">
      <c r="A11" s="3" t="s">
        <v>108</v>
      </c>
      <c r="B11" s="39"/>
      <c r="C11" s="39"/>
      <c r="D11" s="39"/>
      <c r="E11" s="39"/>
      <c r="F11" s="58">
        <f>G11*0.5</f>
        <v>0.5</v>
      </c>
      <c r="G11" s="58">
        <v>1</v>
      </c>
      <c r="H11" s="58">
        <f>G11*1.5</f>
        <v>1.5</v>
      </c>
      <c r="I11" s="54" t="s">
        <v>112</v>
      </c>
      <c r="J11" s="46"/>
      <c r="K11" s="46"/>
      <c r="L11" s="46"/>
      <c r="M11" s="46"/>
      <c r="N11" s="46"/>
    </row>
    <row r="12" spans="1:15" x14ac:dyDescent="0.3">
      <c r="A12" s="3" t="s">
        <v>109</v>
      </c>
      <c r="B12" s="39"/>
      <c r="C12" s="39"/>
      <c r="D12" s="39"/>
      <c r="E12" s="39"/>
      <c r="F12" s="58">
        <f>G12*0.5</f>
        <v>0.25</v>
      </c>
      <c r="G12" s="58">
        <v>0.5</v>
      </c>
      <c r="H12" s="58">
        <f>G12*1.5</f>
        <v>0.75</v>
      </c>
      <c r="I12" s="54" t="s">
        <v>112</v>
      </c>
      <c r="J12" s="46"/>
      <c r="K12" s="46"/>
      <c r="L12" s="46"/>
      <c r="M12" s="46"/>
      <c r="N12" s="46"/>
    </row>
    <row r="13" spans="1:15" x14ac:dyDescent="0.3">
      <c r="A13" s="3" t="s">
        <v>110</v>
      </c>
      <c r="B13" s="39"/>
      <c r="C13" s="39"/>
      <c r="D13" s="39"/>
      <c r="E13" s="39"/>
      <c r="F13" s="58">
        <f>G13*0.5</f>
        <v>0.05</v>
      </c>
      <c r="G13" s="58">
        <v>0.1</v>
      </c>
      <c r="H13" s="58">
        <f>G13*1.5</f>
        <v>0.15000000000000002</v>
      </c>
      <c r="I13" s="54" t="s">
        <v>190</v>
      </c>
      <c r="J13" s="46"/>
      <c r="K13" s="46"/>
      <c r="L13" s="46"/>
      <c r="M13" s="46"/>
      <c r="N13" s="46"/>
    </row>
    <row r="14" spans="1:15" x14ac:dyDescent="0.3">
      <c r="A14" s="3" t="s">
        <v>119</v>
      </c>
      <c r="B14" s="3"/>
      <c r="C14" s="3"/>
      <c r="D14" s="3"/>
      <c r="E14" s="3"/>
      <c r="F14" s="43">
        <v>520</v>
      </c>
      <c r="G14" s="43">
        <f>1566200/1550</f>
        <v>1010.4516129032259</v>
      </c>
      <c r="H14" s="43">
        <v>1500</v>
      </c>
      <c r="I14" s="54" t="s">
        <v>127</v>
      </c>
      <c r="J14" s="46"/>
      <c r="K14" s="46"/>
      <c r="L14" s="46"/>
      <c r="M14" s="46"/>
      <c r="N14" s="46"/>
    </row>
    <row r="15" spans="1:15" x14ac:dyDescent="0.3">
      <c r="A15" s="10" t="s">
        <v>113</v>
      </c>
      <c r="B15" s="10"/>
      <c r="C15" s="10"/>
      <c r="D15" s="10"/>
      <c r="E15" s="10"/>
      <c r="F15" s="58">
        <f>F14/(22*8)</f>
        <v>2.9545454545454546</v>
      </c>
      <c r="G15" s="58">
        <f>G14/(22*8)</f>
        <v>5.7412023460410557</v>
      </c>
      <c r="H15" s="58">
        <f>H14/(22*8)</f>
        <v>8.5227272727272734</v>
      </c>
      <c r="I15" s="56" t="s">
        <v>111</v>
      </c>
      <c r="J15" s="46"/>
      <c r="K15" s="46"/>
      <c r="L15" s="46"/>
      <c r="M15" s="46"/>
      <c r="N15" s="46"/>
    </row>
    <row r="16" spans="1:15" x14ac:dyDescent="0.3">
      <c r="A16" s="10" t="s">
        <v>114</v>
      </c>
      <c r="B16" s="10"/>
      <c r="C16" s="10"/>
      <c r="D16" s="10"/>
      <c r="E16" s="10"/>
      <c r="F16" s="43">
        <v>12</v>
      </c>
      <c r="G16" s="43">
        <v>12</v>
      </c>
      <c r="H16" s="43">
        <v>12</v>
      </c>
      <c r="I16" s="44"/>
      <c r="J16" s="46"/>
      <c r="K16" s="46"/>
      <c r="L16" s="46"/>
      <c r="M16" s="46"/>
      <c r="N16" s="46"/>
    </row>
    <row r="17" spans="1:19" x14ac:dyDescent="0.3">
      <c r="A17" s="3" t="s">
        <v>115</v>
      </c>
      <c r="B17" s="10"/>
      <c r="C17" s="10"/>
      <c r="D17" s="10"/>
      <c r="E17" s="10"/>
      <c r="F17" s="43">
        <f>F6*F10*F15*F16</f>
        <v>909409.09090909094</v>
      </c>
      <c r="G17" s="43">
        <f>G6*G10*G15*G16</f>
        <v>3926982.4046920827</v>
      </c>
      <c r="H17" s="43">
        <f>H6*H10*H15*H16</f>
        <v>9618750.0000000037</v>
      </c>
      <c r="I17" s="44"/>
      <c r="J17" s="46"/>
      <c r="K17" s="46"/>
      <c r="L17" s="46"/>
      <c r="M17" s="46"/>
      <c r="N17" s="46"/>
    </row>
    <row r="18" spans="1:19" x14ac:dyDescent="0.3">
      <c r="A18" s="3" t="s">
        <v>116</v>
      </c>
      <c r="B18" s="10"/>
      <c r="C18" s="10"/>
      <c r="D18" s="10"/>
      <c r="E18" s="10"/>
      <c r="F18" s="43">
        <f>F7*F11*F15*F16</f>
        <v>536072.72727272729</v>
      </c>
      <c r="G18" s="43">
        <f>G7*G11*G15*G16</f>
        <v>2314852.7859237539</v>
      </c>
      <c r="H18" s="43">
        <f>H7*H11*H15*H16</f>
        <v>5670000.0000000009</v>
      </c>
      <c r="I18" s="44"/>
      <c r="J18" s="46"/>
      <c r="K18" s="46"/>
      <c r="L18" s="46"/>
      <c r="M18" s="46"/>
      <c r="N18" s="46"/>
    </row>
    <row r="19" spans="1:19" x14ac:dyDescent="0.3">
      <c r="A19" s="3" t="s">
        <v>117</v>
      </c>
      <c r="B19" s="10"/>
      <c r="C19" s="10"/>
      <c r="D19" s="10"/>
      <c r="E19" s="10"/>
      <c r="F19" s="43">
        <f>F8*F12*F15*F16</f>
        <v>1086504.5454545454</v>
      </c>
      <c r="G19" s="43">
        <f>G8*G12*G15*G16</f>
        <v>4691710.5571847502</v>
      </c>
      <c r="H19" s="43">
        <f>H8*H12*H15*H16</f>
        <v>11491875.000000002</v>
      </c>
      <c r="I19" s="44"/>
      <c r="J19" s="46"/>
      <c r="K19" s="46"/>
      <c r="L19" s="46"/>
      <c r="M19" s="46"/>
      <c r="N19" s="46"/>
    </row>
    <row r="20" spans="1:19" x14ac:dyDescent="0.3">
      <c r="A20" s="3" t="s">
        <v>118</v>
      </c>
      <c r="B20" s="10"/>
      <c r="C20" s="10"/>
      <c r="D20" s="10"/>
      <c r="E20" s="10"/>
      <c r="F20" s="43">
        <f>F9*F13*F15*F16</f>
        <v>669133.63636363647</v>
      </c>
      <c r="G20" s="43">
        <f>G9*G13*G15*G16</f>
        <v>2889432.3167155427</v>
      </c>
      <c r="H20" s="43">
        <f>H9*H13*H15*H16</f>
        <v>7077375.0000000019</v>
      </c>
      <c r="I20" s="44"/>
      <c r="J20" s="46"/>
      <c r="K20" s="46"/>
      <c r="L20" s="46"/>
      <c r="M20" s="46"/>
      <c r="N20" s="46"/>
    </row>
    <row r="21" spans="1:19" ht="41.25" customHeight="1" x14ac:dyDescent="0.3">
      <c r="A21" s="3" t="s">
        <v>138</v>
      </c>
      <c r="B21" s="3"/>
      <c r="C21" s="3"/>
      <c r="D21" s="3"/>
      <c r="E21" s="3"/>
      <c r="F21" s="45">
        <f>G21*0.9</f>
        <v>1.008E-2</v>
      </c>
      <c r="G21" s="45">
        <v>1.12E-2</v>
      </c>
      <c r="H21" s="45">
        <f>G21*1.1</f>
        <v>1.2320000000000001E-2</v>
      </c>
      <c r="I21" s="160" t="s">
        <v>126</v>
      </c>
      <c r="J21" s="160"/>
      <c r="K21" s="160"/>
      <c r="L21" s="160"/>
      <c r="M21" s="160"/>
      <c r="N21" s="160"/>
    </row>
    <row r="22" spans="1:19" s="153" customFormat="1" x14ac:dyDescent="0.3">
      <c r="A22" s="155" t="s">
        <v>240</v>
      </c>
      <c r="B22" s="155"/>
      <c r="C22" s="155"/>
      <c r="D22" s="155"/>
      <c r="E22" s="155"/>
      <c r="F22" s="151">
        <f>G22*0.5</f>
        <v>0.2</v>
      </c>
      <c r="G22" s="151">
        <v>0.4</v>
      </c>
      <c r="H22" s="151">
        <f>G22*1.5</f>
        <v>0.60000000000000009</v>
      </c>
      <c r="I22" s="152"/>
      <c r="J22" s="155"/>
      <c r="K22" s="155"/>
      <c r="L22" s="155"/>
      <c r="M22" s="155"/>
      <c r="N22" s="155"/>
    </row>
    <row r="24" spans="1:19" ht="15" thickBot="1" x14ac:dyDescent="0.35"/>
    <row r="25" spans="1:19" ht="15" thickBot="1" x14ac:dyDescent="0.35">
      <c r="A25" s="6" t="s">
        <v>9</v>
      </c>
      <c r="B25" s="6"/>
      <c r="C25" s="6"/>
      <c r="D25" s="6"/>
      <c r="E25" s="6">
        <v>0</v>
      </c>
      <c r="F25" s="6">
        <v>1</v>
      </c>
      <c r="G25" s="6">
        <v>2</v>
      </c>
      <c r="H25" s="6">
        <v>3</v>
      </c>
      <c r="I25" s="6">
        <v>4</v>
      </c>
      <c r="J25" s="6">
        <v>5</v>
      </c>
      <c r="K25" s="6">
        <v>6</v>
      </c>
      <c r="L25" s="6">
        <v>7</v>
      </c>
      <c r="M25" s="6">
        <v>8</v>
      </c>
      <c r="N25" s="6">
        <v>9</v>
      </c>
      <c r="O25" s="6">
        <v>10</v>
      </c>
      <c r="P25" s="6">
        <v>11</v>
      </c>
      <c r="Q25" s="6">
        <v>12</v>
      </c>
      <c r="R25" s="6">
        <v>13</v>
      </c>
      <c r="S25" s="6">
        <v>14</v>
      </c>
    </row>
    <row r="26" spans="1:19" s="153" customFormat="1" x14ac:dyDescent="0.3">
      <c r="A26" s="157" t="s">
        <v>239</v>
      </c>
      <c r="B26" s="157"/>
      <c r="C26" s="157"/>
      <c r="D26" s="157"/>
      <c r="E26" s="158"/>
      <c r="F26" s="150">
        <v>0.2</v>
      </c>
      <c r="G26" s="150">
        <v>0.4</v>
      </c>
      <c r="H26" s="150">
        <v>0.6</v>
      </c>
      <c r="I26" s="150">
        <v>0.7</v>
      </c>
      <c r="J26" s="150">
        <v>0.7</v>
      </c>
      <c r="K26" s="150">
        <v>0.7</v>
      </c>
      <c r="L26" s="150">
        <v>0.7</v>
      </c>
      <c r="M26" s="150">
        <v>0.7</v>
      </c>
      <c r="N26" s="150">
        <v>0.7</v>
      </c>
      <c r="O26" s="150">
        <v>0.7</v>
      </c>
      <c r="P26" s="150">
        <v>0.7</v>
      </c>
      <c r="Q26" s="150">
        <v>0.6</v>
      </c>
      <c r="R26" s="150">
        <v>0.4</v>
      </c>
      <c r="S26" s="150">
        <v>0.2</v>
      </c>
    </row>
    <row r="27" spans="1:19" x14ac:dyDescent="0.3">
      <c r="A27" s="10" t="s">
        <v>123</v>
      </c>
      <c r="B27" s="3"/>
      <c r="C27" s="3"/>
      <c r="D27" s="3"/>
      <c r="E27" s="9"/>
      <c r="F27" s="9">
        <f>SUM($G$17:$G$20)*(1+G21)*F26</f>
        <v>2795559.0837677424</v>
      </c>
      <c r="G27" s="156">
        <f t="shared" ref="G27:S27" si="0">SUM($G$17:$G$20)*((1+$G$21)^G25)*G26</f>
        <v>5653738.6910118824</v>
      </c>
      <c r="H27" s="156">
        <f t="shared" si="0"/>
        <v>8575590.8465268221</v>
      </c>
      <c r="I27" s="156">
        <f t="shared" si="0"/>
        <v>10116910.374675911</v>
      </c>
      <c r="J27" s="156">
        <f t="shared" si="0"/>
        <v>10230219.770872282</v>
      </c>
      <c r="K27" s="156">
        <f t="shared" si="0"/>
        <v>10344798.232306052</v>
      </c>
      <c r="L27" s="156">
        <f t="shared" si="0"/>
        <v>10460659.972507883</v>
      </c>
      <c r="M27" s="156">
        <f t="shared" si="0"/>
        <v>10577819.36419997</v>
      </c>
      <c r="N27" s="156">
        <f t="shared" si="0"/>
        <v>10696290.941079011</v>
      </c>
      <c r="O27" s="156">
        <f t="shared" si="0"/>
        <v>10816089.399619095</v>
      </c>
      <c r="P27" s="156">
        <f t="shared" si="0"/>
        <v>10937229.600894831</v>
      </c>
      <c r="Q27" s="156">
        <f t="shared" si="0"/>
        <v>9479765.633507017</v>
      </c>
      <c r="R27" s="156">
        <f t="shared" si="0"/>
        <v>6390626.0057348646</v>
      </c>
      <c r="S27" s="156">
        <f t="shared" si="0"/>
        <v>3231100.5084995478</v>
      </c>
    </row>
    <row r="28" spans="1:19" x14ac:dyDescent="0.3">
      <c r="A28" s="3" t="s">
        <v>124</v>
      </c>
      <c r="B28" s="3"/>
      <c r="C28" s="3"/>
      <c r="D28" s="3"/>
      <c r="E28" s="9"/>
      <c r="F28" s="9">
        <f>F27*(1-$G$22)</f>
        <v>1677335.4502606455</v>
      </c>
      <c r="G28" s="156">
        <f t="shared" ref="G28:S28" si="1">G27*(1-$G$22)</f>
        <v>3392243.2146071293</v>
      </c>
      <c r="H28" s="156">
        <f t="shared" si="1"/>
        <v>5145354.5079160929</v>
      </c>
      <c r="I28" s="156">
        <f t="shared" si="1"/>
        <v>6070146.224805546</v>
      </c>
      <c r="J28" s="156">
        <f t="shared" si="1"/>
        <v>6138131.8625233686</v>
      </c>
      <c r="K28" s="156">
        <f t="shared" si="1"/>
        <v>6206878.9393836306</v>
      </c>
      <c r="L28" s="156">
        <f t="shared" si="1"/>
        <v>6276395.9835047293</v>
      </c>
      <c r="M28" s="156">
        <f t="shared" si="1"/>
        <v>6346691.6185199814</v>
      </c>
      <c r="N28" s="156">
        <f t="shared" si="1"/>
        <v>6417774.5646474063</v>
      </c>
      <c r="O28" s="156">
        <f t="shared" si="1"/>
        <v>6489653.6397714568</v>
      </c>
      <c r="P28" s="156">
        <f t="shared" si="1"/>
        <v>6562337.7605368989</v>
      </c>
      <c r="Q28" s="156">
        <f t="shared" si="1"/>
        <v>5687859.3801042102</v>
      </c>
      <c r="R28" s="156">
        <f t="shared" si="1"/>
        <v>3834375.6034409185</v>
      </c>
      <c r="S28" s="156">
        <f t="shared" si="1"/>
        <v>1938660.3050997285</v>
      </c>
    </row>
    <row r="29" spans="1:19" ht="15" thickBot="1" x14ac:dyDescent="0.35">
      <c r="A29" s="12"/>
      <c r="B29" s="12"/>
      <c r="C29" s="12"/>
      <c r="D29" s="12"/>
      <c r="E29" s="13"/>
      <c r="F29" s="13"/>
      <c r="G29" s="13"/>
      <c r="H29" s="13"/>
      <c r="I29" s="13"/>
      <c r="J29" s="13"/>
      <c r="K29" s="13"/>
      <c r="L29" s="13"/>
      <c r="M29" s="13"/>
      <c r="N29" s="13"/>
      <c r="O29" s="13"/>
      <c r="P29" s="13"/>
      <c r="Q29" s="13"/>
      <c r="R29" s="13"/>
      <c r="S29" s="13"/>
    </row>
    <row r="30" spans="1:19" ht="15" thickBot="1" x14ac:dyDescent="0.35">
      <c r="A30" s="5" t="s">
        <v>122</v>
      </c>
      <c r="B30" s="5"/>
      <c r="C30" s="5"/>
      <c r="D30" s="5"/>
      <c r="E30" s="14">
        <f>E27</f>
        <v>0</v>
      </c>
      <c r="F30" s="14">
        <f>F27-F28</f>
        <v>1118223.6335070969</v>
      </c>
      <c r="G30" s="14">
        <f t="shared" ref="G30:O30" si="2">G27-G28</f>
        <v>2261495.476404753</v>
      </c>
      <c r="H30" s="14">
        <f t="shared" si="2"/>
        <v>3430236.3386107292</v>
      </c>
      <c r="I30" s="14">
        <f t="shared" si="2"/>
        <v>4046764.1498703649</v>
      </c>
      <c r="J30" s="14">
        <f t="shared" si="2"/>
        <v>4092087.9083489133</v>
      </c>
      <c r="K30" s="14">
        <f t="shared" si="2"/>
        <v>4137919.2929224214</v>
      </c>
      <c r="L30" s="14">
        <f t="shared" si="2"/>
        <v>4184263.9890031535</v>
      </c>
      <c r="M30" s="14">
        <f t="shared" si="2"/>
        <v>4231127.7456799885</v>
      </c>
      <c r="N30" s="14">
        <f t="shared" si="2"/>
        <v>4278516.3764316048</v>
      </c>
      <c r="O30" s="14">
        <f t="shared" si="2"/>
        <v>4326435.7598476382</v>
      </c>
      <c r="P30" s="14">
        <f t="shared" ref="P30:S30" si="3">P27-P28</f>
        <v>4374891.8403579323</v>
      </c>
      <c r="Q30" s="14">
        <f t="shared" si="3"/>
        <v>3791906.2534028068</v>
      </c>
      <c r="R30" s="14">
        <f t="shared" si="3"/>
        <v>2556250.4022939461</v>
      </c>
      <c r="S30" s="14">
        <f t="shared" si="3"/>
        <v>1292440.2033998193</v>
      </c>
    </row>
    <row r="31" spans="1:19" ht="15" thickBot="1" x14ac:dyDescent="0.35">
      <c r="E31" s="1"/>
      <c r="F31" s="1"/>
      <c r="G31" s="1"/>
      <c r="H31" s="1"/>
      <c r="I31" s="1"/>
      <c r="J31" s="1"/>
      <c r="K31" s="1"/>
      <c r="L31" s="1"/>
      <c r="M31" s="1"/>
      <c r="N31" s="1"/>
      <c r="O31" s="1"/>
      <c r="P31" s="1"/>
    </row>
    <row r="32" spans="1:19" ht="15" thickBot="1" x14ac:dyDescent="0.35">
      <c r="A32" s="65" t="s">
        <v>1</v>
      </c>
      <c r="B32" s="66">
        <f>NPV($D$3,E30:S30)</f>
        <v>19510484.415891077</v>
      </c>
      <c r="D32" s="1"/>
      <c r="E32" s="1"/>
      <c r="F32" s="1"/>
      <c r="G32" s="1"/>
      <c r="H32" s="1"/>
      <c r="I32" s="1"/>
      <c r="J32" s="1"/>
      <c r="K32" s="1"/>
      <c r="L32" s="1"/>
      <c r="M32" s="1"/>
      <c r="N32" s="1"/>
      <c r="O32" s="1"/>
      <c r="P32" s="1"/>
    </row>
    <row r="33" spans="5:16" x14ac:dyDescent="0.3">
      <c r="E33" s="1"/>
      <c r="F33" s="1"/>
      <c r="G33" s="1"/>
      <c r="H33" s="1"/>
      <c r="I33" s="1"/>
      <c r="J33" s="1"/>
      <c r="K33" s="1"/>
      <c r="L33" s="1"/>
      <c r="M33" s="1"/>
      <c r="N33" s="1"/>
      <c r="O33" s="1"/>
      <c r="P33" s="1"/>
    </row>
    <row r="37" spans="5:16" x14ac:dyDescent="0.3">
      <c r="E37" s="8"/>
    </row>
  </sheetData>
  <mergeCells count="1">
    <mergeCell ref="I21:N2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Q16"/>
  <sheetViews>
    <sheetView workbookViewId="0">
      <selection activeCell="I8" sqref="I8:I11"/>
    </sheetView>
  </sheetViews>
  <sheetFormatPr defaultColWidth="11.5546875" defaultRowHeight="14.4" x14ac:dyDescent="0.3"/>
  <sheetData>
    <row r="1" spans="1:17" x14ac:dyDescent="0.3">
      <c r="A1" s="57" t="s">
        <v>90</v>
      </c>
    </row>
    <row r="2" spans="1:17" x14ac:dyDescent="0.3">
      <c r="A2" s="57" t="s">
        <v>125</v>
      </c>
    </row>
    <row r="3" spans="1:17" x14ac:dyDescent="0.3">
      <c r="A3" s="57" t="s">
        <v>128</v>
      </c>
    </row>
    <row r="4" spans="1:17" x14ac:dyDescent="0.3">
      <c r="A4" s="50">
        <v>600000</v>
      </c>
    </row>
    <row r="6" spans="1:17" x14ac:dyDescent="0.3">
      <c r="L6">
        <f>22*8</f>
        <v>176</v>
      </c>
    </row>
    <row r="8" spans="1:17" x14ac:dyDescent="0.3">
      <c r="I8">
        <v>1.9E-2</v>
      </c>
      <c r="J8" s="51">
        <f>I8*$A$4</f>
        <v>11400</v>
      </c>
      <c r="K8" s="51">
        <v>1000</v>
      </c>
      <c r="L8" s="52">
        <f>K8/$L$6</f>
        <v>5.6818181818181817</v>
      </c>
      <c r="M8" s="52">
        <v>1</v>
      </c>
      <c r="N8" s="52">
        <f>L8*M8</f>
        <v>5.6818181818181817</v>
      </c>
      <c r="O8" s="51">
        <v>12</v>
      </c>
      <c r="P8" s="51">
        <f>N8*O8</f>
        <v>68.181818181818187</v>
      </c>
      <c r="Q8" s="51">
        <f>P8*J8</f>
        <v>777272.72727272729</v>
      </c>
    </row>
    <row r="9" spans="1:17" x14ac:dyDescent="0.3">
      <c r="I9">
        <v>5.6000000000000001E-2</v>
      </c>
      <c r="J9" s="51">
        <f>I9*$A$4</f>
        <v>33600</v>
      </c>
      <c r="K9" s="51">
        <v>1000</v>
      </c>
      <c r="L9" s="52">
        <f>K9/$L$6</f>
        <v>5.6818181818181817</v>
      </c>
      <c r="M9" s="52">
        <v>0.5</v>
      </c>
      <c r="N9" s="52">
        <f>L9*M9</f>
        <v>2.8409090909090908</v>
      </c>
      <c r="O9" s="51">
        <v>12</v>
      </c>
      <c r="P9" s="51">
        <f>N9*O9</f>
        <v>34.090909090909093</v>
      </c>
      <c r="Q9" s="51">
        <f>P9*J9</f>
        <v>1145454.5454545456</v>
      </c>
    </row>
    <row r="10" spans="1:17" x14ac:dyDescent="0.3">
      <c r="I10">
        <v>0.22700000000000001</v>
      </c>
      <c r="J10" s="51">
        <f>I10*$A$4</f>
        <v>136200</v>
      </c>
      <c r="K10" s="51">
        <v>1000</v>
      </c>
      <c r="L10" s="52">
        <f>K10/$L$6</f>
        <v>5.6818181818181817</v>
      </c>
      <c r="M10" s="52">
        <v>0.25</v>
      </c>
      <c r="N10" s="52">
        <f>L10*M10</f>
        <v>1.4204545454545454</v>
      </c>
      <c r="O10" s="51">
        <v>12</v>
      </c>
      <c r="P10" s="51">
        <f>N10*O10</f>
        <v>17.045454545454547</v>
      </c>
      <c r="Q10" s="51">
        <f>P10*J10</f>
        <v>2321590.9090909092</v>
      </c>
    </row>
    <row r="11" spans="1:17" x14ac:dyDescent="0.3">
      <c r="I11">
        <v>0.69899999999999995</v>
      </c>
      <c r="J11" s="51">
        <f>I11*$A$4</f>
        <v>419400</v>
      </c>
      <c r="K11" s="51">
        <v>1000</v>
      </c>
      <c r="L11" s="52">
        <f>K11/$L$6</f>
        <v>5.6818181818181817</v>
      </c>
      <c r="M11" s="52">
        <v>0.01</v>
      </c>
      <c r="N11" s="52">
        <f>L11*M11</f>
        <v>5.6818181818181816E-2</v>
      </c>
      <c r="O11" s="51">
        <v>12</v>
      </c>
      <c r="P11" s="51">
        <f>N11*O11</f>
        <v>0.68181818181818177</v>
      </c>
      <c r="Q11" s="51">
        <f>P11*J11</f>
        <v>285954.54545454541</v>
      </c>
    </row>
    <row r="12" spans="1:17" x14ac:dyDescent="0.3">
      <c r="I12">
        <f>SUM(I8:I11)</f>
        <v>1.0009999999999999</v>
      </c>
      <c r="J12" s="51">
        <f>SUM(J8:J11)</f>
        <v>600600</v>
      </c>
      <c r="Q12" s="51">
        <f>SUM(Q8:Q11)</f>
        <v>4530272.7272727266</v>
      </c>
    </row>
    <row r="14" spans="1:17" x14ac:dyDescent="0.3">
      <c r="I14" t="s">
        <v>91</v>
      </c>
    </row>
    <row r="15" spans="1:17" x14ac:dyDescent="0.3">
      <c r="I15" t="s">
        <v>92</v>
      </c>
    </row>
    <row r="16" spans="1:17" x14ac:dyDescent="0.3">
      <c r="I16" t="s">
        <v>93</v>
      </c>
    </row>
  </sheetData>
  <hyperlinks>
    <hyperlink ref="A1" r:id="rId1"/>
    <hyperlink ref="A2" r:id="rId2"/>
    <hyperlink ref="A3" r:id="rId3"/>
  </hyperlinks>
  <pageMargins left="0.7" right="0.7" top="0.75" bottom="0.75" header="0.3" footer="0.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S30"/>
  <sheetViews>
    <sheetView showGridLines="0" zoomScale="75" zoomScaleNormal="75" workbookViewId="0">
      <selection activeCell="J29" sqref="J29"/>
    </sheetView>
  </sheetViews>
  <sheetFormatPr defaultColWidth="11.5546875" defaultRowHeight="14.4" x14ac:dyDescent="0.3"/>
  <cols>
    <col min="2" max="2" width="22.33203125" customWidth="1"/>
    <col min="6" max="6" width="12" bestFit="1" customWidth="1"/>
    <col min="7" max="7" width="13.6640625" bestFit="1" customWidth="1"/>
    <col min="8" max="16" width="12" bestFit="1" customWidth="1"/>
    <col min="17" max="19" width="12.5546875" bestFit="1" customWidth="1"/>
  </cols>
  <sheetData>
    <row r="1" spans="1:15" x14ac:dyDescent="0.3">
      <c r="A1" s="7" t="s">
        <v>4</v>
      </c>
      <c r="B1" s="2"/>
      <c r="C1" s="2"/>
      <c r="D1" s="2"/>
    </row>
    <row r="2" spans="1:15" x14ac:dyDescent="0.3">
      <c r="A2" s="3" t="s">
        <v>0</v>
      </c>
      <c r="B2" s="3"/>
      <c r="C2" s="3"/>
      <c r="D2" s="3">
        <v>14</v>
      </c>
    </row>
    <row r="3" spans="1:15" ht="15" thickBot="1" x14ac:dyDescent="0.35">
      <c r="A3" s="4" t="s">
        <v>2</v>
      </c>
      <c r="B3" s="4"/>
      <c r="C3" s="4"/>
      <c r="D3" s="41">
        <v>0.12</v>
      </c>
    </row>
    <row r="4" spans="1:15" ht="15" thickBot="1" x14ac:dyDescent="0.35">
      <c r="L4" s="38"/>
    </row>
    <row r="5" spans="1:15" ht="15" thickBot="1" x14ac:dyDescent="0.35">
      <c r="A5" s="6" t="s">
        <v>5</v>
      </c>
      <c r="B5" s="6"/>
      <c r="C5" s="6"/>
      <c r="D5" s="6"/>
      <c r="E5" s="6"/>
      <c r="F5" s="6" t="s">
        <v>6</v>
      </c>
      <c r="G5" s="6" t="s">
        <v>3</v>
      </c>
      <c r="H5" s="6" t="s">
        <v>7</v>
      </c>
      <c r="I5" s="119" t="s">
        <v>20</v>
      </c>
      <c r="J5" s="119"/>
      <c r="K5" s="119"/>
      <c r="L5" s="119"/>
      <c r="M5" s="119"/>
      <c r="N5" s="119"/>
    </row>
    <row r="6" spans="1:15" x14ac:dyDescent="0.3">
      <c r="A6" s="3" t="s">
        <v>186</v>
      </c>
      <c r="B6" s="3"/>
      <c r="C6" s="3"/>
      <c r="D6" s="3"/>
      <c r="E6" s="3"/>
      <c r="F6" s="43">
        <f>G6*0.9</f>
        <v>36270000</v>
      </c>
      <c r="G6" s="43">
        <v>40300000</v>
      </c>
      <c r="H6" s="43">
        <f>G6*1.1</f>
        <v>44330000</v>
      </c>
      <c r="I6" s="53"/>
      <c r="J6" s="46"/>
      <c r="K6" s="46"/>
      <c r="L6" s="46"/>
      <c r="M6" s="46"/>
      <c r="N6" s="46"/>
    </row>
    <row r="7" spans="1:15" x14ac:dyDescent="0.3">
      <c r="A7" s="3" t="s">
        <v>187</v>
      </c>
      <c r="B7" s="3"/>
      <c r="C7" s="3"/>
      <c r="D7" s="3"/>
      <c r="E7" s="3"/>
      <c r="F7" s="43">
        <f>G7*0.9</f>
        <v>17586000</v>
      </c>
      <c r="G7" s="43">
        <v>19540000</v>
      </c>
      <c r="H7" s="43">
        <f>G7*1.1</f>
        <v>21494000</v>
      </c>
      <c r="I7" s="129" t="s">
        <v>188</v>
      </c>
      <c r="J7" s="46"/>
      <c r="K7" s="46"/>
      <c r="L7" s="46"/>
      <c r="M7" s="46"/>
      <c r="N7" s="46"/>
    </row>
    <row r="8" spans="1:15" x14ac:dyDescent="0.3">
      <c r="A8" s="3" t="s">
        <v>189</v>
      </c>
      <c r="B8" s="3"/>
      <c r="C8" s="3"/>
      <c r="D8" s="3"/>
      <c r="E8" s="3"/>
      <c r="F8" s="43">
        <f t="shared" ref="F8" si="0">G8*0.9</f>
        <v>8316000</v>
      </c>
      <c r="G8" s="43">
        <v>9240000</v>
      </c>
      <c r="H8" s="43">
        <f t="shared" ref="H8" si="1">G8*1.1</f>
        <v>10164000</v>
      </c>
      <c r="I8" s="53" t="s">
        <v>196</v>
      </c>
      <c r="J8" s="46"/>
      <c r="K8" s="46"/>
      <c r="L8" s="46"/>
      <c r="M8" s="46"/>
      <c r="N8" s="46"/>
    </row>
    <row r="9" spans="1:15" x14ac:dyDescent="0.3">
      <c r="A9" s="3" t="s">
        <v>191</v>
      </c>
      <c r="B9" s="39"/>
      <c r="C9" s="39"/>
      <c r="D9" s="39"/>
      <c r="E9" s="39"/>
      <c r="F9" s="130">
        <f>G9*0.5</f>
        <v>1.2500000000000001E-2</v>
      </c>
      <c r="G9" s="130">
        <v>2.5000000000000001E-2</v>
      </c>
      <c r="H9" s="130">
        <f>G9*1.5</f>
        <v>3.7500000000000006E-2</v>
      </c>
      <c r="I9" s="54" t="s">
        <v>192</v>
      </c>
      <c r="J9" s="46"/>
      <c r="K9" s="46"/>
      <c r="L9" s="46"/>
      <c r="M9" s="46"/>
      <c r="N9" s="46"/>
      <c r="O9" s="128"/>
    </row>
    <row r="10" spans="1:15" x14ac:dyDescent="0.3">
      <c r="A10" s="3" t="s">
        <v>119</v>
      </c>
      <c r="B10" s="3"/>
      <c r="C10" s="3"/>
      <c r="D10" s="3"/>
      <c r="E10" s="3"/>
      <c r="F10" s="43">
        <v>520</v>
      </c>
      <c r="G10" s="43">
        <f>1566200/1550</f>
        <v>1010.4516129032259</v>
      </c>
      <c r="H10" s="43">
        <v>1500</v>
      </c>
      <c r="I10" s="54" t="s">
        <v>127</v>
      </c>
      <c r="J10" s="46"/>
      <c r="K10" s="46"/>
      <c r="L10" s="46"/>
      <c r="M10" s="46"/>
      <c r="N10" s="46"/>
    </row>
    <row r="11" spans="1:15" x14ac:dyDescent="0.3">
      <c r="A11" s="10" t="s">
        <v>113</v>
      </c>
      <c r="B11" s="10"/>
      <c r="C11" s="10"/>
      <c r="D11" s="10"/>
      <c r="E11" s="10"/>
      <c r="F11" s="58">
        <f>F10/(22*8)</f>
        <v>2.9545454545454546</v>
      </c>
      <c r="G11" s="58">
        <f>G10/(22*8)</f>
        <v>5.7412023460410557</v>
      </c>
      <c r="H11" s="58">
        <f>H10/(22*8)</f>
        <v>8.5227272727272734</v>
      </c>
      <c r="I11" s="56" t="s">
        <v>111</v>
      </c>
      <c r="J11" s="46"/>
      <c r="K11" s="46"/>
      <c r="L11" s="46"/>
      <c r="M11" s="46"/>
      <c r="N11" s="46"/>
    </row>
    <row r="12" spans="1:15" x14ac:dyDescent="0.3">
      <c r="A12" s="10" t="s">
        <v>114</v>
      </c>
      <c r="B12" s="10"/>
      <c r="C12" s="10"/>
      <c r="D12" s="10"/>
      <c r="E12" s="10"/>
      <c r="F12" s="43">
        <v>12</v>
      </c>
      <c r="G12" s="43">
        <v>12</v>
      </c>
      <c r="H12" s="43">
        <v>12</v>
      </c>
      <c r="I12" s="44"/>
      <c r="J12" s="46"/>
      <c r="K12" s="46"/>
      <c r="L12" s="46"/>
      <c r="M12" s="46"/>
      <c r="N12" s="46"/>
    </row>
    <row r="13" spans="1:15" x14ac:dyDescent="0.3">
      <c r="A13" s="3" t="s">
        <v>115</v>
      </c>
      <c r="B13" s="10"/>
      <c r="C13" s="10"/>
      <c r="D13" s="10"/>
      <c r="E13" s="10"/>
      <c r="F13" s="43">
        <f>F8*F9*F11*F12</f>
        <v>3685500</v>
      </c>
      <c r="G13" s="43">
        <f>G8*G9*G11*G12</f>
        <v>15914612.903225806</v>
      </c>
      <c r="H13" s="43">
        <f>H8*H9*H11*H12</f>
        <v>38981250.000000015</v>
      </c>
      <c r="I13" s="44"/>
      <c r="J13" s="46"/>
      <c r="K13" s="46"/>
      <c r="L13" s="46"/>
      <c r="M13" s="46"/>
      <c r="N13" s="46"/>
    </row>
    <row r="14" spans="1:15" ht="41.25" customHeight="1" x14ac:dyDescent="0.3">
      <c r="A14" s="3" t="s">
        <v>138</v>
      </c>
      <c r="B14" s="3"/>
      <c r="C14" s="3"/>
      <c r="D14" s="3"/>
      <c r="E14" s="3"/>
      <c r="F14" s="45">
        <f>G14*0.9</f>
        <v>1.008E-2</v>
      </c>
      <c r="G14" s="45">
        <v>1.12E-2</v>
      </c>
      <c r="H14" s="45">
        <f>G14*1.1</f>
        <v>1.2320000000000001E-2</v>
      </c>
      <c r="I14" s="160" t="s">
        <v>126</v>
      </c>
      <c r="J14" s="160"/>
      <c r="K14" s="160"/>
      <c r="L14" s="160"/>
      <c r="M14" s="160"/>
      <c r="N14" s="160"/>
    </row>
    <row r="15" spans="1:15" s="153" customFormat="1" x14ac:dyDescent="0.3">
      <c r="A15" s="155" t="s">
        <v>240</v>
      </c>
      <c r="B15" s="155"/>
      <c r="C15" s="155"/>
      <c r="D15" s="155"/>
      <c r="E15" s="155"/>
      <c r="F15" s="151">
        <f>G15*0.5</f>
        <v>0.2</v>
      </c>
      <c r="G15" s="151">
        <v>0.4</v>
      </c>
      <c r="H15" s="151">
        <f>G15*1.5</f>
        <v>0.60000000000000009</v>
      </c>
      <c r="I15" s="152"/>
      <c r="J15" s="155"/>
      <c r="K15" s="155"/>
      <c r="L15" s="155"/>
      <c r="M15" s="155"/>
      <c r="N15" s="155"/>
    </row>
    <row r="17" spans="1:19" ht="15" thickBot="1" x14ac:dyDescent="0.35"/>
    <row r="18" spans="1:19" ht="15" thickBot="1" x14ac:dyDescent="0.35">
      <c r="A18" s="6" t="s">
        <v>9</v>
      </c>
      <c r="B18" s="6"/>
      <c r="C18" s="6"/>
      <c r="D18" s="6"/>
      <c r="E18" s="6">
        <v>0</v>
      </c>
      <c r="F18" s="6">
        <v>1</v>
      </c>
      <c r="G18" s="6">
        <v>2</v>
      </c>
      <c r="H18" s="6">
        <v>3</v>
      </c>
      <c r="I18" s="6">
        <v>4</v>
      </c>
      <c r="J18" s="6">
        <v>5</v>
      </c>
      <c r="K18" s="6">
        <v>6</v>
      </c>
      <c r="L18" s="6">
        <v>7</v>
      </c>
      <c r="M18" s="6">
        <v>8</v>
      </c>
      <c r="N18" s="6">
        <v>9</v>
      </c>
      <c r="O18" s="6">
        <v>10</v>
      </c>
      <c r="P18" s="6">
        <v>11</v>
      </c>
      <c r="Q18" s="6">
        <v>12</v>
      </c>
      <c r="R18" s="6">
        <v>13</v>
      </c>
      <c r="S18" s="6">
        <v>14</v>
      </c>
    </row>
    <row r="19" spans="1:19" s="153" customFormat="1" x14ac:dyDescent="0.3">
      <c r="A19" s="157" t="s">
        <v>239</v>
      </c>
      <c r="B19" s="157"/>
      <c r="C19" s="157"/>
      <c r="D19" s="157"/>
      <c r="E19" s="158"/>
      <c r="F19" s="150">
        <v>0.2</v>
      </c>
      <c r="G19" s="150">
        <v>0.4</v>
      </c>
      <c r="H19" s="150">
        <v>0.6</v>
      </c>
      <c r="I19" s="150">
        <v>0.7</v>
      </c>
      <c r="J19" s="150">
        <v>0.7</v>
      </c>
      <c r="K19" s="150">
        <v>0.7</v>
      </c>
      <c r="L19" s="150">
        <v>0.7</v>
      </c>
      <c r="M19" s="150">
        <v>0.7</v>
      </c>
      <c r="N19" s="150">
        <v>0.7</v>
      </c>
      <c r="O19" s="150">
        <v>0.7</v>
      </c>
      <c r="P19" s="150">
        <v>0.7</v>
      </c>
      <c r="Q19" s="150">
        <v>0.6</v>
      </c>
      <c r="R19" s="150">
        <v>0.4</v>
      </c>
      <c r="S19" s="150">
        <v>0.2</v>
      </c>
    </row>
    <row r="20" spans="1:19" x14ac:dyDescent="0.3">
      <c r="A20" s="10" t="s">
        <v>123</v>
      </c>
      <c r="B20" s="3"/>
      <c r="C20" s="3"/>
      <c r="D20" s="3"/>
      <c r="E20" s="9"/>
      <c r="F20" s="9">
        <f>$G$13*(1+$G$14)*F19</f>
        <v>3218571.3135483875</v>
      </c>
      <c r="G20" s="156">
        <f t="shared" ref="G20:S20" si="2">$G$13*((1+$G$14)^G18)*G19</f>
        <v>6509238.624520259</v>
      </c>
      <c r="H20" s="156">
        <f t="shared" si="2"/>
        <v>9873213.1456723288</v>
      </c>
      <c r="I20" s="156">
        <f t="shared" si="2"/>
        <v>11647758.655054502</v>
      </c>
      <c r="J20" s="156">
        <f t="shared" si="2"/>
        <v>11778213.551991114</v>
      </c>
      <c r="K20" s="156">
        <f t="shared" si="2"/>
        <v>11910129.543773415</v>
      </c>
      <c r="L20" s="156">
        <f t="shared" si="2"/>
        <v>12043522.99466368</v>
      </c>
      <c r="M20" s="156">
        <f t="shared" si="2"/>
        <v>12178410.452203911</v>
      </c>
      <c r="N20" s="156">
        <f t="shared" si="2"/>
        <v>12314808.649268597</v>
      </c>
      <c r="O20" s="156">
        <f t="shared" si="2"/>
        <v>12452734.506140407</v>
      </c>
      <c r="P20" s="156">
        <f t="shared" si="2"/>
        <v>12592205.132609179</v>
      </c>
      <c r="Q20" s="156">
        <f t="shared" si="2"/>
        <v>10914203.854366632</v>
      </c>
      <c r="R20" s="156">
        <f t="shared" si="2"/>
        <v>7357628.6250236928</v>
      </c>
      <c r="S20" s="156">
        <f t="shared" si="2"/>
        <v>3720017.0328119793</v>
      </c>
    </row>
    <row r="21" spans="1:19" x14ac:dyDescent="0.3">
      <c r="A21" s="3" t="s">
        <v>124</v>
      </c>
      <c r="B21" s="3"/>
      <c r="C21" s="3"/>
      <c r="D21" s="3"/>
      <c r="E21" s="9"/>
      <c r="F21" s="9">
        <f>F20*(1-$G$15)</f>
        <v>1931142.7881290324</v>
      </c>
      <c r="G21" s="156">
        <f t="shared" ref="G21:S21" si="3">G20*(1-$G$15)</f>
        <v>3905543.174712155</v>
      </c>
      <c r="H21" s="156">
        <f t="shared" si="3"/>
        <v>5923927.8874033969</v>
      </c>
      <c r="I21" s="156">
        <f t="shared" si="3"/>
        <v>6988655.1930327015</v>
      </c>
      <c r="J21" s="156">
        <f t="shared" si="3"/>
        <v>7066928.1311946688</v>
      </c>
      <c r="K21" s="156">
        <f t="shared" si="3"/>
        <v>7146077.7262640484</v>
      </c>
      <c r="L21" s="156">
        <f t="shared" si="3"/>
        <v>7226113.7967982078</v>
      </c>
      <c r="M21" s="156">
        <f t="shared" si="3"/>
        <v>7307046.2713223463</v>
      </c>
      <c r="N21" s="156">
        <f t="shared" si="3"/>
        <v>7388885.1895611584</v>
      </c>
      <c r="O21" s="156">
        <f t="shared" si="3"/>
        <v>7471640.7036842443</v>
      </c>
      <c r="P21" s="156">
        <f t="shared" si="3"/>
        <v>7555323.0795655074</v>
      </c>
      <c r="Q21" s="156">
        <f t="shared" si="3"/>
        <v>6548522.3126199795</v>
      </c>
      <c r="R21" s="156">
        <f t="shared" si="3"/>
        <v>4414577.1750142155</v>
      </c>
      <c r="S21" s="156">
        <f t="shared" si="3"/>
        <v>2232010.2196871876</v>
      </c>
    </row>
    <row r="22" spans="1:19" ht="15" thickBot="1" x14ac:dyDescent="0.35">
      <c r="A22" s="12"/>
      <c r="B22" s="12"/>
      <c r="C22" s="12"/>
      <c r="D22" s="12"/>
      <c r="E22" s="13"/>
      <c r="F22" s="13"/>
      <c r="G22" s="13"/>
      <c r="H22" s="13"/>
      <c r="I22" s="13"/>
      <c r="J22" s="13"/>
      <c r="K22" s="13"/>
      <c r="L22" s="13"/>
      <c r="M22" s="13"/>
      <c r="N22" s="13"/>
      <c r="O22" s="13"/>
      <c r="P22" s="13"/>
      <c r="Q22" s="13"/>
      <c r="R22" s="13"/>
      <c r="S22" s="13"/>
    </row>
    <row r="23" spans="1:19" ht="15" thickBot="1" x14ac:dyDescent="0.35">
      <c r="A23" s="5" t="s">
        <v>193</v>
      </c>
      <c r="B23" s="5"/>
      <c r="C23" s="5"/>
      <c r="D23" s="5"/>
      <c r="E23" s="14">
        <f>E20</f>
        <v>0</v>
      </c>
      <c r="F23" s="14">
        <f>F20-F21</f>
        <v>1287428.5254193551</v>
      </c>
      <c r="G23" s="14">
        <f t="shared" ref="G23:O23" si="4">G20-G21</f>
        <v>2603695.449808104</v>
      </c>
      <c r="H23" s="14">
        <f t="shared" si="4"/>
        <v>3949285.2582689319</v>
      </c>
      <c r="I23" s="14">
        <f t="shared" si="4"/>
        <v>4659103.4620218007</v>
      </c>
      <c r="J23" s="14">
        <f t="shared" si="4"/>
        <v>4711285.4207964456</v>
      </c>
      <c r="K23" s="14">
        <f t="shared" si="4"/>
        <v>4764051.8175093662</v>
      </c>
      <c r="L23" s="14">
        <f t="shared" si="4"/>
        <v>4817409.1978654722</v>
      </c>
      <c r="M23" s="14">
        <f t="shared" si="4"/>
        <v>4871364.1808815645</v>
      </c>
      <c r="N23" s="14">
        <f t="shared" si="4"/>
        <v>4925923.4597074389</v>
      </c>
      <c r="O23" s="14">
        <f t="shared" si="4"/>
        <v>4981093.8024561629</v>
      </c>
      <c r="P23" s="14">
        <f t="shared" ref="P23:S23" si="5">P20-P21</f>
        <v>5036882.0530436719</v>
      </c>
      <c r="Q23" s="14">
        <f t="shared" si="5"/>
        <v>4365681.5417466527</v>
      </c>
      <c r="R23" s="14">
        <f t="shared" si="5"/>
        <v>2943051.4500094773</v>
      </c>
      <c r="S23" s="14">
        <f t="shared" si="5"/>
        <v>1488006.8131247917</v>
      </c>
    </row>
    <row r="24" spans="1:19" ht="15" thickBot="1" x14ac:dyDescent="0.35">
      <c r="E24" s="1"/>
      <c r="F24" s="1"/>
      <c r="G24" s="154"/>
      <c r="H24" s="154"/>
      <c r="I24" s="154"/>
      <c r="J24" s="154"/>
      <c r="K24" s="154"/>
      <c r="L24" s="154"/>
      <c r="M24" s="154"/>
      <c r="N24" s="154"/>
      <c r="O24" s="154"/>
      <c r="P24" s="154"/>
      <c r="Q24" s="154"/>
      <c r="R24" s="154"/>
      <c r="S24" s="154"/>
    </row>
    <row r="25" spans="1:19" ht="15" thickBot="1" x14ac:dyDescent="0.35">
      <c r="A25" s="65" t="s">
        <v>1</v>
      </c>
      <c r="B25" s="66">
        <f>NPV($D$3,E23:S23)</f>
        <v>22462728.768295642</v>
      </c>
      <c r="D25" s="1"/>
      <c r="E25" s="1"/>
      <c r="F25" s="1"/>
      <c r="G25" s="1"/>
      <c r="H25" s="1"/>
      <c r="I25" s="1"/>
      <c r="J25" s="1"/>
      <c r="K25" s="1"/>
      <c r="L25" s="1"/>
      <c r="M25" s="1"/>
      <c r="N25" s="1"/>
      <c r="O25" s="1"/>
      <c r="P25" s="1"/>
    </row>
    <row r="26" spans="1:19" x14ac:dyDescent="0.3">
      <c r="E26" s="1"/>
      <c r="F26" s="1"/>
      <c r="G26" s="1"/>
      <c r="H26" s="1"/>
      <c r="I26" s="1"/>
      <c r="J26" s="1"/>
      <c r="K26" s="1"/>
      <c r="L26" s="1"/>
      <c r="M26" s="1"/>
      <c r="N26" s="1"/>
      <c r="O26" s="1"/>
      <c r="P26" s="1"/>
    </row>
    <row r="30" spans="1:19" x14ac:dyDescent="0.3">
      <c r="E30" s="8"/>
    </row>
  </sheetData>
  <mergeCells count="1">
    <mergeCell ref="I14:N14"/>
  </mergeCells>
  <hyperlinks>
    <hyperlink ref="I7" r:id="rId1"/>
  </hyperlinks>
  <pageMargins left="0.7" right="0.7" top="0.75" bottom="0.75" header="0.3" footer="0.3"/>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E4"/>
  <sheetViews>
    <sheetView showGridLines="0" zoomScale="75" zoomScaleNormal="75" workbookViewId="0">
      <selection activeCell="A3" sqref="A3"/>
    </sheetView>
  </sheetViews>
  <sheetFormatPr defaultColWidth="11.5546875" defaultRowHeight="14.4" x14ac:dyDescent="0.3"/>
  <cols>
    <col min="2" max="2" width="22.33203125" customWidth="1"/>
    <col min="6" max="6" width="12" bestFit="1" customWidth="1"/>
    <col min="7" max="7" width="13.6640625" bestFit="1" customWidth="1"/>
    <col min="8" max="15" width="12" bestFit="1" customWidth="1"/>
  </cols>
  <sheetData>
    <row r="1" spans="1:5" x14ac:dyDescent="0.3">
      <c r="A1" t="s">
        <v>195</v>
      </c>
    </row>
    <row r="4" spans="1:5" x14ac:dyDescent="0.3">
      <c r="E4" s="8"/>
    </row>
  </sheetData>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showGridLines="0" zoomScale="75" zoomScaleNormal="75" workbookViewId="0">
      <selection activeCell="S26" sqref="A1:S26"/>
    </sheetView>
  </sheetViews>
  <sheetFormatPr defaultColWidth="11.5546875" defaultRowHeight="14.4" x14ac:dyDescent="0.3"/>
  <cols>
    <col min="2" max="2" width="22.33203125" customWidth="1"/>
    <col min="6" max="6" width="14.33203125" bestFit="1" customWidth="1"/>
    <col min="7" max="7" width="19" bestFit="1" customWidth="1"/>
    <col min="8" max="8" width="14.33203125" bestFit="1" customWidth="1"/>
    <col min="9" max="13" width="12" bestFit="1" customWidth="1"/>
    <col min="14" max="14" width="15.5546875" customWidth="1"/>
    <col min="15" max="15" width="12" bestFit="1" customWidth="1"/>
    <col min="16" max="16" width="14.33203125" bestFit="1" customWidth="1"/>
  </cols>
  <sheetData>
    <row r="1" spans="1:16" x14ac:dyDescent="0.3">
      <c r="A1" s="7" t="s">
        <v>4</v>
      </c>
      <c r="B1" s="2"/>
      <c r="C1" s="2"/>
      <c r="D1" s="2"/>
    </row>
    <row r="2" spans="1:16" x14ac:dyDescent="0.3">
      <c r="A2" s="3" t="s">
        <v>0</v>
      </c>
      <c r="B2" s="3"/>
      <c r="C2" s="3"/>
      <c r="D2" s="3">
        <v>14</v>
      </c>
    </row>
    <row r="3" spans="1:16" ht="15" thickBot="1" x14ac:dyDescent="0.35">
      <c r="A3" s="4" t="s">
        <v>2</v>
      </c>
      <c r="B3" s="4"/>
      <c r="C3" s="4"/>
      <c r="D3" s="41">
        <v>0.12</v>
      </c>
    </row>
    <row r="4" spans="1:16" ht="15" thickBot="1" x14ac:dyDescent="0.35">
      <c r="L4" s="38"/>
    </row>
    <row r="5" spans="1:16" ht="15" thickBot="1" x14ac:dyDescent="0.35">
      <c r="A5" s="6" t="s">
        <v>5</v>
      </c>
      <c r="B5" s="6"/>
      <c r="C5" s="6"/>
      <c r="D5" s="6"/>
      <c r="E5" s="6"/>
      <c r="F5" s="6" t="s">
        <v>6</v>
      </c>
      <c r="G5" s="6" t="s">
        <v>3</v>
      </c>
      <c r="H5" s="6" t="s">
        <v>7</v>
      </c>
      <c r="I5" s="162" t="s">
        <v>20</v>
      </c>
      <c r="J5" s="162"/>
      <c r="K5" s="162"/>
      <c r="L5" s="162"/>
      <c r="M5" s="162"/>
      <c r="N5" s="162"/>
    </row>
    <row r="6" spans="1:16" ht="30" customHeight="1" x14ac:dyDescent="0.3">
      <c r="A6" s="3" t="s">
        <v>132</v>
      </c>
      <c r="B6" s="3"/>
      <c r="C6" s="3"/>
      <c r="D6" s="3"/>
      <c r="E6" s="3"/>
      <c r="F6" s="43">
        <f>G6*0.8</f>
        <v>766141935.48387098</v>
      </c>
      <c r="G6" s="59">
        <f>14844000000/15.5</f>
        <v>957677419.35483873</v>
      </c>
      <c r="H6" s="43">
        <f>G6*1.2</f>
        <v>1149212903.2258065</v>
      </c>
      <c r="I6" s="163" t="s">
        <v>129</v>
      </c>
      <c r="J6" s="163"/>
      <c r="K6" s="163"/>
      <c r="L6" s="163"/>
      <c r="M6" s="163"/>
      <c r="N6" s="163"/>
    </row>
    <row r="7" spans="1:16" ht="30" customHeight="1" x14ac:dyDescent="0.3">
      <c r="A7" s="3" t="s">
        <v>131</v>
      </c>
      <c r="B7" s="3"/>
      <c r="C7" s="3"/>
      <c r="D7" s="3"/>
      <c r="E7" s="3"/>
      <c r="F7" s="43">
        <f>G7*0.8</f>
        <v>189058064.51612905</v>
      </c>
      <c r="G7" s="59">
        <f>3663000000/15.5</f>
        <v>236322580.6451613</v>
      </c>
      <c r="H7" s="43">
        <f>G7*1.2</f>
        <v>283587096.77419353</v>
      </c>
      <c r="I7" s="163" t="s">
        <v>130</v>
      </c>
      <c r="J7" s="163"/>
      <c r="K7" s="163"/>
      <c r="L7" s="163"/>
      <c r="M7" s="163"/>
      <c r="N7" s="163"/>
      <c r="P7" s="60"/>
    </row>
    <row r="8" spans="1:16" ht="30" customHeight="1" x14ac:dyDescent="0.3">
      <c r="A8" s="3" t="s">
        <v>133</v>
      </c>
      <c r="B8" s="3"/>
      <c r="C8" s="3"/>
      <c r="D8" s="3"/>
      <c r="E8" s="3"/>
      <c r="F8" s="43">
        <f>G8*0.8</f>
        <v>16412903.225806452</v>
      </c>
      <c r="G8" s="59">
        <f>318000000/15.5</f>
        <v>20516129.032258064</v>
      </c>
      <c r="H8" s="43">
        <f>G8*1.2</f>
        <v>24619354.838709675</v>
      </c>
      <c r="I8" s="163" t="s">
        <v>134</v>
      </c>
      <c r="J8" s="163"/>
      <c r="K8" s="163"/>
      <c r="L8" s="163"/>
      <c r="M8" s="163"/>
      <c r="N8" s="163"/>
    </row>
    <row r="9" spans="1:16" ht="30" customHeight="1" x14ac:dyDescent="0.3">
      <c r="A9" s="3" t="s">
        <v>135</v>
      </c>
      <c r="B9" s="3"/>
      <c r="C9" s="3"/>
      <c r="D9" s="3"/>
      <c r="E9" s="3"/>
      <c r="F9" s="43">
        <f>G9*0.8</f>
        <v>34064516.129032262</v>
      </c>
      <c r="G9" s="59">
        <f>660000000/15.5</f>
        <v>42580645.161290325</v>
      </c>
      <c r="H9" s="43">
        <f>G9*1.2</f>
        <v>51096774.193548389</v>
      </c>
      <c r="I9" s="163" t="s">
        <v>136</v>
      </c>
      <c r="J9" s="163"/>
      <c r="K9" s="163"/>
      <c r="L9" s="163"/>
      <c r="M9" s="163"/>
      <c r="N9" s="163"/>
    </row>
    <row r="10" spans="1:16" ht="30" customHeight="1" x14ac:dyDescent="0.3">
      <c r="A10" s="3" t="s">
        <v>137</v>
      </c>
      <c r="B10" s="3"/>
      <c r="C10" s="3"/>
      <c r="D10" s="3"/>
      <c r="E10" s="3"/>
      <c r="F10" s="43">
        <f>G10*0.8</f>
        <v>868335483.87096775</v>
      </c>
      <c r="G10" s="59">
        <f>16824000000/15.5</f>
        <v>1085419354.8387096</v>
      </c>
      <c r="H10" s="43">
        <f>G10*1.2</f>
        <v>1302503225.8064516</v>
      </c>
      <c r="I10" s="163" t="s">
        <v>140</v>
      </c>
      <c r="J10" s="163"/>
      <c r="K10" s="163"/>
      <c r="L10" s="163"/>
      <c r="M10" s="163"/>
      <c r="N10" s="163"/>
      <c r="P10" s="60">
        <f>SUM(G6:G10)</f>
        <v>2342516129.032258</v>
      </c>
    </row>
    <row r="11" spans="1:16" x14ac:dyDescent="0.3">
      <c r="A11" s="3" t="s">
        <v>152</v>
      </c>
      <c r="B11" s="3"/>
      <c r="C11" s="3"/>
      <c r="D11" s="3"/>
      <c r="E11" s="3"/>
      <c r="F11" s="45">
        <f>G11*0.9</f>
        <v>1.008E-2</v>
      </c>
      <c r="G11" s="45">
        <v>1.12E-2</v>
      </c>
      <c r="H11" s="45">
        <f>G11*1.1</f>
        <v>1.2320000000000001E-2</v>
      </c>
      <c r="I11" s="160" t="s">
        <v>126</v>
      </c>
      <c r="J11" s="160"/>
      <c r="K11" s="160"/>
      <c r="L11" s="160"/>
      <c r="M11" s="160"/>
      <c r="N11" s="160"/>
    </row>
    <row r="12" spans="1:16" x14ac:dyDescent="0.3">
      <c r="A12" s="3" t="s">
        <v>139</v>
      </c>
      <c r="B12" s="3"/>
      <c r="C12" s="3"/>
      <c r="D12" s="3"/>
      <c r="E12" s="3"/>
      <c r="F12" s="43">
        <f>SUM(F6:F10)*F11</f>
        <v>18890050.064516131</v>
      </c>
      <c r="G12" s="43">
        <f>SUM(G6:G10)*G11</f>
        <v>26236180.64516129</v>
      </c>
      <c r="H12" s="43">
        <f>SUM(H6:H10)*H11</f>
        <v>34631758.451612905</v>
      </c>
      <c r="I12" s="164"/>
      <c r="J12" s="164"/>
      <c r="K12" s="164"/>
      <c r="L12" s="164"/>
      <c r="M12" s="164"/>
      <c r="N12" s="164"/>
    </row>
    <row r="13" spans="1:16" s="122" customFormat="1" x14ac:dyDescent="0.3">
      <c r="A13" s="123" t="s">
        <v>148</v>
      </c>
      <c r="B13" s="123"/>
      <c r="C13" s="123"/>
      <c r="D13" s="123"/>
      <c r="E13" s="123"/>
      <c r="F13" s="124">
        <f>G13*0.8</f>
        <v>4.0000000000000008E-2</v>
      </c>
      <c r="G13" s="124">
        <v>0.05</v>
      </c>
      <c r="H13" s="124">
        <f>G13*1.2</f>
        <v>0.06</v>
      </c>
      <c r="I13" s="165" t="s">
        <v>151</v>
      </c>
      <c r="J13" s="165"/>
      <c r="K13" s="165"/>
      <c r="L13" s="165"/>
      <c r="M13" s="165"/>
      <c r="N13" s="165"/>
    </row>
    <row r="14" spans="1:16" ht="15.75" customHeight="1" x14ac:dyDescent="0.3">
      <c r="A14" s="10" t="s">
        <v>149</v>
      </c>
      <c r="B14" s="10"/>
      <c r="C14" s="10"/>
      <c r="D14" s="10"/>
      <c r="E14" s="10"/>
      <c r="F14" s="43">
        <f>F12*F13</f>
        <v>755602.00258064538</v>
      </c>
      <c r="G14" s="43">
        <f>G12*G13</f>
        <v>1311809.0322580645</v>
      </c>
      <c r="H14" s="43">
        <f>H12*H13</f>
        <v>2077905.5070967742</v>
      </c>
      <c r="I14" s="164"/>
      <c r="J14" s="164"/>
      <c r="K14" s="164"/>
      <c r="L14" s="164"/>
      <c r="M14" s="164"/>
      <c r="N14" s="164"/>
    </row>
    <row r="15" spans="1:16" ht="15" thickBot="1" x14ac:dyDescent="0.35">
      <c r="A15" s="4"/>
      <c r="B15" s="4"/>
      <c r="C15" s="4"/>
      <c r="D15" s="4"/>
      <c r="E15" s="4"/>
      <c r="F15" s="37"/>
      <c r="G15" s="37"/>
      <c r="H15" s="37"/>
      <c r="I15" s="161"/>
      <c r="J15" s="161"/>
      <c r="K15" s="161"/>
      <c r="L15" s="161"/>
      <c r="M15" s="161"/>
      <c r="N15" s="161"/>
    </row>
    <row r="18" spans="1:19" ht="15" thickBot="1" x14ac:dyDescent="0.35"/>
    <row r="19" spans="1:19" ht="15" thickBot="1" x14ac:dyDescent="0.35">
      <c r="A19" s="6" t="s">
        <v>9</v>
      </c>
      <c r="B19" s="6"/>
      <c r="C19" s="6"/>
      <c r="D19" s="6"/>
      <c r="E19" s="6">
        <v>0</v>
      </c>
      <c r="F19" s="6">
        <v>1</v>
      </c>
      <c r="G19" s="6">
        <v>2</v>
      </c>
      <c r="H19" s="6">
        <v>3</v>
      </c>
      <c r="I19" s="6">
        <v>4</v>
      </c>
      <c r="J19" s="6">
        <v>5</v>
      </c>
      <c r="K19" s="6">
        <v>6</v>
      </c>
      <c r="L19" s="6">
        <v>7</v>
      </c>
      <c r="M19" s="6">
        <v>8</v>
      </c>
      <c r="N19" s="6">
        <v>9</v>
      </c>
      <c r="O19" s="6">
        <v>10</v>
      </c>
      <c r="P19" s="6">
        <v>11</v>
      </c>
      <c r="Q19" s="6">
        <v>12</v>
      </c>
      <c r="R19" s="6">
        <v>13</v>
      </c>
      <c r="S19" s="6">
        <v>14</v>
      </c>
    </row>
    <row r="20" spans="1:19" x14ac:dyDescent="0.3">
      <c r="A20" s="10"/>
      <c r="B20" s="10"/>
      <c r="C20" s="10"/>
      <c r="D20" s="10"/>
      <c r="E20" s="11"/>
      <c r="F20" s="11"/>
      <c r="G20" s="11"/>
      <c r="H20" s="11"/>
      <c r="I20" s="11"/>
      <c r="J20" s="11"/>
      <c r="K20" s="11"/>
      <c r="L20" s="11"/>
      <c r="M20" s="11"/>
      <c r="N20" s="11"/>
      <c r="O20" s="11"/>
      <c r="P20" s="11"/>
      <c r="Q20" s="11"/>
      <c r="R20" s="11"/>
      <c r="S20" s="11"/>
    </row>
    <row r="21" spans="1:19" x14ac:dyDescent="0.3">
      <c r="A21" s="10" t="s">
        <v>150</v>
      </c>
      <c r="B21" s="10"/>
      <c r="C21" s="10"/>
      <c r="D21" s="10"/>
      <c r="E21" s="40"/>
      <c r="F21" s="40">
        <v>0.1</v>
      </c>
      <c r="G21" s="40">
        <v>0.2</v>
      </c>
      <c r="H21" s="40">
        <v>0.3</v>
      </c>
      <c r="I21" s="40">
        <v>0.4</v>
      </c>
      <c r="J21" s="40">
        <v>0.5</v>
      </c>
      <c r="K21" s="40">
        <v>0.5</v>
      </c>
      <c r="L21" s="40">
        <v>0.5</v>
      </c>
      <c r="M21" s="40">
        <v>0.5</v>
      </c>
      <c r="N21" s="40">
        <v>0.5</v>
      </c>
      <c r="O21" s="40">
        <v>0.5</v>
      </c>
      <c r="P21" s="40">
        <v>0.4</v>
      </c>
      <c r="Q21" s="40">
        <v>0.3</v>
      </c>
      <c r="R21" s="40">
        <v>0.2</v>
      </c>
      <c r="S21" s="40">
        <v>0.1</v>
      </c>
    </row>
    <row r="22" spans="1:19" x14ac:dyDescent="0.3">
      <c r="A22" s="10" t="s">
        <v>184</v>
      </c>
      <c r="B22" s="3"/>
      <c r="C22" s="3"/>
      <c r="D22" s="3"/>
      <c r="E22" s="9"/>
      <c r="F22" s="9">
        <f>G14</f>
        <v>1311809.0322580645</v>
      </c>
      <c r="G22" s="11">
        <f>F22*(1+$G$11)</f>
        <v>1326501.2934193548</v>
      </c>
      <c r="H22" s="11">
        <f t="shared" ref="H22:O22" si="0">G22*(1+$G$11)</f>
        <v>1341358.1079056517</v>
      </c>
      <c r="I22" s="11">
        <f t="shared" si="0"/>
        <v>1356381.3187141952</v>
      </c>
      <c r="J22" s="11">
        <f t="shared" si="0"/>
        <v>1371572.7894837942</v>
      </c>
      <c r="K22" s="11">
        <f t="shared" si="0"/>
        <v>1386934.4047260128</v>
      </c>
      <c r="L22" s="11">
        <f t="shared" si="0"/>
        <v>1402468.0700589444</v>
      </c>
      <c r="M22" s="11">
        <f t="shared" si="0"/>
        <v>1418175.7124436048</v>
      </c>
      <c r="N22" s="11">
        <f t="shared" si="0"/>
        <v>1434059.2804229734</v>
      </c>
      <c r="O22" s="11">
        <f t="shared" si="0"/>
        <v>1450120.744363711</v>
      </c>
      <c r="P22" s="11">
        <f t="shared" ref="P22" si="1">O22*(1+$G$11)</f>
        <v>1466362.0967005847</v>
      </c>
      <c r="Q22" s="11">
        <f t="shared" ref="Q22" si="2">P22*(1+$G$11)</f>
        <v>1482785.3521836314</v>
      </c>
      <c r="R22" s="11">
        <f t="shared" ref="R22" si="3">Q22*(1+$G$11)</f>
        <v>1499392.5481280882</v>
      </c>
      <c r="S22" s="11">
        <f t="shared" ref="S22" si="4">R22*(1+$G$11)</f>
        <v>1516185.7446671231</v>
      </c>
    </row>
    <row r="23" spans="1:19" ht="15" thickBot="1" x14ac:dyDescent="0.35">
      <c r="A23" s="12"/>
      <c r="B23" s="12"/>
      <c r="C23" s="12"/>
      <c r="D23" s="12"/>
      <c r="E23" s="13"/>
      <c r="F23" s="13"/>
      <c r="G23" s="13"/>
      <c r="H23" s="13"/>
      <c r="I23" s="13"/>
      <c r="J23" s="13"/>
      <c r="K23" s="13"/>
      <c r="L23" s="13"/>
      <c r="M23" s="13"/>
      <c r="N23" s="13"/>
      <c r="O23" s="13"/>
      <c r="P23" s="13"/>
      <c r="Q23" s="13"/>
      <c r="R23" s="13"/>
      <c r="S23" s="13"/>
    </row>
    <row r="24" spans="1:19" ht="15" thickBot="1" x14ac:dyDescent="0.35">
      <c r="A24" s="5" t="s">
        <v>141</v>
      </c>
      <c r="B24" s="5"/>
      <c r="C24" s="5"/>
      <c r="D24" s="5"/>
      <c r="E24" s="14">
        <f>E22</f>
        <v>0</v>
      </c>
      <c r="F24" s="14">
        <f>F22*F21</f>
        <v>131180.90322580645</v>
      </c>
      <c r="G24" s="14">
        <f t="shared" ref="G24:O24" si="5">G22*G21</f>
        <v>265300.25868387095</v>
      </c>
      <c r="H24" s="14">
        <f t="shared" si="5"/>
        <v>402407.43237169547</v>
      </c>
      <c r="I24" s="14">
        <f t="shared" si="5"/>
        <v>542552.52748567809</v>
      </c>
      <c r="J24" s="14">
        <f t="shared" si="5"/>
        <v>685786.39474189712</v>
      </c>
      <c r="K24" s="14">
        <f t="shared" si="5"/>
        <v>693467.20236300642</v>
      </c>
      <c r="L24" s="14">
        <f t="shared" si="5"/>
        <v>701234.0350294722</v>
      </c>
      <c r="M24" s="14">
        <f t="shared" si="5"/>
        <v>709087.85622180242</v>
      </c>
      <c r="N24" s="14">
        <f t="shared" si="5"/>
        <v>717029.64021148672</v>
      </c>
      <c r="O24" s="14">
        <f t="shared" si="5"/>
        <v>725060.37218185549</v>
      </c>
      <c r="P24" s="14">
        <f t="shared" ref="P24:S24" si="6">P22*P21</f>
        <v>586544.83868023392</v>
      </c>
      <c r="Q24" s="14">
        <f t="shared" si="6"/>
        <v>444835.60565508943</v>
      </c>
      <c r="R24" s="14">
        <f t="shared" si="6"/>
        <v>299878.50962561765</v>
      </c>
      <c r="S24" s="14">
        <f t="shared" si="6"/>
        <v>151618.57446671231</v>
      </c>
    </row>
    <row r="25" spans="1:19" ht="15" thickBot="1" x14ac:dyDescent="0.35">
      <c r="E25" s="1"/>
      <c r="F25" s="1"/>
      <c r="G25" s="1"/>
      <c r="H25" s="1"/>
      <c r="I25" s="1"/>
      <c r="J25" s="1"/>
      <c r="K25" s="1"/>
      <c r="L25" s="1"/>
      <c r="M25" s="1"/>
      <c r="N25" s="1"/>
      <c r="O25" s="1"/>
      <c r="P25" s="1"/>
    </row>
    <row r="26" spans="1:19" ht="15" thickBot="1" x14ac:dyDescent="0.35">
      <c r="A26" s="65" t="s">
        <v>1</v>
      </c>
      <c r="B26" s="66">
        <f>NPV($D$3,E24:S24)</f>
        <v>2837918.506568098</v>
      </c>
      <c r="D26" s="1"/>
      <c r="E26" s="1"/>
      <c r="F26" s="1"/>
      <c r="G26" s="1"/>
      <c r="H26" s="1"/>
      <c r="I26" s="1"/>
      <c r="J26" s="1"/>
      <c r="K26" s="1"/>
      <c r="L26" s="1"/>
      <c r="M26" s="1"/>
      <c r="N26" s="1"/>
      <c r="O26" s="1"/>
      <c r="P26" s="1"/>
    </row>
    <row r="27" spans="1:19" x14ac:dyDescent="0.3">
      <c r="E27" s="1"/>
      <c r="F27" s="1"/>
      <c r="G27" s="1"/>
      <c r="H27" s="1"/>
      <c r="I27" s="1"/>
      <c r="J27" s="1"/>
      <c r="K27" s="1"/>
      <c r="L27" s="1"/>
      <c r="M27" s="1"/>
      <c r="N27" s="1"/>
      <c r="O27" s="1"/>
      <c r="P27" s="1"/>
    </row>
    <row r="28" spans="1:19" x14ac:dyDescent="0.3">
      <c r="A28" t="s">
        <v>157</v>
      </c>
    </row>
    <row r="29" spans="1:19" x14ac:dyDescent="0.3">
      <c r="H29" s="42"/>
    </row>
    <row r="32" spans="1:19" x14ac:dyDescent="0.3">
      <c r="H32" s="42"/>
    </row>
    <row r="35" spans="4:4" x14ac:dyDescent="0.3">
      <c r="D35" s="8"/>
    </row>
  </sheetData>
  <mergeCells count="11">
    <mergeCell ref="I15:N15"/>
    <mergeCell ref="I5:N5"/>
    <mergeCell ref="I6:N6"/>
    <mergeCell ref="I11:N11"/>
    <mergeCell ref="I12:N12"/>
    <mergeCell ref="I14:N14"/>
    <mergeCell ref="I7:N7"/>
    <mergeCell ref="I13:N13"/>
    <mergeCell ref="I8:N8"/>
    <mergeCell ref="I9:N9"/>
    <mergeCell ref="I10:N10"/>
  </mergeCells>
  <phoneticPr fontId="6"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6"/>
  <sheetViews>
    <sheetView showGridLines="0" zoomScale="70" zoomScaleNormal="70" workbookViewId="0">
      <selection activeCell="G31" sqref="G31"/>
    </sheetView>
  </sheetViews>
  <sheetFormatPr defaultColWidth="11.5546875" defaultRowHeight="14.4" x14ac:dyDescent="0.3"/>
  <cols>
    <col min="2" max="2" width="22.33203125" customWidth="1"/>
    <col min="6" max="6" width="14.33203125" bestFit="1" customWidth="1"/>
    <col min="7" max="7" width="19" bestFit="1" customWidth="1"/>
    <col min="8" max="12" width="13.88671875" bestFit="1" customWidth="1"/>
    <col min="13" max="13" width="13.44140625" bestFit="1" customWidth="1"/>
    <col min="14" max="14" width="15.5546875" customWidth="1"/>
    <col min="15" max="15" width="13.88671875" bestFit="1" customWidth="1"/>
    <col min="16" max="16" width="14.88671875" bestFit="1" customWidth="1"/>
    <col min="17" max="17" width="13.44140625" bestFit="1" customWidth="1"/>
    <col min="18" max="19" width="12.88671875" bestFit="1" customWidth="1"/>
  </cols>
  <sheetData>
    <row r="1" spans="1:16" x14ac:dyDescent="0.3">
      <c r="A1" s="7" t="s">
        <v>4</v>
      </c>
      <c r="B1" s="2"/>
      <c r="C1" s="2"/>
      <c r="D1" s="2"/>
    </row>
    <row r="2" spans="1:16" x14ac:dyDescent="0.3">
      <c r="A2" s="3" t="s">
        <v>0</v>
      </c>
      <c r="B2" s="3"/>
      <c r="C2" s="3"/>
      <c r="D2" s="3">
        <v>14</v>
      </c>
    </row>
    <row r="3" spans="1:16" ht="15" thickBot="1" x14ac:dyDescent="0.35">
      <c r="A3" s="4" t="s">
        <v>2</v>
      </c>
      <c r="B3" s="4"/>
      <c r="C3" s="4"/>
      <c r="D3" s="41">
        <v>0.12</v>
      </c>
    </row>
    <row r="4" spans="1:16" ht="15" thickBot="1" x14ac:dyDescent="0.35">
      <c r="L4" s="38"/>
    </row>
    <row r="5" spans="1:16" ht="15" thickBot="1" x14ac:dyDescent="0.35">
      <c r="A5" s="6" t="s">
        <v>5</v>
      </c>
      <c r="B5" s="6"/>
      <c r="C5" s="6"/>
      <c r="D5" s="6"/>
      <c r="E5" s="6"/>
      <c r="F5" s="6" t="s">
        <v>6</v>
      </c>
      <c r="G5" s="6" t="s">
        <v>3</v>
      </c>
      <c r="H5" s="6" t="s">
        <v>7</v>
      </c>
      <c r="I5" s="162" t="s">
        <v>20</v>
      </c>
      <c r="J5" s="162"/>
      <c r="K5" s="162"/>
      <c r="L5" s="162"/>
      <c r="M5" s="162"/>
      <c r="N5" s="162"/>
    </row>
    <row r="6" spans="1:16" x14ac:dyDescent="0.3">
      <c r="A6" s="3" t="s">
        <v>142</v>
      </c>
      <c r="B6" s="3"/>
      <c r="C6" s="3"/>
      <c r="D6" s="3"/>
      <c r="E6" s="3"/>
      <c r="F6" s="43">
        <f t="shared" ref="F6:F11" si="0">G6*0.8</f>
        <v>172800000</v>
      </c>
      <c r="G6" s="59">
        <f>3348000000/15.5</f>
        <v>216000000</v>
      </c>
      <c r="H6" s="43">
        <f t="shared" ref="H6:H11" si="1">G6*1.2</f>
        <v>259200000</v>
      </c>
      <c r="I6" s="167" t="s">
        <v>147</v>
      </c>
      <c r="J6" s="163"/>
      <c r="K6" s="163"/>
      <c r="L6" s="163"/>
      <c r="M6" s="163"/>
      <c r="N6" s="163"/>
    </row>
    <row r="7" spans="1:16" x14ac:dyDescent="0.3">
      <c r="A7" s="3" t="s">
        <v>143</v>
      </c>
      <c r="B7" s="3"/>
      <c r="C7" s="3"/>
      <c r="D7" s="3"/>
      <c r="E7" s="3"/>
      <c r="F7" s="43">
        <f t="shared" si="0"/>
        <v>5016361290.3225813</v>
      </c>
      <c r="G7" s="59">
        <f>97192000000/15.5</f>
        <v>6270451612.9032259</v>
      </c>
      <c r="H7" s="43">
        <f t="shared" si="1"/>
        <v>7524541935.4838705</v>
      </c>
      <c r="I7" s="167" t="s">
        <v>147</v>
      </c>
      <c r="J7" s="163"/>
      <c r="K7" s="163"/>
      <c r="L7" s="163"/>
      <c r="M7" s="163"/>
      <c r="N7" s="163"/>
      <c r="P7" s="60"/>
    </row>
    <row r="8" spans="1:16" x14ac:dyDescent="0.3">
      <c r="A8" s="3" t="s">
        <v>144</v>
      </c>
      <c r="B8" s="3"/>
      <c r="C8" s="3"/>
      <c r="D8" s="3"/>
      <c r="E8" s="3"/>
      <c r="F8" s="43">
        <f t="shared" si="0"/>
        <v>46451612.903225809</v>
      </c>
      <c r="G8" s="59">
        <f>900000000/15.5</f>
        <v>58064516.129032262</v>
      </c>
      <c r="H8" s="43">
        <f t="shared" si="1"/>
        <v>69677419.354838714</v>
      </c>
      <c r="I8" s="167" t="s">
        <v>147</v>
      </c>
      <c r="J8" s="163"/>
      <c r="K8" s="163"/>
      <c r="L8" s="163"/>
      <c r="M8" s="163"/>
      <c r="N8" s="163"/>
      <c r="P8" s="60">
        <f>SUM(G6:G11)</f>
        <v>8210903225.8064508</v>
      </c>
    </row>
    <row r="9" spans="1:16" x14ac:dyDescent="0.3">
      <c r="A9" s="3" t="s">
        <v>145</v>
      </c>
      <c r="B9" s="3"/>
      <c r="C9" s="3"/>
      <c r="D9" s="3"/>
      <c r="E9" s="3"/>
      <c r="F9" s="43">
        <f t="shared" si="0"/>
        <v>380954838.70967746</v>
      </c>
      <c r="G9" s="59">
        <f>7381000000/15.5</f>
        <v>476193548.38709676</v>
      </c>
      <c r="H9" s="43">
        <f t="shared" si="1"/>
        <v>571432258.06451607</v>
      </c>
      <c r="I9" s="167" t="s">
        <v>147</v>
      </c>
      <c r="J9" s="163"/>
      <c r="K9" s="163"/>
      <c r="L9" s="163"/>
      <c r="M9" s="163"/>
      <c r="N9" s="163"/>
    </row>
    <row r="10" spans="1:16" x14ac:dyDescent="0.3">
      <c r="A10" s="3" t="s">
        <v>146</v>
      </c>
      <c r="B10" s="3"/>
      <c r="C10" s="3"/>
      <c r="D10" s="3"/>
      <c r="E10" s="3"/>
      <c r="F10" s="43">
        <f t="shared" si="0"/>
        <v>778116129.03225803</v>
      </c>
      <c r="G10" s="59">
        <f>15076000000/15.5</f>
        <v>972645161.29032254</v>
      </c>
      <c r="H10" s="43">
        <f t="shared" si="1"/>
        <v>1167174193.5483871</v>
      </c>
      <c r="I10" s="167" t="s">
        <v>147</v>
      </c>
      <c r="J10" s="163"/>
      <c r="K10" s="163"/>
      <c r="L10" s="163"/>
      <c r="M10" s="163"/>
      <c r="N10" s="163"/>
    </row>
    <row r="11" spans="1:16" x14ac:dyDescent="0.3">
      <c r="A11" s="3" t="s">
        <v>153</v>
      </c>
      <c r="B11" s="3"/>
      <c r="C11" s="3"/>
      <c r="D11" s="3"/>
      <c r="E11" s="3"/>
      <c r="F11" s="43">
        <f t="shared" si="0"/>
        <v>174038709.67741936</v>
      </c>
      <c r="G11" s="59">
        <f>3372000000/15.5</f>
        <v>217548387.09677419</v>
      </c>
      <c r="H11" s="43">
        <f t="shared" si="1"/>
        <v>261058064.51612902</v>
      </c>
      <c r="I11" s="167" t="s">
        <v>147</v>
      </c>
      <c r="J11" s="163"/>
      <c r="K11" s="163"/>
      <c r="L11" s="163"/>
      <c r="M11" s="163"/>
      <c r="N11" s="163"/>
    </row>
    <row r="12" spans="1:16" s="122" customFormat="1" ht="30.75" customHeight="1" x14ac:dyDescent="0.3">
      <c r="A12" s="120" t="s">
        <v>154</v>
      </c>
      <c r="B12" s="120"/>
      <c r="C12" s="120"/>
      <c r="D12" s="120"/>
      <c r="E12" s="120"/>
      <c r="F12" s="121">
        <f>G12*0.9</f>
        <v>4.5000000000000004E-4</v>
      </c>
      <c r="G12" s="121">
        <v>5.0000000000000001E-4</v>
      </c>
      <c r="H12" s="121">
        <f>G12*1.1</f>
        <v>5.5000000000000003E-4</v>
      </c>
      <c r="I12" s="166" t="s">
        <v>185</v>
      </c>
      <c r="J12" s="166"/>
      <c r="K12" s="166"/>
      <c r="L12" s="166"/>
      <c r="M12" s="166"/>
      <c r="N12" s="166"/>
    </row>
    <row r="13" spans="1:16" x14ac:dyDescent="0.3">
      <c r="A13" s="3" t="s">
        <v>155</v>
      </c>
      <c r="B13" s="3"/>
      <c r="C13" s="3"/>
      <c r="D13" s="3"/>
      <c r="E13" s="3"/>
      <c r="F13" s="43">
        <f>SUM(F6:F10)*F12</f>
        <v>2877607.7419354846</v>
      </c>
      <c r="G13" s="43">
        <f>SUM(G6:G11)*G12</f>
        <v>4105451.6129032257</v>
      </c>
      <c r="H13" s="43">
        <f>SUM(H6:H10)*H12</f>
        <v>5275614.1935483869</v>
      </c>
      <c r="I13" s="164"/>
      <c r="J13" s="164"/>
      <c r="K13" s="164"/>
      <c r="L13" s="164"/>
      <c r="M13" s="164"/>
      <c r="N13" s="164"/>
    </row>
    <row r="14" spans="1:16" x14ac:dyDescent="0.3">
      <c r="A14" s="3" t="s">
        <v>156</v>
      </c>
      <c r="B14" s="3"/>
      <c r="C14" s="3"/>
      <c r="D14" s="3"/>
      <c r="E14" s="3"/>
      <c r="F14" s="45">
        <f>G14*0.9</f>
        <v>1.008E-2</v>
      </c>
      <c r="G14" s="45">
        <v>1.12E-2</v>
      </c>
      <c r="H14" s="45">
        <f>G14*1.1</f>
        <v>1.2320000000000001E-2</v>
      </c>
      <c r="I14" s="160" t="s">
        <v>126</v>
      </c>
      <c r="J14" s="160"/>
      <c r="K14" s="160"/>
      <c r="L14" s="160"/>
      <c r="M14" s="160"/>
      <c r="N14" s="160"/>
    </row>
    <row r="15" spans="1:16" ht="15.75" customHeight="1" x14ac:dyDescent="0.3">
      <c r="A15" s="10"/>
      <c r="B15" s="10"/>
      <c r="C15" s="10"/>
      <c r="D15" s="10"/>
      <c r="E15" s="10"/>
      <c r="F15" s="43"/>
      <c r="G15" s="43"/>
      <c r="H15" s="43"/>
      <c r="I15" s="164"/>
      <c r="J15" s="164"/>
      <c r="K15" s="164"/>
      <c r="L15" s="164"/>
      <c r="M15" s="164"/>
      <c r="N15" s="164"/>
    </row>
    <row r="16" spans="1:16" ht="15" thickBot="1" x14ac:dyDescent="0.35">
      <c r="A16" s="4"/>
      <c r="B16" s="4"/>
      <c r="C16" s="4"/>
      <c r="D16" s="4"/>
      <c r="E16" s="4"/>
      <c r="F16" s="37"/>
      <c r="G16" s="37"/>
      <c r="H16" s="37"/>
      <c r="I16" s="161"/>
      <c r="J16" s="161"/>
      <c r="K16" s="161"/>
      <c r="L16" s="161"/>
      <c r="M16" s="161"/>
      <c r="N16" s="161"/>
    </row>
    <row r="19" spans="1:19" ht="15" thickBot="1" x14ac:dyDescent="0.35"/>
    <row r="20" spans="1:19" ht="15" thickBot="1" x14ac:dyDescent="0.35">
      <c r="A20" s="6" t="s">
        <v>9</v>
      </c>
      <c r="B20" s="6"/>
      <c r="C20" s="6"/>
      <c r="D20" s="6"/>
      <c r="E20" s="6">
        <v>0</v>
      </c>
      <c r="F20" s="6">
        <v>1</v>
      </c>
      <c r="G20" s="6">
        <v>2</v>
      </c>
      <c r="H20" s="6">
        <v>3</v>
      </c>
      <c r="I20" s="6">
        <v>4</v>
      </c>
      <c r="J20" s="6">
        <v>5</v>
      </c>
      <c r="K20" s="6">
        <v>6</v>
      </c>
      <c r="L20" s="6">
        <v>7</v>
      </c>
      <c r="M20" s="6">
        <v>8</v>
      </c>
      <c r="N20" s="6">
        <v>9</v>
      </c>
      <c r="O20" s="6">
        <v>10</v>
      </c>
      <c r="P20" s="6">
        <v>11</v>
      </c>
      <c r="Q20" s="6">
        <v>12</v>
      </c>
      <c r="R20" s="6">
        <v>13</v>
      </c>
      <c r="S20" s="6">
        <v>14</v>
      </c>
    </row>
    <row r="21" spans="1:19" x14ac:dyDescent="0.3">
      <c r="A21" s="10"/>
      <c r="B21" s="10"/>
      <c r="C21" s="10"/>
      <c r="D21" s="10"/>
      <c r="E21" s="11"/>
      <c r="F21" s="11"/>
      <c r="G21" s="11"/>
      <c r="H21" s="11"/>
      <c r="I21" s="11"/>
      <c r="J21" s="11"/>
      <c r="K21" s="11"/>
      <c r="L21" s="11"/>
      <c r="M21" s="11"/>
      <c r="N21" s="11"/>
      <c r="O21" s="11"/>
      <c r="P21" s="11"/>
      <c r="Q21" s="11"/>
      <c r="R21" s="11"/>
      <c r="S21" s="11"/>
    </row>
    <row r="22" spans="1:19" s="153" customFormat="1" x14ac:dyDescent="0.3">
      <c r="A22" s="157" t="s">
        <v>150</v>
      </c>
      <c r="B22" s="157"/>
      <c r="C22" s="157"/>
      <c r="D22" s="157"/>
      <c r="E22" s="40"/>
      <c r="F22" s="40">
        <v>0.1</v>
      </c>
      <c r="G22" s="40">
        <v>0.2</v>
      </c>
      <c r="H22" s="40">
        <v>0.3</v>
      </c>
      <c r="I22" s="40">
        <v>0.4</v>
      </c>
      <c r="J22" s="40">
        <v>0.5</v>
      </c>
      <c r="K22" s="40">
        <v>0.5</v>
      </c>
      <c r="L22" s="40">
        <v>0.5</v>
      </c>
      <c r="M22" s="40">
        <v>0.5</v>
      </c>
      <c r="N22" s="40">
        <v>0.5</v>
      </c>
      <c r="O22" s="40">
        <v>0.5</v>
      </c>
      <c r="P22" s="40">
        <v>0.4</v>
      </c>
      <c r="Q22" s="40">
        <v>0.3</v>
      </c>
      <c r="R22" s="40">
        <v>0.2</v>
      </c>
      <c r="S22" s="40">
        <v>0.1</v>
      </c>
    </row>
    <row r="23" spans="1:19" x14ac:dyDescent="0.3">
      <c r="A23" s="10" t="s">
        <v>182</v>
      </c>
      <c r="B23" s="3"/>
      <c r="C23" s="3"/>
      <c r="D23" s="3"/>
      <c r="E23" s="9"/>
      <c r="F23" s="9">
        <f>G13</f>
        <v>4105451.6129032257</v>
      </c>
      <c r="G23" s="11">
        <f>F23*(1+$G$14)</f>
        <v>4151432.6709677423</v>
      </c>
      <c r="H23" s="11">
        <f t="shared" ref="H23:O23" si="2">G23*(1+$G$14)</f>
        <v>4197928.7168825818</v>
      </c>
      <c r="I23" s="11">
        <f t="shared" si="2"/>
        <v>4244945.5185116669</v>
      </c>
      <c r="J23" s="11">
        <f t="shared" si="2"/>
        <v>4292488.9083189983</v>
      </c>
      <c r="K23" s="11">
        <f t="shared" si="2"/>
        <v>4340564.7840921711</v>
      </c>
      <c r="L23" s="11">
        <f t="shared" si="2"/>
        <v>4389179.1096740039</v>
      </c>
      <c r="M23" s="11">
        <f t="shared" si="2"/>
        <v>4438337.9157023532</v>
      </c>
      <c r="N23" s="11">
        <f t="shared" si="2"/>
        <v>4488047.30035822</v>
      </c>
      <c r="O23" s="11">
        <f t="shared" si="2"/>
        <v>4538313.4301222321</v>
      </c>
      <c r="P23" s="11">
        <f t="shared" ref="P23" si="3">O23*(1+$G$14)</f>
        <v>4589142.5405396018</v>
      </c>
      <c r="Q23" s="11">
        <f t="shared" ref="Q23" si="4">P23*(1+$G$14)</f>
        <v>4640540.9369936455</v>
      </c>
      <c r="R23" s="11">
        <f t="shared" ref="R23" si="5">Q23*(1+$G$14)</f>
        <v>4692514.995487975</v>
      </c>
      <c r="S23" s="11">
        <f t="shared" ref="S23" si="6">R23*(1+$G$14)</f>
        <v>4745071.163437441</v>
      </c>
    </row>
    <row r="24" spans="1:19" ht="15" thickBot="1" x14ac:dyDescent="0.35">
      <c r="A24" s="12"/>
      <c r="B24" s="12"/>
      <c r="C24" s="12"/>
      <c r="D24" s="12"/>
      <c r="E24" s="13"/>
      <c r="F24" s="13"/>
      <c r="G24" s="13"/>
      <c r="H24" s="13"/>
      <c r="I24" s="13"/>
      <c r="J24" s="13"/>
      <c r="K24" s="13"/>
      <c r="L24" s="13"/>
      <c r="M24" s="13"/>
      <c r="N24" s="13"/>
      <c r="O24" s="13"/>
      <c r="P24" s="13"/>
      <c r="Q24" s="13"/>
      <c r="R24" s="13"/>
      <c r="S24" s="13"/>
    </row>
    <row r="25" spans="1:19" ht="15" thickBot="1" x14ac:dyDescent="0.35">
      <c r="A25" s="5" t="s">
        <v>183</v>
      </c>
      <c r="B25" s="5"/>
      <c r="C25" s="5"/>
      <c r="D25" s="5"/>
      <c r="E25" s="14">
        <f>E23</f>
        <v>0</v>
      </c>
      <c r="F25" s="14">
        <f>F23*F22</f>
        <v>410545.16129032261</v>
      </c>
      <c r="G25" s="14">
        <f t="shared" ref="G25:O25" si="7">G23*G22</f>
        <v>830286.53419354849</v>
      </c>
      <c r="H25" s="14">
        <f t="shared" si="7"/>
        <v>1259378.6150647744</v>
      </c>
      <c r="I25" s="14">
        <f t="shared" si="7"/>
        <v>1697978.2074046668</v>
      </c>
      <c r="J25" s="14">
        <f t="shared" si="7"/>
        <v>2146244.4541594991</v>
      </c>
      <c r="K25" s="14">
        <f t="shared" si="7"/>
        <v>2170282.3920460856</v>
      </c>
      <c r="L25" s="14">
        <f t="shared" si="7"/>
        <v>2194589.554837002</v>
      </c>
      <c r="M25" s="14">
        <f t="shared" si="7"/>
        <v>2219168.9578511766</v>
      </c>
      <c r="N25" s="14">
        <f t="shared" si="7"/>
        <v>2244023.65017911</v>
      </c>
      <c r="O25" s="14">
        <f t="shared" si="7"/>
        <v>2269156.715061116</v>
      </c>
      <c r="P25" s="14">
        <f t="shared" ref="P25:S25" si="8">P23*P22</f>
        <v>1835657.0162158408</v>
      </c>
      <c r="Q25" s="14">
        <f t="shared" si="8"/>
        <v>1392162.2810980936</v>
      </c>
      <c r="R25" s="14">
        <f t="shared" si="8"/>
        <v>938502.99909759499</v>
      </c>
      <c r="S25" s="14">
        <f t="shared" si="8"/>
        <v>474507.1163437441</v>
      </c>
    </row>
    <row r="26" spans="1:19" ht="15" thickBot="1" x14ac:dyDescent="0.35">
      <c r="E26" s="1"/>
      <c r="F26" s="1"/>
      <c r="G26" s="1"/>
      <c r="H26" s="1"/>
      <c r="I26" s="1"/>
      <c r="J26" s="1"/>
      <c r="K26" s="1"/>
      <c r="L26" s="1"/>
      <c r="M26" s="1"/>
      <c r="N26" s="1"/>
      <c r="O26" s="1"/>
      <c r="P26" s="1"/>
    </row>
    <row r="27" spans="1:19" ht="15" thickBot="1" x14ac:dyDescent="0.35">
      <c r="A27" s="65" t="s">
        <v>1</v>
      </c>
      <c r="B27" s="66">
        <f>NPV($D$3,E25:S25)</f>
        <v>8881580.1870358624</v>
      </c>
      <c r="D27" s="1"/>
      <c r="E27" s="1"/>
      <c r="F27" s="1"/>
      <c r="G27" s="1"/>
      <c r="H27" s="1"/>
      <c r="I27" s="1"/>
      <c r="J27" s="1"/>
      <c r="K27" s="1"/>
      <c r="L27" s="1"/>
      <c r="M27" s="1"/>
      <c r="N27" s="1"/>
      <c r="O27" s="1"/>
      <c r="P27" s="1"/>
    </row>
    <row r="28" spans="1:19" x14ac:dyDescent="0.3">
      <c r="E28" s="1"/>
      <c r="F28" s="1"/>
      <c r="G28" s="1"/>
      <c r="H28" s="1"/>
      <c r="I28" s="1"/>
      <c r="J28" s="1"/>
      <c r="K28" s="1"/>
      <c r="L28" s="1"/>
      <c r="M28" s="1"/>
      <c r="N28" s="1"/>
      <c r="O28" s="1"/>
      <c r="P28" s="1"/>
    </row>
    <row r="29" spans="1:19" x14ac:dyDescent="0.3">
      <c r="A29" t="s">
        <v>157</v>
      </c>
    </row>
    <row r="30" spans="1:19" x14ac:dyDescent="0.3">
      <c r="H30" s="42"/>
    </row>
    <row r="33" spans="4:8" x14ac:dyDescent="0.3">
      <c r="H33" s="42"/>
    </row>
    <row r="36" spans="4:8" x14ac:dyDescent="0.3">
      <c r="D36" s="8"/>
    </row>
  </sheetData>
  <mergeCells count="12">
    <mergeCell ref="I10:N10"/>
    <mergeCell ref="I5:N5"/>
    <mergeCell ref="I6:N6"/>
    <mergeCell ref="I7:N7"/>
    <mergeCell ref="I8:N8"/>
    <mergeCell ref="I9:N9"/>
    <mergeCell ref="I12:N12"/>
    <mergeCell ref="I13:N13"/>
    <mergeCell ref="I15:N15"/>
    <mergeCell ref="I16:N16"/>
    <mergeCell ref="I11:N11"/>
    <mergeCell ref="I14:N14"/>
  </mergeCells>
  <hyperlinks>
    <hyperlink ref="I6" r:id="rId1"/>
    <hyperlink ref="I7" r:id="rId2"/>
    <hyperlink ref="I8" r:id="rId3"/>
    <hyperlink ref="I9" r:id="rId4"/>
    <hyperlink ref="I10" r:id="rId5"/>
    <hyperlink ref="I11" r:id="rId6"/>
  </hyperlinks>
  <pageMargins left="0.7" right="0.7" top="0.75" bottom="0.75" header="0.3" footer="0.3"/>
  <pageSetup paperSize="9" orientation="portrait"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
  <sheetViews>
    <sheetView showGridLines="0" zoomScale="85" zoomScaleNormal="85" workbookViewId="0">
      <selection activeCell="Q21" sqref="A2:Q21"/>
    </sheetView>
  </sheetViews>
  <sheetFormatPr defaultColWidth="11.5546875" defaultRowHeight="14.4" x14ac:dyDescent="0.3"/>
  <cols>
    <col min="1" max="1" width="14" bestFit="1" customWidth="1"/>
    <col min="2" max="2" width="50.33203125" customWidth="1"/>
    <col min="3" max="3" width="8.5546875" customWidth="1"/>
    <col min="4" max="4" width="10.6640625" bestFit="1" customWidth="1"/>
    <col min="5" max="5" width="11.44140625" bestFit="1" customWidth="1"/>
    <col min="6" max="15" width="10.6640625" bestFit="1" customWidth="1"/>
    <col min="16" max="17" width="9.88671875" customWidth="1"/>
  </cols>
  <sheetData>
    <row r="1" spans="1:19" ht="15" thickBot="1" x14ac:dyDescent="0.35">
      <c r="A1" s="8" t="s">
        <v>16</v>
      </c>
    </row>
    <row r="2" spans="1:19" ht="15" thickBot="1" x14ac:dyDescent="0.35">
      <c r="A2" s="18"/>
      <c r="B2" s="18"/>
      <c r="C2" s="32">
        <v>0</v>
      </c>
      <c r="D2" s="19">
        <v>1</v>
      </c>
      <c r="E2" s="19">
        <v>2</v>
      </c>
      <c r="F2" s="19">
        <v>3</v>
      </c>
      <c r="G2" s="19">
        <v>4</v>
      </c>
      <c r="H2" s="19">
        <v>5</v>
      </c>
      <c r="I2" s="19">
        <v>6</v>
      </c>
      <c r="J2" s="19">
        <v>7</v>
      </c>
      <c r="K2" s="19">
        <v>8</v>
      </c>
      <c r="L2" s="19">
        <v>9</v>
      </c>
      <c r="M2" s="19">
        <v>10</v>
      </c>
      <c r="N2" s="19">
        <v>11</v>
      </c>
      <c r="O2" s="19">
        <v>12</v>
      </c>
      <c r="P2" s="19">
        <v>13</v>
      </c>
      <c r="Q2" s="19">
        <v>14</v>
      </c>
    </row>
    <row r="3" spans="1:19" s="8" customFormat="1" x14ac:dyDescent="0.3">
      <c r="A3" s="7" t="s">
        <v>8</v>
      </c>
      <c r="B3" s="7"/>
      <c r="C3" s="26">
        <f>SUM(C4:C8)</f>
        <v>0</v>
      </c>
      <c r="D3" s="26">
        <f>SUM(D4:D8)</f>
        <v>3056257.8930209037</v>
      </c>
      <c r="E3" s="26">
        <f t="shared" ref="E3:M3" si="0">SUM(E4:E8)</f>
        <v>6180975.9628454754</v>
      </c>
      <c r="F3" s="26">
        <f t="shared" si="0"/>
        <v>9375304.3404440172</v>
      </c>
      <c r="G3" s="26">
        <f t="shared" si="0"/>
        <v>11396714.958948538</v>
      </c>
      <c r="H3" s="26">
        <f t="shared" si="0"/>
        <v>12147684.356046826</v>
      </c>
      <c r="I3" s="26">
        <f t="shared" si="0"/>
        <v>12283738.420834552</v>
      </c>
      <c r="J3" s="26">
        <f t="shared" si="0"/>
        <v>12421316.291147901</v>
      </c>
      <c r="K3" s="26">
        <f t="shared" si="0"/>
        <v>12560435.033608757</v>
      </c>
      <c r="L3" s="26">
        <f t="shared" si="0"/>
        <v>12701111.905985177</v>
      </c>
      <c r="M3" s="26">
        <f t="shared" si="0"/>
        <v>12843364.359332211</v>
      </c>
      <c r="N3" s="26">
        <f t="shared" ref="N3:Q3" si="1">SUM(N4:N8)</f>
        <v>12320805.817751043</v>
      </c>
      <c r="O3" s="26">
        <f t="shared" si="1"/>
        <v>10363797.606576074</v>
      </c>
      <c r="P3" s="26">
        <f t="shared" si="1"/>
        <v>6986581.4265131522</v>
      </c>
      <c r="Q3" s="26">
        <f t="shared" si="1"/>
        <v>3532415.5692450497</v>
      </c>
    </row>
    <row r="4" spans="1:19" x14ac:dyDescent="0.3">
      <c r="A4" s="3" t="str">
        <f>'1_B_Uso_EPublicas'!A20</f>
        <v>Flujo de beneficios (Liberación de recursos de organismos públicos)</v>
      </c>
      <c r="B4" s="3"/>
      <c r="C4" s="27">
        <f>'1_B_Uso_EPublicas'!E20</f>
        <v>0</v>
      </c>
      <c r="D4" s="27">
        <f>'1_B_Uso_EPublicas'!F20</f>
        <v>108879.66957832262</v>
      </c>
      <c r="E4" s="27">
        <f>'1_B_Uso_EPublicas'!G20</f>
        <v>220198.24375519966</v>
      </c>
      <c r="F4" s="27">
        <f>'1_B_Uso_EPublicas'!H20</f>
        <v>333996.69612788688</v>
      </c>
      <c r="G4" s="27">
        <f>'1_B_Uso_EPublicas'!I20</f>
        <v>450316.61216602568</v>
      </c>
      <c r="H4" s="27">
        <f>'1_B_Uso_EPublicas'!J20</f>
        <v>512280.17800007085</v>
      </c>
      <c r="I4" s="27">
        <f>'1_B_Uso_EPublicas'!K20</f>
        <v>518017.71599367156</v>
      </c>
      <c r="J4" s="27">
        <f>'1_B_Uso_EPublicas'!L20</f>
        <v>523819.51441280078</v>
      </c>
      <c r="K4" s="27">
        <f>'1_B_Uso_EPublicas'!M20</f>
        <v>529686.2929742242</v>
      </c>
      <c r="L4" s="27">
        <f>'1_B_Uso_EPublicas'!N20</f>
        <v>535618.77945553558</v>
      </c>
      <c r="M4" s="27">
        <f>'1_B_Uso_EPublicas'!O20</f>
        <v>541617.70978543756</v>
      </c>
      <c r="N4" s="27">
        <f>'1_B_Uso_EPublicas'!P20</f>
        <v>486830.06945336412</v>
      </c>
      <c r="O4" s="27">
        <f>'1_B_Uso_EPublicas'!Q20</f>
        <v>369211.9246734312</v>
      </c>
      <c r="P4" s="27">
        <f>'1_B_Uso_EPublicas'!R20</f>
        <v>248898.06548651581</v>
      </c>
      <c r="Q4" s="27">
        <f>'1_B_Uso_EPublicas'!S20</f>
        <v>125842.8619099824</v>
      </c>
    </row>
    <row r="5" spans="1:19" x14ac:dyDescent="0.3">
      <c r="A5" s="3" t="str">
        <f>'2_B_Uso_Empresas'!A30</f>
        <v>Flujo de beneficios (Reducción de costos de transacción de empresas)</v>
      </c>
      <c r="B5" s="3"/>
      <c r="C5" s="27">
        <f>'2_B_Uso_Empresas'!E30</f>
        <v>0</v>
      </c>
      <c r="D5" s="27">
        <f>'2_B_Uso_Empresas'!F30</f>
        <v>1118223.6335070969</v>
      </c>
      <c r="E5" s="27">
        <f>'2_B_Uso_Empresas'!G30</f>
        <v>2261495.476404753</v>
      </c>
      <c r="F5" s="27">
        <f>'2_B_Uso_Empresas'!H30</f>
        <v>3430236.3386107292</v>
      </c>
      <c r="G5" s="27">
        <f>'2_B_Uso_Empresas'!I30</f>
        <v>4046764.1498703649</v>
      </c>
      <c r="H5" s="27">
        <f>'2_B_Uso_Empresas'!J30</f>
        <v>4092087.9083489133</v>
      </c>
      <c r="I5" s="27">
        <f>'2_B_Uso_Empresas'!K30</f>
        <v>4137919.2929224214</v>
      </c>
      <c r="J5" s="27">
        <f>'2_B_Uso_Empresas'!L30</f>
        <v>4184263.9890031535</v>
      </c>
      <c r="K5" s="27">
        <f>'2_B_Uso_Empresas'!M30</f>
        <v>4231127.7456799885</v>
      </c>
      <c r="L5" s="27">
        <f>'2_B_Uso_Empresas'!N30</f>
        <v>4278516.3764316048</v>
      </c>
      <c r="M5" s="27">
        <f>'2_B_Uso_Empresas'!O30</f>
        <v>4326435.7598476382</v>
      </c>
      <c r="N5" s="27">
        <f>'2_B_Uso_Empresas'!P30</f>
        <v>4374891.8403579323</v>
      </c>
      <c r="O5" s="27">
        <f>'2_B_Uso_Empresas'!Q30</f>
        <v>3791906.2534028068</v>
      </c>
      <c r="P5" s="27">
        <f>'2_B_Uso_Empresas'!R30</f>
        <v>2556250.4022939461</v>
      </c>
      <c r="Q5" s="27">
        <f>'2_B_Uso_Empresas'!S30</f>
        <v>1292440.2033998193</v>
      </c>
    </row>
    <row r="6" spans="1:19" x14ac:dyDescent="0.3">
      <c r="A6" s="3" t="str">
        <f>'3_B_Uso_Población'!A23</f>
        <v>Flujo de beneficios (Reducción de costos de transacción de personas)</v>
      </c>
      <c r="B6" s="3"/>
      <c r="C6" s="27">
        <f>'3_B_Uso_Población'!E23</f>
        <v>0</v>
      </c>
      <c r="D6" s="27">
        <f>'3_B_Uso_Población'!F23</f>
        <v>1287428.5254193551</v>
      </c>
      <c r="E6" s="27">
        <f>'3_B_Uso_Población'!G23</f>
        <v>2603695.449808104</v>
      </c>
      <c r="F6" s="27">
        <f>'3_B_Uso_Población'!H23</f>
        <v>3949285.2582689319</v>
      </c>
      <c r="G6" s="27">
        <f>'3_B_Uso_Población'!I23</f>
        <v>4659103.4620218007</v>
      </c>
      <c r="H6" s="27">
        <f>'3_B_Uso_Población'!J23</f>
        <v>4711285.4207964456</v>
      </c>
      <c r="I6" s="27">
        <f>'3_B_Uso_Población'!K23</f>
        <v>4764051.8175093662</v>
      </c>
      <c r="J6" s="27">
        <f>'3_B_Uso_Población'!L23</f>
        <v>4817409.1978654722</v>
      </c>
      <c r="K6" s="27">
        <f>'3_B_Uso_Población'!M23</f>
        <v>4871364.1808815645</v>
      </c>
      <c r="L6" s="27">
        <f>'3_B_Uso_Población'!N23</f>
        <v>4925923.4597074389</v>
      </c>
      <c r="M6" s="27">
        <f>'3_B_Uso_Población'!O23</f>
        <v>4981093.8024561629</v>
      </c>
      <c r="N6" s="27">
        <f>'3_B_Uso_Población'!P23</f>
        <v>5036882.0530436719</v>
      </c>
      <c r="O6" s="27">
        <f>'3_B_Uso_Población'!Q23</f>
        <v>4365681.5417466527</v>
      </c>
      <c r="P6" s="27">
        <f>'3_B_Uso_Población'!R23</f>
        <v>2943051.4500094773</v>
      </c>
      <c r="Q6" s="27">
        <f>'3_B_Uso_Población'!S23</f>
        <v>1488006.8131247917</v>
      </c>
    </row>
    <row r="7" spans="1:19" s="63" customFormat="1" x14ac:dyDescent="0.3">
      <c r="A7" s="61" t="str">
        <f>'5_B_Inversión'!A24</f>
        <v>Flujo de beneficios (errores en el dimensionamiento de inversiones)</v>
      </c>
      <c r="B7" s="61"/>
      <c r="C7" s="62">
        <f>'5_B_Inversión'!E24</f>
        <v>0</v>
      </c>
      <c r="D7" s="62">
        <f>'5_B_Inversión'!F24</f>
        <v>131180.90322580645</v>
      </c>
      <c r="E7" s="62">
        <f>'5_B_Inversión'!G24</f>
        <v>265300.25868387095</v>
      </c>
      <c r="F7" s="62">
        <f>'5_B_Inversión'!H24</f>
        <v>402407.43237169547</v>
      </c>
      <c r="G7" s="62">
        <f>'5_B_Inversión'!I24</f>
        <v>542552.52748567809</v>
      </c>
      <c r="H7" s="62">
        <f>'5_B_Inversión'!J24</f>
        <v>685786.39474189712</v>
      </c>
      <c r="I7" s="62">
        <f>'5_B_Inversión'!K24</f>
        <v>693467.20236300642</v>
      </c>
      <c r="J7" s="62">
        <f>'5_B_Inversión'!L24</f>
        <v>701234.0350294722</v>
      </c>
      <c r="K7" s="62">
        <f>'5_B_Inversión'!M24</f>
        <v>709087.85622180242</v>
      </c>
      <c r="L7" s="62">
        <f>'5_B_Inversión'!N24</f>
        <v>717029.64021148672</v>
      </c>
      <c r="M7" s="62">
        <f>'5_B_Inversión'!O24</f>
        <v>725060.37218185549</v>
      </c>
      <c r="N7" s="62">
        <f>'5_B_Inversión'!P24</f>
        <v>586544.83868023392</v>
      </c>
      <c r="O7" s="62">
        <f>'5_B_Inversión'!Q24</f>
        <v>444835.60565508943</v>
      </c>
      <c r="P7" s="62">
        <f>'5_B_Inversión'!R24</f>
        <v>299878.50962561765</v>
      </c>
      <c r="Q7" s="62">
        <f>'5_B_Inversión'!S24</f>
        <v>151618.57446671231</v>
      </c>
    </row>
    <row r="8" spans="1:19" s="63" customFormat="1" x14ac:dyDescent="0.3">
      <c r="A8" s="61" t="str">
        <f>'4_B_Programas sociales'!A25</f>
        <v>Flujo de beneficios (errores en el focalización de los programas sociales)</v>
      </c>
      <c r="B8" s="61"/>
      <c r="C8" s="62">
        <f>'4_B_Programas sociales'!E25</f>
        <v>0</v>
      </c>
      <c r="D8" s="62">
        <f>'4_B_Programas sociales'!F25</f>
        <v>410545.16129032261</v>
      </c>
      <c r="E8" s="62">
        <f>'4_B_Programas sociales'!G25</f>
        <v>830286.53419354849</v>
      </c>
      <c r="F8" s="62">
        <f>'4_B_Programas sociales'!H25</f>
        <v>1259378.6150647744</v>
      </c>
      <c r="G8" s="62">
        <f>'4_B_Programas sociales'!I25</f>
        <v>1697978.2074046668</v>
      </c>
      <c r="H8" s="62">
        <f>'4_B_Programas sociales'!J25</f>
        <v>2146244.4541594991</v>
      </c>
      <c r="I8" s="62">
        <f>'4_B_Programas sociales'!K25</f>
        <v>2170282.3920460856</v>
      </c>
      <c r="J8" s="62">
        <f>'4_B_Programas sociales'!L25</f>
        <v>2194589.554837002</v>
      </c>
      <c r="K8" s="62">
        <f>'4_B_Programas sociales'!M25</f>
        <v>2219168.9578511766</v>
      </c>
      <c r="L8" s="62">
        <f>'4_B_Programas sociales'!N25</f>
        <v>2244023.65017911</v>
      </c>
      <c r="M8" s="62">
        <f>'4_B_Programas sociales'!O25</f>
        <v>2269156.715061116</v>
      </c>
      <c r="N8" s="62">
        <f>'4_B_Programas sociales'!P25</f>
        <v>1835657.0162158408</v>
      </c>
      <c r="O8" s="62">
        <f>'4_B_Programas sociales'!Q25</f>
        <v>1392162.2810980936</v>
      </c>
      <c r="P8" s="62">
        <f>'4_B_Programas sociales'!R25</f>
        <v>938502.99909759499</v>
      </c>
      <c r="Q8" s="62">
        <f>'4_B_Programas sociales'!S25</f>
        <v>474507.1163437441</v>
      </c>
    </row>
    <row r="9" spans="1:19" x14ac:dyDescent="0.3">
      <c r="A9" s="3"/>
      <c r="B9" s="3"/>
      <c r="C9" s="27"/>
      <c r="D9" s="27"/>
      <c r="E9" s="27"/>
      <c r="F9" s="27"/>
      <c r="G9" s="27"/>
      <c r="H9" s="27"/>
      <c r="I9" s="27"/>
      <c r="J9" s="27"/>
      <c r="K9" s="27"/>
      <c r="L9" s="27"/>
      <c r="M9" s="27"/>
      <c r="N9" s="27"/>
      <c r="O9" s="27"/>
      <c r="P9" s="27"/>
      <c r="Q9" s="27"/>
    </row>
    <row r="10" spans="1:19" s="8" customFormat="1" x14ac:dyDescent="0.3">
      <c r="A10" s="28" t="s">
        <v>12</v>
      </c>
      <c r="B10" s="28"/>
      <c r="C10" s="29">
        <f t="shared" ref="C10:G10" si="2">SUM(C11:C15)</f>
        <v>0</v>
      </c>
      <c r="D10" s="29">
        <f t="shared" si="2"/>
        <v>10945000</v>
      </c>
      <c r="E10" s="29">
        <f t="shared" si="2"/>
        <v>19040000</v>
      </c>
      <c r="F10" s="29">
        <f t="shared" si="2"/>
        <v>12810000</v>
      </c>
      <c r="G10" s="29">
        <f t="shared" si="2"/>
        <v>12205000</v>
      </c>
      <c r="H10" s="29">
        <f t="shared" ref="H10:M10" si="3">SUM(H12:H15)</f>
        <v>2750000</v>
      </c>
      <c r="I10" s="29">
        <f t="shared" si="3"/>
        <v>2750000</v>
      </c>
      <c r="J10" s="29">
        <f t="shared" si="3"/>
        <v>2750000</v>
      </c>
      <c r="K10" s="29">
        <f t="shared" si="3"/>
        <v>2750000</v>
      </c>
      <c r="L10" s="29">
        <f t="shared" si="3"/>
        <v>2750000</v>
      </c>
      <c r="M10" s="29">
        <f t="shared" si="3"/>
        <v>2750000</v>
      </c>
      <c r="N10" s="29">
        <f t="shared" ref="N10:Q10" si="4">SUM(N12:N15)</f>
        <v>2750000</v>
      </c>
      <c r="O10" s="29">
        <f t="shared" si="4"/>
        <v>2750000</v>
      </c>
      <c r="P10" s="29">
        <f t="shared" si="4"/>
        <v>2750000</v>
      </c>
      <c r="Q10" s="29">
        <f t="shared" si="4"/>
        <v>2750000</v>
      </c>
      <c r="S10" s="20">
        <f>SUM(D10:J10)</f>
        <v>63250000</v>
      </c>
    </row>
    <row r="11" spans="1:19" x14ac:dyDescent="0.3">
      <c r="A11" s="3" t="s">
        <v>10</v>
      </c>
      <c r="B11" s="3"/>
      <c r="C11" s="30"/>
      <c r="D11" s="30">
        <f>Costos!G6*1000</f>
        <v>5010000</v>
      </c>
      <c r="E11" s="30">
        <f>Costos!L6*1000</f>
        <v>6575000</v>
      </c>
      <c r="F11" s="27">
        <f>Costos!Q6*1000</f>
        <v>3705000</v>
      </c>
      <c r="G11" s="27">
        <f>Costos!V6*1000</f>
        <v>1360000</v>
      </c>
      <c r="L11" s="27"/>
      <c r="S11" s="20">
        <f>SUM(D11:J11)</f>
        <v>16650000</v>
      </c>
    </row>
    <row r="12" spans="1:19" x14ac:dyDescent="0.3">
      <c r="A12" s="3" t="s">
        <v>11</v>
      </c>
      <c r="B12" s="3"/>
      <c r="C12" s="30"/>
      <c r="D12" s="30">
        <f>Costos!G13*1000</f>
        <v>2200000</v>
      </c>
      <c r="E12" s="30">
        <f>Costos!L13*1000</f>
        <v>4400000</v>
      </c>
      <c r="F12" s="27">
        <f>Costos!Q13*1000</f>
        <v>6600000</v>
      </c>
      <c r="G12" s="27">
        <f>Costos!V13*1000</f>
        <v>8550000</v>
      </c>
      <c r="H12" s="27"/>
      <c r="I12" s="27"/>
      <c r="J12" s="27"/>
      <c r="K12" s="27"/>
      <c r="L12" s="27"/>
      <c r="M12" s="27"/>
      <c r="N12" s="27"/>
      <c r="O12" s="27"/>
      <c r="P12" s="27"/>
      <c r="Q12" s="27"/>
      <c r="S12" s="20">
        <f>SUM(D12:J12)</f>
        <v>21750000</v>
      </c>
    </row>
    <row r="13" spans="1:19" x14ac:dyDescent="0.3">
      <c r="A13" s="3" t="s">
        <v>180</v>
      </c>
      <c r="B13" s="3"/>
      <c r="C13" s="30"/>
      <c r="D13" s="30">
        <f>Costos!G18*1000</f>
        <v>2685000</v>
      </c>
      <c r="E13" s="30">
        <f>Costos!L18*1000</f>
        <v>7365000</v>
      </c>
      <c r="F13" s="27">
        <f>Costos!Q18*1000</f>
        <v>1805000</v>
      </c>
      <c r="G13" s="27">
        <f>Costos!V18*1000</f>
        <v>1245000</v>
      </c>
      <c r="H13" s="27"/>
      <c r="I13" s="27"/>
      <c r="J13" s="27"/>
      <c r="K13" s="27"/>
      <c r="L13" s="27"/>
      <c r="M13" s="27"/>
      <c r="N13" s="27"/>
      <c r="O13" s="27"/>
      <c r="P13" s="27"/>
      <c r="Q13" s="27"/>
      <c r="S13" s="20"/>
    </row>
    <row r="14" spans="1:19" x14ac:dyDescent="0.3">
      <c r="A14" s="3" t="s">
        <v>181</v>
      </c>
      <c r="B14" s="3"/>
      <c r="C14" s="30"/>
      <c r="D14" s="30">
        <f>Costos!G24*1000</f>
        <v>1050000</v>
      </c>
      <c r="E14" s="30">
        <f>Costos!L24*1000</f>
        <v>700000</v>
      </c>
      <c r="F14" s="30">
        <f>Costos!Q24*1000</f>
        <v>700000</v>
      </c>
      <c r="G14" s="30">
        <f>Costos!V24*1000</f>
        <v>1050000</v>
      </c>
      <c r="H14" s="27"/>
      <c r="I14" s="27"/>
      <c r="J14" s="27"/>
      <c r="K14" s="27"/>
      <c r="L14" s="27"/>
      <c r="M14" s="27"/>
      <c r="N14" s="27"/>
      <c r="O14" s="27"/>
      <c r="P14" s="27"/>
      <c r="Q14" s="27"/>
      <c r="S14" s="20">
        <f>SUM(D14:J14)</f>
        <v>3500000</v>
      </c>
    </row>
    <row r="15" spans="1:19" s="122" customFormat="1" x14ac:dyDescent="0.3">
      <c r="A15" s="131" t="s">
        <v>241</v>
      </c>
      <c r="B15" s="120"/>
      <c r="C15" s="125"/>
      <c r="D15" s="125"/>
      <c r="E15" s="125"/>
      <c r="F15" s="125"/>
      <c r="G15" s="125"/>
      <c r="H15" s="27">
        <f>5500000/2</f>
        <v>2750000</v>
      </c>
      <c r="I15" s="27">
        <f t="shared" ref="I15:Q15" si="5">5500000/2</f>
        <v>2750000</v>
      </c>
      <c r="J15" s="27">
        <f t="shared" si="5"/>
        <v>2750000</v>
      </c>
      <c r="K15" s="27">
        <f t="shared" si="5"/>
        <v>2750000</v>
      </c>
      <c r="L15" s="27">
        <f t="shared" si="5"/>
        <v>2750000</v>
      </c>
      <c r="M15" s="27">
        <f t="shared" si="5"/>
        <v>2750000</v>
      </c>
      <c r="N15" s="27">
        <f t="shared" si="5"/>
        <v>2750000</v>
      </c>
      <c r="O15" s="27">
        <f t="shared" si="5"/>
        <v>2750000</v>
      </c>
      <c r="P15" s="27">
        <f t="shared" si="5"/>
        <v>2750000</v>
      </c>
      <c r="Q15" s="27">
        <f t="shared" si="5"/>
        <v>2750000</v>
      </c>
      <c r="R15" s="122" t="s">
        <v>238</v>
      </c>
      <c r="S15" s="127"/>
    </row>
    <row r="16" spans="1:19" ht="15" thickBot="1" x14ac:dyDescent="0.35">
      <c r="A16" s="4"/>
      <c r="B16" s="4"/>
      <c r="C16" s="31"/>
      <c r="D16" s="31"/>
      <c r="E16" s="31"/>
      <c r="F16" s="31"/>
      <c r="G16" s="31"/>
      <c r="H16" s="31"/>
      <c r="I16" s="31"/>
      <c r="J16" s="31"/>
      <c r="K16" s="31"/>
      <c r="L16" s="31"/>
      <c r="M16" s="31"/>
      <c r="N16" s="31"/>
      <c r="O16" s="31"/>
      <c r="P16" s="31"/>
      <c r="Q16" s="31"/>
    </row>
    <row r="17" spans="1:17" ht="15" thickBot="1" x14ac:dyDescent="0.35">
      <c r="A17" s="5" t="s">
        <v>13</v>
      </c>
      <c r="B17" s="5"/>
      <c r="C17" s="21">
        <v>0</v>
      </c>
      <c r="D17" s="21">
        <f t="shared" ref="D17:M17" si="6">D3-D10</f>
        <v>-7888742.1069790963</v>
      </c>
      <c r="E17" s="21">
        <f t="shared" si="6"/>
        <v>-12859024.037154526</v>
      </c>
      <c r="F17" s="21">
        <f t="shared" si="6"/>
        <v>-3434695.6595559828</v>
      </c>
      <c r="G17" s="21">
        <f t="shared" si="6"/>
        <v>-808285.04105146229</v>
      </c>
      <c r="H17" s="21">
        <f t="shared" si="6"/>
        <v>9397684.3560468256</v>
      </c>
      <c r="I17" s="21">
        <f t="shared" si="6"/>
        <v>9533738.4208345525</v>
      </c>
      <c r="J17" s="21">
        <f t="shared" si="6"/>
        <v>9671316.2911479007</v>
      </c>
      <c r="K17" s="21">
        <f t="shared" si="6"/>
        <v>9810435.033608757</v>
      </c>
      <c r="L17" s="21">
        <f t="shared" si="6"/>
        <v>9951111.9059851766</v>
      </c>
      <c r="M17" s="21">
        <f t="shared" si="6"/>
        <v>10093364.359332211</v>
      </c>
      <c r="N17" s="21">
        <f t="shared" ref="N17:Q17" si="7">N3-N10</f>
        <v>9570805.8177510425</v>
      </c>
      <c r="O17" s="21">
        <f t="shared" si="7"/>
        <v>7613797.6065760739</v>
      </c>
      <c r="P17" s="21">
        <f t="shared" si="7"/>
        <v>4236581.4265131522</v>
      </c>
      <c r="Q17" s="21">
        <f t="shared" si="7"/>
        <v>782415.56924504973</v>
      </c>
    </row>
    <row r="18" spans="1:17" ht="15" thickBot="1" x14ac:dyDescent="0.35">
      <c r="N18" s="17"/>
    </row>
    <row r="19" spans="1:17" ht="15" thickBot="1" x14ac:dyDescent="0.35">
      <c r="A19" s="16" t="s">
        <v>14</v>
      </c>
      <c r="B19" s="16">
        <f>NPV(B21,C17:Q17)</f>
        <v>9751351.1121237092</v>
      </c>
      <c r="D19" s="35"/>
      <c r="E19" s="34"/>
      <c r="F19" s="25"/>
      <c r="G19" s="25"/>
      <c r="H19" s="25"/>
      <c r="I19" s="25"/>
      <c r="J19" s="25"/>
      <c r="K19" s="25"/>
      <c r="L19" s="25"/>
      <c r="M19" s="25"/>
    </row>
    <row r="20" spans="1:17" ht="15" thickBot="1" x14ac:dyDescent="0.35">
      <c r="A20" s="15" t="s">
        <v>15</v>
      </c>
      <c r="B20" s="23">
        <f>IRR(C17:Q17)</f>
        <v>0.20256477470129641</v>
      </c>
      <c r="D20" s="33"/>
      <c r="E20" s="33"/>
      <c r="F20" s="33"/>
      <c r="G20" s="33"/>
      <c r="H20" s="33"/>
      <c r="I20" s="33"/>
      <c r="J20" s="33"/>
      <c r="K20" s="33"/>
      <c r="L20" s="33"/>
      <c r="M20" s="33"/>
    </row>
    <row r="21" spans="1:17" ht="15" thickBot="1" x14ac:dyDescent="0.35">
      <c r="A21" s="15" t="s">
        <v>17</v>
      </c>
      <c r="B21" s="22">
        <v>0.12</v>
      </c>
      <c r="D21" s="25"/>
      <c r="E21" s="25"/>
      <c r="F21" s="25"/>
      <c r="G21" s="25"/>
      <c r="H21" s="25"/>
      <c r="N21" s="17"/>
    </row>
    <row r="22" spans="1:17" x14ac:dyDescent="0.3">
      <c r="J22" s="36"/>
    </row>
    <row r="24" spans="1:17" x14ac:dyDescent="0.3">
      <c r="G24" s="17"/>
    </row>
  </sheetData>
  <phoneticPr fontId="6"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EFE15D088B263744A413921A5D9671BF" ma:contentTypeVersion="20" ma:contentTypeDescription="A content type to manage public (operations) IDB documents" ma:contentTypeScope="" ma:versionID="1879677f9a462161cc8e0602e28dd746">
  <xsd:schema xmlns:xsd="http://www.w3.org/2001/XMLSchema" xmlns:xs="http://www.w3.org/2001/XMLSchema" xmlns:p="http://schemas.microsoft.com/office/2006/metadata/properties" xmlns:ns2="cdc7663a-08f0-4737-9e8c-148ce897a09c" targetNamespace="http://schemas.microsoft.com/office/2006/metadata/properties" ma:root="true" ma:fieldsID="52f75a97534f73305059e4ad7324dd1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maxLength value="255"/>
        </xsd:restriction>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Argentina</TermName>
          <TermId xmlns="http://schemas.microsoft.com/office/infopath/2007/PartnerControls">eb1b705c-195f-4c3b-9661-b201f2fee3c5</TermId>
        </TermInfo>
      </Terms>
    </ic46d7e087fd4a108fb86518ca413cc6>
    <IDBDocs_x0020_Number xmlns="cdc7663a-08f0-4737-9e8c-148ce897a09c" xsi:nil="true"/>
    <Division_x0020_or_x0020_Unit xmlns="cdc7663a-08f0-4737-9e8c-148ce897a09c">IFD/ICS</Division_x0020_or_x0020_Unit>
    <Fiscal_x0020_Year_x0020_IDB xmlns="cdc7663a-08f0-4737-9e8c-148ce897a09c">2017</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Rojas Gonzalez, Sonia Amalia</Other_x0020_Author>
    <Migration_x0020_Info xmlns="cdc7663a-08f0-4737-9e8c-148ce897a09c" xsi:nil="true"/>
    <Approval_x0020_Number xmlns="cdc7663a-08f0-4737-9e8c-148ce897a09c" xsi:nil="true"/>
    <Phase xmlns="cdc7663a-08f0-4737-9e8c-148ce897a09c">ACTIVE</Phase>
    <Document_x0020_Author xmlns="cdc7663a-08f0-4737-9e8c-148ce897a09c">Reyes, Javier Ramiro</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NATIONAL STATISTICS SYSTEMS AND CENSUSES</TermName>
          <TermId xmlns="http://schemas.microsoft.com/office/infopath/2007/PartnerControls">360cfdd5-25a5-4528-aaed-eba3c6aa70b0</TermId>
        </TermInfo>
      </Terms>
    </b2ec7cfb18674cb8803df6b262e8b107>
    <Business_x0020_Area xmlns="cdc7663a-08f0-4737-9e8c-148ce897a09c">General Documents</Business_x0020_Area>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TaxCatchAll xmlns="cdc7663a-08f0-4737-9e8c-148ce897a09c">
      <Value>12</Value>
      <Value>4</Value>
      <Value>5</Value>
      <Value>36</Value>
      <Value>40</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AR-L1266</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R0000308923</Record_x0020_Number>
    <_dlc_DocId xmlns="cdc7663a-08f0-4737-9e8c-148ce897a09c">EZSHARE-487500101-12</_dlc_DocId>
    <_dlc_DocIdUrl xmlns="cdc7663a-08f0-4737-9e8c-148ce897a09c">
      <Url>https://idbg.sharepoint.com/teams/EZ-AR-LON/AR-L1266/_layouts/15/DocIdRedir.aspx?ID=EZSHARE-487500101-12</Url>
      <Description>EZSHARE-487500101-12</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05B1B543-AFCA-43C5-AEA6-E56ACD68AA12}"/>
</file>

<file path=customXml/itemProps2.xml><?xml version="1.0" encoding="utf-8"?>
<ds:datastoreItem xmlns:ds="http://schemas.openxmlformats.org/officeDocument/2006/customXml" ds:itemID="{0B722D5D-4014-45ED-A711-04390E792AD6}"/>
</file>

<file path=customXml/itemProps3.xml><?xml version="1.0" encoding="utf-8"?>
<ds:datastoreItem xmlns:ds="http://schemas.openxmlformats.org/officeDocument/2006/customXml" ds:itemID="{EBD6BDDC-21D5-4ADB-977C-438E64BAA821}"/>
</file>

<file path=customXml/itemProps4.xml><?xml version="1.0" encoding="utf-8"?>
<ds:datastoreItem xmlns:ds="http://schemas.openxmlformats.org/officeDocument/2006/customXml" ds:itemID="{F3B80825-2D60-41FA-A2A6-E7316DB43312}"/>
</file>

<file path=customXml/itemProps5.xml><?xml version="1.0" encoding="utf-8"?>
<ds:datastoreItem xmlns:ds="http://schemas.openxmlformats.org/officeDocument/2006/customXml" ds:itemID="{6A97324D-8F89-4D8E-9F9C-1603ECCF420F}"/>
</file>

<file path=customXml/itemProps6.xml><?xml version="1.0" encoding="utf-8"?>
<ds:datastoreItem xmlns:ds="http://schemas.openxmlformats.org/officeDocument/2006/customXml" ds:itemID="{0A49DDFC-A5A8-492B-921A-C57270AAD3F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1_B_Uso_EPublicas</vt:lpstr>
      <vt:lpstr>HT_1_2</vt:lpstr>
      <vt:lpstr>2_B_Uso_Empresas</vt:lpstr>
      <vt:lpstr>HT_1_3</vt:lpstr>
      <vt:lpstr>3_B_Uso_Población</vt:lpstr>
      <vt:lpstr>HT_1_4</vt:lpstr>
      <vt:lpstr>5_B_Inversión</vt:lpstr>
      <vt:lpstr>4_B_Programas sociales</vt:lpstr>
      <vt:lpstr>Ev_So_PM</vt:lpstr>
      <vt:lpstr>Ev_So_PS</vt:lpstr>
      <vt:lpstr>Costos</vt:lpstr>
      <vt:lpstr>Estadistica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Darwin Eufracio</dc:creator>
  <cp:keywords/>
  <cp:lastModifiedBy>Cabral Berenfus, Florencia Alejandra</cp:lastModifiedBy>
  <dcterms:created xsi:type="dcterms:W3CDTF">2009-06-19T14:59:27Z</dcterms:created>
  <dcterms:modified xsi:type="dcterms:W3CDTF">2017-05-05T16:36:59Z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Function Operations IDB">
    <vt:lpwstr>12;#Project Administration|751f71fd-1433-4702-a2db-ff12a4e45594</vt:lpwstr>
  </property>
  <property fmtid="{D5CDD505-2E9C-101B-9397-08002B2CF9AE}" pid="4" name="TaxKeyword">
    <vt:lpwstr/>
  </property>
  <property fmtid="{D5CDD505-2E9C-101B-9397-08002B2CF9AE}" pid="5" name="TaxKeywordTaxHTField">
    <vt:lpwstr/>
  </property>
  <property fmtid="{D5CDD505-2E9C-101B-9397-08002B2CF9AE}" pid="6" name="Series Operations IDB">
    <vt:lpwstr/>
  </property>
  <property fmtid="{D5CDD505-2E9C-101B-9397-08002B2CF9AE}" pid="7" name="Sub-Sector">
    <vt:lpwstr>40;#NATIONAL STATISTICS SYSTEMS AND CENSUSES|360cfdd5-25a5-4528-aaed-eba3c6aa70b0</vt:lpwstr>
  </property>
  <property fmtid="{D5CDD505-2E9C-101B-9397-08002B2CF9AE}" pid="8" name="Fund IDB">
    <vt:lpwstr>4;#ORC|c028a4b2-ad8b-4cf4-9cac-a2ae6a778e23</vt:lpwstr>
  </property>
  <property fmtid="{D5CDD505-2E9C-101B-9397-08002B2CF9AE}" pid="9" name="Country">
    <vt:lpwstr>5;#Argentina|eb1b705c-195f-4c3b-9661-b201f2fee3c5</vt:lpwstr>
  </property>
  <property fmtid="{D5CDD505-2E9C-101B-9397-08002B2CF9AE}" pid="10" name="Sector IDB">
    <vt:lpwstr>36;#REFORM / MODERNIZATION OF THE STATE|c8fda4a7-691a-4c65-b227-9825197b5cd2</vt:lpwstr>
  </property>
  <property fmtid="{D5CDD505-2E9C-101B-9397-08002B2CF9AE}" pid="11" name="_dlc_DocIdItemGuid">
    <vt:lpwstr>b11d5b7b-fb60-42cc-95a4-d27acb8e46f4</vt:lpwstr>
  </property>
  <property fmtid="{D5CDD505-2E9C-101B-9397-08002B2CF9AE}" pid="12" name="Disclosure Activity">
    <vt:lpwstr>Loan Proposal</vt:lpwstr>
  </property>
  <property fmtid="{D5CDD505-2E9C-101B-9397-08002B2CF9AE}" pid="13" name="ContentTypeId">
    <vt:lpwstr>0x0101001A458A224826124E8B45B1D613300CFC00EFE15D088B263744A413921A5D9671BF</vt:lpwstr>
  </property>
</Properties>
</file>