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620" yWindow="270" windowWidth="4740" windowHeight="9750"/>
  </bookViews>
  <sheets>
    <sheet name="Plan de Adquisiciones" sheetId="3" r:id="rId1"/>
    <sheet name="Presupuesto Final" sheetId="2" r:id="rId2"/>
  </sheets>
  <calcPr calcId="145621"/>
</workbook>
</file>

<file path=xl/calcChain.xml><?xml version="1.0" encoding="utf-8"?>
<calcChain xmlns="http://schemas.openxmlformats.org/spreadsheetml/2006/main">
  <c r="E60" i="3" l="1"/>
  <c r="E55" i="3"/>
  <c r="H59" i="3"/>
  <c r="E52" i="3"/>
  <c r="H46" i="3"/>
  <c r="G29" i="2"/>
  <c r="E48" i="3"/>
  <c r="E44" i="3"/>
  <c r="E23" i="3"/>
  <c r="E21" i="3" s="1"/>
  <c r="E35" i="3"/>
  <c r="E39" i="3"/>
  <c r="H32" i="3"/>
  <c r="E30" i="3"/>
  <c r="E9" i="3"/>
  <c r="H29" i="3"/>
  <c r="H25" i="3"/>
  <c r="E14" i="3"/>
  <c r="H17" i="3"/>
  <c r="H15" i="3"/>
  <c r="E33" i="3" l="1"/>
  <c r="E8" i="3"/>
  <c r="E43" i="3"/>
  <c r="E69" i="3" s="1"/>
  <c r="F4" i="2" l="1"/>
  <c r="D6" i="2"/>
  <c r="E9" i="2"/>
  <c r="C11" i="2"/>
  <c r="D11" i="2"/>
  <c r="D12" i="2"/>
  <c r="D13" i="2" s="1"/>
  <c r="E12" i="2"/>
  <c r="E15" i="2"/>
  <c r="C20" i="2"/>
  <c r="C21" i="2"/>
  <c r="D21" i="2"/>
  <c r="D23" i="2"/>
  <c r="E23" i="2"/>
  <c r="E24" i="2"/>
  <c r="D25" i="2"/>
  <c r="C57" i="2" l="1"/>
  <c r="K65" i="2"/>
  <c r="D56" i="2"/>
  <c r="D51" i="2"/>
  <c r="E51" i="2"/>
  <c r="D48" i="2"/>
  <c r="E48" i="2"/>
  <c r="H48" i="2"/>
  <c r="I48" i="2"/>
  <c r="J48" i="2"/>
  <c r="K48" i="2"/>
  <c r="L48" i="2"/>
  <c r="M48" i="2"/>
  <c r="D44" i="2"/>
  <c r="E44" i="2"/>
  <c r="D40" i="2"/>
  <c r="D39" i="2" s="1"/>
  <c r="E40" i="2"/>
  <c r="E39" i="2" s="1"/>
  <c r="D35" i="2"/>
  <c r="E35" i="2"/>
  <c r="D31" i="2"/>
  <c r="D29" i="2" s="1"/>
  <c r="E31" i="2"/>
  <c r="E29" i="2"/>
  <c r="H29" i="2"/>
  <c r="H65" i="2" s="1"/>
  <c r="I29" i="2"/>
  <c r="I65" i="2"/>
  <c r="J29" i="2"/>
  <c r="J65" i="2" s="1"/>
  <c r="K29" i="2"/>
  <c r="L29" i="2"/>
  <c r="L65" i="2" s="1"/>
  <c r="M29" i="2"/>
  <c r="M65" i="2" s="1"/>
  <c r="D26" i="2"/>
  <c r="E26" i="2"/>
  <c r="C5" i="2"/>
  <c r="F43" i="2"/>
  <c r="G43" i="2"/>
  <c r="C40" i="2"/>
  <c r="G64" i="2"/>
  <c r="C56" i="2"/>
  <c r="F50" i="2"/>
  <c r="F49" i="2"/>
  <c r="F48" i="2" s="1"/>
  <c r="F46" i="2"/>
  <c r="F47" i="2"/>
  <c r="F45" i="2"/>
  <c r="F44" i="2" s="1"/>
  <c r="F38" i="2"/>
  <c r="F37" i="2"/>
  <c r="F36" i="2"/>
  <c r="G36" i="2" s="1"/>
  <c r="G35" i="2" s="1"/>
  <c r="F27" i="2"/>
  <c r="F16" i="2"/>
  <c r="F8" i="2"/>
  <c r="G8" i="2" s="1"/>
  <c r="F9" i="2"/>
  <c r="E60" i="2"/>
  <c r="F60" i="2" s="1"/>
  <c r="E56" i="2"/>
  <c r="C19" i="2"/>
  <c r="C17" i="2" s="1"/>
  <c r="F24" i="2"/>
  <c r="G24" i="2" s="1"/>
  <c r="C10" i="2"/>
  <c r="D5" i="2"/>
  <c r="E19" i="2"/>
  <c r="E17" i="2" s="1"/>
  <c r="I57" i="2"/>
  <c r="J57" i="2" s="1"/>
  <c r="K57" i="2" s="1"/>
  <c r="I21" i="2"/>
  <c r="J21" i="2" s="1"/>
  <c r="K21" i="2" s="1"/>
  <c r="I59" i="2"/>
  <c r="J20" i="2"/>
  <c r="I11" i="2"/>
  <c r="J11" i="2" s="1"/>
  <c r="F14" i="2"/>
  <c r="F11" i="2"/>
  <c r="G11" i="2" s="1"/>
  <c r="E10" i="2"/>
  <c r="F23" i="2"/>
  <c r="F15" i="2"/>
  <c r="G15" i="2" s="1"/>
  <c r="F6" i="2"/>
  <c r="G6" i="2" s="1"/>
  <c r="F34" i="2"/>
  <c r="C31" i="2"/>
  <c r="G63" i="2"/>
  <c r="G62" i="2"/>
  <c r="G61" i="2"/>
  <c r="G59" i="2"/>
  <c r="G58" i="2"/>
  <c r="G57" i="2"/>
  <c r="C51" i="2"/>
  <c r="F55" i="2"/>
  <c r="G55" i="2" s="1"/>
  <c r="C48" i="2"/>
  <c r="C44" i="2"/>
  <c r="G49" i="2"/>
  <c r="F54" i="2"/>
  <c r="G54" i="2"/>
  <c r="F53" i="2"/>
  <c r="G53" i="2" s="1"/>
  <c r="F52" i="2"/>
  <c r="G47" i="2"/>
  <c r="G45" i="2"/>
  <c r="F42" i="2"/>
  <c r="G42" i="2" s="1"/>
  <c r="F41" i="2"/>
  <c r="C35" i="2"/>
  <c r="G34" i="2"/>
  <c r="F32" i="2"/>
  <c r="F30" i="2"/>
  <c r="G30" i="2" s="1"/>
  <c r="G38" i="2"/>
  <c r="F25" i="2"/>
  <c r="F33" i="2"/>
  <c r="F31" i="2" s="1"/>
  <c r="C26" i="2"/>
  <c r="G16" i="2"/>
  <c r="F18" i="2"/>
  <c r="G18" i="2" s="1"/>
  <c r="G14" i="2"/>
  <c r="F28" i="2"/>
  <c r="F26" i="2" s="1"/>
  <c r="F22" i="2"/>
  <c r="G22" i="2"/>
  <c r="F21" i="2"/>
  <c r="G21" i="2" s="1"/>
  <c r="F20" i="2"/>
  <c r="G20" i="2" s="1"/>
  <c r="F7" i="2"/>
  <c r="G7" i="2" s="1"/>
  <c r="G27" i="2"/>
  <c r="F40" i="2"/>
  <c r="F51" i="2"/>
  <c r="C29" i="2"/>
  <c r="C39" i="2"/>
  <c r="F12" i="2"/>
  <c r="G12" i="2" s="1"/>
  <c r="G41" i="2"/>
  <c r="G40" i="2" s="1"/>
  <c r="G39" i="2" s="1"/>
  <c r="G32" i="2"/>
  <c r="G37" i="2"/>
  <c r="G28" i="2"/>
  <c r="G26" i="2" s="1"/>
  <c r="G46" i="2"/>
  <c r="G44" i="2"/>
  <c r="G52" i="2"/>
  <c r="G50" i="2"/>
  <c r="G48" i="2"/>
  <c r="G25" i="2"/>
  <c r="C4" i="2" l="1"/>
  <c r="C65" i="2" s="1"/>
  <c r="C69" i="2" s="1"/>
  <c r="C67" i="2"/>
  <c r="C70" i="2" s="1"/>
  <c r="G67" i="2"/>
  <c r="G51" i="2"/>
  <c r="F39" i="2"/>
  <c r="F13" i="2"/>
  <c r="G13" i="2" s="1"/>
  <c r="G10" i="2" s="1"/>
  <c r="D10" i="2"/>
  <c r="J23" i="2"/>
  <c r="F56" i="2"/>
  <c r="G60" i="2"/>
  <c r="G56" i="2" s="1"/>
  <c r="G23" i="2"/>
  <c r="G19" i="2" s="1"/>
  <c r="G17" i="2" s="1"/>
  <c r="F19" i="2"/>
  <c r="F17" i="2" s="1"/>
  <c r="F5" i="2"/>
  <c r="G9" i="2"/>
  <c r="G5" i="2" s="1"/>
  <c r="G33" i="2"/>
  <c r="G31" i="2" s="1"/>
  <c r="D19" i="2"/>
  <c r="D17" i="2" s="1"/>
  <c r="F35" i="2"/>
  <c r="F29" i="2" s="1"/>
  <c r="F10" i="2"/>
  <c r="E5" i="2"/>
  <c r="E4" i="2" s="1"/>
  <c r="D4" i="2" l="1"/>
  <c r="D65" i="2" s="1"/>
  <c r="D69" i="2" s="1"/>
  <c r="E65" i="2"/>
  <c r="E69" i="2" s="1"/>
  <c r="G4" i="2"/>
  <c r="G65" i="2" s="1"/>
  <c r="D70" i="2" l="1"/>
  <c r="F65" i="2"/>
  <c r="F70" i="2" s="1"/>
  <c r="E70" i="2"/>
  <c r="G70" i="2"/>
  <c r="C71" i="2" s="1"/>
  <c r="G69" i="2"/>
  <c r="C66" i="2"/>
  <c r="D66" i="2"/>
  <c r="E66" i="2"/>
  <c r="F69" i="2" l="1"/>
  <c r="D71" i="2"/>
  <c r="F66" i="2"/>
  <c r="G66" i="2" s="1"/>
  <c r="E71" i="2"/>
  <c r="F71" i="2" l="1"/>
  <c r="G71" i="2" s="1"/>
</calcChain>
</file>

<file path=xl/sharedStrings.xml><?xml version="1.0" encoding="utf-8"?>
<sst xmlns="http://schemas.openxmlformats.org/spreadsheetml/2006/main" count="319" uniqueCount="141">
  <si>
    <t>Código</t>
  </si>
  <si>
    <t>COMPONENTES</t>
  </si>
  <si>
    <t>1.1.1</t>
  </si>
  <si>
    <t>1.1.2</t>
  </si>
  <si>
    <t>1.2.1</t>
  </si>
  <si>
    <t>1.2.2</t>
  </si>
  <si>
    <t>1.2.3</t>
  </si>
  <si>
    <t>2.2.1</t>
  </si>
  <si>
    <t>2.2.2</t>
  </si>
  <si>
    <t>Becas a estudiantes para monitoreo</t>
  </si>
  <si>
    <t>Taller de medición de carbono en suelos y recuperación biológica para productores agropecuarios</t>
  </si>
  <si>
    <t>Análisis de laboratorio de contenidos de carbono en suelo</t>
  </si>
  <si>
    <t>Experto en comunicacion y conocimiento</t>
  </si>
  <si>
    <t xml:space="preserve">Guía metodológica de prácticas regenerativas  </t>
  </si>
  <si>
    <t>1 Coordinador operativo del proyecto</t>
  </si>
  <si>
    <t>1 Contador</t>
  </si>
  <si>
    <t>Auditorias x 3</t>
  </si>
  <si>
    <t>TOTAL</t>
  </si>
  <si>
    <t xml:space="preserve">APORTE LOCAL </t>
  </si>
  <si>
    <t>Efectivo</t>
  </si>
  <si>
    <t>CONTRAPARTE</t>
  </si>
  <si>
    <t>FOMIN</t>
  </si>
  <si>
    <t>TOTAL PROYECTO</t>
  </si>
  <si>
    <t xml:space="preserve">TOTAL </t>
  </si>
  <si>
    <t>Contingencias</t>
  </si>
  <si>
    <t>1.3.1</t>
  </si>
  <si>
    <t>1.3.2</t>
  </si>
  <si>
    <t>1.3.3</t>
  </si>
  <si>
    <t>3.1.1</t>
  </si>
  <si>
    <t>3.1.2</t>
  </si>
  <si>
    <t>3.1.3</t>
  </si>
  <si>
    <t>3.1.4</t>
  </si>
  <si>
    <t>3.1.5</t>
  </si>
  <si>
    <t>Viáticos de coordinación</t>
  </si>
  <si>
    <t>Evaluación Final</t>
  </si>
  <si>
    <t>Formación de capacitadores técnicos</t>
  </si>
  <si>
    <t>1.2.4</t>
  </si>
  <si>
    <t>Diseño e impresión del manual introductorio al MH</t>
  </si>
  <si>
    <t>1.2.6</t>
  </si>
  <si>
    <t>Elaboración de videos de mejores prácticas</t>
  </si>
  <si>
    <t>Sensibilización e introducción al manejo holístico</t>
  </si>
  <si>
    <t>Implementación de la metodología de manejo holístico</t>
  </si>
  <si>
    <t>Visitas de asistencia técnica e implementación de pilotos demostrativos en SG y áreas de replicación</t>
  </si>
  <si>
    <t>Formación de redes de implementadores del MH</t>
  </si>
  <si>
    <t>1.3.2.1</t>
  </si>
  <si>
    <t>1.3.2.2</t>
  </si>
  <si>
    <t>1.3.2.3</t>
  </si>
  <si>
    <t>1.3.2.4</t>
  </si>
  <si>
    <t>1.4.1</t>
  </si>
  <si>
    <t>1.4.2</t>
  </si>
  <si>
    <t>Foros nacionales de intercambio de experiencias</t>
  </si>
  <si>
    <t>Supervisor en campo</t>
  </si>
  <si>
    <t>Auxiliar técnico de campo</t>
  </si>
  <si>
    <t>Implementación de planes de manejo (equipamiento, materiales y mano de obra)</t>
  </si>
  <si>
    <t>1.2.7</t>
  </si>
  <si>
    <t>Diseño e impresión de materiales de promoción de consumo sostenible para comunidades en la SG</t>
  </si>
  <si>
    <t>Talleres para implementadores del MH en la SG sobre técnicas para dar valor agregado a sus productos (procesamiento de cárnicos y de hortalizas)</t>
  </si>
  <si>
    <t>Talleres de introducción al MH para grupos de productores, jóvenes líderes, técnicos y estudiantes del sector agropecuario y/o ambiental</t>
  </si>
  <si>
    <t>Talleres de implementación en pilotos demostrativos</t>
  </si>
  <si>
    <t>Diseño de sistema SROI y establecimiento de línea de base</t>
  </si>
  <si>
    <t>Diseño y validación del sistema de monitoreo de carbono y recuperación biológica en pilotos demostrativos</t>
  </si>
  <si>
    <t>Diseño del sistema de monitoreo de carbono y recuperación biológica de suelos</t>
  </si>
  <si>
    <t>Integración de línea de base a SIG e implementación del monitoreo</t>
  </si>
  <si>
    <t>Coordinación del monitoreo</t>
  </si>
  <si>
    <t>Integración de mitigación de carbono por manejo holístico al mecanismo local de compensaciones</t>
  </si>
  <si>
    <t>Desarrollo de un documento de diseño de proyecto (PDD) que permita el registro del manejo holístico en el mecanismo local de compensaciones</t>
  </si>
  <si>
    <t>Gestor de políticas publicas</t>
  </si>
  <si>
    <t>Viáticos nacionales</t>
  </si>
  <si>
    <t>Diseño y puesta en línea de sistema de compensación de huella de carbono por captura en suelo</t>
  </si>
  <si>
    <t>3.3.1</t>
  </si>
  <si>
    <t>3.3.2</t>
  </si>
  <si>
    <t>Integración de NAMA para captura de carbono en suelo</t>
  </si>
  <si>
    <t>Actualización de contenidos en página web Planeta Carbono Neutral</t>
  </si>
  <si>
    <t>Automatización del pago y atención al cliente en línea</t>
  </si>
  <si>
    <t>Conocimiento y comunicación estratégica</t>
  </si>
  <si>
    <t xml:space="preserve">Talleres de difusión de Mecanismos locales de compensaciones </t>
  </si>
  <si>
    <t>Gastos administrativos</t>
  </si>
  <si>
    <t>500 Talleres comunitarios de introducción al MH en la Sierra Gorda</t>
  </si>
  <si>
    <t>Diseño y puesta en línea del curso virtual con material del Instituto Savory</t>
  </si>
  <si>
    <t>Especie</t>
  </si>
  <si>
    <t>Asesoría científica para la validación del sistema de monitoreo (Soil Carbon Coalition)</t>
  </si>
  <si>
    <t>Reuniones regionales de intercambio de experiencias entre implementadores (6 con productores y 6 con hortelanas)</t>
  </si>
  <si>
    <t>2.4.2</t>
  </si>
  <si>
    <t>2.4.3</t>
  </si>
  <si>
    <t>3 Técnicos de campo</t>
  </si>
  <si>
    <t xml:space="preserve">4 Promotores comunitarios </t>
  </si>
  <si>
    <t>1.3.2.5</t>
  </si>
  <si>
    <t>Auxiliar administrativo</t>
  </si>
  <si>
    <t>Gastos de Administración</t>
  </si>
  <si>
    <t>1.1.3</t>
  </si>
  <si>
    <t>Tradución y virtualización de materiales educativos</t>
  </si>
  <si>
    <t>1.1.4</t>
  </si>
  <si>
    <t>Actualización y producción de materiales del diplomado</t>
  </si>
  <si>
    <t>6 Diplomados en manejo holístico</t>
  </si>
  <si>
    <t>2.4.1</t>
  </si>
  <si>
    <t>Caso de estudio Mecanismo Estatal de compensaciones</t>
  </si>
  <si>
    <t>Taller de cierre</t>
  </si>
  <si>
    <t>SUB-TOTAL</t>
  </si>
  <si>
    <t>Cuenta de evaluación de impacto (5%)</t>
  </si>
  <si>
    <t>Cuenta de agenda (Monto fijo)</t>
  </si>
  <si>
    <t>Porcentajes (Sub-Total)</t>
  </si>
  <si>
    <t>Porcentajes (Total)</t>
  </si>
  <si>
    <t>Sensibilización, capacitación y asistencia técnica a productores</t>
  </si>
  <si>
    <t>Diseño e implementación de un sistema de medición, reporte y verificación (MRV)</t>
  </si>
  <si>
    <t>Consultoría legal</t>
  </si>
  <si>
    <t>Establecimiento de un mecanismo sub-nacional de compensaciones por captura de carbono en suelo</t>
  </si>
  <si>
    <t>Consultoría para el desarrollo del documento descriptivo de la NAMA</t>
  </si>
  <si>
    <t>Validación del diseño de proyecto por un organismo acreditado</t>
  </si>
  <si>
    <t>Ejecución</t>
  </si>
  <si>
    <t>Plan de Adquisiciones</t>
  </si>
  <si>
    <t>Reporte de Hito/Cumplimiento de meta</t>
  </si>
  <si>
    <t>No. Item</t>
  </si>
  <si>
    <t>Descripción de las adquisiciones (1)</t>
  </si>
  <si>
    <t>Costo estimado de la Adquisición         (US$)</t>
  </si>
  <si>
    <t>Revisión  de adquisiciones (Ex ante-Ex Post) (3)</t>
  </si>
  <si>
    <t>Fuente de Financiamiento y porcentaje</t>
  </si>
  <si>
    <t xml:space="preserve">Fecha estimada del Anuncio de Adquisición o del Inicio de la contratación </t>
  </si>
  <si>
    <t>Comentarios</t>
  </si>
  <si>
    <t>BID %</t>
  </si>
  <si>
    <t>Contrapartida %</t>
  </si>
  <si>
    <t>Locales</t>
  </si>
  <si>
    <t>Ex post</t>
  </si>
  <si>
    <t>CD</t>
  </si>
  <si>
    <t>CCIN</t>
  </si>
  <si>
    <t>Ex ante</t>
  </si>
  <si>
    <t>SD</t>
  </si>
  <si>
    <t>Total</t>
  </si>
  <si>
    <r>
      <t>(1)</t>
    </r>
    <r>
      <rPr>
        <sz val="9"/>
        <color theme="1"/>
        <rFont val="Arial Narrow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</si>
  <si>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>(2)</t>
    </r>
    <r>
      <rPr>
        <sz val="9"/>
        <color theme="1"/>
        <rFont val="Arial Narrow"/>
        <family val="2"/>
      </rPr>
      <t xml:space="preserve"> </t>
    </r>
    <r>
      <rPr>
        <b/>
        <u/>
        <sz val="9"/>
        <color theme="1"/>
        <rFont val="Arial Narrow"/>
        <family val="2"/>
      </rPr>
      <t>Bienes y Obras</t>
    </r>
    <r>
      <rPr>
        <sz val="9"/>
        <color theme="1"/>
        <rFont val="Arial Narrow"/>
        <family val="2"/>
      </rPr>
      <t xml:space="preserve">:  </t>
    </r>
    <r>
      <rPr>
        <b/>
        <sz val="9"/>
        <color theme="1"/>
        <rFont val="Arial Narrow"/>
        <family val="2"/>
      </rPr>
      <t>LP</t>
    </r>
    <r>
      <rPr>
        <sz val="9"/>
        <color theme="1"/>
        <rFont val="Arial Narrow"/>
        <family val="2"/>
      </rPr>
      <t xml:space="preserve">: Licitación Pública;  </t>
    </r>
    <r>
      <rPr>
        <b/>
        <sz val="9"/>
        <color theme="1"/>
        <rFont val="Arial Narrow"/>
        <family val="2"/>
      </rPr>
      <t>CP</t>
    </r>
    <r>
      <rPr>
        <sz val="9"/>
        <color theme="1"/>
        <rFont val="Arial Narrow"/>
        <family val="2"/>
      </rPr>
      <t xml:space="preserve">: Comparación de Precios;  </t>
    </r>
    <r>
      <rPr>
        <b/>
        <sz val="9"/>
        <color theme="1"/>
        <rFont val="Arial Narrow"/>
        <family val="2"/>
      </rPr>
      <t>CD</t>
    </r>
    <r>
      <rPr>
        <sz val="9"/>
        <color theme="1"/>
        <rFont val="Arial Narrow"/>
        <family val="2"/>
      </rPr>
      <t xml:space="preserve">: Contratación Directa.    </t>
    </r>
  </si>
  <si>
    <r>
      <t>(2)</t>
    </r>
    <r>
      <rPr>
        <sz val="9"/>
        <color theme="1"/>
        <rFont val="Arial Narrow"/>
        <family val="2"/>
      </rPr>
      <t xml:space="preserve"> </t>
    </r>
    <r>
      <rPr>
        <b/>
        <u/>
        <sz val="9"/>
        <color theme="1"/>
        <rFont val="Arial Narrow"/>
        <family val="2"/>
      </rPr>
      <t>Firmas de consultoria</t>
    </r>
    <r>
      <rPr>
        <sz val="9"/>
        <color theme="1"/>
        <rFont val="Arial Narrow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</si>
  <si>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 xml:space="preserve">(2) </t>
    </r>
    <r>
      <rPr>
        <b/>
        <u/>
        <sz val="9"/>
        <color theme="1"/>
        <rFont val="Arial Narrow"/>
        <family val="2"/>
      </rPr>
      <t>Consultores Individuales</t>
    </r>
    <r>
      <rPr>
        <sz val="9"/>
        <color theme="1"/>
        <rFont val="Arial Narrow"/>
        <family val="2"/>
      </rPr>
      <t xml:space="preserve">: </t>
    </r>
    <r>
      <rPr>
        <b/>
        <sz val="9"/>
        <color theme="1"/>
        <rFont val="Arial Narrow"/>
        <family val="2"/>
      </rPr>
      <t>CCIN</t>
    </r>
    <r>
      <rPr>
        <sz val="9"/>
        <color theme="1"/>
        <rFont val="Arial Narrow"/>
        <family val="2"/>
      </rPr>
      <t xml:space="preserve">: Selección basada en la Comparación de Calificaciones Consultor Individual ; SD: Selección Directa. </t>
    </r>
  </si>
  <si>
    <r>
      <t>(3)</t>
    </r>
    <r>
      <rPr>
        <sz val="9"/>
        <color theme="1"/>
        <rFont val="Arial Narrow"/>
        <family val="2"/>
      </rPr>
      <t xml:space="preserve"> </t>
    </r>
    <r>
      <rPr>
        <b/>
        <u/>
        <sz val="9"/>
        <color theme="1"/>
        <rFont val="Arial Narrow"/>
        <family val="2"/>
      </rPr>
      <t xml:space="preserve"> Revisión ex ante/ ex post</t>
    </r>
    <r>
      <rPr>
        <sz val="9"/>
        <color theme="1"/>
        <rFont val="Arial Narrow"/>
        <family val="2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</si>
  <si>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9"/>
        <color theme="1"/>
        <rFont val="Arial Narrow"/>
        <family val="2"/>
      </rPr>
      <t xml:space="preserve">  </t>
    </r>
    <r>
      <rPr>
        <b/>
        <u/>
        <sz val="9"/>
        <color theme="1"/>
        <rFont val="Arial Narrow"/>
        <family val="2"/>
      </rPr>
      <t>Revisión técnica</t>
    </r>
    <r>
      <rPr>
        <sz val="9"/>
        <color theme="1"/>
        <rFont val="Arial Narrow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</si>
  <si>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ME-M1101 Manejo Holístico: Enfrentando el Cambio Climático desde el Sector Agropecuario</t>
  </si>
  <si>
    <t>PROYECTO FOMIN</t>
  </si>
  <si>
    <t>CP</t>
  </si>
  <si>
    <r>
      <t xml:space="preserve">Método de Adquisición </t>
    </r>
    <r>
      <rPr>
        <b/>
        <vertAlign val="superscript"/>
        <sz val="9"/>
        <color theme="0"/>
        <rFont val="Arial Narrow"/>
        <family val="2"/>
      </rPr>
      <t>(2)</t>
    </r>
  </si>
  <si>
    <t>Varios viajes por montos menores a US$5000 cada uno.</t>
  </si>
  <si>
    <t>En caso de no sobrepsar los US$5000 cada uno, se podrán hacer contrataciones directas.</t>
  </si>
  <si>
    <t>NA</t>
  </si>
  <si>
    <t>En caso de no sobrepsar los US$5000 por evento, se podrán hacer contrataciones directas.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</si>
</sst>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b/>
      <vertAlign val="superscript"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vertAlign val="superscript"/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vertAlign val="superscript"/>
      <sz val="9"/>
      <color theme="0"/>
      <name val="Arial Narrow"/>
      <family val="2"/>
    </font>
    <font>
      <b/>
      <sz val="10"/>
      <color theme="0"/>
      <name val="Arial Narrow"/>
      <family val="2"/>
    </font>
    <font>
      <b/>
      <sz val="14"/>
      <color theme="3" tint="-0.249977111117893"/>
      <name val="Arial Narrow"/>
      <family val="2"/>
    </font>
    <font>
      <sz val="11"/>
      <color theme="3" tint="-0.249977111117893"/>
      <name val="Arial Narrow"/>
      <family val="2"/>
    </font>
    <font>
      <sz val="11"/>
      <color theme="1"/>
      <name val="Arial Narrow"/>
      <family val="2"/>
    </font>
    <font>
      <sz val="6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4" fillId="3" borderId="1" xfId="0" applyFont="1" applyFill="1" applyBorder="1"/>
    <xf numFmtId="0" fontId="3" fillId="0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wrapText="1"/>
    </xf>
    <xf numFmtId="4" fontId="3" fillId="0" borderId="0" xfId="0" applyNumberFormat="1" applyFont="1"/>
    <xf numFmtId="4" fontId="3" fillId="4" borderId="0" xfId="0" applyNumberFormat="1" applyFont="1" applyFill="1"/>
    <xf numFmtId="4" fontId="0" fillId="3" borderId="1" xfId="0" applyNumberFormat="1" applyFont="1" applyFill="1" applyBorder="1" applyAlignment="1"/>
    <xf numFmtId="4" fontId="0" fillId="3" borderId="1" xfId="0" applyNumberFormat="1" applyFill="1" applyBorder="1" applyAlignment="1"/>
    <xf numFmtId="164" fontId="2" fillId="7" borderId="1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6" fillId="5" borderId="2" xfId="0" applyFont="1" applyFill="1" applyBorder="1" applyAlignment="1">
      <alignment horizontal="left"/>
    </xf>
    <xf numFmtId="0" fontId="6" fillId="5" borderId="2" xfId="0" applyFont="1" applyFill="1" applyBorder="1" applyAlignment="1">
      <alignment wrapText="1"/>
    </xf>
    <xf numFmtId="4" fontId="3" fillId="3" borderId="0" xfId="0" applyNumberFormat="1" applyFont="1" applyFill="1"/>
    <xf numFmtId="4" fontId="0" fillId="3" borderId="0" xfId="0" applyNumberFormat="1" applyFont="1" applyFill="1" applyBorder="1" applyAlignment="1"/>
    <xf numFmtId="4" fontId="0" fillId="3" borderId="0" xfId="0" applyNumberFormat="1" applyFill="1" applyBorder="1"/>
    <xf numFmtId="0" fontId="3" fillId="4" borderId="0" xfId="0" applyFont="1" applyFill="1"/>
    <xf numFmtId="0" fontId="3" fillId="4" borderId="1" xfId="0" applyFont="1" applyFill="1" applyBorder="1"/>
    <xf numFmtId="0" fontId="4" fillId="3" borderId="2" xfId="0" applyFont="1" applyFill="1" applyBorder="1" applyAlignment="1">
      <alignment horizontal="left"/>
    </xf>
    <xf numFmtId="9" fontId="3" fillId="4" borderId="1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left" wrapText="1"/>
    </xf>
    <xf numFmtId="0" fontId="3" fillId="3" borderId="0" xfId="0" applyFont="1" applyFill="1"/>
    <xf numFmtId="164" fontId="3" fillId="0" borderId="3" xfId="0" applyNumberFormat="1" applyFont="1" applyBorder="1" applyAlignment="1">
      <alignment horizontal="right"/>
    </xf>
    <xf numFmtId="9" fontId="3" fillId="4" borderId="1" xfId="2" applyFont="1" applyFill="1" applyBorder="1"/>
    <xf numFmtId="0" fontId="2" fillId="8" borderId="1" xfId="0" applyFont="1" applyFill="1" applyBorder="1"/>
    <xf numFmtId="0" fontId="3" fillId="8" borderId="1" xfId="0" applyFont="1" applyFill="1" applyBorder="1"/>
    <xf numFmtId="0" fontId="9" fillId="8" borderId="1" xfId="0" applyFont="1" applyFill="1" applyBorder="1"/>
    <xf numFmtId="4" fontId="6" fillId="5" borderId="1" xfId="0" applyNumberFormat="1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165" fontId="2" fillId="7" borderId="1" xfId="0" applyNumberFormat="1" applyFont="1" applyFill="1" applyBorder="1" applyAlignment="1">
      <alignment horizontal="right" vertical="center" wrapText="1"/>
    </xf>
    <xf numFmtId="165" fontId="8" fillId="6" borderId="1" xfId="1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65" fontId="4" fillId="3" borderId="2" xfId="0" applyNumberFormat="1" applyFont="1" applyFill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3" borderId="1" xfId="0" applyNumberFormat="1" applyFont="1" applyFill="1" applyBorder="1" applyAlignment="1">
      <alignment horizontal="right" wrapText="1"/>
    </xf>
    <xf numFmtId="165" fontId="3" fillId="5" borderId="0" xfId="0" applyNumberFormat="1" applyFont="1" applyFill="1" applyAlignment="1">
      <alignment horizontal="right"/>
    </xf>
    <xf numFmtId="165" fontId="5" fillId="5" borderId="1" xfId="0" applyNumberFormat="1" applyFont="1" applyFill="1" applyBorder="1" applyAlignment="1">
      <alignment horizontal="right"/>
    </xf>
    <xf numFmtId="165" fontId="3" fillId="5" borderId="1" xfId="0" applyNumberFormat="1" applyFont="1" applyFill="1" applyBorder="1" applyAlignment="1">
      <alignment horizontal="right"/>
    </xf>
    <xf numFmtId="165" fontId="3" fillId="5" borderId="0" xfId="0" applyNumberFormat="1" applyFont="1" applyFill="1"/>
    <xf numFmtId="165" fontId="6" fillId="5" borderId="1" xfId="0" applyNumberFormat="1" applyFont="1" applyFill="1" applyBorder="1" applyAlignment="1">
      <alignment horizontal="right"/>
    </xf>
    <xf numFmtId="165" fontId="6" fillId="5" borderId="2" xfId="0" applyNumberFormat="1" applyFont="1" applyFill="1" applyBorder="1" applyAlignment="1">
      <alignment horizontal="right"/>
    </xf>
    <xf numFmtId="165" fontId="8" fillId="6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165" fontId="2" fillId="7" borderId="1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8" borderId="1" xfId="0" applyNumberFormat="1" applyFont="1" applyFill="1" applyBorder="1" applyAlignment="1">
      <alignment horizontal="right"/>
    </xf>
    <xf numFmtId="165" fontId="3" fillId="0" borderId="1" xfId="1" applyNumberFormat="1" applyFont="1" applyBorder="1"/>
    <xf numFmtId="165" fontId="3" fillId="0" borderId="1" xfId="0" applyNumberFormat="1" applyFont="1" applyBorder="1"/>
    <xf numFmtId="165" fontId="9" fillId="8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center"/>
    </xf>
    <xf numFmtId="4" fontId="3" fillId="10" borderId="0" xfId="0" applyNumberFormat="1" applyFont="1" applyFill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2" borderId="0" xfId="0" applyFont="1" applyFill="1"/>
    <xf numFmtId="0" fontId="24" fillId="9" borderId="0" xfId="0" applyFont="1" applyFill="1"/>
    <xf numFmtId="0" fontId="23" fillId="0" borderId="0" xfId="0" applyFont="1" applyAlignment="1">
      <alignment horizontal="right"/>
    </xf>
    <xf numFmtId="165" fontId="3" fillId="0" borderId="0" xfId="0" applyNumberFormat="1" applyFont="1"/>
    <xf numFmtId="0" fontId="26" fillId="3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12" fillId="0" borderId="4" xfId="0" applyFont="1" applyBorder="1" applyAlignment="1">
      <alignment horizontal="righ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8" fillId="12" borderId="4" xfId="0" applyFont="1" applyFill="1" applyBorder="1" applyAlignment="1">
      <alignment vertical="center" wrapText="1"/>
    </xf>
    <xf numFmtId="0" fontId="18" fillId="12" borderId="4" xfId="0" applyFont="1" applyFill="1" applyBorder="1" applyAlignment="1">
      <alignment horizontal="center" vertical="center" wrapText="1"/>
    </xf>
    <xf numFmtId="0" fontId="18" fillId="12" borderId="4" xfId="0" applyFont="1" applyFill="1" applyBorder="1" applyAlignment="1">
      <alignment horizontal="center" vertical="center" wrapText="1"/>
    </xf>
    <xf numFmtId="0" fontId="20" fillId="12" borderId="4" xfId="0" applyFont="1" applyFill="1" applyBorder="1" applyAlignment="1">
      <alignment horizontal="center" vertical="center" wrapText="1"/>
    </xf>
    <xf numFmtId="166" fontId="20" fillId="12" borderId="4" xfId="0" applyNumberFormat="1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3" borderId="4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26" fillId="3" borderId="4" xfId="0" applyFont="1" applyFill="1" applyBorder="1" applyAlignment="1">
      <alignment vertical="center" wrapText="1"/>
    </xf>
    <xf numFmtId="0" fontId="12" fillId="11" borderId="4" xfId="0" applyFont="1" applyFill="1" applyBorder="1" applyAlignment="1">
      <alignment vertical="center" wrapText="1"/>
    </xf>
    <xf numFmtId="166" fontId="13" fillId="11" borderId="4" xfId="0" applyNumberFormat="1" applyFont="1" applyFill="1" applyBorder="1" applyAlignment="1">
      <alignment vertical="center"/>
    </xf>
    <xf numFmtId="166" fontId="10" fillId="0" borderId="4" xfId="0" applyNumberFormat="1" applyFont="1" applyBorder="1" applyAlignment="1">
      <alignment vertical="center"/>
    </xf>
    <xf numFmtId="9" fontId="10" fillId="0" borderId="4" xfId="2" applyFont="1" applyBorder="1" applyAlignment="1">
      <alignment horizontal="center" vertical="center"/>
    </xf>
    <xf numFmtId="9" fontId="10" fillId="0" borderId="4" xfId="0" applyNumberFormat="1" applyFont="1" applyBorder="1" applyAlignment="1">
      <alignment vertical="center"/>
    </xf>
    <xf numFmtId="166" fontId="12" fillId="11" borderId="4" xfId="0" applyNumberFormat="1" applyFont="1" applyFill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9" fontId="10" fillId="0" borderId="4" xfId="2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vertical="center" wrapText="1"/>
    </xf>
    <xf numFmtId="0" fontId="10" fillId="10" borderId="4" xfId="0" applyFont="1" applyFill="1" applyBorder="1" applyAlignment="1">
      <alignment vertical="center" wrapText="1"/>
    </xf>
    <xf numFmtId="166" fontId="12" fillId="10" borderId="4" xfId="0" applyNumberFormat="1" applyFont="1" applyFill="1" applyBorder="1" applyAlignment="1">
      <alignment vertical="center"/>
    </xf>
    <xf numFmtId="4" fontId="17" fillId="0" borderId="4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165" fontId="10" fillId="0" borderId="4" xfId="0" applyNumberFormat="1" applyFont="1" applyBorder="1" applyAlignment="1">
      <alignment vertical="center"/>
    </xf>
    <xf numFmtId="4" fontId="12" fillId="11" borderId="4" xfId="0" applyNumberFormat="1" applyFont="1" applyFill="1" applyBorder="1" applyAlignment="1">
      <alignment vertical="center" wrapText="1"/>
    </xf>
    <xf numFmtId="0" fontId="25" fillId="3" borderId="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H76"/>
  <sheetViews>
    <sheetView showGridLines="0" tabSelected="1" topLeftCell="A53" workbookViewId="0">
      <selection activeCell="G76" sqref="G76"/>
    </sheetView>
  </sheetViews>
  <sheetFormatPr defaultColWidth="9.140625" defaultRowHeight="16.5" x14ac:dyDescent="0.3"/>
  <cols>
    <col min="1" max="2" width="2.7109375" style="96" customWidth="1"/>
    <col min="3" max="3" width="8" style="96" customWidth="1"/>
    <col min="4" max="4" width="33.7109375" style="96" customWidth="1"/>
    <col min="5" max="5" width="15.28515625" style="100" customWidth="1"/>
    <col min="6" max="6" width="17.85546875" style="96" customWidth="1"/>
    <col min="7" max="8" width="16.140625" style="96" customWidth="1"/>
    <col min="9" max="9" width="16.5703125" style="96" customWidth="1"/>
    <col min="10" max="10" width="13" style="96" customWidth="1"/>
    <col min="11" max="11" width="30" style="96" customWidth="1"/>
    <col min="12" max="13" width="9.140625" style="96"/>
    <col min="14" max="14" width="14.42578125" style="96" customWidth="1"/>
    <col min="15" max="15" width="10.85546875" style="96" customWidth="1"/>
    <col min="16" max="17" width="9.140625" style="96"/>
    <col min="18" max="59" width="2.28515625" style="97" customWidth="1"/>
    <col min="60" max="60" width="18.42578125" style="96" customWidth="1"/>
    <col min="61" max="16384" width="9.140625" style="96"/>
  </cols>
  <sheetData>
    <row r="2" spans="2:60" ht="18.75" x14ac:dyDescent="0.3">
      <c r="B2" s="94" t="s">
        <v>134</v>
      </c>
      <c r="C2" s="95"/>
      <c r="E2" s="96"/>
      <c r="R2" s="96"/>
      <c r="BH2" s="97"/>
    </row>
    <row r="3" spans="2:60" ht="18.75" x14ac:dyDescent="0.3">
      <c r="B3" s="94" t="s">
        <v>133</v>
      </c>
      <c r="C3" s="95"/>
      <c r="E3" s="96"/>
      <c r="R3" s="96"/>
      <c r="S3" s="98"/>
      <c r="T3" s="97" t="s">
        <v>108</v>
      </c>
      <c r="BH3" s="97"/>
    </row>
    <row r="4" spans="2:60" ht="18.75" x14ac:dyDescent="0.3">
      <c r="B4" s="94" t="s">
        <v>109</v>
      </c>
      <c r="C4" s="95"/>
      <c r="E4" s="96"/>
      <c r="R4" s="96"/>
      <c r="S4" s="99"/>
      <c r="T4" s="97" t="s">
        <v>110</v>
      </c>
      <c r="BH4" s="97"/>
    </row>
    <row r="6" spans="2:60" s="91" customFormat="1" ht="56.25" customHeight="1" x14ac:dyDescent="0.25">
      <c r="C6" s="109" t="s">
        <v>111</v>
      </c>
      <c r="D6" s="110" t="s">
        <v>112</v>
      </c>
      <c r="E6" s="110" t="s">
        <v>113</v>
      </c>
      <c r="F6" s="110" t="s">
        <v>136</v>
      </c>
      <c r="G6" s="110" t="s">
        <v>114</v>
      </c>
      <c r="H6" s="110" t="s">
        <v>115</v>
      </c>
      <c r="I6" s="110"/>
      <c r="J6" s="110" t="s">
        <v>116</v>
      </c>
      <c r="K6" s="110" t="s">
        <v>117</v>
      </c>
    </row>
    <row r="7" spans="2:60" s="91" customFormat="1" ht="13.5" x14ac:dyDescent="0.25">
      <c r="C7" s="109"/>
      <c r="D7" s="110"/>
      <c r="E7" s="110"/>
      <c r="F7" s="110"/>
      <c r="G7" s="110"/>
      <c r="H7" s="111" t="s">
        <v>118</v>
      </c>
      <c r="I7" s="111" t="s">
        <v>119</v>
      </c>
      <c r="J7" s="110"/>
      <c r="K7" s="110"/>
    </row>
    <row r="8" spans="2:60" s="91" customFormat="1" ht="25.5" x14ac:dyDescent="0.25">
      <c r="C8" s="112">
        <v>1</v>
      </c>
      <c r="D8" s="112" t="s">
        <v>102</v>
      </c>
      <c r="E8" s="113">
        <f>+E9+E14+E21+E30</f>
        <v>1210173.4116666669</v>
      </c>
      <c r="F8" s="111"/>
      <c r="G8" s="111"/>
      <c r="H8" s="111"/>
      <c r="I8" s="111"/>
      <c r="J8" s="111"/>
      <c r="K8" s="111"/>
    </row>
    <row r="9" spans="2:60" s="91" customFormat="1" ht="13.5" x14ac:dyDescent="0.25">
      <c r="C9" s="114">
        <v>1.1000000000000001</v>
      </c>
      <c r="D9" s="126" t="s">
        <v>35</v>
      </c>
      <c r="E9" s="127">
        <f>SUM(E10:E13)</f>
        <v>438534</v>
      </c>
      <c r="F9" s="107"/>
      <c r="G9" s="107"/>
      <c r="H9" s="107"/>
      <c r="I9" s="107"/>
      <c r="J9" s="107"/>
      <c r="K9" s="108"/>
    </row>
    <row r="10" spans="2:60" s="91" customFormat="1" ht="13.5" x14ac:dyDescent="0.25">
      <c r="C10" s="115" t="s">
        <v>2</v>
      </c>
      <c r="D10" s="108" t="s">
        <v>93</v>
      </c>
      <c r="E10" s="128">
        <v>350000</v>
      </c>
      <c r="F10" s="115" t="s">
        <v>120</v>
      </c>
      <c r="G10" s="115" t="s">
        <v>121</v>
      </c>
      <c r="H10" s="129">
        <v>0</v>
      </c>
      <c r="I10" s="129">
        <v>1</v>
      </c>
      <c r="J10" s="130"/>
      <c r="K10" s="108"/>
    </row>
    <row r="11" spans="2:60" s="91" customFormat="1" ht="27" x14ac:dyDescent="0.25">
      <c r="C11" s="115" t="s">
        <v>3</v>
      </c>
      <c r="D11" s="108" t="s">
        <v>78</v>
      </c>
      <c r="E11" s="128">
        <v>20267</v>
      </c>
      <c r="F11" s="115" t="s">
        <v>120</v>
      </c>
      <c r="G11" s="115" t="s">
        <v>121</v>
      </c>
      <c r="H11" s="129">
        <v>0</v>
      </c>
      <c r="I11" s="129">
        <v>1</v>
      </c>
      <c r="J11" s="130"/>
      <c r="K11" s="108"/>
    </row>
    <row r="12" spans="2:60" s="91" customFormat="1" ht="13.5" x14ac:dyDescent="0.25">
      <c r="C12" s="115" t="s">
        <v>89</v>
      </c>
      <c r="D12" s="108" t="s">
        <v>90</v>
      </c>
      <c r="E12" s="128">
        <v>50000</v>
      </c>
      <c r="F12" s="115" t="s">
        <v>120</v>
      </c>
      <c r="G12" s="115" t="s">
        <v>121</v>
      </c>
      <c r="H12" s="129">
        <v>0</v>
      </c>
      <c r="I12" s="129">
        <v>1</v>
      </c>
      <c r="J12" s="130"/>
      <c r="K12" s="108"/>
    </row>
    <row r="13" spans="2:60" s="91" customFormat="1" ht="27" x14ac:dyDescent="0.25">
      <c r="C13" s="115" t="s">
        <v>91</v>
      </c>
      <c r="D13" s="108" t="s">
        <v>92</v>
      </c>
      <c r="E13" s="128">
        <v>18267</v>
      </c>
      <c r="F13" s="115" t="s">
        <v>120</v>
      </c>
      <c r="G13" s="115" t="s">
        <v>121</v>
      </c>
      <c r="H13" s="129">
        <v>0</v>
      </c>
      <c r="I13" s="129">
        <v>1</v>
      </c>
      <c r="J13" s="130"/>
      <c r="K13" s="108"/>
    </row>
    <row r="14" spans="2:60" s="91" customFormat="1" ht="27" x14ac:dyDescent="0.25">
      <c r="C14" s="114">
        <v>1.2</v>
      </c>
      <c r="D14" s="126" t="s">
        <v>40</v>
      </c>
      <c r="E14" s="131">
        <f>SUM(E15:E20)</f>
        <v>287953.33</v>
      </c>
      <c r="F14" s="115"/>
      <c r="G14" s="115"/>
      <c r="H14" s="129"/>
      <c r="I14" s="129"/>
      <c r="J14" s="130"/>
      <c r="K14" s="108"/>
    </row>
    <row r="15" spans="2:60" s="91" customFormat="1" ht="13.5" x14ac:dyDescent="0.25">
      <c r="C15" s="115" t="s">
        <v>4</v>
      </c>
      <c r="D15" s="108" t="s">
        <v>85</v>
      </c>
      <c r="E15" s="128">
        <v>123420</v>
      </c>
      <c r="F15" s="115" t="s">
        <v>123</v>
      </c>
      <c r="G15" s="132" t="s">
        <v>124</v>
      </c>
      <c r="H15" s="129">
        <f>93500/E15</f>
        <v>0.75757575757575757</v>
      </c>
      <c r="I15" s="129">
        <v>0.24</v>
      </c>
      <c r="J15" s="130"/>
      <c r="K15" s="108"/>
    </row>
    <row r="16" spans="2:60" s="91" customFormat="1" ht="27" x14ac:dyDescent="0.25">
      <c r="C16" s="115" t="s">
        <v>5</v>
      </c>
      <c r="D16" s="108" t="s">
        <v>77</v>
      </c>
      <c r="E16" s="128">
        <v>46666.666666666672</v>
      </c>
      <c r="F16" s="115" t="s">
        <v>120</v>
      </c>
      <c r="G16" s="115" t="s">
        <v>121</v>
      </c>
      <c r="H16" s="129">
        <v>0</v>
      </c>
      <c r="I16" s="129">
        <v>1</v>
      </c>
      <c r="J16" s="130"/>
      <c r="K16" s="108"/>
    </row>
    <row r="17" spans="3:11" s="91" customFormat="1" ht="40.5" x14ac:dyDescent="0.25">
      <c r="C17" s="115" t="s">
        <v>6</v>
      </c>
      <c r="D17" s="108" t="s">
        <v>57</v>
      </c>
      <c r="E17" s="128">
        <v>101333.33333333333</v>
      </c>
      <c r="F17" s="115" t="s">
        <v>135</v>
      </c>
      <c r="G17" s="132" t="s">
        <v>124</v>
      </c>
      <c r="H17" s="129">
        <f>28000/E17</f>
        <v>0.27631578947368424</v>
      </c>
      <c r="I17" s="133">
        <v>0.72</v>
      </c>
      <c r="J17" s="130"/>
      <c r="K17" s="108"/>
    </row>
    <row r="18" spans="3:11" s="91" customFormat="1" ht="13.5" x14ac:dyDescent="0.25">
      <c r="C18" s="115" t="s">
        <v>36</v>
      </c>
      <c r="D18" s="134" t="s">
        <v>37</v>
      </c>
      <c r="E18" s="128">
        <v>8000</v>
      </c>
      <c r="F18" s="115" t="s">
        <v>120</v>
      </c>
      <c r="G18" s="115" t="s">
        <v>121</v>
      </c>
      <c r="H18" s="129">
        <v>0</v>
      </c>
      <c r="I18" s="129">
        <v>1</v>
      </c>
      <c r="J18" s="130"/>
      <c r="K18" s="108"/>
    </row>
    <row r="19" spans="3:11" s="91" customFormat="1" ht="13.5" x14ac:dyDescent="0.25">
      <c r="C19" s="115" t="s">
        <v>38</v>
      </c>
      <c r="D19" s="134" t="s">
        <v>39</v>
      </c>
      <c r="E19" s="128">
        <v>5200</v>
      </c>
      <c r="F19" s="115" t="s">
        <v>120</v>
      </c>
      <c r="G19" s="115" t="s">
        <v>121</v>
      </c>
      <c r="H19" s="129">
        <v>0</v>
      </c>
      <c r="I19" s="129">
        <v>1</v>
      </c>
      <c r="J19" s="130"/>
      <c r="K19" s="108"/>
    </row>
    <row r="20" spans="3:11" s="91" customFormat="1" ht="27" x14ac:dyDescent="0.25">
      <c r="C20" s="115" t="s">
        <v>54</v>
      </c>
      <c r="D20" s="134" t="s">
        <v>55</v>
      </c>
      <c r="E20" s="128">
        <v>3333.33</v>
      </c>
      <c r="F20" s="115" t="s">
        <v>135</v>
      </c>
      <c r="G20" s="115" t="s">
        <v>121</v>
      </c>
      <c r="H20" s="129">
        <v>1</v>
      </c>
      <c r="I20" s="129">
        <v>0</v>
      </c>
      <c r="J20" s="130"/>
      <c r="K20" s="108"/>
    </row>
    <row r="21" spans="3:11" s="91" customFormat="1" ht="27" x14ac:dyDescent="0.25">
      <c r="C21" s="114">
        <v>1.3</v>
      </c>
      <c r="D21" s="126" t="s">
        <v>41</v>
      </c>
      <c r="E21" s="131">
        <f>+E22+E23+E29</f>
        <v>362686.08166666672</v>
      </c>
      <c r="F21" s="115"/>
      <c r="G21" s="115"/>
      <c r="H21" s="129"/>
      <c r="I21" s="129"/>
      <c r="J21" s="130"/>
      <c r="K21" s="108"/>
    </row>
    <row r="22" spans="3:11" s="91" customFormat="1" ht="13.5" x14ac:dyDescent="0.25">
      <c r="C22" s="115" t="s">
        <v>25</v>
      </c>
      <c r="D22" s="108" t="s">
        <v>58</v>
      </c>
      <c r="E22" s="128">
        <v>40451.89</v>
      </c>
      <c r="F22" s="115" t="s">
        <v>120</v>
      </c>
      <c r="G22" s="115" t="s">
        <v>121</v>
      </c>
      <c r="H22" s="129">
        <v>0</v>
      </c>
      <c r="I22" s="129">
        <v>1</v>
      </c>
      <c r="J22" s="130"/>
      <c r="K22" s="108"/>
    </row>
    <row r="23" spans="3:11" s="91" customFormat="1" ht="27" x14ac:dyDescent="0.25">
      <c r="C23" s="116" t="s">
        <v>26</v>
      </c>
      <c r="D23" s="135" t="s">
        <v>42</v>
      </c>
      <c r="E23" s="136">
        <f>SUM(E24:E28)</f>
        <v>304267.52500000002</v>
      </c>
      <c r="F23" s="115"/>
      <c r="G23" s="115"/>
      <c r="H23" s="129"/>
      <c r="I23" s="129"/>
      <c r="J23" s="130"/>
      <c r="K23" s="108"/>
    </row>
    <row r="24" spans="3:11" s="91" customFormat="1" ht="13.5" x14ac:dyDescent="0.25">
      <c r="C24" s="117" t="s">
        <v>44</v>
      </c>
      <c r="D24" s="137" t="s">
        <v>84</v>
      </c>
      <c r="E24" s="128">
        <v>135000</v>
      </c>
      <c r="F24" s="115" t="s">
        <v>123</v>
      </c>
      <c r="G24" s="132" t="s">
        <v>124</v>
      </c>
      <c r="H24" s="129">
        <v>1</v>
      </c>
      <c r="I24" s="129">
        <v>0</v>
      </c>
      <c r="J24" s="130"/>
      <c r="K24" s="108"/>
    </row>
    <row r="25" spans="3:11" s="91" customFormat="1" ht="13.5" x14ac:dyDescent="0.25">
      <c r="C25" s="117" t="s">
        <v>45</v>
      </c>
      <c r="D25" s="138" t="s">
        <v>51</v>
      </c>
      <c r="E25" s="128">
        <v>51767.525000000001</v>
      </c>
      <c r="F25" s="115" t="s">
        <v>123</v>
      </c>
      <c r="G25" s="132" t="s">
        <v>124</v>
      </c>
      <c r="H25" s="129">
        <f>35202/E25</f>
        <v>0.68000160332177362</v>
      </c>
      <c r="I25" s="129">
        <v>0.32</v>
      </c>
      <c r="J25" s="130"/>
      <c r="K25" s="108"/>
    </row>
    <row r="26" spans="3:11" s="91" customFormat="1" ht="13.5" x14ac:dyDescent="0.25">
      <c r="C26" s="117" t="s">
        <v>46</v>
      </c>
      <c r="D26" s="138" t="s">
        <v>52</v>
      </c>
      <c r="E26" s="128">
        <v>37500</v>
      </c>
      <c r="F26" s="115" t="s">
        <v>123</v>
      </c>
      <c r="G26" s="115" t="s">
        <v>121</v>
      </c>
      <c r="H26" s="129">
        <v>1</v>
      </c>
      <c r="I26" s="129">
        <v>0</v>
      </c>
      <c r="J26" s="130"/>
      <c r="K26" s="108"/>
    </row>
    <row r="27" spans="3:11" s="91" customFormat="1" ht="27" x14ac:dyDescent="0.25">
      <c r="C27" s="117" t="s">
        <v>47</v>
      </c>
      <c r="D27" s="138" t="s">
        <v>53</v>
      </c>
      <c r="E27" s="128">
        <v>58000</v>
      </c>
      <c r="F27" s="115" t="s">
        <v>120</v>
      </c>
      <c r="G27" s="115" t="s">
        <v>121</v>
      </c>
      <c r="H27" s="129">
        <v>0</v>
      </c>
      <c r="I27" s="129">
        <v>1</v>
      </c>
      <c r="J27" s="130"/>
      <c r="K27" s="108"/>
    </row>
    <row r="28" spans="3:11" s="91" customFormat="1" ht="13.5" x14ac:dyDescent="0.25">
      <c r="C28" s="117" t="s">
        <v>86</v>
      </c>
      <c r="D28" s="138" t="s">
        <v>87</v>
      </c>
      <c r="E28" s="128">
        <v>22000</v>
      </c>
      <c r="F28" s="115" t="s">
        <v>120</v>
      </c>
      <c r="G28" s="115" t="s">
        <v>121</v>
      </c>
      <c r="H28" s="129">
        <v>0</v>
      </c>
      <c r="I28" s="129">
        <v>1</v>
      </c>
      <c r="J28" s="130"/>
      <c r="K28" s="108"/>
    </row>
    <row r="29" spans="3:11" s="91" customFormat="1" ht="40.5" x14ac:dyDescent="0.25">
      <c r="C29" s="115" t="s">
        <v>27</v>
      </c>
      <c r="D29" s="108" t="s">
        <v>56</v>
      </c>
      <c r="E29" s="128">
        <v>17966.666666666701</v>
      </c>
      <c r="F29" s="115" t="s">
        <v>135</v>
      </c>
      <c r="G29" s="115" t="s">
        <v>121</v>
      </c>
      <c r="H29" s="129">
        <f>1667/E29</f>
        <v>9.2782931354359749E-2</v>
      </c>
      <c r="I29" s="129">
        <v>0.91</v>
      </c>
      <c r="J29" s="130"/>
      <c r="K29" s="108"/>
    </row>
    <row r="30" spans="3:11" s="91" customFormat="1" ht="13.5" x14ac:dyDescent="0.25">
      <c r="C30" s="114">
        <v>1.4</v>
      </c>
      <c r="D30" s="126" t="s">
        <v>43</v>
      </c>
      <c r="E30" s="131">
        <f>SUM(E31:E32)</f>
        <v>121000</v>
      </c>
      <c r="F30" s="115"/>
      <c r="G30" s="115"/>
      <c r="H30" s="129"/>
      <c r="I30" s="129"/>
      <c r="J30" s="130"/>
      <c r="K30" s="108"/>
    </row>
    <row r="31" spans="3:11" s="91" customFormat="1" ht="40.5" x14ac:dyDescent="0.25">
      <c r="C31" s="115" t="s">
        <v>48</v>
      </c>
      <c r="D31" s="108" t="s">
        <v>81</v>
      </c>
      <c r="E31" s="139">
        <v>16000</v>
      </c>
      <c r="F31" s="115" t="s">
        <v>135</v>
      </c>
      <c r="G31" s="115" t="s">
        <v>121</v>
      </c>
      <c r="H31" s="129">
        <v>1</v>
      </c>
      <c r="I31" s="129">
        <v>0</v>
      </c>
      <c r="J31" s="130"/>
      <c r="K31" s="108"/>
    </row>
    <row r="32" spans="3:11" s="91" customFormat="1" ht="13.5" x14ac:dyDescent="0.25">
      <c r="C32" s="115" t="s">
        <v>49</v>
      </c>
      <c r="D32" s="108" t="s">
        <v>50</v>
      </c>
      <c r="E32" s="139">
        <v>105000</v>
      </c>
      <c r="F32" s="115" t="s">
        <v>135</v>
      </c>
      <c r="G32" s="115" t="s">
        <v>121</v>
      </c>
      <c r="H32" s="129">
        <f>45000/E32</f>
        <v>0.42857142857142855</v>
      </c>
      <c r="I32" s="129">
        <v>0.56999999999999995</v>
      </c>
      <c r="J32" s="130"/>
      <c r="K32" s="108"/>
    </row>
    <row r="33" spans="3:11" s="91" customFormat="1" ht="25.5" x14ac:dyDescent="0.25">
      <c r="C33" s="112">
        <v>2</v>
      </c>
      <c r="D33" s="112" t="s">
        <v>103</v>
      </c>
      <c r="E33" s="113">
        <f>+E34+E35+E39+E38</f>
        <v>94500</v>
      </c>
      <c r="F33" s="115"/>
      <c r="G33" s="115"/>
      <c r="H33" s="129"/>
      <c r="I33" s="129"/>
      <c r="J33" s="130"/>
      <c r="K33" s="108"/>
    </row>
    <row r="34" spans="3:11" s="91" customFormat="1" ht="27" x14ac:dyDescent="0.25">
      <c r="C34" s="115">
        <v>2.1</v>
      </c>
      <c r="D34" s="134" t="s">
        <v>59</v>
      </c>
      <c r="E34" s="128">
        <v>10000</v>
      </c>
      <c r="F34" s="115" t="s">
        <v>125</v>
      </c>
      <c r="G34" s="132" t="s">
        <v>124</v>
      </c>
      <c r="H34" s="129">
        <v>1</v>
      </c>
      <c r="I34" s="129">
        <v>0</v>
      </c>
      <c r="J34" s="130"/>
      <c r="K34" s="108"/>
    </row>
    <row r="35" spans="3:11" s="91" customFormat="1" ht="40.5" x14ac:dyDescent="0.25">
      <c r="C35" s="114">
        <v>2.2000000000000002</v>
      </c>
      <c r="D35" s="140" t="s">
        <v>60</v>
      </c>
      <c r="E35" s="131">
        <f>SUM(E36:E37)</f>
        <v>23000</v>
      </c>
      <c r="F35" s="115"/>
      <c r="G35" s="115"/>
      <c r="H35" s="129"/>
      <c r="I35" s="129"/>
      <c r="J35" s="130"/>
      <c r="K35" s="108"/>
    </row>
    <row r="36" spans="3:11" s="91" customFormat="1" ht="27" x14ac:dyDescent="0.25">
      <c r="C36" s="115" t="s">
        <v>7</v>
      </c>
      <c r="D36" s="137" t="s">
        <v>61</v>
      </c>
      <c r="E36" s="128">
        <v>20000</v>
      </c>
      <c r="F36" s="115" t="s">
        <v>120</v>
      </c>
      <c r="G36" s="115" t="s">
        <v>121</v>
      </c>
      <c r="H36" s="129">
        <v>0</v>
      </c>
      <c r="I36" s="129">
        <v>1</v>
      </c>
      <c r="J36" s="130"/>
      <c r="K36" s="108"/>
    </row>
    <row r="37" spans="3:11" s="91" customFormat="1" ht="27" x14ac:dyDescent="0.25">
      <c r="C37" s="115" t="s">
        <v>8</v>
      </c>
      <c r="D37" s="138" t="s">
        <v>80</v>
      </c>
      <c r="E37" s="128">
        <v>3000</v>
      </c>
      <c r="F37" s="115" t="s">
        <v>125</v>
      </c>
      <c r="G37" s="115" t="s">
        <v>121</v>
      </c>
      <c r="H37" s="129">
        <v>1</v>
      </c>
      <c r="I37" s="129">
        <v>0</v>
      </c>
      <c r="J37" s="130"/>
      <c r="K37" s="108"/>
    </row>
    <row r="38" spans="3:11" s="91" customFormat="1" ht="40.5" x14ac:dyDescent="0.25">
      <c r="C38" s="115">
        <v>2.2999999999999998</v>
      </c>
      <c r="D38" s="134" t="s">
        <v>10</v>
      </c>
      <c r="E38" s="128">
        <v>8000</v>
      </c>
      <c r="F38" s="115" t="s">
        <v>120</v>
      </c>
      <c r="G38" s="115" t="s">
        <v>121</v>
      </c>
      <c r="H38" s="129">
        <v>0</v>
      </c>
      <c r="I38" s="129">
        <v>1</v>
      </c>
      <c r="J38" s="130"/>
      <c r="K38" s="108"/>
    </row>
    <row r="39" spans="3:11" s="91" customFormat="1" ht="27" x14ac:dyDescent="0.25">
      <c r="C39" s="114">
        <v>2.4</v>
      </c>
      <c r="D39" s="140" t="s">
        <v>62</v>
      </c>
      <c r="E39" s="131">
        <f>SUM(E40:E42)</f>
        <v>53500</v>
      </c>
      <c r="F39" s="115"/>
      <c r="G39" s="115"/>
      <c r="H39" s="129"/>
      <c r="I39" s="129"/>
      <c r="J39" s="130"/>
      <c r="K39" s="108"/>
    </row>
    <row r="40" spans="3:11" s="91" customFormat="1" ht="13.5" x14ac:dyDescent="0.25">
      <c r="C40" s="115" t="s">
        <v>94</v>
      </c>
      <c r="D40" s="137" t="s">
        <v>63</v>
      </c>
      <c r="E40" s="128">
        <v>37500</v>
      </c>
      <c r="F40" s="115" t="s">
        <v>123</v>
      </c>
      <c r="G40" s="115" t="s">
        <v>121</v>
      </c>
      <c r="H40" s="129">
        <v>1</v>
      </c>
      <c r="I40" s="129">
        <v>0</v>
      </c>
      <c r="J40" s="130"/>
      <c r="K40" s="108"/>
    </row>
    <row r="41" spans="3:11" s="91" customFormat="1" ht="13.5" x14ac:dyDescent="0.25">
      <c r="C41" s="115" t="s">
        <v>82</v>
      </c>
      <c r="D41" s="137" t="s">
        <v>9</v>
      </c>
      <c r="E41" s="128">
        <v>5000</v>
      </c>
      <c r="F41" s="115" t="s">
        <v>122</v>
      </c>
      <c r="G41" s="115" t="s">
        <v>121</v>
      </c>
      <c r="H41" s="129">
        <v>1</v>
      </c>
      <c r="I41" s="129">
        <v>0</v>
      </c>
      <c r="J41" s="130"/>
      <c r="K41" s="108"/>
    </row>
    <row r="42" spans="3:11" s="91" customFormat="1" ht="27" x14ac:dyDescent="0.25">
      <c r="C42" s="115" t="s">
        <v>83</v>
      </c>
      <c r="D42" s="137" t="s">
        <v>11</v>
      </c>
      <c r="E42" s="128">
        <v>11000</v>
      </c>
      <c r="F42" s="115" t="s">
        <v>135</v>
      </c>
      <c r="G42" s="115" t="s">
        <v>121</v>
      </c>
      <c r="H42" s="129">
        <v>1</v>
      </c>
      <c r="I42" s="129">
        <v>0</v>
      </c>
      <c r="J42" s="130"/>
      <c r="K42" s="108"/>
    </row>
    <row r="43" spans="3:11" s="91" customFormat="1" ht="38.25" x14ac:dyDescent="0.25">
      <c r="C43" s="112">
        <v>3</v>
      </c>
      <c r="D43" s="112" t="s">
        <v>105</v>
      </c>
      <c r="E43" s="113">
        <f>+E44+E48+E52</f>
        <v>177579.43</v>
      </c>
      <c r="F43" s="115"/>
      <c r="G43" s="115"/>
      <c r="H43" s="129"/>
      <c r="I43" s="129"/>
      <c r="J43" s="130"/>
      <c r="K43" s="108"/>
    </row>
    <row r="44" spans="3:11" s="91" customFormat="1" ht="40.5" x14ac:dyDescent="0.25">
      <c r="C44" s="114">
        <v>3.1</v>
      </c>
      <c r="D44" s="140" t="s">
        <v>64</v>
      </c>
      <c r="E44" s="131">
        <f>SUM(E45:E47)</f>
        <v>51600</v>
      </c>
      <c r="F44" s="115"/>
      <c r="G44" s="115"/>
      <c r="H44" s="129"/>
      <c r="I44" s="129"/>
      <c r="J44" s="130"/>
      <c r="K44" s="108"/>
    </row>
    <row r="45" spans="3:11" s="91" customFormat="1" ht="13.5" x14ac:dyDescent="0.25">
      <c r="C45" s="118" t="s">
        <v>28</v>
      </c>
      <c r="D45" s="141" t="s">
        <v>104</v>
      </c>
      <c r="E45" s="128">
        <v>18000</v>
      </c>
      <c r="F45" s="115" t="s">
        <v>120</v>
      </c>
      <c r="G45" s="115" t="s">
        <v>121</v>
      </c>
      <c r="H45" s="129">
        <v>0</v>
      </c>
      <c r="I45" s="129">
        <v>1</v>
      </c>
      <c r="J45" s="130"/>
      <c r="K45" s="108"/>
    </row>
    <row r="46" spans="3:11" s="91" customFormat="1" ht="51" x14ac:dyDescent="0.25">
      <c r="C46" s="102" t="s">
        <v>29</v>
      </c>
      <c r="D46" s="125" t="s">
        <v>65</v>
      </c>
      <c r="E46" s="128">
        <v>13600</v>
      </c>
      <c r="F46" s="115" t="s">
        <v>125</v>
      </c>
      <c r="G46" s="115" t="s">
        <v>121</v>
      </c>
      <c r="H46" s="129">
        <f>13000/E46</f>
        <v>0.95588235294117652</v>
      </c>
      <c r="I46" s="129">
        <v>0.04</v>
      </c>
      <c r="J46" s="130"/>
      <c r="K46" s="108"/>
    </row>
    <row r="47" spans="3:11" s="91" customFormat="1" ht="25.5" x14ac:dyDescent="0.25">
      <c r="C47" s="102" t="s">
        <v>30</v>
      </c>
      <c r="D47" s="125" t="s">
        <v>107</v>
      </c>
      <c r="E47" s="128">
        <v>20000</v>
      </c>
      <c r="F47" s="115" t="s">
        <v>125</v>
      </c>
      <c r="G47" s="115" t="s">
        <v>121</v>
      </c>
      <c r="H47" s="129">
        <v>1</v>
      </c>
      <c r="I47" s="129">
        <v>0</v>
      </c>
      <c r="J47" s="130"/>
      <c r="K47" s="108"/>
    </row>
    <row r="48" spans="3:11" s="91" customFormat="1" ht="27" x14ac:dyDescent="0.25">
      <c r="C48" s="114">
        <v>3.2</v>
      </c>
      <c r="D48" s="140" t="s">
        <v>71</v>
      </c>
      <c r="E48" s="131">
        <f>SUM(E49:E51)</f>
        <v>104979.43</v>
      </c>
      <c r="F48" s="115"/>
      <c r="G48" s="115"/>
      <c r="H48" s="129"/>
      <c r="I48" s="129"/>
      <c r="J48" s="130"/>
      <c r="K48" s="108"/>
    </row>
    <row r="49" spans="3:11" s="91" customFormat="1" ht="25.5" x14ac:dyDescent="0.25">
      <c r="C49" s="119" t="s">
        <v>30</v>
      </c>
      <c r="D49" s="142" t="s">
        <v>106</v>
      </c>
      <c r="E49" s="128">
        <v>20000</v>
      </c>
      <c r="F49" s="115" t="s">
        <v>125</v>
      </c>
      <c r="G49" s="115" t="s">
        <v>121</v>
      </c>
      <c r="H49" s="129">
        <v>1</v>
      </c>
      <c r="I49" s="129">
        <v>0</v>
      </c>
      <c r="J49" s="130"/>
      <c r="K49" s="108"/>
    </row>
    <row r="50" spans="3:11" s="91" customFormat="1" ht="13.5" x14ac:dyDescent="0.25">
      <c r="C50" s="120" t="s">
        <v>31</v>
      </c>
      <c r="D50" s="121" t="s">
        <v>66</v>
      </c>
      <c r="E50" s="128">
        <v>65000</v>
      </c>
      <c r="F50" s="115" t="s">
        <v>120</v>
      </c>
      <c r="G50" s="115" t="s">
        <v>121</v>
      </c>
      <c r="H50" s="129">
        <v>0</v>
      </c>
      <c r="I50" s="129">
        <v>1</v>
      </c>
      <c r="J50" s="130"/>
      <c r="K50" s="108"/>
    </row>
    <row r="51" spans="3:11" s="91" customFormat="1" ht="27" x14ac:dyDescent="0.25">
      <c r="C51" s="120" t="s">
        <v>32</v>
      </c>
      <c r="D51" s="121" t="s">
        <v>67</v>
      </c>
      <c r="E51" s="128">
        <v>19979.43</v>
      </c>
      <c r="F51" s="115" t="s">
        <v>122</v>
      </c>
      <c r="G51" s="115" t="s">
        <v>121</v>
      </c>
      <c r="H51" s="129">
        <v>1</v>
      </c>
      <c r="I51" s="129">
        <v>0</v>
      </c>
      <c r="J51" s="130"/>
      <c r="K51" s="108" t="s">
        <v>137</v>
      </c>
    </row>
    <row r="52" spans="3:11" s="91" customFormat="1" ht="40.5" x14ac:dyDescent="0.25">
      <c r="C52" s="114">
        <v>3.3</v>
      </c>
      <c r="D52" s="140" t="s">
        <v>68</v>
      </c>
      <c r="E52" s="131">
        <f>SUM(E53:E54)</f>
        <v>21000</v>
      </c>
      <c r="F52" s="115"/>
      <c r="G52" s="115"/>
      <c r="H52" s="129"/>
      <c r="I52" s="129"/>
      <c r="J52" s="130"/>
      <c r="K52" s="108"/>
    </row>
    <row r="53" spans="3:11" s="91" customFormat="1" ht="25.5" x14ac:dyDescent="0.25">
      <c r="C53" s="119" t="s">
        <v>69</v>
      </c>
      <c r="D53" s="143" t="s">
        <v>73</v>
      </c>
      <c r="E53" s="128">
        <v>15000</v>
      </c>
      <c r="F53" s="115" t="s">
        <v>125</v>
      </c>
      <c r="G53" s="115" t="s">
        <v>121</v>
      </c>
      <c r="H53" s="129">
        <v>1</v>
      </c>
      <c r="I53" s="129">
        <v>0</v>
      </c>
      <c r="J53" s="130"/>
      <c r="K53" s="108"/>
    </row>
    <row r="54" spans="3:11" s="91" customFormat="1" ht="25.5" x14ac:dyDescent="0.25">
      <c r="C54" s="102" t="s">
        <v>70</v>
      </c>
      <c r="D54" s="125" t="s">
        <v>72</v>
      </c>
      <c r="E54" s="128">
        <v>6000</v>
      </c>
      <c r="F54" s="115" t="s">
        <v>120</v>
      </c>
      <c r="G54" s="115" t="s">
        <v>121</v>
      </c>
      <c r="H54" s="129">
        <v>0</v>
      </c>
      <c r="I54" s="129">
        <v>1</v>
      </c>
      <c r="J54" s="130"/>
      <c r="K54" s="108"/>
    </row>
    <row r="55" spans="3:11" s="91" customFormat="1" ht="13.5" x14ac:dyDescent="0.25">
      <c r="C55" s="112">
        <v>4</v>
      </c>
      <c r="D55" s="112" t="s">
        <v>74</v>
      </c>
      <c r="E55" s="113">
        <f>SUM(E56:E59)</f>
        <v>78063.59</v>
      </c>
      <c r="F55" s="115"/>
      <c r="G55" s="115"/>
      <c r="H55" s="129"/>
      <c r="I55" s="129"/>
      <c r="J55" s="130"/>
      <c r="K55" s="108"/>
    </row>
    <row r="56" spans="3:11" s="91" customFormat="1" ht="13.5" x14ac:dyDescent="0.25">
      <c r="C56" s="102">
        <v>4.0999999999999996</v>
      </c>
      <c r="D56" s="125" t="s">
        <v>12</v>
      </c>
      <c r="E56" s="128">
        <v>13730.26</v>
      </c>
      <c r="F56" s="115" t="s">
        <v>120</v>
      </c>
      <c r="G56" s="115" t="s">
        <v>121</v>
      </c>
      <c r="H56" s="129">
        <v>0</v>
      </c>
      <c r="I56" s="129">
        <v>1</v>
      </c>
      <c r="J56" s="130"/>
      <c r="K56" s="108"/>
    </row>
    <row r="57" spans="3:11" s="91" customFormat="1" ht="13.5" x14ac:dyDescent="0.25">
      <c r="C57" s="102">
        <v>4.2</v>
      </c>
      <c r="D57" s="125" t="s">
        <v>13</v>
      </c>
      <c r="E57" s="128">
        <v>8000</v>
      </c>
      <c r="F57" s="115" t="s">
        <v>125</v>
      </c>
      <c r="G57" s="115" t="s">
        <v>121</v>
      </c>
      <c r="H57" s="129">
        <v>1</v>
      </c>
      <c r="I57" s="129">
        <v>0</v>
      </c>
      <c r="J57" s="130"/>
      <c r="K57" s="108"/>
    </row>
    <row r="58" spans="3:11" s="91" customFormat="1" ht="25.5" x14ac:dyDescent="0.25">
      <c r="C58" s="102">
        <v>4.3</v>
      </c>
      <c r="D58" s="125" t="s">
        <v>95</v>
      </c>
      <c r="E58" s="128">
        <v>8000</v>
      </c>
      <c r="F58" s="115" t="s">
        <v>120</v>
      </c>
      <c r="G58" s="115" t="s">
        <v>121</v>
      </c>
      <c r="H58" s="129">
        <v>0</v>
      </c>
      <c r="I58" s="129">
        <v>1</v>
      </c>
      <c r="J58" s="130"/>
      <c r="K58" s="108"/>
    </row>
    <row r="59" spans="3:11" s="91" customFormat="1" ht="27" x14ac:dyDescent="0.25">
      <c r="C59" s="102">
        <v>4.4000000000000004</v>
      </c>
      <c r="D59" s="125" t="s">
        <v>75</v>
      </c>
      <c r="E59" s="128">
        <v>48333.33</v>
      </c>
      <c r="F59" s="115" t="s">
        <v>135</v>
      </c>
      <c r="G59" s="115" t="s">
        <v>121</v>
      </c>
      <c r="H59" s="129">
        <f>45000/E59</f>
        <v>0.93103454696789978</v>
      </c>
      <c r="I59" s="129">
        <v>7.0000000000000007E-2</v>
      </c>
      <c r="J59" s="130"/>
      <c r="K59" s="108" t="s">
        <v>138</v>
      </c>
    </row>
    <row r="60" spans="3:11" s="91" customFormat="1" ht="13.5" x14ac:dyDescent="0.25">
      <c r="C60" s="112">
        <v>5</v>
      </c>
      <c r="D60" s="112" t="s">
        <v>76</v>
      </c>
      <c r="E60" s="113">
        <f>SUM(E61:E68)</f>
        <v>243700</v>
      </c>
      <c r="F60" s="115"/>
      <c r="G60" s="115"/>
      <c r="H60" s="129"/>
      <c r="I60" s="129"/>
      <c r="J60" s="130"/>
      <c r="K60" s="108"/>
    </row>
    <row r="61" spans="3:11" s="91" customFormat="1" ht="13.5" x14ac:dyDescent="0.25">
      <c r="C61" s="102">
        <v>5.0999999999999996</v>
      </c>
      <c r="D61" s="125" t="s">
        <v>14</v>
      </c>
      <c r="E61" s="128">
        <v>50000</v>
      </c>
      <c r="F61" s="115" t="s">
        <v>123</v>
      </c>
      <c r="G61" s="132" t="s">
        <v>124</v>
      </c>
      <c r="H61" s="129">
        <v>1</v>
      </c>
      <c r="I61" s="129">
        <v>0</v>
      </c>
      <c r="J61" s="130"/>
      <c r="K61" s="108"/>
    </row>
    <row r="62" spans="3:11" s="91" customFormat="1" ht="13.5" x14ac:dyDescent="0.25">
      <c r="C62" s="102">
        <v>5.2</v>
      </c>
      <c r="D62" s="125" t="s">
        <v>15</v>
      </c>
      <c r="E62" s="128">
        <v>37500</v>
      </c>
      <c r="F62" s="115" t="s">
        <v>123</v>
      </c>
      <c r="G62" s="115" t="s">
        <v>121</v>
      </c>
      <c r="H62" s="129">
        <v>1</v>
      </c>
      <c r="I62" s="129">
        <v>0</v>
      </c>
      <c r="J62" s="130"/>
      <c r="K62" s="108"/>
    </row>
    <row r="63" spans="3:11" s="91" customFormat="1" ht="28.5" customHeight="1" x14ac:dyDescent="0.25">
      <c r="C63" s="102">
        <v>5.3</v>
      </c>
      <c r="D63" s="125" t="s">
        <v>33</v>
      </c>
      <c r="E63" s="128">
        <v>29200</v>
      </c>
      <c r="F63" s="115" t="s">
        <v>135</v>
      </c>
      <c r="G63" s="115"/>
      <c r="H63" s="129">
        <v>1</v>
      </c>
      <c r="I63" s="129">
        <v>0</v>
      </c>
      <c r="J63" s="130"/>
      <c r="K63" s="108" t="s">
        <v>140</v>
      </c>
    </row>
    <row r="64" spans="3:11" s="91" customFormat="1" ht="13.5" x14ac:dyDescent="0.25">
      <c r="C64" s="102">
        <v>5.4</v>
      </c>
      <c r="D64" s="125" t="s">
        <v>88</v>
      </c>
      <c r="E64" s="128">
        <v>60000</v>
      </c>
      <c r="F64" s="115" t="s">
        <v>120</v>
      </c>
      <c r="G64" s="115" t="s">
        <v>121</v>
      </c>
      <c r="H64" s="129">
        <v>0</v>
      </c>
      <c r="I64" s="129">
        <v>1</v>
      </c>
      <c r="J64" s="130"/>
      <c r="K64" s="108"/>
    </row>
    <row r="65" spans="3:11" s="91" customFormat="1" ht="13.5" x14ac:dyDescent="0.25">
      <c r="C65" s="102">
        <v>5.6</v>
      </c>
      <c r="D65" s="125" t="s">
        <v>24</v>
      </c>
      <c r="E65" s="128">
        <v>20000</v>
      </c>
      <c r="F65" s="115" t="s">
        <v>139</v>
      </c>
      <c r="G65" s="115" t="s">
        <v>139</v>
      </c>
      <c r="H65" s="129">
        <v>1</v>
      </c>
      <c r="I65" s="129">
        <v>0</v>
      </c>
      <c r="J65" s="130"/>
      <c r="K65" s="108"/>
    </row>
    <row r="66" spans="3:11" s="91" customFormat="1" ht="13.5" x14ac:dyDescent="0.25">
      <c r="C66" s="102">
        <v>5.7</v>
      </c>
      <c r="D66" s="125" t="s">
        <v>16</v>
      </c>
      <c r="E66" s="128">
        <v>12000</v>
      </c>
      <c r="F66" s="115" t="s">
        <v>125</v>
      </c>
      <c r="G66" s="115" t="s">
        <v>121</v>
      </c>
      <c r="H66" s="129">
        <v>1</v>
      </c>
      <c r="I66" s="129">
        <v>0</v>
      </c>
      <c r="J66" s="130"/>
      <c r="K66" s="108"/>
    </row>
    <row r="67" spans="3:11" s="91" customFormat="1" ht="13.5" x14ac:dyDescent="0.25">
      <c r="C67" s="102">
        <v>5.8</v>
      </c>
      <c r="D67" s="125" t="s">
        <v>34</v>
      </c>
      <c r="E67" s="128">
        <v>20000</v>
      </c>
      <c r="F67" s="115" t="s">
        <v>125</v>
      </c>
      <c r="G67" s="132" t="s">
        <v>124</v>
      </c>
      <c r="H67" s="129">
        <v>1</v>
      </c>
      <c r="I67" s="129">
        <v>0</v>
      </c>
      <c r="J67" s="130"/>
      <c r="K67" s="108"/>
    </row>
    <row r="68" spans="3:11" s="91" customFormat="1" ht="13.5" x14ac:dyDescent="0.25">
      <c r="C68" s="102">
        <v>5.9</v>
      </c>
      <c r="D68" s="125" t="s">
        <v>96</v>
      </c>
      <c r="E68" s="128">
        <v>15000</v>
      </c>
      <c r="F68" s="115" t="s">
        <v>125</v>
      </c>
      <c r="G68" s="115" t="s">
        <v>121</v>
      </c>
      <c r="H68" s="129">
        <v>1</v>
      </c>
      <c r="I68" s="129">
        <v>0</v>
      </c>
      <c r="J68" s="130"/>
      <c r="K68" s="108"/>
    </row>
    <row r="69" spans="3:11" s="91" customFormat="1" ht="13.5" x14ac:dyDescent="0.25">
      <c r="C69" s="103" t="s">
        <v>126</v>
      </c>
      <c r="D69" s="103"/>
      <c r="E69" s="104">
        <f>+E60+E55+E43+E33+E8</f>
        <v>1804016.4316666669</v>
      </c>
      <c r="F69" s="105"/>
      <c r="G69" s="105"/>
      <c r="H69" s="106"/>
      <c r="I69" s="106"/>
      <c r="J69" s="107"/>
      <c r="K69" s="108"/>
    </row>
    <row r="70" spans="3:11" s="91" customFormat="1" ht="54" customHeight="1" x14ac:dyDescent="0.25">
      <c r="C70" s="144" t="s">
        <v>127</v>
      </c>
      <c r="D70" s="145"/>
      <c r="E70" s="145"/>
      <c r="F70" s="145"/>
      <c r="G70" s="145"/>
      <c r="H70" s="145"/>
      <c r="I70" s="145"/>
      <c r="J70" s="145"/>
      <c r="K70" s="146"/>
    </row>
    <row r="71" spans="3:11" s="91" customFormat="1" ht="17.25" customHeight="1" x14ac:dyDescent="0.25">
      <c r="C71" s="122" t="s">
        <v>128</v>
      </c>
      <c r="D71" s="122"/>
      <c r="E71" s="122"/>
      <c r="F71" s="122"/>
      <c r="G71" s="122"/>
      <c r="H71" s="122"/>
      <c r="I71" s="122"/>
      <c r="J71" s="122"/>
      <c r="K71" s="122"/>
    </row>
    <row r="72" spans="3:11" s="91" customFormat="1" ht="28.5" customHeight="1" x14ac:dyDescent="0.25">
      <c r="C72" s="123" t="s">
        <v>129</v>
      </c>
      <c r="D72" s="123"/>
      <c r="E72" s="123"/>
      <c r="F72" s="123"/>
      <c r="G72" s="123"/>
      <c r="H72" s="123"/>
      <c r="I72" s="123"/>
      <c r="J72" s="123"/>
      <c r="K72" s="123"/>
    </row>
    <row r="73" spans="3:11" s="91" customFormat="1" ht="17.25" customHeight="1" x14ac:dyDescent="0.25">
      <c r="C73" s="124" t="s">
        <v>130</v>
      </c>
      <c r="D73" s="124"/>
      <c r="E73" s="124"/>
      <c r="F73" s="124"/>
      <c r="G73" s="124"/>
      <c r="H73" s="124"/>
      <c r="I73" s="124"/>
      <c r="J73" s="124"/>
      <c r="K73" s="124"/>
    </row>
    <row r="74" spans="3:11" s="91" customFormat="1" ht="28.5" customHeight="1" x14ac:dyDescent="0.25">
      <c r="C74" s="123" t="s">
        <v>131</v>
      </c>
      <c r="D74" s="123"/>
      <c r="E74" s="123"/>
      <c r="F74" s="123"/>
      <c r="G74" s="123"/>
      <c r="H74" s="123"/>
      <c r="I74" s="123"/>
      <c r="J74" s="123"/>
      <c r="K74" s="123"/>
    </row>
    <row r="75" spans="3:11" s="91" customFormat="1" ht="28.5" customHeight="1" x14ac:dyDescent="0.25">
      <c r="C75" s="123" t="s">
        <v>132</v>
      </c>
      <c r="D75" s="123"/>
      <c r="E75" s="123"/>
      <c r="F75" s="123"/>
      <c r="G75" s="123"/>
      <c r="H75" s="123"/>
      <c r="I75" s="123"/>
      <c r="J75" s="123"/>
      <c r="K75" s="123"/>
    </row>
    <row r="76" spans="3:11" s="91" customFormat="1" ht="13.5" x14ac:dyDescent="0.25">
      <c r="C76" s="92"/>
    </row>
  </sheetData>
  <mergeCells count="15">
    <mergeCell ref="C73:K73"/>
    <mergeCell ref="C74:K74"/>
    <mergeCell ref="C75:K75"/>
    <mergeCell ref="J6:J7"/>
    <mergeCell ref="K6:K7"/>
    <mergeCell ref="C69:D69"/>
    <mergeCell ref="C70:K70"/>
    <mergeCell ref="C71:K71"/>
    <mergeCell ref="C72:K72"/>
    <mergeCell ref="C6:C7"/>
    <mergeCell ref="D6:D7"/>
    <mergeCell ref="E6:E7"/>
    <mergeCell ref="F6:F7"/>
    <mergeCell ref="G6:G7"/>
    <mergeCell ref="H6:I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4"/>
  <sheetViews>
    <sheetView zoomScale="90" zoomScaleNormal="90" workbookViewId="0">
      <pane ySplit="855" topLeftCell="A46" activePane="bottomLeft"/>
      <selection activeCell="C38" sqref="C38"/>
      <selection pane="bottomLeft" activeCell="G74" sqref="G74"/>
    </sheetView>
  </sheetViews>
  <sheetFormatPr defaultColWidth="11.42578125" defaultRowHeight="12.75" x14ac:dyDescent="0.2"/>
  <cols>
    <col min="1" max="1" width="6.85546875" style="1" bestFit="1" customWidth="1"/>
    <col min="2" max="2" width="37.5703125" style="1" bestFit="1" customWidth="1"/>
    <col min="3" max="4" width="15.7109375" style="1" bestFit="1" customWidth="1"/>
    <col min="5" max="5" width="14.5703125" style="1" bestFit="1" customWidth="1"/>
    <col min="6" max="7" width="15.7109375" style="1" bestFit="1" customWidth="1"/>
    <col min="8" max="8" width="0" style="1" hidden="1" customWidth="1"/>
    <col min="9" max="11" width="0" style="31" hidden="1" customWidth="1"/>
    <col min="12" max="12" width="12.42578125" style="31" hidden="1" customWidth="1"/>
    <col min="13" max="13" width="0" style="1" hidden="1" customWidth="1"/>
    <col min="14" max="16" width="11.42578125" style="31"/>
    <col min="17" max="17" width="11.85546875" style="31" bestFit="1" customWidth="1"/>
    <col min="18" max="18" width="11.42578125" style="31"/>
    <col min="19" max="16384" width="11.42578125" style="1"/>
  </cols>
  <sheetData>
    <row r="1" spans="1:17" x14ac:dyDescent="0.2">
      <c r="A1" s="88" t="s">
        <v>0</v>
      </c>
      <c r="B1" s="89" t="s">
        <v>1</v>
      </c>
      <c r="C1" s="89" t="s">
        <v>21</v>
      </c>
      <c r="D1" s="90" t="s">
        <v>20</v>
      </c>
      <c r="E1" s="90"/>
      <c r="F1" s="90"/>
      <c r="G1" s="89" t="s">
        <v>22</v>
      </c>
    </row>
    <row r="2" spans="1:17" x14ac:dyDescent="0.2">
      <c r="A2" s="88"/>
      <c r="B2" s="89"/>
      <c r="C2" s="89"/>
      <c r="D2" s="90" t="s">
        <v>18</v>
      </c>
      <c r="E2" s="90"/>
      <c r="F2" s="2" t="s">
        <v>23</v>
      </c>
      <c r="G2" s="89"/>
    </row>
    <row r="3" spans="1:17" x14ac:dyDescent="0.2">
      <c r="A3" s="88"/>
      <c r="B3" s="89"/>
      <c r="C3" s="89"/>
      <c r="D3" s="3" t="s">
        <v>19</v>
      </c>
      <c r="E3" s="3" t="s">
        <v>79</v>
      </c>
      <c r="F3" s="4"/>
      <c r="G3" s="89"/>
    </row>
    <row r="4" spans="1:17" ht="25.5" x14ac:dyDescent="0.2">
      <c r="A4" s="26">
        <v>1</v>
      </c>
      <c r="B4" s="27" t="s">
        <v>102</v>
      </c>
      <c r="C4" s="64">
        <f>C5+C10+C17+C26</f>
        <v>395201.91366666672</v>
      </c>
      <c r="D4" s="64">
        <f t="shared" ref="D4:G4" si="0">D5+D10+D17+D26</f>
        <v>643237.49800000002</v>
      </c>
      <c r="E4" s="64">
        <f t="shared" si="0"/>
        <v>171733.33333333331</v>
      </c>
      <c r="F4" s="64">
        <f t="shared" si="0"/>
        <v>814970.83133333339</v>
      </c>
      <c r="G4" s="64">
        <f t="shared" si="0"/>
        <v>1210172.7450000001</v>
      </c>
    </row>
    <row r="5" spans="1:17" x14ac:dyDescent="0.2">
      <c r="A5" s="23">
        <v>1.1000000000000001</v>
      </c>
      <c r="B5" s="24" t="s">
        <v>35</v>
      </c>
      <c r="C5" s="65">
        <f>SUM(C6:C9)</f>
        <v>0</v>
      </c>
      <c r="D5" s="65">
        <f t="shared" ref="D5:G5" si="1">SUM(D6:D9)</f>
        <v>360000</v>
      </c>
      <c r="E5" s="65">
        <f t="shared" si="1"/>
        <v>78533.333333333328</v>
      </c>
      <c r="F5" s="65">
        <f t="shared" si="1"/>
        <v>438533.33333333337</v>
      </c>
      <c r="G5" s="65">
        <f t="shared" si="1"/>
        <v>438533.33333333337</v>
      </c>
    </row>
    <row r="6" spans="1:17" x14ac:dyDescent="0.2">
      <c r="A6" s="8" t="s">
        <v>2</v>
      </c>
      <c r="B6" s="9" t="s">
        <v>93</v>
      </c>
      <c r="C6" s="66"/>
      <c r="D6" s="66">
        <f>((((500000+150000)*6)+(30000*3))/15)+(84000)</f>
        <v>350000</v>
      </c>
      <c r="E6" s="66"/>
      <c r="F6" s="66">
        <f>SUM(D6:E6)</f>
        <v>350000</v>
      </c>
      <c r="G6" s="66">
        <f>C6+F6</f>
        <v>350000</v>
      </c>
    </row>
    <row r="7" spans="1:17" ht="45" customHeight="1" x14ac:dyDescent="0.2">
      <c r="A7" s="8" t="s">
        <v>3</v>
      </c>
      <c r="B7" s="47" t="s">
        <v>78</v>
      </c>
      <c r="C7" s="67"/>
      <c r="D7" s="67">
        <v>10000</v>
      </c>
      <c r="E7" s="67">
        <v>10266.666666666666</v>
      </c>
      <c r="F7" s="67">
        <f>SUM(D7:E7)</f>
        <v>20266.666666666664</v>
      </c>
      <c r="G7" s="67">
        <f>C7+F7</f>
        <v>20266.666666666664</v>
      </c>
    </row>
    <row r="8" spans="1:17" ht="25.5" x14ac:dyDescent="0.2">
      <c r="A8" s="8" t="s">
        <v>89</v>
      </c>
      <c r="B8" s="47" t="s">
        <v>90</v>
      </c>
      <c r="C8" s="67"/>
      <c r="D8" s="67"/>
      <c r="E8" s="67">
        <v>50000</v>
      </c>
      <c r="F8" s="67">
        <f t="shared" ref="F8:F9" si="2">SUM(D8:E8)</f>
        <v>50000</v>
      </c>
      <c r="G8" s="67">
        <f t="shared" ref="G8:G9" si="3">C8+F8</f>
        <v>50000</v>
      </c>
    </row>
    <row r="9" spans="1:17" ht="25.5" x14ac:dyDescent="0.2">
      <c r="A9" s="5" t="s">
        <v>91</v>
      </c>
      <c r="B9" s="7" t="s">
        <v>92</v>
      </c>
      <c r="C9" s="68"/>
      <c r="D9" s="68"/>
      <c r="E9" s="68">
        <f>(274000/15)</f>
        <v>18266.666666666668</v>
      </c>
      <c r="F9" s="68">
        <f t="shared" si="2"/>
        <v>18266.666666666668</v>
      </c>
      <c r="G9" s="68">
        <f t="shared" si="3"/>
        <v>18266.666666666668</v>
      </c>
    </row>
    <row r="10" spans="1:17" ht="28.5" customHeight="1" x14ac:dyDescent="0.2">
      <c r="A10" s="23">
        <v>1.2</v>
      </c>
      <c r="B10" s="24" t="s">
        <v>40</v>
      </c>
      <c r="C10" s="65">
        <f>SUM(C11:C16)</f>
        <v>124833.33</v>
      </c>
      <c r="D10" s="65">
        <f t="shared" ref="D10:G10" si="4">SUM(D11:D16)</f>
        <v>119920</v>
      </c>
      <c r="E10" s="65">
        <f t="shared" si="4"/>
        <v>43200</v>
      </c>
      <c r="F10" s="65">
        <f t="shared" si="4"/>
        <v>163120</v>
      </c>
      <c r="G10" s="65">
        <f t="shared" si="4"/>
        <v>287953.33</v>
      </c>
    </row>
    <row r="11" spans="1:17" x14ac:dyDescent="0.2">
      <c r="A11" s="5" t="s">
        <v>4</v>
      </c>
      <c r="B11" s="6" t="s">
        <v>85</v>
      </c>
      <c r="C11" s="69">
        <f>((((8500*4)*1.1)*12.5)*3)/15</f>
        <v>93500</v>
      </c>
      <c r="D11" s="69">
        <f>((((8500*4)*1.1)*4)*3)/15</f>
        <v>29920</v>
      </c>
      <c r="E11" s="69"/>
      <c r="F11" s="69">
        <f t="shared" ref="F11:F16" si="5">SUM(D11:E11)</f>
        <v>29920</v>
      </c>
      <c r="G11" s="68">
        <f>C11+F11</f>
        <v>123420</v>
      </c>
      <c r="I11" s="31">
        <f>8500*1.1</f>
        <v>9350</v>
      </c>
      <c r="J11" s="31">
        <f>I11*4</f>
        <v>37400</v>
      </c>
    </row>
    <row r="12" spans="1:17" ht="25.5" x14ac:dyDescent="0.2">
      <c r="A12" s="8" t="s">
        <v>5</v>
      </c>
      <c r="B12" s="9" t="s">
        <v>77</v>
      </c>
      <c r="C12" s="66"/>
      <c r="D12" s="66">
        <f>250000/15</f>
        <v>16666.666666666668</v>
      </c>
      <c r="E12" s="66">
        <f>450000/15</f>
        <v>30000</v>
      </c>
      <c r="F12" s="66">
        <f t="shared" si="5"/>
        <v>46666.666666666672</v>
      </c>
      <c r="G12" s="66">
        <f t="shared" ref="G12:G13" si="6">C12+F12</f>
        <v>46666.666666666672</v>
      </c>
    </row>
    <row r="13" spans="1:17" ht="51" customHeight="1" x14ac:dyDescent="0.2">
      <c r="A13" s="45" t="s">
        <v>6</v>
      </c>
      <c r="B13" s="48" t="s">
        <v>57</v>
      </c>
      <c r="C13" s="70">
        <v>28000</v>
      </c>
      <c r="D13" s="70">
        <f>90000-D12</f>
        <v>73333.333333333328</v>
      </c>
      <c r="E13" s="70"/>
      <c r="F13" s="70">
        <f t="shared" si="5"/>
        <v>73333.333333333328</v>
      </c>
      <c r="G13" s="71">
        <f t="shared" si="6"/>
        <v>101333.33333333333</v>
      </c>
    </row>
    <row r="14" spans="1:17" ht="25.5" x14ac:dyDescent="0.2">
      <c r="A14" s="5" t="s">
        <v>36</v>
      </c>
      <c r="B14" s="7" t="s">
        <v>37</v>
      </c>
      <c r="C14" s="69"/>
      <c r="D14" s="69"/>
      <c r="E14" s="69">
        <v>8000</v>
      </c>
      <c r="F14" s="69">
        <f t="shared" si="5"/>
        <v>8000</v>
      </c>
      <c r="G14" s="69">
        <f t="shared" ref="G14:G16" si="7">C14+F14</f>
        <v>8000</v>
      </c>
    </row>
    <row r="15" spans="1:17" x14ac:dyDescent="0.2">
      <c r="A15" s="5" t="s">
        <v>38</v>
      </c>
      <c r="B15" s="7" t="s">
        <v>39</v>
      </c>
      <c r="C15" s="68"/>
      <c r="D15" s="68"/>
      <c r="E15" s="68">
        <f>4000+1200</f>
        <v>5200</v>
      </c>
      <c r="F15" s="68">
        <f t="shared" si="5"/>
        <v>5200</v>
      </c>
      <c r="G15" s="68">
        <f t="shared" si="7"/>
        <v>5200</v>
      </c>
    </row>
    <row r="16" spans="1:17" ht="50.25" customHeight="1" x14ac:dyDescent="0.2">
      <c r="A16" s="5" t="s">
        <v>54</v>
      </c>
      <c r="B16" s="7" t="s">
        <v>55</v>
      </c>
      <c r="C16" s="68">
        <v>3333.33</v>
      </c>
      <c r="D16" s="68"/>
      <c r="E16" s="68"/>
      <c r="F16" s="68">
        <f t="shared" si="5"/>
        <v>0</v>
      </c>
      <c r="G16" s="68">
        <f t="shared" si="7"/>
        <v>3333.33</v>
      </c>
      <c r="N16" s="40"/>
      <c r="O16" s="40"/>
      <c r="P16" s="40"/>
      <c r="Q16" s="40"/>
    </row>
    <row r="17" spans="1:17" ht="25.5" x14ac:dyDescent="0.2">
      <c r="A17" s="23">
        <v>1.3</v>
      </c>
      <c r="B17" s="24" t="s">
        <v>41</v>
      </c>
      <c r="C17" s="65">
        <f>SUM(C18+C19+C25)</f>
        <v>209368.5836666667</v>
      </c>
      <c r="D17" s="65">
        <f t="shared" ref="D17:G17" si="8">SUM(D18+D19+D25)</f>
        <v>103317.49799999999</v>
      </c>
      <c r="E17" s="65">
        <f t="shared" si="8"/>
        <v>50000</v>
      </c>
      <c r="F17" s="65">
        <f t="shared" si="8"/>
        <v>153317.49800000002</v>
      </c>
      <c r="G17" s="65">
        <f t="shared" si="8"/>
        <v>362686.08166666672</v>
      </c>
      <c r="N17" s="40"/>
      <c r="O17" s="40"/>
      <c r="P17" s="40"/>
      <c r="Q17" s="40"/>
    </row>
    <row r="18" spans="1:17" ht="26.25" x14ac:dyDescent="0.25">
      <c r="A18" s="8" t="s">
        <v>25</v>
      </c>
      <c r="B18" s="9" t="s">
        <v>58</v>
      </c>
      <c r="C18" s="66"/>
      <c r="D18" s="66">
        <v>40451.89</v>
      </c>
      <c r="E18" s="69"/>
      <c r="F18" s="69">
        <f t="shared" ref="F18" si="9">SUM(D18:E18)</f>
        <v>40451.89</v>
      </c>
      <c r="G18" s="69">
        <f t="shared" ref="G18:G20" si="10">C18+F18</f>
        <v>40451.89</v>
      </c>
      <c r="I18" s="33"/>
      <c r="N18" s="41"/>
      <c r="O18" s="42"/>
      <c r="P18" s="40"/>
      <c r="Q18" s="40"/>
    </row>
    <row r="19" spans="1:17" ht="38.25" x14ac:dyDescent="0.2">
      <c r="A19" s="8" t="s">
        <v>26</v>
      </c>
      <c r="B19" s="9" t="s">
        <v>42</v>
      </c>
      <c r="C19" s="72">
        <f>SUM(C20:C24)</f>
        <v>207701.91700000002</v>
      </c>
      <c r="D19" s="72">
        <f t="shared" ref="D19:G19" si="11">SUM(D20:D24)</f>
        <v>46565.608</v>
      </c>
      <c r="E19" s="72">
        <f t="shared" si="11"/>
        <v>50000</v>
      </c>
      <c r="F19" s="72">
        <f t="shared" si="11"/>
        <v>96565.608000000007</v>
      </c>
      <c r="G19" s="72">
        <f t="shared" si="11"/>
        <v>304267.52500000002</v>
      </c>
      <c r="M19" s="31"/>
      <c r="N19" s="40"/>
      <c r="O19" s="40"/>
      <c r="P19" s="40"/>
      <c r="Q19" s="40"/>
    </row>
    <row r="20" spans="1:17" x14ac:dyDescent="0.2">
      <c r="A20" s="20" t="s">
        <v>44</v>
      </c>
      <c r="B20" s="62" t="s">
        <v>84</v>
      </c>
      <c r="C20" s="73">
        <f>(((18000*3)*12.5)*3)/15</f>
        <v>135000</v>
      </c>
      <c r="D20" s="74"/>
      <c r="E20" s="74"/>
      <c r="F20" s="74">
        <f t="shared" ref="F20:F25" si="12">SUM(D20:E20)</f>
        <v>0</v>
      </c>
      <c r="G20" s="75">
        <f t="shared" si="10"/>
        <v>135000</v>
      </c>
      <c r="I20" s="31">
        <v>14000</v>
      </c>
      <c r="J20" s="31">
        <f>I20*3</f>
        <v>42000</v>
      </c>
      <c r="N20" s="40"/>
      <c r="O20" s="40"/>
      <c r="P20" s="40"/>
      <c r="Q20" s="40"/>
    </row>
    <row r="21" spans="1:17" ht="15" x14ac:dyDescent="0.25">
      <c r="A21" s="20" t="s">
        <v>45</v>
      </c>
      <c r="B21" s="63" t="s">
        <v>51</v>
      </c>
      <c r="C21" s="74">
        <f>((20707.01*8.5)*3)/15</f>
        <v>35201.917000000001</v>
      </c>
      <c r="D21" s="74">
        <f>((20707.01*4)*3)/15</f>
        <v>16565.608</v>
      </c>
      <c r="E21" s="74"/>
      <c r="F21" s="74">
        <f t="shared" si="12"/>
        <v>16565.608</v>
      </c>
      <c r="G21" s="74">
        <f>C21+F21</f>
        <v>51767.525000000001</v>
      </c>
      <c r="I21" s="34">
        <f>(((18307.01*12.5)/15)+2000)/12.5</f>
        <v>1380.4673333333333</v>
      </c>
      <c r="J21" s="31">
        <f>I21*15</f>
        <v>20707.009999999998</v>
      </c>
      <c r="K21" s="31">
        <f>J21/2</f>
        <v>10353.504999999999</v>
      </c>
      <c r="N21" s="40"/>
      <c r="O21" s="40"/>
      <c r="P21" s="40"/>
      <c r="Q21" s="40"/>
    </row>
    <row r="22" spans="1:17" x14ac:dyDescent="0.2">
      <c r="A22" s="20" t="s">
        <v>46</v>
      </c>
      <c r="B22" s="63" t="s">
        <v>52</v>
      </c>
      <c r="C22" s="74">
        <v>37500</v>
      </c>
      <c r="D22" s="76"/>
      <c r="E22" s="74"/>
      <c r="F22" s="74">
        <f t="shared" si="12"/>
        <v>0</v>
      </c>
      <c r="G22" s="74">
        <f>C22+F22</f>
        <v>37500</v>
      </c>
      <c r="J22" s="31">
        <v>15000</v>
      </c>
      <c r="N22" s="40"/>
      <c r="O22" s="40"/>
      <c r="P22" s="40"/>
      <c r="Q22" s="40"/>
    </row>
    <row r="23" spans="1:17" ht="25.5" x14ac:dyDescent="0.2">
      <c r="A23" s="21" t="s">
        <v>47</v>
      </c>
      <c r="B23" s="22" t="s">
        <v>53</v>
      </c>
      <c r="C23" s="77"/>
      <c r="D23" s="77">
        <f>(150000*3)/15</f>
        <v>30000</v>
      </c>
      <c r="E23" s="77">
        <f>((140000*3)/15)</f>
        <v>28000</v>
      </c>
      <c r="F23" s="77">
        <f t="shared" si="12"/>
        <v>58000</v>
      </c>
      <c r="G23" s="77">
        <f>C23+F23</f>
        <v>58000</v>
      </c>
      <c r="J23" s="31">
        <f>SUM(J11:J22)</f>
        <v>115107.01</v>
      </c>
      <c r="N23" s="40"/>
      <c r="O23" s="40"/>
      <c r="P23" s="40"/>
      <c r="Q23" s="40"/>
    </row>
    <row r="24" spans="1:17" x14ac:dyDescent="0.2">
      <c r="A24" s="38" t="s">
        <v>86</v>
      </c>
      <c r="B24" s="39" t="s">
        <v>87</v>
      </c>
      <c r="C24" s="78"/>
      <c r="D24" s="76"/>
      <c r="E24" s="74">
        <f>((((8000*1.1)*12.5)*3)/15)</f>
        <v>22000</v>
      </c>
      <c r="F24" s="77">
        <f t="shared" si="12"/>
        <v>22000</v>
      </c>
      <c r="G24" s="77">
        <f>C24+F24</f>
        <v>22000</v>
      </c>
      <c r="N24" s="40"/>
      <c r="O24" s="40"/>
      <c r="P24" s="40"/>
      <c r="Q24" s="40"/>
    </row>
    <row r="25" spans="1:17" ht="64.5" customHeight="1" x14ac:dyDescent="0.2">
      <c r="A25" s="45" t="s">
        <v>27</v>
      </c>
      <c r="B25" s="48" t="s">
        <v>56</v>
      </c>
      <c r="C25" s="70">
        <v>1666.6666666666999</v>
      </c>
      <c r="D25" s="70">
        <f>((((12600*0.2)*12.5)*3)+(((16000*0.25)*12.5)*3))/15</f>
        <v>16300</v>
      </c>
      <c r="E25" s="71">
        <v>0</v>
      </c>
      <c r="F25" s="70">
        <f t="shared" si="12"/>
        <v>16300</v>
      </c>
      <c r="G25" s="70">
        <f>C25+F25</f>
        <v>17966.666666666701</v>
      </c>
    </row>
    <row r="26" spans="1:17" ht="32.25" customHeight="1" x14ac:dyDescent="0.2">
      <c r="A26" s="23">
        <v>1.4</v>
      </c>
      <c r="B26" s="24" t="s">
        <v>43</v>
      </c>
      <c r="C26" s="65">
        <f>SUM(C27:C28)</f>
        <v>61000</v>
      </c>
      <c r="D26" s="65">
        <f t="shared" ref="D26:G26" si="13">SUM(D27:D28)</f>
        <v>60000</v>
      </c>
      <c r="E26" s="65">
        <f t="shared" si="13"/>
        <v>0</v>
      </c>
      <c r="F26" s="65">
        <f t="shared" si="13"/>
        <v>60000</v>
      </c>
      <c r="G26" s="65">
        <f t="shared" si="13"/>
        <v>121000</v>
      </c>
    </row>
    <row r="27" spans="1:17" ht="53.25" customHeight="1" x14ac:dyDescent="0.2">
      <c r="A27" s="10" t="s">
        <v>48</v>
      </c>
      <c r="B27" s="9" t="s">
        <v>81</v>
      </c>
      <c r="C27" s="67">
        <v>16000</v>
      </c>
      <c r="D27" s="67"/>
      <c r="E27" s="67"/>
      <c r="F27" s="67">
        <f t="shared" ref="F27:F28" si="14">SUM(D27:E27)</f>
        <v>0</v>
      </c>
      <c r="G27" s="67">
        <f t="shared" ref="G27" si="15">C27+F27</f>
        <v>16000</v>
      </c>
    </row>
    <row r="28" spans="1:17" ht="25.5" x14ac:dyDescent="0.2">
      <c r="A28" s="10" t="s">
        <v>49</v>
      </c>
      <c r="B28" s="9" t="s">
        <v>50</v>
      </c>
      <c r="C28" s="67">
        <v>45000</v>
      </c>
      <c r="D28" s="67">
        <v>60000</v>
      </c>
      <c r="E28" s="67"/>
      <c r="F28" s="67">
        <f t="shared" si="14"/>
        <v>60000</v>
      </c>
      <c r="G28" s="67">
        <f>C28+F28</f>
        <v>105000</v>
      </c>
      <c r="N28" s="93"/>
    </row>
    <row r="29" spans="1:17" ht="25.5" x14ac:dyDescent="0.2">
      <c r="A29" s="26">
        <v>2</v>
      </c>
      <c r="B29" s="27" t="s">
        <v>103</v>
      </c>
      <c r="C29" s="64">
        <f>C30+C31+C34+C35</f>
        <v>66500</v>
      </c>
      <c r="D29" s="64">
        <f t="shared" ref="D29:M29" si="16">D30+D31+D34+D35</f>
        <v>8000</v>
      </c>
      <c r="E29" s="64">
        <f t="shared" si="16"/>
        <v>20000</v>
      </c>
      <c r="F29" s="64">
        <f t="shared" si="16"/>
        <v>28000</v>
      </c>
      <c r="G29" s="64">
        <f>G30+G31+G34+G35</f>
        <v>94500</v>
      </c>
      <c r="H29" s="35">
        <f t="shared" si="16"/>
        <v>0</v>
      </c>
      <c r="I29" s="35">
        <f t="shared" si="16"/>
        <v>0</v>
      </c>
      <c r="J29" s="35">
        <f t="shared" si="16"/>
        <v>0</v>
      </c>
      <c r="K29" s="35">
        <f t="shared" si="16"/>
        <v>0</v>
      </c>
      <c r="L29" s="35">
        <f t="shared" si="16"/>
        <v>0</v>
      </c>
      <c r="M29" s="35">
        <f t="shared" si="16"/>
        <v>0</v>
      </c>
    </row>
    <row r="30" spans="1:17" ht="25.5" x14ac:dyDescent="0.2">
      <c r="A30" s="23">
        <v>2.1</v>
      </c>
      <c r="B30" s="24" t="s">
        <v>59</v>
      </c>
      <c r="C30" s="65">
        <v>10000</v>
      </c>
      <c r="D30" s="65">
        <v>0</v>
      </c>
      <c r="E30" s="65">
        <v>0</v>
      </c>
      <c r="F30" s="65">
        <f>SUM(D30+E30)</f>
        <v>0</v>
      </c>
      <c r="G30" s="65">
        <f>SUM(F30+C30)</f>
        <v>10000</v>
      </c>
    </row>
    <row r="31" spans="1:17" ht="38.25" x14ac:dyDescent="0.2">
      <c r="A31" s="23">
        <v>2.2000000000000002</v>
      </c>
      <c r="B31" s="24" t="s">
        <v>60</v>
      </c>
      <c r="C31" s="65">
        <f>SUM(C32:C33)</f>
        <v>3000</v>
      </c>
      <c r="D31" s="65">
        <f t="shared" ref="D31:G31" si="17">SUM(D32:D33)</f>
        <v>0</v>
      </c>
      <c r="E31" s="65">
        <f t="shared" si="17"/>
        <v>20000</v>
      </c>
      <c r="F31" s="65">
        <f t="shared" si="17"/>
        <v>20000</v>
      </c>
      <c r="G31" s="65">
        <f t="shared" si="17"/>
        <v>23000</v>
      </c>
    </row>
    <row r="32" spans="1:17" ht="39.75" customHeight="1" x14ac:dyDescent="0.2">
      <c r="A32" s="5" t="s">
        <v>7</v>
      </c>
      <c r="B32" s="6" t="s">
        <v>61</v>
      </c>
      <c r="C32" s="68">
        <v>0</v>
      </c>
      <c r="D32" s="69">
        <v>0</v>
      </c>
      <c r="E32" s="69">
        <v>20000</v>
      </c>
      <c r="F32" s="69">
        <f>SUM(D32:E32)</f>
        <v>20000</v>
      </c>
      <c r="G32" s="68">
        <f>C32+F32</f>
        <v>20000</v>
      </c>
    </row>
    <row r="33" spans="1:13" ht="45" customHeight="1" x14ac:dyDescent="0.2">
      <c r="A33" s="8" t="s">
        <v>8</v>
      </c>
      <c r="B33" s="9" t="s">
        <v>80</v>
      </c>
      <c r="C33" s="66">
        <v>3000</v>
      </c>
      <c r="D33" s="66">
        <v>0</v>
      </c>
      <c r="E33" s="66">
        <v>0</v>
      </c>
      <c r="F33" s="66">
        <f t="shared" ref="F33" si="18">SUM(D33:E33)</f>
        <v>0</v>
      </c>
      <c r="G33" s="66">
        <f t="shared" ref="G33:G34" si="19">C33+F33</f>
        <v>3000</v>
      </c>
    </row>
    <row r="34" spans="1:13" ht="38.25" x14ac:dyDescent="0.2">
      <c r="A34" s="23">
        <v>2.2999999999999998</v>
      </c>
      <c r="B34" s="25" t="s">
        <v>10</v>
      </c>
      <c r="C34" s="79">
        <v>0</v>
      </c>
      <c r="D34" s="79">
        <v>8000</v>
      </c>
      <c r="E34" s="79"/>
      <c r="F34" s="79">
        <f>SUM(D34:E34)</f>
        <v>8000</v>
      </c>
      <c r="G34" s="79">
        <f t="shared" si="19"/>
        <v>8000</v>
      </c>
    </row>
    <row r="35" spans="1:13" ht="25.5" x14ac:dyDescent="0.2">
      <c r="A35" s="23">
        <v>2.4</v>
      </c>
      <c r="B35" s="25" t="s">
        <v>62</v>
      </c>
      <c r="C35" s="79">
        <f>SUM(C36:C38)</f>
        <v>53500</v>
      </c>
      <c r="D35" s="79">
        <f t="shared" ref="D35:G35" si="20">SUM(D36:D38)</f>
        <v>0</v>
      </c>
      <c r="E35" s="79">
        <f t="shared" si="20"/>
        <v>0</v>
      </c>
      <c r="F35" s="79">
        <f t="shared" si="20"/>
        <v>0</v>
      </c>
      <c r="G35" s="79">
        <f t="shared" si="20"/>
        <v>53500</v>
      </c>
    </row>
    <row r="36" spans="1:13" x14ac:dyDescent="0.2">
      <c r="A36" s="49" t="s">
        <v>94</v>
      </c>
      <c r="B36" s="50" t="s">
        <v>63</v>
      </c>
      <c r="C36" s="80">
        <v>37500</v>
      </c>
      <c r="D36" s="80"/>
      <c r="E36" s="81"/>
      <c r="F36" s="66">
        <f>SUM(D36:E36)</f>
        <v>0</v>
      </c>
      <c r="G36" s="80">
        <f t="shared" ref="G36:G38" si="21">C36+F36</f>
        <v>37500</v>
      </c>
    </row>
    <row r="37" spans="1:13" x14ac:dyDescent="0.2">
      <c r="A37" s="49" t="s">
        <v>82</v>
      </c>
      <c r="B37" s="50" t="s">
        <v>9</v>
      </c>
      <c r="C37" s="80">
        <v>5000</v>
      </c>
      <c r="D37" s="80"/>
      <c r="E37" s="81"/>
      <c r="F37" s="66">
        <f>SUM(D37:E37)</f>
        <v>0</v>
      </c>
      <c r="G37" s="80">
        <f t="shared" si="21"/>
        <v>5000</v>
      </c>
    </row>
    <row r="38" spans="1:13" ht="25.5" x14ac:dyDescent="0.2">
      <c r="A38" s="49" t="s">
        <v>83</v>
      </c>
      <c r="B38" s="51" t="s">
        <v>11</v>
      </c>
      <c r="C38" s="80">
        <v>11000</v>
      </c>
      <c r="D38" s="80"/>
      <c r="E38" s="81"/>
      <c r="F38" s="66">
        <f>SUM(D38:E38)</f>
        <v>0</v>
      </c>
      <c r="G38" s="80">
        <f t="shared" si="21"/>
        <v>11000</v>
      </c>
    </row>
    <row r="39" spans="1:13" ht="38.25" x14ac:dyDescent="0.2">
      <c r="A39" s="26">
        <v>3</v>
      </c>
      <c r="B39" s="27" t="s">
        <v>105</v>
      </c>
      <c r="C39" s="64">
        <f>C40+C44+C48</f>
        <v>87979.43</v>
      </c>
      <c r="D39" s="64">
        <f t="shared" ref="D39:G39" si="22">D40+D44+D48</f>
        <v>600</v>
      </c>
      <c r="E39" s="64">
        <f t="shared" si="22"/>
        <v>89000</v>
      </c>
      <c r="F39" s="64">
        <f t="shared" si="22"/>
        <v>89600</v>
      </c>
      <c r="G39" s="64">
        <f t="shared" si="22"/>
        <v>177579.43</v>
      </c>
    </row>
    <row r="40" spans="1:13" ht="38.25" x14ac:dyDescent="0.2">
      <c r="A40" s="23">
        <v>3.1</v>
      </c>
      <c r="B40" s="24" t="s">
        <v>64</v>
      </c>
      <c r="C40" s="65">
        <f>SUM(C41:C43)</f>
        <v>33000</v>
      </c>
      <c r="D40" s="65">
        <f t="shared" ref="D40:G40" si="23">SUM(D41:D43)</f>
        <v>600</v>
      </c>
      <c r="E40" s="65">
        <f t="shared" si="23"/>
        <v>18000</v>
      </c>
      <c r="F40" s="65">
        <f t="shared" si="23"/>
        <v>18600</v>
      </c>
      <c r="G40" s="65">
        <f t="shared" si="23"/>
        <v>51600</v>
      </c>
    </row>
    <row r="41" spans="1:13" x14ac:dyDescent="0.2">
      <c r="A41" s="5" t="s">
        <v>28</v>
      </c>
      <c r="B41" s="6" t="s">
        <v>104</v>
      </c>
      <c r="C41" s="68"/>
      <c r="D41" s="69"/>
      <c r="E41" s="69">
        <v>18000</v>
      </c>
      <c r="F41" s="69">
        <f>SUM(D41:E41)</f>
        <v>18000</v>
      </c>
      <c r="G41" s="68">
        <f>C41+F41</f>
        <v>18000</v>
      </c>
    </row>
    <row r="42" spans="1:13" ht="51" x14ac:dyDescent="0.2">
      <c r="A42" s="8" t="s">
        <v>29</v>
      </c>
      <c r="B42" s="9" t="s">
        <v>65</v>
      </c>
      <c r="C42" s="66">
        <v>13000</v>
      </c>
      <c r="D42" s="66">
        <v>600</v>
      </c>
      <c r="E42" s="66"/>
      <c r="F42" s="66">
        <f t="shared" ref="F42:F43" si="24">SUM(D42:E42)</f>
        <v>600</v>
      </c>
      <c r="G42" s="66">
        <f t="shared" ref="G42:G43" si="25">C42+F42</f>
        <v>13600</v>
      </c>
    </row>
    <row r="43" spans="1:13" ht="25.5" x14ac:dyDescent="0.2">
      <c r="A43" s="8" t="s">
        <v>30</v>
      </c>
      <c r="B43" s="9" t="s">
        <v>107</v>
      </c>
      <c r="C43" s="66">
        <v>20000</v>
      </c>
      <c r="D43" s="66"/>
      <c r="E43" s="66"/>
      <c r="F43" s="66">
        <f t="shared" si="24"/>
        <v>0</v>
      </c>
      <c r="G43" s="66">
        <f t="shared" si="25"/>
        <v>20000</v>
      </c>
    </row>
    <row r="44" spans="1:13" ht="25.5" x14ac:dyDescent="0.2">
      <c r="A44" s="23">
        <v>3.2</v>
      </c>
      <c r="B44" s="25" t="s">
        <v>71</v>
      </c>
      <c r="C44" s="79">
        <f>SUM(C45:C47)</f>
        <v>39979.43</v>
      </c>
      <c r="D44" s="79">
        <f t="shared" ref="D44:G44" si="26">SUM(D45:D47)</f>
        <v>0</v>
      </c>
      <c r="E44" s="79">
        <f t="shared" si="26"/>
        <v>65000</v>
      </c>
      <c r="F44" s="79">
        <f t="shared" si="26"/>
        <v>65000</v>
      </c>
      <c r="G44" s="79">
        <f t="shared" si="26"/>
        <v>104979.43</v>
      </c>
    </row>
    <row r="45" spans="1:13" ht="25.5" x14ac:dyDescent="0.2">
      <c r="A45" s="12" t="s">
        <v>30</v>
      </c>
      <c r="B45" s="18" t="s">
        <v>106</v>
      </c>
      <c r="C45" s="69">
        <v>20000</v>
      </c>
      <c r="D45" s="68"/>
      <c r="E45" s="68"/>
      <c r="F45" s="68">
        <f>SUM(D45:E45)</f>
        <v>0</v>
      </c>
      <c r="G45" s="68">
        <f t="shared" ref="G45:G55" si="27">C45+F45</f>
        <v>20000</v>
      </c>
    </row>
    <row r="46" spans="1:13" x14ac:dyDescent="0.2">
      <c r="A46" s="52" t="s">
        <v>31</v>
      </c>
      <c r="B46" s="53" t="s">
        <v>66</v>
      </c>
      <c r="C46" s="67"/>
      <c r="D46" s="67"/>
      <c r="E46" s="67">
        <v>65000</v>
      </c>
      <c r="F46" s="68">
        <f t="shared" ref="F46:F47" si="28">SUM(D46:E46)</f>
        <v>65000</v>
      </c>
      <c r="G46" s="67">
        <f t="shared" si="27"/>
        <v>65000</v>
      </c>
    </row>
    <row r="47" spans="1:13" x14ac:dyDescent="0.2">
      <c r="A47" s="52" t="s">
        <v>32</v>
      </c>
      <c r="B47" s="53" t="s">
        <v>67</v>
      </c>
      <c r="C47" s="67">
        <v>19979.43</v>
      </c>
      <c r="D47" s="67"/>
      <c r="E47" s="67"/>
      <c r="F47" s="68">
        <f t="shared" si="28"/>
        <v>0</v>
      </c>
      <c r="G47" s="67">
        <f t="shared" si="27"/>
        <v>19979.43</v>
      </c>
    </row>
    <row r="48" spans="1:13" ht="38.25" x14ac:dyDescent="0.2">
      <c r="A48" s="23">
        <v>3.3</v>
      </c>
      <c r="B48" s="25" t="s">
        <v>68</v>
      </c>
      <c r="C48" s="79">
        <f>SUM(C49:C50)</f>
        <v>15000</v>
      </c>
      <c r="D48" s="79">
        <f t="shared" ref="D48:M48" si="29">SUM(D49:D50)</f>
        <v>0</v>
      </c>
      <c r="E48" s="79">
        <f t="shared" si="29"/>
        <v>6000</v>
      </c>
      <c r="F48" s="79">
        <f t="shared" si="29"/>
        <v>6000</v>
      </c>
      <c r="G48" s="79">
        <f t="shared" si="29"/>
        <v>21000</v>
      </c>
      <c r="H48" s="36">
        <f t="shared" si="29"/>
        <v>0</v>
      </c>
      <c r="I48" s="36">
        <f t="shared" si="29"/>
        <v>0</v>
      </c>
      <c r="J48" s="36">
        <f t="shared" si="29"/>
        <v>0</v>
      </c>
      <c r="K48" s="36">
        <f t="shared" si="29"/>
        <v>0</v>
      </c>
      <c r="L48" s="36">
        <f t="shared" si="29"/>
        <v>0</v>
      </c>
      <c r="M48" s="36">
        <f t="shared" si="29"/>
        <v>0</v>
      </c>
    </row>
    <row r="49" spans="1:11" ht="25.5" x14ac:dyDescent="0.2">
      <c r="A49" s="12" t="s">
        <v>69</v>
      </c>
      <c r="B49" s="19" t="s">
        <v>73</v>
      </c>
      <c r="C49" s="68">
        <v>15000</v>
      </c>
      <c r="D49" s="68"/>
      <c r="E49" s="68"/>
      <c r="F49" s="68">
        <f>SUM(D49:E49)</f>
        <v>0</v>
      </c>
      <c r="G49" s="68">
        <f t="shared" ref="G49:G50" si="30">C49+F49</f>
        <v>15000</v>
      </c>
    </row>
    <row r="50" spans="1:11" ht="25.5" x14ac:dyDescent="0.2">
      <c r="A50" s="13" t="s">
        <v>70</v>
      </c>
      <c r="B50" s="9" t="s">
        <v>72</v>
      </c>
      <c r="C50" s="69"/>
      <c r="D50" s="69"/>
      <c r="E50" s="69">
        <v>6000</v>
      </c>
      <c r="F50" s="68">
        <f>SUM(D50:E50)</f>
        <v>6000</v>
      </c>
      <c r="G50" s="69">
        <f t="shared" si="30"/>
        <v>6000</v>
      </c>
    </row>
    <row r="51" spans="1:11" x14ac:dyDescent="0.2">
      <c r="A51" s="28">
        <v>4</v>
      </c>
      <c r="B51" s="29" t="s">
        <v>74</v>
      </c>
      <c r="C51" s="82">
        <f>SUM(C52:C55)</f>
        <v>53000</v>
      </c>
      <c r="D51" s="82">
        <f t="shared" ref="D51:G51" si="31">SUM(D52:D55)</f>
        <v>0</v>
      </c>
      <c r="E51" s="82">
        <f t="shared" si="31"/>
        <v>25063.590000000004</v>
      </c>
      <c r="F51" s="82">
        <f t="shared" si="31"/>
        <v>25063.590000000004</v>
      </c>
      <c r="G51" s="82">
        <f t="shared" si="31"/>
        <v>78063.59</v>
      </c>
    </row>
    <row r="52" spans="1:11" x14ac:dyDescent="0.2">
      <c r="A52" s="11">
        <v>4.0999999999999996</v>
      </c>
      <c r="B52" s="7" t="s">
        <v>12</v>
      </c>
      <c r="C52" s="68"/>
      <c r="D52" s="83"/>
      <c r="E52" s="68">
        <v>13730.26</v>
      </c>
      <c r="F52" s="68">
        <f>SUM(E52:E52)</f>
        <v>13730.26</v>
      </c>
      <c r="G52" s="68">
        <f t="shared" si="27"/>
        <v>13730.26</v>
      </c>
    </row>
    <row r="53" spans="1:11" ht="25.5" x14ac:dyDescent="0.2">
      <c r="A53" s="5">
        <v>4.2</v>
      </c>
      <c r="B53" s="6" t="s">
        <v>13</v>
      </c>
      <c r="C53" s="69">
        <v>8000</v>
      </c>
      <c r="D53" s="69"/>
      <c r="E53" s="68"/>
      <c r="F53" s="69">
        <f t="shared" ref="F53:F55" si="32">SUM(D53:E53)</f>
        <v>0</v>
      </c>
      <c r="G53" s="68">
        <f t="shared" si="27"/>
        <v>8000</v>
      </c>
    </row>
    <row r="54" spans="1:11" ht="25.5" x14ac:dyDescent="0.2">
      <c r="A54" s="5">
        <v>4.3</v>
      </c>
      <c r="B54" s="7" t="s">
        <v>95</v>
      </c>
      <c r="C54" s="69"/>
      <c r="D54" s="69"/>
      <c r="E54" s="69">
        <v>8000</v>
      </c>
      <c r="F54" s="69">
        <f t="shared" si="32"/>
        <v>8000</v>
      </c>
      <c r="G54" s="69">
        <f t="shared" si="27"/>
        <v>8000</v>
      </c>
    </row>
    <row r="55" spans="1:11" ht="25.5" x14ac:dyDescent="0.2">
      <c r="A55" s="10">
        <v>4.4000000000000004</v>
      </c>
      <c r="B55" s="9" t="s">
        <v>75</v>
      </c>
      <c r="C55" s="66">
        <v>45000</v>
      </c>
      <c r="D55" s="66"/>
      <c r="E55" s="67">
        <v>3333.33</v>
      </c>
      <c r="F55" s="67">
        <f t="shared" si="32"/>
        <v>3333.33</v>
      </c>
      <c r="G55" s="67">
        <f t="shared" si="27"/>
        <v>48333.33</v>
      </c>
    </row>
    <row r="56" spans="1:11" x14ac:dyDescent="0.2">
      <c r="A56" s="28">
        <v>5</v>
      </c>
      <c r="B56" s="30" t="s">
        <v>76</v>
      </c>
      <c r="C56" s="82">
        <f>SUM(C57:C64)</f>
        <v>183700</v>
      </c>
      <c r="D56" s="82">
        <f>SUM(D57:D64)</f>
        <v>0</v>
      </c>
      <c r="E56" s="82">
        <f>SUM(E57:E64)</f>
        <v>60000</v>
      </c>
      <c r="F56" s="82">
        <f>SUM(F57:F64)</f>
        <v>60000</v>
      </c>
      <c r="G56" s="82">
        <f>SUM(G57:G64)</f>
        <v>243700</v>
      </c>
    </row>
    <row r="57" spans="1:11" x14ac:dyDescent="0.2">
      <c r="A57" s="11">
        <v>5.0999999999999996</v>
      </c>
      <c r="B57" s="14" t="s">
        <v>14</v>
      </c>
      <c r="C57" s="69">
        <f>((20000*12.5)*3)/15</f>
        <v>50000</v>
      </c>
      <c r="D57" s="69"/>
      <c r="E57" s="69"/>
      <c r="F57" s="68"/>
      <c r="G57" s="68">
        <f t="shared" ref="G57:G64" si="33">C57+F57</f>
        <v>50000</v>
      </c>
      <c r="I57" s="31">
        <f>C57/3</f>
        <v>16666.666666666668</v>
      </c>
      <c r="J57" s="31">
        <f>I57*15</f>
        <v>250000.00000000003</v>
      </c>
      <c r="K57" s="31">
        <f>J57/12.5</f>
        <v>20000.000000000004</v>
      </c>
    </row>
    <row r="58" spans="1:11" x14ac:dyDescent="0.2">
      <c r="A58" s="11">
        <v>5.2</v>
      </c>
      <c r="B58" s="15" t="s">
        <v>15</v>
      </c>
      <c r="C58" s="69">
        <v>37500</v>
      </c>
      <c r="D58" s="69"/>
      <c r="E58" s="69"/>
      <c r="F58" s="68"/>
      <c r="G58" s="68">
        <f t="shared" si="33"/>
        <v>37500</v>
      </c>
    </row>
    <row r="59" spans="1:11" x14ac:dyDescent="0.2">
      <c r="A59" s="54">
        <v>5.3</v>
      </c>
      <c r="B59" s="17" t="s">
        <v>33</v>
      </c>
      <c r="C59" s="66">
        <v>29200</v>
      </c>
      <c r="D59" s="66"/>
      <c r="E59" s="66"/>
      <c r="F59" s="67"/>
      <c r="G59" s="67">
        <f t="shared" si="33"/>
        <v>29200</v>
      </c>
      <c r="I59" s="31">
        <f>((20000*12.5)*3)/15</f>
        <v>50000</v>
      </c>
    </row>
    <row r="60" spans="1:11" x14ac:dyDescent="0.2">
      <c r="A60" s="54">
        <v>5.4</v>
      </c>
      <c r="B60" s="55" t="s">
        <v>88</v>
      </c>
      <c r="C60" s="66"/>
      <c r="D60" s="66"/>
      <c r="E60" s="66">
        <f>((25000*12)*3)/15</f>
        <v>60000</v>
      </c>
      <c r="F60" s="67">
        <f t="shared" ref="F60" si="34">SUM(D60:E60)</f>
        <v>60000</v>
      </c>
      <c r="G60" s="67">
        <f t="shared" si="33"/>
        <v>60000</v>
      </c>
    </row>
    <row r="61" spans="1:11" x14ac:dyDescent="0.2">
      <c r="A61" s="16">
        <v>5.6</v>
      </c>
      <c r="B61" s="15" t="s">
        <v>24</v>
      </c>
      <c r="C61" s="69">
        <v>20000</v>
      </c>
      <c r="D61" s="68"/>
      <c r="E61" s="68"/>
      <c r="F61" s="68"/>
      <c r="G61" s="68">
        <f t="shared" si="33"/>
        <v>20000</v>
      </c>
    </row>
    <row r="62" spans="1:11" x14ac:dyDescent="0.2">
      <c r="A62" s="16">
        <v>5.7</v>
      </c>
      <c r="B62" s="17" t="s">
        <v>16</v>
      </c>
      <c r="C62" s="68">
        <v>12000</v>
      </c>
      <c r="D62" s="68"/>
      <c r="E62" s="68"/>
      <c r="F62" s="68"/>
      <c r="G62" s="68">
        <f t="shared" si="33"/>
        <v>12000</v>
      </c>
    </row>
    <row r="63" spans="1:11" x14ac:dyDescent="0.2">
      <c r="A63" s="16">
        <v>5.8</v>
      </c>
      <c r="B63" s="17" t="s">
        <v>34</v>
      </c>
      <c r="C63" s="68">
        <v>20000</v>
      </c>
      <c r="D63" s="68"/>
      <c r="E63" s="68"/>
      <c r="F63" s="68"/>
      <c r="G63" s="68">
        <f t="shared" si="33"/>
        <v>20000</v>
      </c>
    </row>
    <row r="64" spans="1:11" x14ac:dyDescent="0.2">
      <c r="A64" s="16">
        <v>5.9</v>
      </c>
      <c r="B64" s="17" t="s">
        <v>96</v>
      </c>
      <c r="C64" s="68">
        <v>15000</v>
      </c>
      <c r="D64" s="68"/>
      <c r="E64" s="68"/>
      <c r="F64" s="68"/>
      <c r="G64" s="68">
        <f t="shared" si="33"/>
        <v>15000</v>
      </c>
    </row>
    <row r="65" spans="1:54" x14ac:dyDescent="0.2">
      <c r="A65" s="59"/>
      <c r="B65" s="59" t="s">
        <v>97</v>
      </c>
      <c r="C65" s="84">
        <f t="shared" ref="C65:M65" si="35">C51+C39+C29+C4+C56</f>
        <v>786381.34366666665</v>
      </c>
      <c r="D65" s="84">
        <f t="shared" si="35"/>
        <v>651837.49800000002</v>
      </c>
      <c r="E65" s="84">
        <f t="shared" si="35"/>
        <v>365796.92333333334</v>
      </c>
      <c r="F65" s="84">
        <f t="shared" si="35"/>
        <v>1017634.4213333334</v>
      </c>
      <c r="G65" s="84">
        <f t="shared" si="35"/>
        <v>1804015.7650000001</v>
      </c>
      <c r="H65" s="57">
        <f t="shared" si="35"/>
        <v>0</v>
      </c>
      <c r="I65" s="37">
        <f t="shared" si="35"/>
        <v>0</v>
      </c>
      <c r="J65" s="37">
        <f t="shared" si="35"/>
        <v>0</v>
      </c>
      <c r="K65" s="37">
        <f t="shared" si="35"/>
        <v>0</v>
      </c>
      <c r="L65" s="37">
        <f t="shared" si="35"/>
        <v>0</v>
      </c>
      <c r="M65" s="37">
        <f t="shared" si="35"/>
        <v>0</v>
      </c>
    </row>
    <row r="66" spans="1:54" s="43" customFormat="1" x14ac:dyDescent="0.2">
      <c r="A66" s="44"/>
      <c r="B66" s="44" t="s">
        <v>100</v>
      </c>
      <c r="C66" s="46">
        <f>C65/G65</f>
        <v>0.43590602639033288</v>
      </c>
      <c r="D66" s="46">
        <f>D65/G65</f>
        <v>0.36132583242696881</v>
      </c>
      <c r="E66" s="46">
        <f>E65/G65</f>
        <v>0.2027681411826982</v>
      </c>
      <c r="F66" s="46">
        <f>SUM(D66:E66)</f>
        <v>0.56409397360966707</v>
      </c>
      <c r="G66" s="46">
        <f>C66+F66</f>
        <v>1</v>
      </c>
      <c r="I66" s="32"/>
      <c r="J66" s="32"/>
      <c r="K66" s="32"/>
      <c r="L66" s="32"/>
      <c r="N66" s="40"/>
      <c r="O66" s="40"/>
      <c r="P66" s="40"/>
      <c r="Q66" s="40"/>
      <c r="R66" s="40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</row>
    <row r="67" spans="1:54" x14ac:dyDescent="0.2">
      <c r="A67" s="12"/>
      <c r="B67" s="12" t="s">
        <v>98</v>
      </c>
      <c r="C67" s="85">
        <f>C65*0.05</f>
        <v>39319.067183333333</v>
      </c>
      <c r="D67" s="86"/>
      <c r="E67" s="86"/>
      <c r="F67" s="86"/>
      <c r="G67" s="85">
        <f>C65*0.05</f>
        <v>39319.067183333333</v>
      </c>
      <c r="N67" s="40"/>
      <c r="O67" s="40"/>
      <c r="P67" s="40"/>
      <c r="Q67" s="40"/>
      <c r="R67" s="40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</row>
    <row r="68" spans="1:54" x14ac:dyDescent="0.2">
      <c r="A68" s="12"/>
      <c r="B68" s="12" t="s">
        <v>99</v>
      </c>
      <c r="C68" s="86">
        <v>20000</v>
      </c>
      <c r="D68" s="86"/>
      <c r="E68" s="86"/>
      <c r="F68" s="86"/>
      <c r="G68" s="85">
        <v>20000</v>
      </c>
    </row>
    <row r="69" spans="1:54" hidden="1" x14ac:dyDescent="0.2">
      <c r="A69" s="12"/>
      <c r="B69" s="12"/>
      <c r="C69" s="86">
        <f>C65*15</f>
        <v>11795720.154999999</v>
      </c>
      <c r="D69" s="86">
        <f t="shared" ref="D69:G69" si="36">D65*15</f>
        <v>9777562.4700000007</v>
      </c>
      <c r="E69" s="86">
        <f t="shared" si="36"/>
        <v>5486953.8499999996</v>
      </c>
      <c r="F69" s="86">
        <f t="shared" si="36"/>
        <v>15264516.32</v>
      </c>
      <c r="G69" s="86">
        <f t="shared" si="36"/>
        <v>27060236.475000001</v>
      </c>
    </row>
    <row r="70" spans="1:54" ht="15.75" x14ac:dyDescent="0.25">
      <c r="A70" s="60"/>
      <c r="B70" s="61" t="s">
        <v>17</v>
      </c>
      <c r="C70" s="87">
        <f>C65+C67+C68</f>
        <v>845700.41084999999</v>
      </c>
      <c r="D70" s="87">
        <f t="shared" ref="D70:G70" si="37">D65+D67+D68</f>
        <v>651837.49800000002</v>
      </c>
      <c r="E70" s="87">
        <f t="shared" si="37"/>
        <v>365796.92333333334</v>
      </c>
      <c r="F70" s="87">
        <f t="shared" si="37"/>
        <v>1017634.4213333334</v>
      </c>
      <c r="G70" s="87">
        <f t="shared" si="37"/>
        <v>1863334.8321833336</v>
      </c>
    </row>
    <row r="71" spans="1:54" x14ac:dyDescent="0.2">
      <c r="A71" s="44"/>
      <c r="B71" s="44" t="s">
        <v>101</v>
      </c>
      <c r="C71" s="58">
        <f>C70/G70</f>
        <v>0.45386389834137525</v>
      </c>
      <c r="D71" s="58">
        <f>D70/G70</f>
        <v>0.34982306279125347</v>
      </c>
      <c r="E71" s="58">
        <f>E70/G70</f>
        <v>0.1963130388673712</v>
      </c>
      <c r="F71" s="58">
        <f>D71+E71</f>
        <v>0.5461361016586247</v>
      </c>
      <c r="G71" s="58">
        <f>C71+F71</f>
        <v>1</v>
      </c>
    </row>
    <row r="74" spans="1:54" x14ac:dyDescent="0.2">
      <c r="G74" s="101"/>
    </row>
  </sheetData>
  <mergeCells count="6">
    <mergeCell ref="A1:A3"/>
    <mergeCell ref="B1:B3"/>
    <mergeCell ref="C1:C3"/>
    <mergeCell ref="D1:F1"/>
    <mergeCell ref="G1:G3"/>
    <mergeCell ref="D2:E2"/>
  </mergeCells>
  <pageMargins left="0.7" right="0.7" top="0.75" bottom="0.75" header="0.3" footer="0.3"/>
  <pageSetup scale="41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40416722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Generic</Webtopic>
    <Other_x0020_Author xmlns="cdc7663a-08f0-4737-9e8c-148ce897a09c" xsi:nil="true"/>
    <Abstract xmlns="cdc7663a-08f0-4737-9e8c-148ce897a09c">Plan de Adquisiciones Sierra  Gorda 2015 y 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Plan&lt;/USER_STAGE&gt;&lt;PD_OBJ_TYPE&gt;0&lt;/PD_OBJ_TYPE&gt;&lt;MAKERECORD&gt;N&lt;/MAKERECORD&gt;&lt;PD_FILEPT_NO&gt;PO-ME-M1101-Plan&lt;/PD_FILEPT_NO&gt;&lt;PD_FILE_PART&gt;1180590242&lt;/PD_FILE_PART&gt;&lt;/Data&gt;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2792DFB-50EE-4070-8A74-DFBB6BB79135}"/>
</file>

<file path=customXml/itemProps2.xml><?xml version="1.0" encoding="utf-8"?>
<ds:datastoreItem xmlns:ds="http://schemas.openxmlformats.org/officeDocument/2006/customXml" ds:itemID="{5F0FD744-7434-49C9-A740-C064E0D45F08}"/>
</file>

<file path=customXml/itemProps3.xml><?xml version="1.0" encoding="utf-8"?>
<ds:datastoreItem xmlns:ds="http://schemas.openxmlformats.org/officeDocument/2006/customXml" ds:itemID="{64225D7F-D72F-47F5-874A-F692D618770E}"/>
</file>

<file path=customXml/itemProps4.xml><?xml version="1.0" encoding="utf-8"?>
<ds:datastoreItem xmlns:ds="http://schemas.openxmlformats.org/officeDocument/2006/customXml" ds:itemID="{1CF22E21-9D32-4C39-9EE6-CF43F620184B}"/>
</file>

<file path=customXml/itemProps5.xml><?xml version="1.0" encoding="utf-8"?>
<ds:datastoreItem xmlns:ds="http://schemas.openxmlformats.org/officeDocument/2006/customXml" ds:itemID="{21F17224-B5C9-44F7-920C-BCDBF52F6405}"/>
</file>

<file path=customXml/itemProps6.xml><?xml version="1.0" encoding="utf-8"?>
<ds:datastoreItem xmlns:ds="http://schemas.openxmlformats.org/officeDocument/2006/customXml" ds:itemID="{11172148-E10C-4B0E-98E2-F91E93527A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 de Adquisiciones</vt:lpstr>
      <vt:lpstr>Presupuesto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Sierra  Gorda 2015 y  2016</dc:title>
  <dc:creator>Veronica</dc:creator>
  <cp:keywords/>
  <cp:lastModifiedBy>Guillermo Aguilar Ríos</cp:lastModifiedBy>
  <cp:lastPrinted>2015-07-20T13:56:56Z</cp:lastPrinted>
  <dcterms:created xsi:type="dcterms:W3CDTF">2015-06-10T21:11:34Z</dcterms:created>
  <dcterms:modified xsi:type="dcterms:W3CDTF">2015-09-30T16:37:36Z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