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9200" windowHeight="8775" tabRatio="596" firstSheet="2" activeTab="4"/>
  </bookViews>
  <sheets>
    <sheet name="Results (2)" sheetId="18" state="hidden" r:id="rId1"/>
    <sheet name="Results" sheetId="12" state="hidden" r:id="rId2"/>
    <sheet name="Budget by product version 2" sheetId="16" r:id="rId3"/>
    <sheet name="POA" sheetId="7" r:id="rId4"/>
    <sheet name="PPM" sheetId="17" r:id="rId5"/>
    <sheet name="Others" sheetId="15" r:id="rId6"/>
    <sheet name="Produits" sheetId="13" state="hidden" r:id="rId7"/>
    <sheet name="Budget by product version 1" sheetId="14" state="hidden" r:id="rId8"/>
    <sheet name="Sheet1" sheetId="19" r:id="rId9"/>
  </sheets>
  <externalReferences>
    <externalReference r:id="rId10"/>
  </externalReferences>
  <definedNames>
    <definedName name="_xlnm._FilterDatabase" localSheetId="7" hidden="1">'Budget by product version 1'!$A$2:$P$33</definedName>
    <definedName name="_xlnm._FilterDatabase" localSheetId="3" hidden="1">POA!$A$2:$CS$51</definedName>
    <definedName name="_xlnm._FilterDatabase" localSheetId="4" hidden="1">PPM!$A$6:$K$10</definedName>
    <definedName name="_xlnm._FilterDatabase" localSheetId="6" hidden="1">Produits!$A$2:$S$44</definedName>
    <definedName name="Activites">[1]listes!$O$4:$O$19</definedName>
    <definedName name="Composante" localSheetId="7">#REF!</definedName>
    <definedName name="Composante" localSheetId="4">#REF!</definedName>
    <definedName name="Composante" localSheetId="0">#REF!</definedName>
    <definedName name="Composante">#REF!</definedName>
    <definedName name="_xlnm.Print_Area" localSheetId="3">POA!$D$1:$AD$51</definedName>
    <definedName name="_xlnm.Print_Area" localSheetId="4">PPM!$A$1:$L$26</definedName>
    <definedName name="Produits" localSheetId="7">#REF!</definedName>
    <definedName name="Produits" localSheetId="4">#REF!</definedName>
    <definedName name="Produits" localSheetId="0">#REF!</definedName>
    <definedName name="Produits">#REF!</definedName>
    <definedName name="Region" localSheetId="7">#REF!</definedName>
    <definedName name="Region" localSheetId="4">#REF!</definedName>
    <definedName name="Region" localSheetId="0">#REF!</definedName>
    <definedName name="Region">#REF!</definedName>
    <definedName name="Statut" localSheetId="7">#REF!</definedName>
    <definedName name="Statut" localSheetId="4">#REF!</definedName>
    <definedName name="Statut" localSheetId="0">#REF!</definedName>
    <definedName name="Statut">#REF!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8" i="7" l="1"/>
  <c r="K38" i="7"/>
  <c r="AB38" i="7" s="1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H33" i="7"/>
  <c r="G24" i="15" l="1"/>
  <c r="F24" i="15"/>
  <c r="E24" i="15"/>
  <c r="D24" i="15"/>
  <c r="M23" i="15"/>
  <c r="H23" i="15"/>
  <c r="L22" i="15"/>
  <c r="K22" i="15"/>
  <c r="J22" i="15"/>
  <c r="I22" i="15"/>
  <c r="H22" i="15"/>
  <c r="L21" i="15"/>
  <c r="K21" i="15"/>
  <c r="K24" i="15" s="1"/>
  <c r="J21" i="15"/>
  <c r="I21" i="15"/>
  <c r="I24" i="15" s="1"/>
  <c r="H21" i="15"/>
  <c r="H24" i="15" l="1"/>
  <c r="J24" i="15"/>
  <c r="L24" i="15"/>
  <c r="M22" i="15"/>
  <c r="M21" i="15"/>
  <c r="M24" i="15" s="1"/>
  <c r="AC47" i="7"/>
  <c r="AB47" i="7"/>
  <c r="AD47" i="7" l="1"/>
  <c r="L32" i="7"/>
  <c r="L30" i="7"/>
  <c r="AC42" i="7"/>
  <c r="AB42" i="7"/>
  <c r="AC41" i="7"/>
  <c r="AB41" i="7"/>
  <c r="I41" i="7"/>
  <c r="AC40" i="7"/>
  <c r="AB40" i="7"/>
  <c r="AC39" i="7"/>
  <c r="AB39" i="7"/>
  <c r="P25" i="7"/>
  <c r="I28" i="7"/>
  <c r="AB28" i="7"/>
  <c r="AC28" i="7"/>
  <c r="E24" i="7"/>
  <c r="E25" i="7" s="1"/>
  <c r="AC29" i="7"/>
  <c r="AB29" i="7"/>
  <c r="AC26" i="7"/>
  <c r="AB26" i="7"/>
  <c r="AC24" i="7"/>
  <c r="AB24" i="7"/>
  <c r="I24" i="7"/>
  <c r="H24" i="7"/>
  <c r="M8" i="16"/>
  <c r="N8" i="16"/>
  <c r="O8" i="16"/>
  <c r="L8" i="16"/>
  <c r="P6" i="16"/>
  <c r="K6" i="16"/>
  <c r="M4" i="16"/>
  <c r="N4" i="16"/>
  <c r="O4" i="16"/>
  <c r="L4" i="16"/>
  <c r="L3" i="16" l="1"/>
  <c r="N3" i="16"/>
  <c r="O3" i="16"/>
  <c r="M3" i="16"/>
  <c r="AD41" i="7"/>
  <c r="AC38" i="7"/>
  <c r="AD42" i="7"/>
  <c r="AD38" i="7"/>
  <c r="AD39" i="7"/>
  <c r="AD40" i="7"/>
  <c r="AD28" i="7"/>
  <c r="AD24" i="7"/>
  <c r="AD26" i="7"/>
  <c r="AD29" i="7"/>
  <c r="P3" i="16"/>
  <c r="D10" i="15" s="1"/>
  <c r="K15" i="18"/>
  <c r="K14" i="18"/>
  <c r="K13" i="18"/>
  <c r="K8" i="18"/>
  <c r="K17" i="12" l="1"/>
  <c r="K16" i="12"/>
  <c r="K15" i="12"/>
  <c r="K8" i="12"/>
  <c r="C23" i="17" l="1"/>
  <c r="C22" i="17"/>
  <c r="H37" i="7"/>
  <c r="H31" i="7"/>
  <c r="E37" i="7"/>
  <c r="E38" i="7" s="1"/>
  <c r="E31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J13" i="7"/>
  <c r="I18" i="7"/>
  <c r="P4" i="16"/>
  <c r="C16" i="17" s="1"/>
  <c r="H18" i="7"/>
  <c r="H12" i="7"/>
  <c r="E18" i="7"/>
  <c r="E19" i="7" s="1"/>
  <c r="E12" i="7"/>
  <c r="E13" i="7" s="1"/>
  <c r="AB37" i="7"/>
  <c r="AC37" i="7"/>
  <c r="AB20" i="7"/>
  <c r="AC20" i="7"/>
  <c r="I22" i="7"/>
  <c r="AB22" i="7"/>
  <c r="AC22" i="7"/>
  <c r="AB23" i="7"/>
  <c r="AC23" i="7"/>
  <c r="K9" i="16"/>
  <c r="I37" i="7" s="1"/>
  <c r="J30" i="16"/>
  <c r="J27" i="16"/>
  <c r="J23" i="16"/>
  <c r="J24" i="16" s="1"/>
  <c r="M7" i="16"/>
  <c r="N7" i="16"/>
  <c r="O7" i="16"/>
  <c r="L7" i="16"/>
  <c r="P8" i="16"/>
  <c r="K8" i="16"/>
  <c r="J20" i="16" s="1"/>
  <c r="K4" i="16"/>
  <c r="I12" i="7" s="1"/>
  <c r="P10" i="16"/>
  <c r="D14" i="15" s="1"/>
  <c r="E14" i="15" s="1"/>
  <c r="P11" i="16"/>
  <c r="P12" i="16"/>
  <c r="D16" i="15" s="1"/>
  <c r="E16" i="15" s="1"/>
  <c r="D5" i="7"/>
  <c r="A23" i="17" s="1"/>
  <c r="D7" i="7"/>
  <c r="A20" i="17" s="1"/>
  <c r="D3" i="7"/>
  <c r="D11" i="7" s="1"/>
  <c r="D4" i="7"/>
  <c r="D30" i="7" s="1"/>
  <c r="K44" i="7"/>
  <c r="L44" i="7"/>
  <c r="M44" i="7"/>
  <c r="N44" i="7"/>
  <c r="O44" i="7"/>
  <c r="P44" i="7"/>
  <c r="Q44" i="7"/>
  <c r="R44" i="7"/>
  <c r="S44" i="7"/>
  <c r="T44" i="7"/>
  <c r="U44" i="7"/>
  <c r="V44" i="7"/>
  <c r="V43" i="7" s="1"/>
  <c r="W44" i="7"/>
  <c r="X44" i="7"/>
  <c r="Y44" i="7"/>
  <c r="Z44" i="7"/>
  <c r="AA44" i="7"/>
  <c r="J44" i="7"/>
  <c r="J43" i="7" s="1"/>
  <c r="AB46" i="7"/>
  <c r="AC46" i="7"/>
  <c r="Y32" i="7"/>
  <c r="Y30" i="7" s="1"/>
  <c r="Z32" i="7"/>
  <c r="AA32" i="7"/>
  <c r="AA30" i="7" s="1"/>
  <c r="Y48" i="7"/>
  <c r="Y6" i="7" s="1"/>
  <c r="Z48" i="7"/>
  <c r="Z6" i="7" s="1"/>
  <c r="AA48" i="7"/>
  <c r="AA6" i="7" s="1"/>
  <c r="Y50" i="7"/>
  <c r="Y7" i="7" s="1"/>
  <c r="Z50" i="7"/>
  <c r="Z7" i="7" s="1"/>
  <c r="AA50" i="7"/>
  <c r="AA7" i="7" s="1"/>
  <c r="K50" i="7"/>
  <c r="L50" i="7"/>
  <c r="M50" i="7"/>
  <c r="N50" i="7"/>
  <c r="O50" i="7"/>
  <c r="O7" i="7" s="1"/>
  <c r="P50" i="7"/>
  <c r="Q50" i="7"/>
  <c r="R50" i="7"/>
  <c r="S50" i="7"/>
  <c r="S7" i="7" s="1"/>
  <c r="T50" i="7"/>
  <c r="U50" i="7"/>
  <c r="V50" i="7"/>
  <c r="V7" i="7" s="1"/>
  <c r="W50" i="7"/>
  <c r="W7" i="7" s="1"/>
  <c r="X50" i="7"/>
  <c r="K48" i="7"/>
  <c r="L48" i="7"/>
  <c r="L6" i="7" s="1"/>
  <c r="M48" i="7"/>
  <c r="M6" i="7" s="1"/>
  <c r="N48" i="7"/>
  <c r="N6" i="7" s="1"/>
  <c r="O48" i="7"/>
  <c r="P48" i="7"/>
  <c r="P6" i="7" s="1"/>
  <c r="Q48" i="7"/>
  <c r="Q6" i="7" s="1"/>
  <c r="R48" i="7"/>
  <c r="R6" i="7" s="1"/>
  <c r="S48" i="7"/>
  <c r="T48" i="7"/>
  <c r="T6" i="7" s="1"/>
  <c r="U48" i="7"/>
  <c r="U6" i="7" s="1"/>
  <c r="V48" i="7"/>
  <c r="W48" i="7"/>
  <c r="X48" i="7"/>
  <c r="X6" i="7" s="1"/>
  <c r="J50" i="7"/>
  <c r="J7" i="7" s="1"/>
  <c r="J48" i="7"/>
  <c r="J6" i="7" s="1"/>
  <c r="K32" i="7"/>
  <c r="K30" i="7" s="1"/>
  <c r="M32" i="7"/>
  <c r="M30" i="7" s="1"/>
  <c r="N32" i="7"/>
  <c r="N30" i="7" s="1"/>
  <c r="O32" i="7"/>
  <c r="O30" i="7" s="1"/>
  <c r="P32" i="7"/>
  <c r="P30" i="7" s="1"/>
  <c r="Q32" i="7"/>
  <c r="Q30" i="7" s="1"/>
  <c r="R32" i="7"/>
  <c r="R30" i="7" s="1"/>
  <c r="S32" i="7"/>
  <c r="S30" i="7" s="1"/>
  <c r="T32" i="7"/>
  <c r="T30" i="7" s="1"/>
  <c r="U32" i="7"/>
  <c r="U30" i="7" s="1"/>
  <c r="V32" i="7"/>
  <c r="V30" i="7" s="1"/>
  <c r="W32" i="7"/>
  <c r="W30" i="7" s="1"/>
  <c r="X32" i="7"/>
  <c r="X30" i="7" s="1"/>
  <c r="J32" i="7"/>
  <c r="J30" i="7" s="1"/>
  <c r="AB51" i="7"/>
  <c r="AC51" i="7"/>
  <c r="AB49" i="7"/>
  <c r="AC49" i="7"/>
  <c r="AB45" i="7"/>
  <c r="AC45" i="7"/>
  <c r="AB36" i="7"/>
  <c r="AC36" i="7"/>
  <c r="AB35" i="7"/>
  <c r="AC35" i="7"/>
  <c r="AB34" i="7"/>
  <c r="AC34" i="7"/>
  <c r="AB33" i="7"/>
  <c r="AC33" i="7"/>
  <c r="AB31" i="7"/>
  <c r="AC31" i="7"/>
  <c r="M26" i="13"/>
  <c r="K7" i="7"/>
  <c r="L7" i="7"/>
  <c r="M7" i="7"/>
  <c r="N7" i="7"/>
  <c r="O6" i="7"/>
  <c r="P7" i="7"/>
  <c r="Q7" i="7"/>
  <c r="R7" i="7"/>
  <c r="S6" i="7"/>
  <c r="T7" i="7"/>
  <c r="U7" i="7"/>
  <c r="V6" i="7"/>
  <c r="W6" i="7"/>
  <c r="X7" i="7"/>
  <c r="AB18" i="7"/>
  <c r="AC18" i="7"/>
  <c r="AB17" i="7"/>
  <c r="AC17" i="7"/>
  <c r="AB16" i="7"/>
  <c r="AC16" i="7"/>
  <c r="AB15" i="7"/>
  <c r="AC15" i="7"/>
  <c r="AB14" i="7"/>
  <c r="AC14" i="7"/>
  <c r="AB12" i="7"/>
  <c r="AC12" i="7"/>
  <c r="M16" i="13"/>
  <c r="D6" i="7"/>
  <c r="D48" i="7" s="1"/>
  <c r="E32" i="7"/>
  <c r="P14" i="14"/>
  <c r="P13" i="14"/>
  <c r="P12" i="14"/>
  <c r="O11" i="14"/>
  <c r="N11" i="14"/>
  <c r="M11" i="14"/>
  <c r="L11" i="14"/>
  <c r="P11" i="14"/>
  <c r="K11" i="14"/>
  <c r="O10" i="14"/>
  <c r="N10" i="14"/>
  <c r="M10" i="14"/>
  <c r="L10" i="14"/>
  <c r="P10" i="14"/>
  <c r="K10" i="14"/>
  <c r="O9" i="14"/>
  <c r="N9" i="14"/>
  <c r="M9" i="14"/>
  <c r="L9" i="14"/>
  <c r="P9" i="14"/>
  <c r="K9" i="14"/>
  <c r="O8" i="14"/>
  <c r="N8" i="14"/>
  <c r="M8" i="14"/>
  <c r="L8" i="14"/>
  <c r="P8" i="14"/>
  <c r="K8" i="14"/>
  <c r="O7" i="14"/>
  <c r="N7" i="14"/>
  <c r="M7" i="14"/>
  <c r="L7" i="14"/>
  <c r="P7" i="14"/>
  <c r="K7" i="14"/>
  <c r="O6" i="14"/>
  <c r="N6" i="14"/>
  <c r="M6" i="14"/>
  <c r="L6" i="14"/>
  <c r="P6" i="14"/>
  <c r="O5" i="14"/>
  <c r="N5" i="14"/>
  <c r="M5" i="14"/>
  <c r="L5" i="14"/>
  <c r="P5" i="14"/>
  <c r="K5" i="14"/>
  <c r="O4" i="14"/>
  <c r="N4" i="14"/>
  <c r="M4" i="14"/>
  <c r="L4" i="14"/>
  <c r="P4" i="14"/>
  <c r="K4" i="14"/>
  <c r="O3" i="14"/>
  <c r="O15" i="14"/>
  <c r="N3" i="14"/>
  <c r="N15" i="14"/>
  <c r="M3" i="14"/>
  <c r="M15" i="14"/>
  <c r="L3" i="14"/>
  <c r="L15" i="14"/>
  <c r="P3" i="14"/>
  <c r="P15" i="14"/>
  <c r="E12" i="15"/>
  <c r="E13" i="15"/>
  <c r="J31" i="14"/>
  <c r="J30" i="14"/>
  <c r="M16" i="14"/>
  <c r="N16" i="14"/>
  <c r="O16" i="14"/>
  <c r="L16" i="14"/>
  <c r="J45" i="14"/>
  <c r="J41" i="14"/>
  <c r="J37" i="14"/>
  <c r="J36" i="14"/>
  <c r="J25" i="14"/>
  <c r="J24" i="14"/>
  <c r="P16" i="14"/>
  <c r="M21" i="13"/>
  <c r="M22" i="13"/>
  <c r="M4" i="13"/>
  <c r="S3" i="13"/>
  <c r="H14" i="7"/>
  <c r="S44" i="13"/>
  <c r="M43" i="13"/>
  <c r="M42" i="13"/>
  <c r="M41" i="13"/>
  <c r="M39" i="13"/>
  <c r="S38" i="13"/>
  <c r="M38" i="13"/>
  <c r="M37" i="13"/>
  <c r="M36" i="13"/>
  <c r="M35" i="13"/>
  <c r="M34" i="13"/>
  <c r="M33" i="13"/>
  <c r="S32" i="13"/>
  <c r="M32" i="13"/>
  <c r="M31" i="13"/>
  <c r="S30" i="13"/>
  <c r="M30" i="13"/>
  <c r="M29" i="13"/>
  <c r="M28" i="13"/>
  <c r="S27" i="13"/>
  <c r="M27" i="13"/>
  <c r="M25" i="13"/>
  <c r="M24" i="13"/>
  <c r="S23" i="13"/>
  <c r="M23" i="13"/>
  <c r="M20" i="13"/>
  <c r="S19" i="13"/>
  <c r="M19" i="13"/>
  <c r="M17" i="13"/>
  <c r="S15" i="13"/>
  <c r="M15" i="13"/>
  <c r="M14" i="13"/>
  <c r="M13" i="13"/>
  <c r="M12" i="13"/>
  <c r="M11" i="13"/>
  <c r="S10" i="13"/>
  <c r="M10" i="13"/>
  <c r="M9" i="13"/>
  <c r="M8" i="13"/>
  <c r="S7" i="13"/>
  <c r="M7" i="13"/>
  <c r="M6" i="13"/>
  <c r="M5" i="13"/>
  <c r="M3" i="13"/>
  <c r="S45" i="13"/>
  <c r="AA5" i="7" l="1"/>
  <c r="AA43" i="7"/>
  <c r="Y5" i="7"/>
  <c r="Y43" i="7"/>
  <c r="W5" i="7"/>
  <c r="W43" i="7"/>
  <c r="U5" i="7"/>
  <c r="U43" i="7"/>
  <c r="S5" i="7"/>
  <c r="S43" i="7"/>
  <c r="Q5" i="7"/>
  <c r="Q43" i="7"/>
  <c r="O5" i="7"/>
  <c r="O43" i="7"/>
  <c r="M5" i="7"/>
  <c r="M43" i="7"/>
  <c r="K5" i="7"/>
  <c r="K43" i="7"/>
  <c r="Z30" i="7"/>
  <c r="Z4" i="7" s="1"/>
  <c r="Z43" i="7"/>
  <c r="Z5" i="7" s="1"/>
  <c r="X43" i="7"/>
  <c r="X5" i="7" s="1"/>
  <c r="T43" i="7"/>
  <c r="T5" i="7" s="1"/>
  <c r="R43" i="7"/>
  <c r="R5" i="7" s="1"/>
  <c r="P43" i="7"/>
  <c r="P5" i="7" s="1"/>
  <c r="N43" i="7"/>
  <c r="N5" i="7" s="1"/>
  <c r="L43" i="7"/>
  <c r="L5" i="7" s="1"/>
  <c r="I7" i="7"/>
  <c r="I50" i="7" s="1"/>
  <c r="D15" i="15"/>
  <c r="E15" i="15" s="1"/>
  <c r="I25" i="7"/>
  <c r="D43" i="7"/>
  <c r="I6" i="7"/>
  <c r="I48" i="7" s="1"/>
  <c r="I5" i="7"/>
  <c r="I43" i="7" s="1"/>
  <c r="K19" i="7"/>
  <c r="K11" i="7" s="1"/>
  <c r="M21" i="7"/>
  <c r="M19" i="7" s="1"/>
  <c r="O21" i="7"/>
  <c r="O19" i="7" s="1"/>
  <c r="Q21" i="7"/>
  <c r="Q19" i="7" s="1"/>
  <c r="S21" i="7"/>
  <c r="S19" i="7" s="1"/>
  <c r="U21" i="7"/>
  <c r="U19" i="7" s="1"/>
  <c r="W21" i="7"/>
  <c r="W19" i="7" s="1"/>
  <c r="Y21" i="7"/>
  <c r="AA21" i="7"/>
  <c r="AA19" i="7" s="1"/>
  <c r="N21" i="7"/>
  <c r="P21" i="7"/>
  <c r="P19" i="7" s="1"/>
  <c r="R21" i="7"/>
  <c r="R19" i="7" s="1"/>
  <c r="T21" i="7"/>
  <c r="T19" i="7" s="1"/>
  <c r="V21" i="7"/>
  <c r="X21" i="7"/>
  <c r="X19" i="7" s="1"/>
  <c r="Z21" i="7"/>
  <c r="L21" i="7"/>
  <c r="L19" i="7" s="1"/>
  <c r="L11" i="7" s="1"/>
  <c r="AB13" i="7"/>
  <c r="AB48" i="7"/>
  <c r="AD34" i="7"/>
  <c r="AC44" i="7"/>
  <c r="AC13" i="7"/>
  <c r="D50" i="7"/>
  <c r="K6" i="7"/>
  <c r="AB6" i="7" s="1"/>
  <c r="AD45" i="7"/>
  <c r="X4" i="7"/>
  <c r="AC30" i="7"/>
  <c r="T4" i="7"/>
  <c r="R4" i="7"/>
  <c r="P4" i="7"/>
  <c r="N4" i="7"/>
  <c r="L4" i="7"/>
  <c r="AD37" i="7"/>
  <c r="Y19" i="7"/>
  <c r="AC32" i="7"/>
  <c r="AB44" i="7"/>
  <c r="W4" i="7"/>
  <c r="U4" i="7"/>
  <c r="S4" i="7"/>
  <c r="Q4" i="7"/>
  <c r="O4" i="7"/>
  <c r="M4" i="7"/>
  <c r="K4" i="7"/>
  <c r="AC50" i="7"/>
  <c r="AD13" i="7"/>
  <c r="AD15" i="7"/>
  <c r="AD33" i="7"/>
  <c r="AA4" i="7"/>
  <c r="Y4" i="7"/>
  <c r="AD20" i="7"/>
  <c r="AD51" i="7"/>
  <c r="AC6" i="7"/>
  <c r="AD17" i="7"/>
  <c r="AD18" i="7"/>
  <c r="AB32" i="7"/>
  <c r="AD32" i="7" s="1"/>
  <c r="AD36" i="7"/>
  <c r="AC48" i="7"/>
  <c r="AD48" i="7" s="1"/>
  <c r="AB50" i="7"/>
  <c r="AD46" i="7"/>
  <c r="AD22" i="7"/>
  <c r="AC7" i="7"/>
  <c r="AB7" i="7"/>
  <c r="J5" i="7"/>
  <c r="AC43" i="7"/>
  <c r="V5" i="7"/>
  <c r="AB30" i="7"/>
  <c r="J4" i="7"/>
  <c r="V4" i="7"/>
  <c r="AD12" i="7"/>
  <c r="AD14" i="7"/>
  <c r="AD16" i="7"/>
  <c r="AD31" i="7"/>
  <c r="AD35" i="7"/>
  <c r="AD49" i="7"/>
  <c r="AD23" i="7"/>
  <c r="J19" i="7"/>
  <c r="AA25" i="7"/>
  <c r="Y25" i="7"/>
  <c r="W25" i="7"/>
  <c r="U25" i="7"/>
  <c r="S25" i="7"/>
  <c r="Q25" i="7"/>
  <c r="O25" i="7"/>
  <c r="M25" i="7"/>
  <c r="K25" i="7"/>
  <c r="Z25" i="7"/>
  <c r="X25" i="7"/>
  <c r="T25" i="7"/>
  <c r="R25" i="7"/>
  <c r="N25" i="7"/>
  <c r="L25" i="7"/>
  <c r="Z19" i="7"/>
  <c r="N19" i="7"/>
  <c r="P5" i="16"/>
  <c r="I19" i="7" s="1"/>
  <c r="O13" i="16"/>
  <c r="M13" i="16"/>
  <c r="P7" i="16"/>
  <c r="N13" i="16"/>
  <c r="L13" i="16"/>
  <c r="P9" i="16"/>
  <c r="I38" i="7" s="1"/>
  <c r="J34" i="16"/>
  <c r="I32" i="7"/>
  <c r="I31" i="7"/>
  <c r="A19" i="17"/>
  <c r="I13" i="7"/>
  <c r="J35" i="16"/>
  <c r="K35" i="16" s="1"/>
  <c r="AB5" i="7" l="1"/>
  <c r="AC5" i="7"/>
  <c r="AB43" i="7"/>
  <c r="AC4" i="7"/>
  <c r="K8" i="7"/>
  <c r="K3" i="7"/>
  <c r="AD44" i="7"/>
  <c r="D11" i="15"/>
  <c r="E11" i="15" s="1"/>
  <c r="X11" i="7"/>
  <c r="X3" i="7" s="1"/>
  <c r="X8" i="7" s="1"/>
  <c r="W11" i="7"/>
  <c r="W3" i="7" s="1"/>
  <c r="W8" i="7" s="1"/>
  <c r="O11" i="7"/>
  <c r="O3" i="7" s="1"/>
  <c r="O8" i="7" s="1"/>
  <c r="P11" i="7"/>
  <c r="P3" i="7" s="1"/>
  <c r="P8" i="7" s="1"/>
  <c r="T11" i="7"/>
  <c r="T3" i="7" s="1"/>
  <c r="T8" i="7" s="1"/>
  <c r="S11" i="7"/>
  <c r="S3" i="7" s="1"/>
  <c r="S8" i="7" s="1"/>
  <c r="U11" i="7"/>
  <c r="U3" i="7" s="1"/>
  <c r="U8" i="7" s="1"/>
  <c r="Y11" i="7"/>
  <c r="Y3" i="7" s="1"/>
  <c r="Y8" i="7" s="1"/>
  <c r="N11" i="7"/>
  <c r="N3" i="7" s="1"/>
  <c r="N8" i="7" s="1"/>
  <c r="R11" i="7"/>
  <c r="R3" i="7" s="1"/>
  <c r="R8" i="7" s="1"/>
  <c r="M11" i="7"/>
  <c r="Q11" i="7"/>
  <c r="Q3" i="7" s="1"/>
  <c r="Q8" i="7" s="1"/>
  <c r="Z11" i="7"/>
  <c r="Z3" i="7" s="1"/>
  <c r="Z8" i="7" s="1"/>
  <c r="AA11" i="7"/>
  <c r="AA3" i="7" s="1"/>
  <c r="AA8" i="7" s="1"/>
  <c r="L3" i="7"/>
  <c r="L8" i="7" s="1"/>
  <c r="AB4" i="7"/>
  <c r="AD4" i="7" s="1"/>
  <c r="AD50" i="7"/>
  <c r="AD6" i="7"/>
  <c r="AD30" i="7"/>
  <c r="AD5" i="7"/>
  <c r="AD7" i="7"/>
  <c r="AD43" i="7"/>
  <c r="AB19" i="7"/>
  <c r="AB27" i="7"/>
  <c r="J25" i="7"/>
  <c r="AB25" i="7" s="1"/>
  <c r="AC27" i="7"/>
  <c r="V25" i="7"/>
  <c r="AC25" i="7" s="1"/>
  <c r="I4" i="7"/>
  <c r="I30" i="7" s="1"/>
  <c r="P13" i="16"/>
  <c r="V19" i="7"/>
  <c r="V11" i="7" s="1"/>
  <c r="AC21" i="7"/>
  <c r="AB21" i="7"/>
  <c r="I3" i="7"/>
  <c r="J11" i="7" l="1"/>
  <c r="J3" i="7" s="1"/>
  <c r="J8" i="7" s="1"/>
  <c r="M3" i="7"/>
  <c r="M8" i="7" s="1"/>
  <c r="AD21" i="7"/>
  <c r="AD25" i="7"/>
  <c r="AD27" i="7"/>
  <c r="AC19" i="7"/>
  <c r="AD19" i="7" s="1"/>
  <c r="I8" i="7"/>
  <c r="I11" i="7"/>
  <c r="D17" i="15"/>
  <c r="E10" i="15"/>
  <c r="E17" i="15" s="1"/>
  <c r="AB3" i="7"/>
  <c r="AB11" i="7" l="1"/>
  <c r="AB8" i="7"/>
  <c r="V3" i="7"/>
  <c r="AC11" i="7"/>
  <c r="AD11" i="7" l="1"/>
  <c r="AC3" i="7"/>
  <c r="AD3" i="7" s="1"/>
  <c r="V8" i="7"/>
  <c r="AC8" i="7" s="1"/>
  <c r="AD8" i="7" s="1"/>
</calcChain>
</file>

<file path=xl/sharedStrings.xml><?xml version="1.0" encoding="utf-8"?>
<sst xmlns="http://schemas.openxmlformats.org/spreadsheetml/2006/main" count="833" uniqueCount="327">
  <si>
    <t>Produits</t>
  </si>
  <si>
    <t>Unité</t>
  </si>
  <si>
    <t>TOTAL</t>
  </si>
  <si>
    <t>Plan</t>
  </si>
  <si>
    <t>Unité d'exécution</t>
  </si>
  <si>
    <t>Nom du Programme</t>
  </si>
  <si>
    <t>Numéro programme</t>
  </si>
  <si>
    <t>Numéro d'opération</t>
  </si>
  <si>
    <t>Date de préparation</t>
  </si>
  <si>
    <t>Période couverte par PPM</t>
  </si>
  <si>
    <t>Composante</t>
  </si>
  <si>
    <t>Description</t>
  </si>
  <si>
    <t>Budget (US$)</t>
  </si>
  <si>
    <t>Méthode</t>
  </si>
  <si>
    <t>Préqual.</t>
  </si>
  <si>
    <t xml:space="preserve">Date </t>
  </si>
  <si>
    <t>Révision</t>
  </si>
  <si>
    <t>Statut</t>
  </si>
  <si>
    <t>oui/non</t>
  </si>
  <si>
    <t>publication</t>
  </si>
  <si>
    <t>post/ante</t>
  </si>
  <si>
    <t>Biens et services connexes</t>
  </si>
  <si>
    <t>non</t>
  </si>
  <si>
    <t>en attente</t>
  </si>
  <si>
    <t>ex-ante</t>
  </si>
  <si>
    <t>CP</t>
  </si>
  <si>
    <t>Travaux</t>
  </si>
  <si>
    <t>Services firmes consultations</t>
  </si>
  <si>
    <t>Services consultants individuels</t>
  </si>
  <si>
    <t>USD</t>
  </si>
  <si>
    <t>Produit 1: Plans communaux d'occupation des sols établis</t>
  </si>
  <si>
    <t>Techniciens municipaux formés</t>
  </si>
  <si>
    <t>Drafts de PCOS élaborés</t>
  </si>
  <si>
    <t>Plans validés par partenaires</t>
  </si>
  <si>
    <t>Total (durée projet)</t>
  </si>
  <si>
    <t>Techniciens</t>
  </si>
  <si>
    <t>Etablissement de l'unité de gestion de projet/parc</t>
  </si>
  <si>
    <t>Conseil d'administration et conseil consultatif établis</t>
  </si>
  <si>
    <t>Structure</t>
  </si>
  <si>
    <t>Elaboration d'un programme de formation</t>
  </si>
  <si>
    <t>QCNI</t>
  </si>
  <si>
    <t>Ha</t>
  </si>
  <si>
    <t>Produit 6: Arbres greffés et espèces forestières et fruitières plantées</t>
  </si>
  <si>
    <t>Equipement divers</t>
  </si>
  <si>
    <t>Producteur</t>
  </si>
  <si>
    <t>Etudes foncières de base</t>
  </si>
  <si>
    <t>Méthodologie définie</t>
  </si>
  <si>
    <t>Personnel formé sur les méthodes</t>
  </si>
  <si>
    <t>Etude de suivi de l'utilisation des sols</t>
  </si>
  <si>
    <t>Etudes de mesure des stocks de carbone</t>
  </si>
  <si>
    <t>Etude de mesure des émissions de GES</t>
  </si>
  <si>
    <t>Etude</t>
  </si>
  <si>
    <t>Audits</t>
  </si>
  <si>
    <t>Produit 2: Plan de gestion du Parc</t>
  </si>
  <si>
    <t>Produit 3: Structure de gestion du Parc fonctionnelle</t>
  </si>
  <si>
    <t>Produit 4: Dispositif de surveillance du Parc renforcé</t>
  </si>
  <si>
    <t>Accord de co-gestion signé</t>
  </si>
  <si>
    <t>Formation de gardes</t>
  </si>
  <si>
    <t>Garde</t>
  </si>
  <si>
    <t>Draft PCOS</t>
  </si>
  <si>
    <t>PCOS validé</t>
  </si>
  <si>
    <t>unité</t>
  </si>
  <si>
    <t>Arbres greffés</t>
  </si>
  <si>
    <t>Arbre</t>
  </si>
  <si>
    <t>Accord avec INCAH/AVSF signé</t>
  </si>
  <si>
    <t>Centre</t>
  </si>
  <si>
    <t>Accord</t>
  </si>
  <si>
    <t>Identification sites et ouvrages</t>
  </si>
  <si>
    <t>Site</t>
  </si>
  <si>
    <t>Délimitation GPS du parc</t>
  </si>
  <si>
    <t>Ensemble des conflits traités</t>
  </si>
  <si>
    <t>Bornage physique du parc</t>
  </si>
  <si>
    <t>%</t>
  </si>
  <si>
    <t>Délimitation</t>
  </si>
  <si>
    <t>Légalisation des limites du parc</t>
  </si>
  <si>
    <t>Bornage</t>
  </si>
  <si>
    <t>Personne</t>
  </si>
  <si>
    <t>LdB</t>
  </si>
  <si>
    <t>Planification physique</t>
  </si>
  <si>
    <t>Planification financière</t>
  </si>
  <si>
    <t>#</t>
  </si>
  <si>
    <t>Total</t>
  </si>
  <si>
    <t>prévu</t>
  </si>
  <si>
    <t>PCOS</t>
  </si>
  <si>
    <t>Zonage du parc</t>
  </si>
  <si>
    <t>Accord inter-communal de gestion du parc</t>
  </si>
  <si>
    <t>Business plan du parc élaboré</t>
  </si>
  <si>
    <t>Especes forestières et fruitières plantées</t>
  </si>
  <si>
    <t>Hectares de café régénérés/replantés</t>
  </si>
  <si>
    <t>Centre de traitement café établi</t>
  </si>
  <si>
    <t>Définition du paquet technologique</t>
  </si>
  <si>
    <t>Paquet</t>
  </si>
  <si>
    <t>Système</t>
  </si>
  <si>
    <t>-</t>
  </si>
  <si>
    <t>Administration, audits, évaluation, imprévus</t>
  </si>
  <si>
    <t>UGP-MACAYA</t>
  </si>
  <si>
    <t>Signature accord avec Opérateur</t>
  </si>
  <si>
    <t>Mai 2013</t>
  </si>
  <si>
    <t>Product</t>
  </si>
  <si>
    <t>Product 3: Operational Park management structure</t>
  </si>
  <si>
    <t>Product 1: Municipal land use plans elaborated and validated</t>
  </si>
  <si>
    <t>Product 2: Park management plan elaborated</t>
  </si>
  <si>
    <t>Product 4: Park surveillance system strengthened</t>
  </si>
  <si>
    <t>Product 5: Local population benefiting from environmental training and education</t>
  </si>
  <si>
    <t>Administration, audits, evaluation</t>
  </si>
  <si>
    <t>Product 6: Native forest restored</t>
  </si>
  <si>
    <t>Product 7: Fruit and forest tree grafted and/or planted</t>
  </si>
  <si>
    <t>Product 8: Producers supported to plant coffee</t>
  </si>
  <si>
    <t>Product 9: Producers supported to enhance sheep breeding system</t>
  </si>
  <si>
    <t>Product 10: Water harvesting system installed</t>
  </si>
  <si>
    <t>Product 11: Park limits established and accepted</t>
  </si>
  <si>
    <t>Product 12: Carbon stock and GHG monitoring system established in Park area</t>
  </si>
  <si>
    <t>Sous Produits</t>
  </si>
  <si>
    <t>Produit 5: Population locale bénéficiant de formation et éducation environnementale</t>
  </si>
  <si>
    <t>Produit 6: Forêt native replantée</t>
  </si>
  <si>
    <t>Produit 7: Arbres greffés et espèces forestières et fruitières plantées</t>
  </si>
  <si>
    <t>Produit 8: Producteurs bénéficiant d'appui pour améliorer les plantations caféières</t>
  </si>
  <si>
    <t>Produit 9: Producteurs bénéficiant d'appui pour améliorer l'élevage ovin</t>
  </si>
  <si>
    <t>Produit 10: Structures de rétention et valorisation de l'eau construites</t>
  </si>
  <si>
    <t>Produit 11: Délimitation du Parc établie et acceptée</t>
  </si>
  <si>
    <t>Produit 12: Système de suivi des GES et du stock de carbone développé dans l'aire du Parc</t>
  </si>
  <si>
    <t>MLUP</t>
  </si>
  <si>
    <t>Unit</t>
  </si>
  <si>
    <t>Person</t>
  </si>
  <si>
    <t>Tree</t>
  </si>
  <si>
    <t>Producer</t>
  </si>
  <si>
    <t>System</t>
  </si>
  <si>
    <t>Product 1: Local population benefiting from environmental training and education</t>
  </si>
  <si>
    <t>ha</t>
  </si>
  <si>
    <t>Budget (USD)</t>
  </si>
  <si>
    <t>Outputs</t>
  </si>
  <si>
    <t>Coffee</t>
  </si>
  <si>
    <t>ha/producteur</t>
  </si>
  <si>
    <t>arbre/ha</t>
  </si>
  <si>
    <t>USD/arbre</t>
  </si>
  <si>
    <t>Budget</t>
  </si>
  <si>
    <t>total ha</t>
  </si>
  <si>
    <t>USD/ha</t>
  </si>
  <si>
    <t>Administration</t>
  </si>
  <si>
    <t>Evaluation</t>
  </si>
  <si>
    <t>Forest</t>
  </si>
  <si>
    <t>Grafts and trees</t>
  </si>
  <si>
    <t>arbre/producteurs</t>
  </si>
  <si>
    <t>total arbres</t>
  </si>
  <si>
    <t>Water system</t>
  </si>
  <si>
    <t>USD/system</t>
  </si>
  <si>
    <t>USD/prodcuteur</t>
  </si>
  <si>
    <t>Component 2: Adoption of sustainable land and forest management practices</t>
  </si>
  <si>
    <t>Hypotheses</t>
  </si>
  <si>
    <t>Sheep breeging</t>
  </si>
  <si>
    <t>Baseline</t>
  </si>
  <si>
    <t>III - Strengthening Local land Tenure Framework</t>
  </si>
  <si>
    <t>IV - Land use, GHG Emission and Carbon Stock Monitoring</t>
  </si>
  <si>
    <t>V - Project Management</t>
  </si>
  <si>
    <t>VI - Audits</t>
  </si>
  <si>
    <t>VII - Evaluations</t>
  </si>
  <si>
    <t>GEF</t>
  </si>
  <si>
    <t>HRF</t>
  </si>
  <si>
    <t>COMPONENTS</t>
  </si>
  <si>
    <t>Component 1: Environmental Education</t>
  </si>
  <si>
    <t>Product 2: Schools rehabilitated</t>
  </si>
  <si>
    <t>Schools</t>
  </si>
  <si>
    <t>Product 3: Native forest restored</t>
  </si>
  <si>
    <t>Product 4: Fruit and forest tree grafted and/or planted</t>
  </si>
  <si>
    <t>Product 5: Producers supported to plant coffee</t>
  </si>
  <si>
    <t>Product 6: Producers supported to enhance sheep breeding system</t>
  </si>
  <si>
    <t>Product 7: Water harvesting system installed</t>
  </si>
  <si>
    <t>Agroforestry</t>
  </si>
  <si>
    <t>Native forest</t>
  </si>
  <si>
    <t>Timber</t>
  </si>
  <si>
    <t>Fruit</t>
  </si>
  <si>
    <t>Guard</t>
  </si>
  <si>
    <t>Service provider recruited</t>
  </si>
  <si>
    <t>Component</t>
  </si>
  <si>
    <t>Milestone</t>
  </si>
  <si>
    <t>Activity</t>
  </si>
  <si>
    <t>Recruitment service provider</t>
  </si>
  <si>
    <t>Contract signature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</si>
  <si>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</si>
  <si>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</si>
  <si>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</si>
  <si>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</si>
  <si>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</si>
  <si>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</si>
  <si>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</si>
  <si>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</si>
  <si>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</si>
  <si>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</si>
  <si>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</si>
  <si>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</si>
  <si>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</si>
  <si>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</si>
  <si>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</si>
  <si>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</si>
  <si>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</si>
  <si>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</si>
  <si>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Implementation of activity</t>
  </si>
  <si>
    <t>Technical design elaborated</t>
  </si>
  <si>
    <t>Guard recruited</t>
  </si>
  <si>
    <t>Recruitment guard</t>
  </si>
  <si>
    <t>Total Y1</t>
  </si>
  <si>
    <t>Total Y2</t>
  </si>
  <si>
    <t>Equipment bought</t>
  </si>
  <si>
    <t>Buying equipment</t>
  </si>
  <si>
    <t>Staff</t>
  </si>
  <si>
    <t>Administrative cost</t>
  </si>
  <si>
    <t>Baseline study</t>
  </si>
  <si>
    <t>Buying car</t>
  </si>
  <si>
    <t>AON</t>
  </si>
  <si>
    <t>Recrutement ingenieur</t>
  </si>
  <si>
    <t>Prestataire ligne de base et SE</t>
  </si>
  <si>
    <t>Superficies</t>
  </si>
  <si>
    <t>Recrutement agro-environnementaliste</t>
  </si>
  <si>
    <t>PDT</t>
  </si>
  <si>
    <t>MLS</t>
  </si>
  <si>
    <t>AOI/SFQC</t>
  </si>
  <si>
    <t>Commentaire</t>
  </si>
  <si>
    <t>Mai 2016</t>
  </si>
  <si>
    <t>Janvier 2016</t>
  </si>
  <si>
    <t>PROGRAMME MACAYA</t>
  </si>
  <si>
    <t>Novembre 2012</t>
  </si>
  <si>
    <t>producer</t>
  </si>
  <si>
    <t>I - Institutional and Local Governance Strengthening</t>
  </si>
  <si>
    <t>Product 2: Park surveillance guards equipped, trained and mobilized</t>
  </si>
  <si>
    <t>ha/producer</t>
  </si>
  <si>
    <t>Component 1: Institutional and Local Governance Strengthening</t>
  </si>
  <si>
    <t>Service provider recruited (same as  product 1)</t>
  </si>
  <si>
    <t>Prestataire education environnementale + reforestation</t>
  </si>
  <si>
    <t>Plusieurs marchés en CP regroupés dans une même rubrique, qui seront passés progressivement au cours de l'exécution par les prestataires de services</t>
  </si>
  <si>
    <t>HA-G1023</t>
  </si>
  <si>
    <t>Composante 1 et 2</t>
  </si>
  <si>
    <t>Composante 2</t>
  </si>
  <si>
    <t>Composante 1</t>
  </si>
  <si>
    <t>Date fin</t>
  </si>
  <si>
    <t>IDB</t>
  </si>
  <si>
    <t>Autres</t>
  </si>
  <si>
    <t>Financement</t>
  </si>
  <si>
    <t>(1) Biens et Travaux: AOI: Appel d'Offre International; AOIR: Appel d'Offre International Restreint; AON: Appel d'Offre National; CP: Comparaison de Prix; CD: Contratation Directe (ou GG: Gré à Gré); FA: force account (Régie); Cabinets de Services Conseils CML: Concours de Mérite Limité;  SFQC: Sélection fondée sur la qualité et le coût; SFQ: Sélection fondée sur la qualité; SCBD: Sélection dans le cadre d'un budget déterminé; SMC:Sélection au « moindre coût »; QC: Sélection fondée sur les qualifications des consultants; SED:Sélection par entente directe; Services de Consultants Individuels: QCNI: Sélection fondée sur les qualifications des consultants individuels nationaux; QCII: Sélection fondée sur les qualifications des consultants individuels internationaux</t>
  </si>
  <si>
    <t>PLAN DE PASSATION DE MARCHES</t>
  </si>
  <si>
    <t>PLAN D'ACTIVITES POUR LES 18 PREMIERS MOIS</t>
  </si>
  <si>
    <t>Component 2: Enhancement and restoration of ecosystem services</t>
  </si>
  <si>
    <t>II - Enhancement and restoration of ecosystem services / Adoption of SLFM Technologies</t>
  </si>
  <si>
    <t>Véhicules type 4x4</t>
  </si>
  <si>
    <t>Administration et C1</t>
  </si>
  <si>
    <t>Prestataire Evaluations mi parcours et finale</t>
  </si>
  <si>
    <t>Increase of the area with permanent vegetal cover</t>
  </si>
  <si>
    <t>Expected losses for flooding and landslides</t>
  </si>
  <si>
    <t>Impact</t>
  </si>
  <si>
    <t>Indicator</t>
  </si>
  <si>
    <t>Baseline year</t>
  </si>
  <si>
    <t>Target EOP</t>
  </si>
  <si>
    <t>Means of verification</t>
  </si>
  <si>
    <t>Intermediate outcome</t>
  </si>
  <si>
    <t>Producers who adopted alternatives practices</t>
  </si>
  <si>
    <t>Producers adopted alternatives practices</t>
  </si>
  <si>
    <t>0</t>
  </si>
  <si>
    <t>3850</t>
  </si>
  <si>
    <t>Outcome</t>
  </si>
  <si>
    <t>Output 1</t>
  </si>
  <si>
    <t>Output 2</t>
  </si>
  <si>
    <t>Output 3</t>
  </si>
  <si>
    <t>Output 4</t>
  </si>
  <si>
    <t>Output 5</t>
  </si>
  <si>
    <t>Park surveillance guards equipped, trained and mobilized</t>
  </si>
  <si>
    <t>Native forest restored</t>
  </si>
  <si>
    <t>1500</t>
  </si>
  <si>
    <r>
      <rPr>
        <i/>
        <sz val="10"/>
        <color theme="1"/>
        <rFont val="Times New Roman"/>
        <family val="1"/>
      </rPr>
      <t xml:space="preserve">Baseline source: </t>
    </r>
    <r>
      <rPr>
        <sz val="10"/>
        <color theme="1"/>
        <rFont val="Times New Roman"/>
        <family val="1"/>
      </rPr>
      <t xml:space="preserve">Ministry of Environment.
</t>
    </r>
    <r>
      <rPr>
        <i/>
        <sz val="10"/>
        <color theme="1"/>
        <rFont val="Times New Roman"/>
        <family val="1"/>
      </rPr>
      <t xml:space="preserve">Means of verification: </t>
    </r>
    <r>
      <rPr>
        <sz val="10"/>
        <color theme="1"/>
        <rFont val="Times New Roman"/>
        <family val="1"/>
      </rPr>
      <t>Monitoring report from PEU</t>
    </r>
  </si>
  <si>
    <r>
      <rPr>
        <i/>
        <sz val="10"/>
        <color theme="1"/>
        <rFont val="Times New Roman"/>
        <family val="1"/>
      </rPr>
      <t xml:space="preserve">Baseline source: </t>
    </r>
    <r>
      <rPr>
        <sz val="10"/>
        <color theme="1"/>
        <rFont val="Times New Roman"/>
        <family val="1"/>
      </rPr>
      <t xml:space="preserve">Background studies to design HA-X1002 operation.
</t>
    </r>
    <r>
      <rPr>
        <i/>
        <sz val="10"/>
        <color theme="1"/>
        <rFont val="Times New Roman"/>
        <family val="1"/>
      </rPr>
      <t xml:space="preserve">Means of verification: </t>
    </r>
    <r>
      <rPr>
        <sz val="10"/>
        <color theme="1"/>
        <rFont val="Times New Roman"/>
        <family val="1"/>
      </rPr>
      <t>Monitoring report from PEU</t>
    </r>
  </si>
  <si>
    <t>2008</t>
  </si>
  <si>
    <r>
      <rPr>
        <i/>
        <sz val="10"/>
        <color theme="1"/>
        <rFont val="Times New Roman"/>
        <family val="1"/>
      </rPr>
      <t xml:space="preserve">Means of verification: </t>
    </r>
    <r>
      <rPr>
        <sz val="10"/>
        <color theme="1"/>
        <rFont val="Times New Roman"/>
        <family val="1"/>
      </rPr>
      <t>Survey on sample of producers supported by the program, at the end of the operation</t>
    </r>
  </si>
  <si>
    <t>Reduction in expected losses for flooding and landslides in project area</t>
  </si>
  <si>
    <t>Water storage structures installed in critical area</t>
  </si>
  <si>
    <t>Producers supported with technical assistance and to strengthen ecosystem services</t>
  </si>
  <si>
    <t>Incremental area with permanent vegetal cover in project area</t>
  </si>
  <si>
    <r>
      <rPr>
        <i/>
        <sz val="10"/>
        <color theme="1"/>
        <rFont val="Times New Roman"/>
        <family val="1"/>
      </rPr>
      <t xml:space="preserve">Baseline: </t>
    </r>
    <r>
      <rPr>
        <sz val="10"/>
        <color theme="1"/>
        <rFont val="Times New Roman"/>
        <family val="1"/>
      </rPr>
      <t xml:space="preserve">2,536ha of dense forest, 912ha of heterogenous forest.
</t>
    </r>
    <r>
      <rPr>
        <i/>
        <sz val="10"/>
        <color theme="1"/>
        <rFont val="Times New Roman"/>
        <family val="1"/>
      </rPr>
      <t xml:space="preserve">Sources: </t>
    </r>
    <r>
      <rPr>
        <sz val="10"/>
        <color theme="1"/>
        <rFont val="Times New Roman"/>
        <family val="1"/>
      </rPr>
      <t xml:space="preserve">Background studies to design HA-X1002 operation, data from CNIGS (National Center for Geospatial information). 
</t>
    </r>
    <r>
      <rPr>
        <i/>
        <sz val="10"/>
        <color theme="1"/>
        <rFont val="Times New Roman"/>
        <family val="1"/>
      </rPr>
      <t xml:space="preserve">Means of verification: </t>
    </r>
    <r>
      <rPr>
        <sz val="10"/>
        <color theme="1"/>
        <rFont val="Times New Roman"/>
        <family val="1"/>
      </rPr>
      <t>Before-after analysis of digital orthophoto at the beginning, at the end and 5 years after operation closure.</t>
    </r>
  </si>
  <si>
    <t>-10%</t>
  </si>
  <si>
    <r>
      <rPr>
        <i/>
        <sz val="10"/>
        <color theme="1"/>
        <rFont val="Times New Roman"/>
        <family val="1"/>
      </rPr>
      <t xml:space="preserve">Baseline: </t>
    </r>
    <r>
      <rPr>
        <sz val="10"/>
        <color theme="1"/>
        <rFont val="Times New Roman"/>
        <family val="1"/>
      </rPr>
      <t xml:space="preserve">Assessment of impacts of Isaac and Sandy storms in Haiti, 2012, Ministry of Agriculture. Total storms' impacts have been estimated to US$ 407 million, those particularly due to floodings are estimated to US$ 40 million.
</t>
    </r>
    <r>
      <rPr>
        <i/>
        <sz val="10"/>
        <color theme="1"/>
        <rFont val="Times New Roman"/>
        <family val="1"/>
      </rPr>
      <t xml:space="preserve">Means of verification: </t>
    </r>
    <r>
      <rPr>
        <sz val="10"/>
        <color theme="1"/>
        <rFont val="Times New Roman"/>
        <family val="1"/>
      </rPr>
      <t xml:space="preserve">Annual economic estimation of value of losses and damages due to flooding and landslides in the area.
</t>
    </r>
    <r>
      <rPr>
        <i/>
        <sz val="10"/>
        <color theme="1"/>
        <rFont val="Times New Roman"/>
        <family val="1"/>
      </rPr>
      <t xml:space="preserve">Sources: </t>
    </r>
    <r>
      <rPr>
        <sz val="10"/>
        <color theme="1"/>
        <rFont val="Times New Roman"/>
        <family val="1"/>
      </rPr>
      <t>Data from Environment Departmental Direction (DDE), Civil Protection Direction (DPC), Agricultural Departmental Direction (DDA), Environmental Vulnerability Observatory (ONEV).</t>
    </r>
  </si>
  <si>
    <t>40 million</t>
  </si>
  <si>
    <t>Effective environmental governance of the Macaya area</t>
  </si>
  <si>
    <r>
      <rPr>
        <i/>
        <sz val="10"/>
        <color theme="1"/>
        <rFont val="Times New Roman"/>
        <family val="1"/>
      </rPr>
      <t xml:space="preserve">Baseline sources: </t>
    </r>
    <r>
      <rPr>
        <sz val="10"/>
        <color theme="1"/>
        <rFont val="Times New Roman"/>
        <family val="1"/>
      </rPr>
      <t xml:space="preserve">Background studies to design HA-X1002 operation. 
</t>
    </r>
    <r>
      <rPr>
        <i/>
        <sz val="10"/>
        <color theme="1"/>
        <rFont val="Times New Roman"/>
        <family val="1"/>
      </rPr>
      <t xml:space="preserve">Means of verification: </t>
    </r>
    <r>
      <rPr>
        <sz val="10"/>
        <color theme="1"/>
        <rFont val="Times New Roman"/>
        <family val="1"/>
      </rPr>
      <t>Annual mapping and survey with local population and authorities, on the basis of communal land planning schemes to be elaborated in the framework of HA-X1002 operation.</t>
    </r>
  </si>
  <si>
    <t>Area under sustainable land use management according to communal land planning schemes elaborated</t>
  </si>
  <si>
    <t>Local population benefiting from training and education on natural resources management and land use management, according to communal land planning schemes</t>
  </si>
  <si>
    <t>Producers supported with technical assistance and inputs to strengthen ecosystem services</t>
  </si>
  <si>
    <t>Producers who adopted new alternatives practices developed on land, forest and water management</t>
  </si>
  <si>
    <t>Producers adopted new alternatives practices developed on land, forest and water management</t>
  </si>
  <si>
    <t>Water storage structures installed in critical area for water and erosion management</t>
  </si>
  <si>
    <t>Produit 3: Unité et infrastructures du Parc construites</t>
  </si>
  <si>
    <t>Produit 4: Forêt native replantée</t>
  </si>
  <si>
    <t>Produit 5: Infrastructures de protection de bassins-versants construites</t>
  </si>
  <si>
    <t>Product 3: Park unit and infrastructure built</t>
  </si>
  <si>
    <t>Produit 1: Population locale bénéficiant de formation et éducation environnementale</t>
  </si>
  <si>
    <t>Composante 1: Renforcement institutionnel et de la gouvernance locale</t>
  </si>
  <si>
    <t>Produit 2: Brigade de surveillance du Parc équipée, entraînée et mobilisée</t>
  </si>
  <si>
    <t>Composante 2: Renforcement et restauration des services écosystémiques</t>
  </si>
  <si>
    <t>Product 4: Native forest restored</t>
  </si>
  <si>
    <t>Recruitment of a firm for infrastructure design and works supervision</t>
  </si>
  <si>
    <t>Works launched</t>
  </si>
  <si>
    <t>Recruitment of a firm for works execution</t>
  </si>
  <si>
    <t>Infrastructures protection bassins versants</t>
  </si>
  <si>
    <t>Intrants environnementaux</t>
  </si>
  <si>
    <t>Unité et infrastructures du Parc</t>
  </si>
  <si>
    <t>Novembre 2013</t>
  </si>
  <si>
    <t>Septembre 2013</t>
  </si>
  <si>
    <t xml:space="preserve">Composante 1 </t>
  </si>
  <si>
    <t>Firmes conception et supervision travaux unité Parc</t>
  </si>
  <si>
    <t>Firmes conception et supervision travaux protection bassins versants</t>
  </si>
  <si>
    <t>Janvier 2014</t>
  </si>
  <si>
    <t>Mai 2015</t>
  </si>
  <si>
    <t>Septembre 2015</t>
  </si>
  <si>
    <t>Plusieurs marchés en AON</t>
  </si>
  <si>
    <t>Septembre 2013 - Juillet 2014</t>
  </si>
  <si>
    <t>Recruitment consultant</t>
  </si>
  <si>
    <t>Recrutement consultant appui exécution</t>
  </si>
  <si>
    <t>QCII</t>
  </si>
  <si>
    <t>Citernes</t>
  </si>
  <si>
    <t>Micro-retenues</t>
  </si>
  <si>
    <t>Protection de berges</t>
  </si>
  <si>
    <t>Detail output 5</t>
  </si>
  <si>
    <t>Prix unitaire</t>
  </si>
  <si>
    <t>Annee 1</t>
  </si>
  <si>
    <t>Annee 2</t>
  </si>
  <si>
    <t>Annee 3</t>
  </si>
  <si>
    <t>Annee 4</t>
  </si>
  <si>
    <t>Administration and monitoring</t>
  </si>
  <si>
    <t>Recruitment of a firm for infrastructure design, works supervision and flooding monitoring system design</t>
  </si>
  <si>
    <t>Product 5: New watershed protection infrastructures built (water-tanks, check-dams, river bank retaining walls)</t>
  </si>
  <si>
    <t>AOI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</si>
</sst>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6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27">
    <xf numFmtId="0" fontId="0" fillId="0" borderId="0" xfId="0"/>
    <xf numFmtId="0" fontId="4" fillId="0" borderId="0" xfId="0" applyFont="1" applyAlignment="1"/>
    <xf numFmtId="0" fontId="4" fillId="0" borderId="2" xfId="0" applyFont="1" applyBorder="1" applyAlignment="1"/>
    <xf numFmtId="0" fontId="4" fillId="3" borderId="2" xfId="0" applyFont="1" applyFill="1" applyBorder="1" applyAlignment="1">
      <alignment horizontal="left" vertical="center"/>
    </xf>
    <xf numFmtId="0" fontId="4" fillId="0" borderId="0" xfId="0" applyFont="1"/>
    <xf numFmtId="0" fontId="4" fillId="0" borderId="1" xfId="0" applyFont="1" applyBorder="1" applyAlignment="1" applyProtection="1">
      <protection locked="0"/>
    </xf>
    <xf numFmtId="0" fontId="4" fillId="0" borderId="2" xfId="0" applyFont="1" applyBorder="1" applyAlignment="1" applyProtection="1">
      <protection locked="0"/>
    </xf>
    <xf numFmtId="0" fontId="4" fillId="0" borderId="4" xfId="0" applyFont="1" applyBorder="1" applyAlignment="1" applyProtection="1">
      <protection locked="0"/>
    </xf>
    <xf numFmtId="0" fontId="4" fillId="0" borderId="8" xfId="0" applyFont="1" applyBorder="1" applyAlignment="1" applyProtection="1">
      <protection locked="0"/>
    </xf>
    <xf numFmtId="0" fontId="5" fillId="4" borderId="2" xfId="0" applyFont="1" applyFill="1" applyBorder="1" applyAlignment="1" applyProtection="1">
      <protection locked="0"/>
    </xf>
    <xf numFmtId="0" fontId="6" fillId="4" borderId="5" xfId="0" applyFont="1" applyFill="1" applyBorder="1" applyAlignment="1" applyProtection="1">
      <protection locked="0"/>
    </xf>
    <xf numFmtId="0" fontId="4" fillId="0" borderId="6" xfId="0" applyFont="1" applyBorder="1" applyAlignment="1" applyProtection="1">
      <protection locked="0"/>
    </xf>
    <xf numFmtId="0" fontId="4" fillId="0" borderId="7" xfId="0" applyFont="1" applyBorder="1" applyAlignment="1" applyProtection="1">
      <protection locked="0"/>
    </xf>
    <xf numFmtId="0" fontId="4" fillId="3" borderId="0" xfId="0" applyFont="1" applyFill="1"/>
    <xf numFmtId="0" fontId="3" fillId="3" borderId="1" xfId="0" applyFont="1" applyFill="1" applyBorder="1" applyAlignment="1" applyProtection="1">
      <protection locked="0"/>
    </xf>
    <xf numFmtId="0" fontId="4" fillId="3" borderId="0" xfId="0" applyFont="1" applyFill="1" applyAlignment="1"/>
    <xf numFmtId="0" fontId="4" fillId="3" borderId="1" xfId="0" applyFont="1" applyFill="1" applyBorder="1" applyAlignment="1" applyProtection="1">
      <protection locked="0"/>
    </xf>
    <xf numFmtId="0" fontId="4" fillId="0" borderId="1" xfId="0" applyFont="1" applyBorder="1" applyAlignment="1">
      <alignment horizontal="left" vertical="center"/>
    </xf>
    <xf numFmtId="0" fontId="4" fillId="3" borderId="2" xfId="0" applyFont="1" applyFill="1" applyBorder="1" applyAlignment="1" applyProtection="1"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3" fontId="4" fillId="0" borderId="2" xfId="0" applyNumberFormat="1" applyFont="1" applyBorder="1" applyAlignment="1" applyProtection="1">
      <alignment wrapText="1"/>
      <protection locked="0"/>
    </xf>
    <xf numFmtId="3" fontId="4" fillId="0" borderId="4" xfId="0" applyNumberFormat="1" applyFont="1" applyBorder="1" applyAlignment="1" applyProtection="1">
      <alignment wrapText="1"/>
      <protection locked="0"/>
    </xf>
    <xf numFmtId="3" fontId="4" fillId="0" borderId="8" xfId="0" applyNumberFormat="1" applyFont="1" applyBorder="1" applyAlignment="1" applyProtection="1">
      <alignment wrapText="1"/>
      <protection locked="0"/>
    </xf>
    <xf numFmtId="3" fontId="4" fillId="3" borderId="1" xfId="0" applyNumberFormat="1" applyFont="1" applyFill="1" applyBorder="1" applyAlignment="1" applyProtection="1">
      <protection locked="0"/>
    </xf>
    <xf numFmtId="3" fontId="4" fillId="3" borderId="2" xfId="0" applyNumberFormat="1" applyFont="1" applyFill="1" applyBorder="1" applyAlignment="1" applyProtection="1">
      <protection locked="0"/>
    </xf>
    <xf numFmtId="0" fontId="4" fillId="0" borderId="1" xfId="0" applyFont="1" applyBorder="1"/>
    <xf numFmtId="0" fontId="4" fillId="0" borderId="1" xfId="0" applyFont="1" applyBorder="1" applyAlignment="1"/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4" fillId="0" borderId="0" xfId="0" applyFont="1" applyBorder="1"/>
    <xf numFmtId="0" fontId="4" fillId="0" borderId="3" xfId="0" applyFont="1" applyBorder="1" applyAlignment="1">
      <alignment vertical="center"/>
    </xf>
    <xf numFmtId="0" fontId="3" fillId="5" borderId="4" xfId="0" applyFont="1" applyFill="1" applyBorder="1" applyAlignment="1">
      <alignment horizontal="center"/>
    </xf>
    <xf numFmtId="9" fontId="3" fillId="5" borderId="1" xfId="5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6" borderId="9" xfId="0" applyFont="1" applyFill="1" applyBorder="1"/>
    <xf numFmtId="0" fontId="4" fillId="6" borderId="0" xfId="0" applyFont="1" applyFill="1" applyBorder="1"/>
    <xf numFmtId="9" fontId="4" fillId="6" borderId="0" xfId="5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9" fontId="4" fillId="0" borderId="1" xfId="5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0" fontId="4" fillId="0" borderId="1" xfId="0" applyFont="1" applyFill="1" applyBorder="1"/>
    <xf numFmtId="9" fontId="4" fillId="0" borderId="0" xfId="5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 applyProtection="1">
      <alignment wrapText="1"/>
      <protection locked="0"/>
    </xf>
    <xf numFmtId="0" fontId="6" fillId="4" borderId="5" xfId="0" applyFont="1" applyFill="1" applyBorder="1" applyAlignment="1" applyProtection="1">
      <alignment horizontal="center"/>
      <protection locked="0"/>
    </xf>
    <xf numFmtId="0" fontId="6" fillId="4" borderId="5" xfId="0" applyFont="1" applyFill="1" applyBorder="1" applyAlignment="1" applyProtection="1">
      <alignment horizontal="center" wrapText="1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6" fillId="4" borderId="1" xfId="0" applyFont="1" applyFill="1" applyBorder="1" applyAlignment="1" applyProtection="1">
      <alignment horizontal="center" wrapText="1"/>
      <protection locked="0"/>
    </xf>
    <xf numFmtId="0" fontId="3" fillId="7" borderId="1" xfId="0" applyFont="1" applyFill="1" applyBorder="1" applyAlignment="1">
      <alignment horizontal="left" vertical="center"/>
    </xf>
    <xf numFmtId="0" fontId="4" fillId="7" borderId="2" xfId="0" applyFont="1" applyFill="1" applyBorder="1" applyAlignment="1" applyProtection="1">
      <protection locked="0"/>
    </xf>
    <xf numFmtId="3" fontId="4" fillId="7" borderId="1" xfId="0" applyNumberFormat="1" applyFont="1" applyFill="1" applyBorder="1" applyAlignment="1" applyProtection="1">
      <protection locked="0"/>
    </xf>
    <xf numFmtId="3" fontId="4" fillId="7" borderId="2" xfId="0" applyNumberFormat="1" applyFont="1" applyFill="1" applyBorder="1" applyAlignment="1" applyProtection="1">
      <protection locked="0"/>
    </xf>
    <xf numFmtId="0" fontId="3" fillId="9" borderId="1" xfId="0" applyFont="1" applyFill="1" applyBorder="1" applyAlignment="1" applyProtection="1">
      <protection locked="0"/>
    </xf>
    <xf numFmtId="0" fontId="4" fillId="9" borderId="1" xfId="0" applyFont="1" applyFill="1" applyBorder="1" applyAlignment="1" applyProtection="1">
      <protection locked="0"/>
    </xf>
    <xf numFmtId="0" fontId="4" fillId="9" borderId="2" xfId="0" applyFont="1" applyFill="1" applyBorder="1" applyAlignment="1" applyProtection="1">
      <protection locked="0"/>
    </xf>
    <xf numFmtId="0" fontId="4" fillId="9" borderId="1" xfId="0" applyFont="1" applyFill="1" applyBorder="1" applyAlignment="1" applyProtection="1">
      <alignment horizontal="center" wrapText="1"/>
      <protection locked="0"/>
    </xf>
    <xf numFmtId="3" fontId="4" fillId="9" borderId="1" xfId="0" applyNumberFormat="1" applyFont="1" applyFill="1" applyBorder="1" applyAlignment="1" applyProtection="1">
      <alignment wrapText="1"/>
      <protection locked="0"/>
    </xf>
    <xf numFmtId="3" fontId="4" fillId="8" borderId="1" xfId="0" applyNumberFormat="1" applyFont="1" applyFill="1" applyBorder="1" applyAlignment="1" applyProtection="1">
      <protection locked="0"/>
    </xf>
    <xf numFmtId="0" fontId="4" fillId="3" borderId="1" xfId="0" applyFont="1" applyFill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1" xfId="0" applyFont="1" applyBorder="1" applyAlignment="1">
      <alignment horizontal="left" vertical="center"/>
    </xf>
    <xf numFmtId="0" fontId="0" fillId="0" borderId="0" xfId="0"/>
    <xf numFmtId="3" fontId="6" fillId="4" borderId="1" xfId="0" applyNumberFormat="1" applyFont="1" applyFill="1" applyBorder="1" applyAlignment="1" applyProtection="1">
      <alignment horizontal="right" wrapText="1"/>
      <protection locked="0"/>
    </xf>
    <xf numFmtId="3" fontId="4" fillId="9" borderId="1" xfId="0" applyNumberFormat="1" applyFont="1" applyFill="1" applyBorder="1" applyAlignment="1" applyProtection="1">
      <alignment horizontal="right" wrapText="1"/>
      <protection locked="0"/>
    </xf>
    <xf numFmtId="3" fontId="4" fillId="7" borderId="1" xfId="0" applyNumberFormat="1" applyFont="1" applyFill="1" applyBorder="1" applyAlignment="1" applyProtection="1">
      <alignment horizontal="right"/>
      <protection locked="0"/>
    </xf>
    <xf numFmtId="0" fontId="4" fillId="3" borderId="1" xfId="0" applyFont="1" applyFill="1" applyBorder="1" applyAlignment="1" applyProtection="1">
      <alignment horizontal="right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0" fillId="0" borderId="6" xfId="0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 wrapText="1"/>
      <protection locked="0"/>
    </xf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9" fillId="10" borderId="14" xfId="0" applyFont="1" applyFill="1" applyBorder="1" applyAlignment="1">
      <alignment horizontal="center" vertical="center"/>
    </xf>
    <xf numFmtId="0" fontId="9" fillId="10" borderId="15" xfId="0" applyFont="1" applyFill="1" applyBorder="1" applyAlignment="1">
      <alignment horizontal="center" vertical="center"/>
    </xf>
    <xf numFmtId="0" fontId="9" fillId="10" borderId="1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21" xfId="0" applyFill="1" applyBorder="1"/>
    <xf numFmtId="0" fontId="9" fillId="10" borderId="16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0" fillId="0" borderId="20" xfId="0" applyBorder="1"/>
    <xf numFmtId="0" fontId="0" fillId="0" borderId="0" xfId="0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0" fillId="0" borderId="0" xfId="0" applyNumberFormat="1" applyBorder="1"/>
    <xf numFmtId="0" fontId="0" fillId="0" borderId="0" xfId="0"/>
    <xf numFmtId="0" fontId="4" fillId="0" borderId="1" xfId="0" applyFont="1" applyBorder="1" applyAlignment="1">
      <alignment horizontal="left" vertical="center"/>
    </xf>
    <xf numFmtId="3" fontId="0" fillId="0" borderId="25" xfId="0" applyNumberFormat="1" applyBorder="1" applyAlignment="1">
      <alignment horizontal="center" vertical="center" wrapText="1"/>
    </xf>
    <xf numFmtId="3" fontId="0" fillId="0" borderId="1" xfId="0" applyNumberFormat="1" applyBorder="1"/>
    <xf numFmtId="3" fontId="6" fillId="4" borderId="1" xfId="0" applyNumberFormat="1" applyFont="1" applyFill="1" applyBorder="1" applyAlignment="1" applyProtection="1">
      <alignment horizontal="center" wrapText="1"/>
      <protection locked="0"/>
    </xf>
    <xf numFmtId="3" fontId="6" fillId="4" borderId="5" xfId="0" applyNumberFormat="1" applyFont="1" applyFill="1" applyBorder="1" applyAlignment="1" applyProtection="1">
      <alignment horizontal="right" wrapText="1"/>
      <protection locked="0"/>
    </xf>
    <xf numFmtId="0" fontId="4" fillId="3" borderId="3" xfId="0" applyFont="1" applyFill="1" applyBorder="1" applyAlignment="1" applyProtection="1">
      <protection locked="0"/>
    </xf>
    <xf numFmtId="0" fontId="4" fillId="3" borderId="0" xfId="0" applyFont="1" applyFill="1" applyBorder="1" applyAlignment="1" applyProtection="1">
      <protection locked="0"/>
    </xf>
    <xf numFmtId="0" fontId="0" fillId="0" borderId="0" xfId="0"/>
    <xf numFmtId="0" fontId="0" fillId="0" borderId="2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1" xfId="0" applyBorder="1"/>
    <xf numFmtId="0" fontId="0" fillId="0" borderId="2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11" borderId="2" xfId="0" applyFont="1" applyFill="1" applyBorder="1" applyAlignment="1">
      <alignment horizontal="left" vertical="center" wrapText="1"/>
    </xf>
    <xf numFmtId="0" fontId="9" fillId="11" borderId="5" xfId="0" applyFont="1" applyFill="1" applyBorder="1" applyAlignment="1">
      <alignment horizontal="left" vertical="center" wrapText="1"/>
    </xf>
    <xf numFmtId="0" fontId="9" fillId="11" borderId="5" xfId="0" applyFont="1" applyFill="1" applyBorder="1" applyAlignment="1">
      <alignment horizontal="center" vertical="center" wrapText="1"/>
    </xf>
    <xf numFmtId="3" fontId="9" fillId="11" borderId="25" xfId="0" applyNumberFormat="1" applyFont="1" applyFill="1" applyBorder="1" applyAlignment="1">
      <alignment horizontal="center" vertical="center" wrapText="1"/>
    </xf>
    <xf numFmtId="3" fontId="9" fillId="11" borderId="3" xfId="0" applyNumberFormat="1" applyFont="1" applyFill="1" applyBorder="1" applyAlignment="1">
      <alignment horizontal="center" vertical="center" wrapText="1"/>
    </xf>
    <xf numFmtId="3" fontId="9" fillId="11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3" fontId="0" fillId="0" borderId="0" xfId="0" applyNumberFormat="1"/>
    <xf numFmtId="0" fontId="9" fillId="0" borderId="1" xfId="0" applyFont="1" applyBorder="1"/>
    <xf numFmtId="0" fontId="0" fillId="0" borderId="1" xfId="0" applyFill="1" applyBorder="1"/>
    <xf numFmtId="0" fontId="9" fillId="11" borderId="1" xfId="0" applyFont="1" applyFill="1" applyBorder="1"/>
    <xf numFmtId="0" fontId="0" fillId="0" borderId="1" xfId="0" applyBorder="1" applyAlignment="1">
      <alignment horizontal="right"/>
    </xf>
    <xf numFmtId="0" fontId="0" fillId="11" borderId="1" xfId="0" applyFill="1" applyBorder="1" applyAlignment="1">
      <alignment horizontal="right"/>
    </xf>
    <xf numFmtId="3" fontId="0" fillId="0" borderId="1" xfId="0" applyNumberFormat="1" applyBorder="1" applyAlignment="1">
      <alignment horizontal="right" vertical="center" wrapText="1"/>
    </xf>
    <xf numFmtId="0" fontId="0" fillId="0" borderId="0" xfId="0"/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11" borderId="7" xfId="0" applyFont="1" applyFill="1" applyBorder="1" applyAlignment="1">
      <alignment horizontal="left" vertical="center" wrapText="1"/>
    </xf>
    <xf numFmtId="0" fontId="9" fillId="11" borderId="27" xfId="0" applyFont="1" applyFill="1" applyBorder="1" applyAlignment="1">
      <alignment horizontal="left" vertical="center" wrapText="1"/>
    </xf>
    <xf numFmtId="0" fontId="9" fillId="11" borderId="27" xfId="0" applyFont="1" applyFill="1" applyBorder="1" applyAlignment="1">
      <alignment horizontal="center" vertical="center" wrapText="1"/>
    </xf>
    <xf numFmtId="0" fontId="9" fillId="11" borderId="6" xfId="0" applyFont="1" applyFill="1" applyBorder="1" applyAlignment="1">
      <alignment horizontal="center" vertical="center" wrapText="1"/>
    </xf>
    <xf numFmtId="3" fontId="9" fillId="11" borderId="10" xfId="0" applyNumberFormat="1" applyFont="1" applyFill="1" applyBorder="1" applyAlignment="1">
      <alignment horizontal="center" vertical="center" wrapText="1"/>
    </xf>
    <xf numFmtId="3" fontId="9" fillId="11" borderId="23" xfId="0" applyNumberFormat="1" applyFont="1" applyFill="1" applyBorder="1" applyAlignment="1">
      <alignment horizontal="center" vertical="center" wrapText="1"/>
    </xf>
    <xf numFmtId="3" fontId="9" fillId="11" borderId="6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right"/>
    </xf>
    <xf numFmtId="0" fontId="4" fillId="0" borderId="1" xfId="0" applyFont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 wrapText="1"/>
    </xf>
    <xf numFmtId="3" fontId="3" fillId="7" borderId="2" xfId="0" applyNumberFormat="1" applyFont="1" applyFill="1" applyBorder="1" applyAlignment="1" applyProtection="1">
      <protection locked="0"/>
    </xf>
    <xf numFmtId="3" fontId="3" fillId="3" borderId="2" xfId="0" applyNumberFormat="1" applyFont="1" applyFill="1" applyBorder="1" applyAlignment="1" applyProtection="1">
      <protection locked="0"/>
    </xf>
    <xf numFmtId="3" fontId="3" fillId="8" borderId="1" xfId="0" applyNumberFormat="1" applyFont="1" applyFill="1" applyBorder="1" applyAlignment="1" applyProtection="1">
      <protection locked="0"/>
    </xf>
    <xf numFmtId="3" fontId="3" fillId="9" borderId="1" xfId="0" applyNumberFormat="1" applyFont="1" applyFill="1" applyBorder="1" applyAlignment="1" applyProtection="1">
      <alignment horizontal="right" wrapText="1"/>
      <protection locked="0"/>
    </xf>
    <xf numFmtId="3" fontId="3" fillId="0" borderId="2" xfId="0" applyNumberFormat="1" applyFont="1" applyBorder="1" applyAlignment="1" applyProtection="1">
      <alignment wrapText="1"/>
      <protection locked="0"/>
    </xf>
    <xf numFmtId="3" fontId="3" fillId="0" borderId="8" xfId="0" applyNumberFormat="1" applyFont="1" applyBorder="1" applyAlignment="1" applyProtection="1">
      <alignment wrapText="1"/>
      <protection locked="0"/>
    </xf>
    <xf numFmtId="3" fontId="5" fillId="4" borderId="1" xfId="0" applyNumberFormat="1" applyFont="1" applyFill="1" applyBorder="1" applyAlignment="1" applyProtection="1">
      <alignment horizontal="right" wrapText="1"/>
      <protection locked="0"/>
    </xf>
    <xf numFmtId="3" fontId="5" fillId="4" borderId="1" xfId="0" applyNumberFormat="1" applyFont="1" applyFill="1" applyBorder="1" applyAlignment="1" applyProtection="1">
      <alignment wrapText="1"/>
      <protection locked="0"/>
    </xf>
    <xf numFmtId="3" fontId="3" fillId="9" borderId="1" xfId="0" applyNumberFormat="1" applyFont="1" applyFill="1" applyBorder="1" applyAlignment="1" applyProtection="1">
      <alignment wrapText="1"/>
      <protection locked="0"/>
    </xf>
    <xf numFmtId="3" fontId="5" fillId="4" borderId="5" xfId="0" applyNumberFormat="1" applyFont="1" applyFill="1" applyBorder="1" applyAlignment="1" applyProtection="1">
      <alignment wrapText="1"/>
      <protection locked="0"/>
    </xf>
    <xf numFmtId="0" fontId="3" fillId="0" borderId="1" xfId="0" applyFont="1" applyBorder="1" applyAlignment="1" applyProtection="1">
      <protection locked="0"/>
    </xf>
    <xf numFmtId="3" fontId="5" fillId="4" borderId="5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Border="1" applyAlignment="1" applyProtection="1">
      <protection locked="0"/>
    </xf>
    <xf numFmtId="49" fontId="7" fillId="2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 applyProtection="1">
      <alignment wrapText="1"/>
      <protection locked="0"/>
    </xf>
    <xf numFmtId="3" fontId="3" fillId="9" borderId="2" xfId="0" applyNumberFormat="1" applyFont="1" applyFill="1" applyBorder="1" applyAlignment="1" applyProtection="1">
      <alignment wrapText="1"/>
      <protection locked="0"/>
    </xf>
    <xf numFmtId="0" fontId="3" fillId="3" borderId="2" xfId="0" applyFont="1" applyFill="1" applyBorder="1" applyAlignment="1" applyProtection="1">
      <protection locked="0"/>
    </xf>
    <xf numFmtId="0" fontId="3" fillId="0" borderId="2" xfId="0" applyFont="1" applyBorder="1" applyAlignment="1" applyProtection="1">
      <protection locked="0"/>
    </xf>
    <xf numFmtId="3" fontId="3" fillId="0" borderId="2" xfId="0" applyNumberFormat="1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0" fontId="8" fillId="0" borderId="0" xfId="0" applyFont="1" applyBorder="1"/>
    <xf numFmtId="3" fontId="4" fillId="0" borderId="0" xfId="0" applyNumberFormat="1" applyFont="1" applyBorder="1"/>
    <xf numFmtId="0" fontId="4" fillId="3" borderId="0" xfId="0" applyFont="1" applyFill="1" applyBorder="1"/>
    <xf numFmtId="0" fontId="4" fillId="3" borderId="0" xfId="0" applyFont="1" applyFill="1" applyBorder="1" applyAlignment="1"/>
    <xf numFmtId="1" fontId="0" fillId="0" borderId="0" xfId="0" applyNumberFormat="1"/>
    <xf numFmtId="3" fontId="4" fillId="0" borderId="0" xfId="0" applyNumberFormat="1" applyFont="1"/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9" fontId="4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left" vertical="center" wrapText="1"/>
    </xf>
    <xf numFmtId="0" fontId="15" fillId="6" borderId="27" xfId="0" applyFont="1" applyFill="1" applyBorder="1" applyAlignment="1">
      <alignment horizontal="left" vertical="center" wrapText="1"/>
    </xf>
    <xf numFmtId="0" fontId="15" fillId="6" borderId="27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3" fontId="15" fillId="6" borderId="10" xfId="0" applyNumberFormat="1" applyFont="1" applyFill="1" applyBorder="1" applyAlignment="1">
      <alignment horizontal="center" vertical="center" wrapText="1"/>
    </xf>
    <xf numFmtId="3" fontId="15" fillId="6" borderId="23" xfId="0" applyNumberFormat="1" applyFont="1" applyFill="1" applyBorder="1" applyAlignment="1">
      <alignment horizontal="center" vertical="center" wrapText="1"/>
    </xf>
    <xf numFmtId="3" fontId="15" fillId="6" borderId="6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/>
    </xf>
    <xf numFmtId="0" fontId="15" fillId="6" borderId="2" xfId="0" applyFont="1" applyFill="1" applyBorder="1" applyAlignment="1">
      <alignment horizontal="left" vertical="center" wrapText="1"/>
    </xf>
    <xf numFmtId="0" fontId="15" fillId="6" borderId="5" xfId="0" applyFont="1" applyFill="1" applyBorder="1" applyAlignment="1">
      <alignment horizontal="left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3" fontId="15" fillId="6" borderId="25" xfId="0" applyNumberFormat="1" applyFont="1" applyFill="1" applyBorder="1" applyAlignment="1">
      <alignment horizontal="center" vertical="center" wrapText="1"/>
    </xf>
    <xf numFmtId="3" fontId="15" fillId="6" borderId="3" xfId="0" applyNumberFormat="1" applyFont="1" applyFill="1" applyBorder="1" applyAlignment="1">
      <alignment horizontal="center" vertical="center" wrapText="1"/>
    </xf>
    <xf numFmtId="3" fontId="15" fillId="6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6" borderId="10" xfId="0" applyFont="1" applyFill="1" applyBorder="1" applyAlignment="1">
      <alignment horizontal="left"/>
    </xf>
    <xf numFmtId="0" fontId="11" fillId="12" borderId="1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1" fillId="13" borderId="1" xfId="0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0" fillId="0" borderId="23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 wrapText="1"/>
    </xf>
    <xf numFmtId="0" fontId="11" fillId="13" borderId="6" xfId="0" applyFont="1" applyFill="1" applyBorder="1" applyAlignment="1">
      <alignment horizontal="right" vertical="center"/>
    </xf>
    <xf numFmtId="49" fontId="11" fillId="0" borderId="1" xfId="0" applyNumberFormat="1" applyFont="1" applyBorder="1" applyAlignment="1">
      <alignment horizontal="center" vertical="center" wrapText="1"/>
    </xf>
    <xf numFmtId="3" fontId="11" fillId="0" borderId="23" xfId="0" applyNumberFormat="1" applyFont="1" applyBorder="1" applyAlignment="1">
      <alignment horizontal="center" vertical="center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center"/>
    </xf>
    <xf numFmtId="3" fontId="4" fillId="6" borderId="0" xfId="0" applyNumberFormat="1" applyFont="1" applyFill="1" applyBorder="1"/>
    <xf numFmtId="3" fontId="10" fillId="0" borderId="1" xfId="0" applyNumberFormat="1" applyFont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/>
    </xf>
    <xf numFmtId="0" fontId="11" fillId="6" borderId="1" xfId="0" applyFont="1" applyFill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/>
    </xf>
    <xf numFmtId="0" fontId="11" fillId="6" borderId="5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left" vertical="center"/>
    </xf>
    <xf numFmtId="0" fontId="10" fillId="0" borderId="3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0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5" borderId="4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</cellXfs>
  <cellStyles count="36">
    <cellStyle name="Comma 2" xfId="1"/>
    <cellStyle name="Comma 3" xfId="2"/>
    <cellStyle name="Currency 2" xfId="3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Normal" xfId="0" builtinId="0"/>
    <cellStyle name="Normal 2" xfId="4"/>
    <cellStyle name="Percent" xfId="5" builtinId="5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339966"/>
      <color rgb="FF3399FF"/>
      <color rgb="FFCC9900"/>
      <color rgb="FFFFCC99"/>
      <color rgb="FFFFCC00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Harri/Desktop/PE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listes"/>
      <sheetName val="Sheet3"/>
      <sheetName val="Sheet1"/>
    </sheetNames>
    <sheetDataSet>
      <sheetData sheetId="0"/>
      <sheetData sheetId="1">
        <row r="4">
          <cell r="O4" t="str">
            <v>Sites identifiés</v>
          </cell>
        </row>
        <row r="5">
          <cell r="O5" t="str">
            <v>DAO prêt à être publié</v>
          </cell>
        </row>
        <row r="6">
          <cell r="O6" t="str">
            <v>Réception des chantiers effectuée</v>
          </cell>
        </row>
        <row r="7">
          <cell r="O7" t="str">
            <v>Plans d'entretien des ouvrages approuvés</v>
          </cell>
        </row>
        <row r="8">
          <cell r="O8" t="str">
            <v>Menus technologiques validés</v>
          </cell>
        </row>
        <row r="9">
          <cell r="O9" t="str">
            <v>Registres établis</v>
          </cell>
        </row>
        <row r="10">
          <cell r="O10" t="str">
            <v>Système informatisé opérationnel</v>
          </cell>
        </row>
        <row r="11">
          <cell r="O11" t="str">
            <v>Contrat signé avec l'intermédiaire financier</v>
          </cell>
        </row>
        <row r="12">
          <cell r="O12" t="str">
            <v>Centre réhabilité</v>
          </cell>
        </row>
        <row r="13">
          <cell r="O13" t="str">
            <v>Firme pour le design recrutée</v>
          </cell>
        </row>
        <row r="14">
          <cell r="O14" t="str">
            <v>DDE équipées</v>
          </cell>
        </row>
        <row r="15">
          <cell r="O15" t="str">
            <v>DDA équipées</v>
          </cell>
        </row>
        <row r="16">
          <cell r="O16" t="str">
            <v>CGBV formés</v>
          </cell>
        </row>
        <row r="17">
          <cell r="O17" t="str">
            <v>CGBV disposent réglements intérieurs</v>
          </cell>
        </row>
        <row r="18">
          <cell r="O18" t="str">
            <v>Contrat signé avec le prestataire de services</v>
          </cell>
        </row>
        <row r="19">
          <cell r="O19" t="str">
            <v>Promotion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L28"/>
  <sheetViews>
    <sheetView workbookViewId="0">
      <selection activeCell="I7" sqref="I7"/>
    </sheetView>
  </sheetViews>
  <sheetFormatPr defaultColWidth="8.85546875" defaultRowHeight="20.25" customHeight="1" x14ac:dyDescent="0.2"/>
  <cols>
    <col min="1" max="1" width="3.140625" style="4" customWidth="1"/>
    <col min="2" max="2" width="11" style="4" customWidth="1"/>
    <col min="3" max="3" width="34.5703125" style="4" customWidth="1"/>
    <col min="4" max="4" width="9.140625" style="4" customWidth="1"/>
    <col min="5" max="5" width="9" style="4" customWidth="1"/>
    <col min="6" max="6" width="8.140625" style="4" customWidth="1"/>
    <col min="7" max="10" width="7.28515625" style="4" customWidth="1"/>
    <col min="11" max="11" width="8.85546875" style="4"/>
    <col min="12" max="12" width="58.85546875" style="4" customWidth="1"/>
    <col min="13" max="16384" width="8.85546875" style="4"/>
  </cols>
  <sheetData>
    <row r="2" spans="2:12" ht="33.75" customHeight="1" x14ac:dyDescent="0.2">
      <c r="C2" s="268" t="s">
        <v>248</v>
      </c>
      <c r="D2" s="268" t="s">
        <v>122</v>
      </c>
      <c r="E2" s="268" t="s">
        <v>249</v>
      </c>
      <c r="F2" s="268" t="s">
        <v>150</v>
      </c>
      <c r="G2" s="268">
        <v>2013</v>
      </c>
      <c r="H2" s="268">
        <v>2014</v>
      </c>
      <c r="I2" s="268">
        <v>2015</v>
      </c>
      <c r="J2" s="268">
        <v>2016</v>
      </c>
      <c r="K2" s="268" t="s">
        <v>250</v>
      </c>
      <c r="L2" s="268" t="s">
        <v>251</v>
      </c>
    </row>
    <row r="3" spans="2:12" ht="33.75" customHeight="1" x14ac:dyDescent="0.2">
      <c r="B3" s="267" t="s">
        <v>247</v>
      </c>
      <c r="C3" s="300" t="s">
        <v>245</v>
      </c>
      <c r="D3" s="301"/>
      <c r="E3" s="301"/>
      <c r="F3" s="301"/>
      <c r="G3" s="301"/>
      <c r="H3" s="301"/>
      <c r="I3" s="301"/>
      <c r="J3" s="301"/>
      <c r="K3" s="301"/>
      <c r="L3" s="301"/>
    </row>
    <row r="4" spans="2:12" ht="69.75" customHeight="1" x14ac:dyDescent="0.2">
      <c r="B4" s="281" t="s">
        <v>248</v>
      </c>
      <c r="C4" s="269" t="s">
        <v>273</v>
      </c>
      <c r="D4" s="270" t="s">
        <v>41</v>
      </c>
      <c r="E4" s="270" t="s">
        <v>268</v>
      </c>
      <c r="F4" s="287">
        <v>3448</v>
      </c>
      <c r="G4" s="270" t="s">
        <v>93</v>
      </c>
      <c r="H4" s="270" t="s">
        <v>93</v>
      </c>
      <c r="I4" s="270" t="s">
        <v>93</v>
      </c>
      <c r="J4" s="270" t="s">
        <v>93</v>
      </c>
      <c r="K4" s="293">
        <v>2200</v>
      </c>
      <c r="L4" s="269" t="s">
        <v>274</v>
      </c>
    </row>
    <row r="5" spans="2:12" ht="33.75" customHeight="1" x14ac:dyDescent="0.2">
      <c r="B5" s="299" t="s">
        <v>225</v>
      </c>
      <c r="C5" s="299"/>
      <c r="D5" s="299"/>
      <c r="E5" s="299"/>
      <c r="F5" s="299"/>
      <c r="G5" s="299"/>
      <c r="H5" s="299"/>
      <c r="I5" s="299"/>
      <c r="J5" s="299"/>
      <c r="K5" s="299"/>
      <c r="L5" s="299"/>
    </row>
    <row r="6" spans="2:12" ht="33.75" customHeight="1" x14ac:dyDescent="0.2">
      <c r="B6" s="267" t="s">
        <v>257</v>
      </c>
      <c r="C6" s="300" t="s">
        <v>278</v>
      </c>
      <c r="D6" s="301"/>
      <c r="E6" s="301"/>
      <c r="F6" s="301"/>
      <c r="G6" s="301"/>
      <c r="H6" s="301"/>
      <c r="I6" s="301"/>
      <c r="J6" s="301"/>
      <c r="K6" s="301"/>
      <c r="L6" s="301"/>
    </row>
    <row r="7" spans="2:12" ht="69.75" customHeight="1" x14ac:dyDescent="0.2">
      <c r="B7" s="281" t="s">
        <v>248</v>
      </c>
      <c r="C7" s="269" t="s">
        <v>280</v>
      </c>
      <c r="D7" s="270" t="s">
        <v>41</v>
      </c>
      <c r="E7" s="270" t="s">
        <v>268</v>
      </c>
      <c r="F7" s="287">
        <v>0</v>
      </c>
      <c r="G7" s="270" t="s">
        <v>93</v>
      </c>
      <c r="H7" s="270" t="s">
        <v>93</v>
      </c>
      <c r="I7" s="270" t="s">
        <v>93</v>
      </c>
      <c r="J7" s="270" t="s">
        <v>93</v>
      </c>
      <c r="K7" s="293">
        <v>7500</v>
      </c>
      <c r="L7" s="269" t="s">
        <v>279</v>
      </c>
    </row>
    <row r="8" spans="2:12" ht="67.5" customHeight="1" x14ac:dyDescent="0.2">
      <c r="B8" s="291" t="s">
        <v>258</v>
      </c>
      <c r="C8" s="271" t="s">
        <v>281</v>
      </c>
      <c r="D8" s="274" t="s">
        <v>123</v>
      </c>
      <c r="E8" s="273">
        <v>2012</v>
      </c>
      <c r="F8" s="273">
        <v>0</v>
      </c>
      <c r="G8" s="273">
        <v>1000</v>
      </c>
      <c r="H8" s="273">
        <v>3000</v>
      </c>
      <c r="I8" s="274">
        <v>3000</v>
      </c>
      <c r="J8" s="275">
        <v>3000</v>
      </c>
      <c r="K8" s="290">
        <f>SUM(G8:J8)</f>
        <v>10000</v>
      </c>
      <c r="L8" s="269" t="s">
        <v>266</v>
      </c>
    </row>
    <row r="9" spans="2:12" ht="33.75" customHeight="1" x14ac:dyDescent="0.2">
      <c r="B9" s="281" t="s">
        <v>259</v>
      </c>
      <c r="C9" s="283" t="s">
        <v>263</v>
      </c>
      <c r="D9" s="284" t="s">
        <v>171</v>
      </c>
      <c r="E9" s="285">
        <v>2012</v>
      </c>
      <c r="F9" s="285">
        <v>5</v>
      </c>
      <c r="G9" s="278">
        <v>5</v>
      </c>
      <c r="H9" s="278">
        <v>5</v>
      </c>
      <c r="I9" s="278">
        <v>5</v>
      </c>
      <c r="J9" s="278">
        <v>5</v>
      </c>
      <c r="K9" s="286">
        <v>5</v>
      </c>
      <c r="L9" s="269" t="s">
        <v>266</v>
      </c>
    </row>
    <row r="10" spans="2:12" ht="33.75" customHeight="1" x14ac:dyDescent="0.2">
      <c r="B10" s="302" t="s">
        <v>240</v>
      </c>
      <c r="C10" s="303"/>
      <c r="D10" s="303"/>
      <c r="E10" s="303"/>
      <c r="F10" s="303"/>
      <c r="G10" s="303"/>
      <c r="H10" s="303"/>
      <c r="I10" s="303"/>
      <c r="J10" s="303"/>
      <c r="K10" s="303"/>
      <c r="L10" s="304"/>
    </row>
    <row r="11" spans="2:12" ht="33.75" customHeight="1" x14ac:dyDescent="0.2">
      <c r="B11" s="268" t="s">
        <v>252</v>
      </c>
      <c r="C11" s="305" t="s">
        <v>284</v>
      </c>
      <c r="D11" s="306"/>
      <c r="E11" s="306"/>
      <c r="F11" s="306"/>
      <c r="G11" s="306"/>
      <c r="H11" s="306"/>
      <c r="I11" s="306"/>
      <c r="J11" s="306"/>
      <c r="K11" s="306"/>
      <c r="L11" s="307"/>
    </row>
    <row r="12" spans="2:12" ht="38.25" customHeight="1" x14ac:dyDescent="0.2">
      <c r="B12" s="281" t="s">
        <v>248</v>
      </c>
      <c r="C12" s="269" t="s">
        <v>283</v>
      </c>
      <c r="D12" s="270" t="s">
        <v>125</v>
      </c>
      <c r="E12" s="270">
        <v>2012</v>
      </c>
      <c r="F12" s="270" t="s">
        <v>255</v>
      </c>
      <c r="G12" s="270" t="s">
        <v>93</v>
      </c>
      <c r="H12" s="270" t="s">
        <v>93</v>
      </c>
      <c r="I12" s="270" t="s">
        <v>93</v>
      </c>
      <c r="J12" s="270" t="s">
        <v>93</v>
      </c>
      <c r="K12" s="292" t="s">
        <v>256</v>
      </c>
      <c r="L12" s="269" t="s">
        <v>269</v>
      </c>
    </row>
    <row r="13" spans="2:12" ht="39.75" customHeight="1" x14ac:dyDescent="0.2">
      <c r="B13" s="281" t="s">
        <v>260</v>
      </c>
      <c r="C13" s="271" t="s">
        <v>264</v>
      </c>
      <c r="D13" s="274" t="s">
        <v>124</v>
      </c>
      <c r="E13" s="273">
        <v>2008</v>
      </c>
      <c r="F13" s="287">
        <v>4500000</v>
      </c>
      <c r="G13" s="287">
        <v>300000</v>
      </c>
      <c r="H13" s="288">
        <v>400000</v>
      </c>
      <c r="I13" s="288">
        <v>400000</v>
      </c>
      <c r="J13" s="289">
        <v>400000</v>
      </c>
      <c r="K13" s="290">
        <f>SUM(G13:J13)</f>
        <v>1500000</v>
      </c>
      <c r="L13" s="269" t="s">
        <v>267</v>
      </c>
    </row>
    <row r="14" spans="2:12" ht="39" customHeight="1" x14ac:dyDescent="0.2">
      <c r="B14" s="281" t="s">
        <v>261</v>
      </c>
      <c r="C14" s="169" t="s">
        <v>282</v>
      </c>
      <c r="D14" s="272" t="s">
        <v>221</v>
      </c>
      <c r="E14" s="273">
        <v>2012</v>
      </c>
      <c r="F14" s="277">
        <v>0</v>
      </c>
      <c r="G14" s="279">
        <v>1000</v>
      </c>
      <c r="H14" s="280">
        <v>1500</v>
      </c>
      <c r="I14" s="280">
        <v>1500</v>
      </c>
      <c r="J14" s="280">
        <v>1500</v>
      </c>
      <c r="K14" s="276">
        <f t="shared" ref="K14" si="0">SUM(G14:J14)</f>
        <v>5500</v>
      </c>
      <c r="L14" s="269" t="s">
        <v>266</v>
      </c>
    </row>
    <row r="15" spans="2:12" ht="33.75" customHeight="1" x14ac:dyDescent="0.2">
      <c r="B15" s="281" t="s">
        <v>262</v>
      </c>
      <c r="C15" s="169" t="s">
        <v>285</v>
      </c>
      <c r="D15" s="272" t="s">
        <v>38</v>
      </c>
      <c r="E15" s="277">
        <v>2008</v>
      </c>
      <c r="F15" s="277">
        <v>25</v>
      </c>
      <c r="G15" s="282">
        <v>50</v>
      </c>
      <c r="H15" s="282">
        <v>85</v>
      </c>
      <c r="I15" s="282">
        <v>100</v>
      </c>
      <c r="J15" s="282">
        <v>100</v>
      </c>
      <c r="K15" s="276">
        <f>SUM(G15:J15)</f>
        <v>335</v>
      </c>
      <c r="L15" s="269" t="s">
        <v>267</v>
      </c>
    </row>
    <row r="18" spans="8:8" ht="20.25" customHeight="1" x14ac:dyDescent="0.25">
      <c r="H18"/>
    </row>
    <row r="20" spans="8:8" ht="20.25" customHeight="1" x14ac:dyDescent="0.25">
      <c r="H20"/>
    </row>
    <row r="22" spans="8:8" ht="20.25" customHeight="1" x14ac:dyDescent="0.25">
      <c r="H22"/>
    </row>
    <row r="24" spans="8:8" ht="20.25" customHeight="1" x14ac:dyDescent="0.25">
      <c r="H24"/>
    </row>
    <row r="26" spans="8:8" ht="20.25" customHeight="1" x14ac:dyDescent="0.25">
      <c r="H26"/>
    </row>
    <row r="28" spans="8:8" ht="20.25" customHeight="1" x14ac:dyDescent="0.25">
      <c r="H28"/>
    </row>
  </sheetData>
  <mergeCells count="5">
    <mergeCell ref="B5:L5"/>
    <mergeCell ref="C6:L6"/>
    <mergeCell ref="B10:L10"/>
    <mergeCell ref="C3:L3"/>
    <mergeCell ref="C11:L1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B2:L17"/>
  <sheetViews>
    <sheetView topLeftCell="A2" workbookViewId="0">
      <selection activeCell="C6" sqref="C6:L6"/>
    </sheetView>
  </sheetViews>
  <sheetFormatPr defaultColWidth="8.85546875" defaultRowHeight="20.25" customHeight="1" x14ac:dyDescent="0.2"/>
  <cols>
    <col min="1" max="1" width="3.140625" style="4" customWidth="1"/>
    <col min="2" max="2" width="11" style="4" customWidth="1"/>
    <col min="3" max="3" width="34.5703125" style="4" customWidth="1"/>
    <col min="4" max="4" width="9.140625" style="4" customWidth="1"/>
    <col min="5" max="5" width="9" style="4" customWidth="1"/>
    <col min="6" max="6" width="8.140625" style="4" customWidth="1"/>
    <col min="7" max="10" width="7.28515625" style="4" customWidth="1"/>
    <col min="11" max="11" width="8.85546875" style="4"/>
    <col min="12" max="12" width="58.85546875" style="4" customWidth="1"/>
    <col min="13" max="16384" width="8.85546875" style="4"/>
  </cols>
  <sheetData>
    <row r="2" spans="2:12" ht="33.75" customHeight="1" x14ac:dyDescent="0.2">
      <c r="C2" s="268" t="s">
        <v>248</v>
      </c>
      <c r="D2" s="268" t="s">
        <v>122</v>
      </c>
      <c r="E2" s="268" t="s">
        <v>249</v>
      </c>
      <c r="F2" s="268" t="s">
        <v>150</v>
      </c>
      <c r="G2" s="268">
        <v>2013</v>
      </c>
      <c r="H2" s="268">
        <v>2014</v>
      </c>
      <c r="I2" s="268">
        <v>2015</v>
      </c>
      <c r="J2" s="268">
        <v>2016</v>
      </c>
      <c r="K2" s="268" t="s">
        <v>250</v>
      </c>
      <c r="L2" s="268" t="s">
        <v>251</v>
      </c>
    </row>
    <row r="3" spans="2:12" ht="33.75" customHeight="1" x14ac:dyDescent="0.2">
      <c r="B3" s="267" t="s">
        <v>247</v>
      </c>
      <c r="C3" s="300" t="s">
        <v>270</v>
      </c>
      <c r="D3" s="300"/>
      <c r="E3" s="300"/>
      <c r="F3" s="300"/>
      <c r="G3" s="300"/>
      <c r="H3" s="300"/>
      <c r="I3" s="300"/>
      <c r="J3" s="300"/>
      <c r="K3" s="300"/>
      <c r="L3" s="300"/>
    </row>
    <row r="4" spans="2:12" ht="101.25" customHeight="1" x14ac:dyDescent="0.2">
      <c r="B4" s="281" t="s">
        <v>248</v>
      </c>
      <c r="C4" s="269" t="s">
        <v>246</v>
      </c>
      <c r="D4" s="270" t="s">
        <v>29</v>
      </c>
      <c r="E4" s="270">
        <v>2012</v>
      </c>
      <c r="F4" s="270" t="s">
        <v>277</v>
      </c>
      <c r="G4" s="270" t="s">
        <v>93</v>
      </c>
      <c r="H4" s="270" t="s">
        <v>93</v>
      </c>
      <c r="I4" s="270" t="s">
        <v>93</v>
      </c>
      <c r="J4" s="270" t="s">
        <v>93</v>
      </c>
      <c r="K4" s="292" t="s">
        <v>275</v>
      </c>
      <c r="L4" s="269" t="s">
        <v>276</v>
      </c>
    </row>
    <row r="5" spans="2:12" ht="33.75" customHeight="1" x14ac:dyDescent="0.2">
      <c r="B5" s="299" t="s">
        <v>225</v>
      </c>
      <c r="C5" s="299"/>
      <c r="D5" s="299"/>
      <c r="E5" s="299"/>
      <c r="F5" s="299"/>
      <c r="G5" s="299"/>
      <c r="H5" s="299"/>
      <c r="I5" s="299"/>
      <c r="J5" s="299"/>
      <c r="K5" s="299"/>
      <c r="L5" s="299"/>
    </row>
    <row r="6" spans="2:12" ht="33.75" customHeight="1" x14ac:dyDescent="0.2">
      <c r="B6" s="267" t="s">
        <v>257</v>
      </c>
      <c r="C6" s="300" t="s">
        <v>278</v>
      </c>
      <c r="D6" s="301"/>
      <c r="E6" s="301"/>
      <c r="F6" s="301"/>
      <c r="G6" s="301"/>
      <c r="H6" s="301"/>
      <c r="I6" s="301"/>
      <c r="J6" s="301"/>
      <c r="K6" s="301"/>
      <c r="L6" s="301"/>
    </row>
    <row r="7" spans="2:12" ht="69.75" customHeight="1" x14ac:dyDescent="0.2">
      <c r="B7" s="281" t="s">
        <v>248</v>
      </c>
      <c r="C7" s="269" t="s">
        <v>280</v>
      </c>
      <c r="D7" s="270" t="s">
        <v>41</v>
      </c>
      <c r="E7" s="270" t="s">
        <v>268</v>
      </c>
      <c r="F7" s="287">
        <v>0</v>
      </c>
      <c r="G7" s="270" t="s">
        <v>93</v>
      </c>
      <c r="H7" s="270" t="s">
        <v>93</v>
      </c>
      <c r="I7" s="270" t="s">
        <v>93</v>
      </c>
      <c r="J7" s="270" t="s">
        <v>93</v>
      </c>
      <c r="K7" s="293">
        <v>7500</v>
      </c>
      <c r="L7" s="269" t="s">
        <v>279</v>
      </c>
    </row>
    <row r="8" spans="2:12" ht="67.5" customHeight="1" x14ac:dyDescent="0.2">
      <c r="B8" s="291" t="s">
        <v>258</v>
      </c>
      <c r="C8" s="271" t="s">
        <v>281</v>
      </c>
      <c r="D8" s="274" t="s">
        <v>123</v>
      </c>
      <c r="E8" s="273">
        <v>2012</v>
      </c>
      <c r="F8" s="273">
        <v>0</v>
      </c>
      <c r="G8" s="273">
        <v>1000</v>
      </c>
      <c r="H8" s="273">
        <v>3000</v>
      </c>
      <c r="I8" s="274">
        <v>3000</v>
      </c>
      <c r="J8" s="275">
        <v>3000</v>
      </c>
      <c r="K8" s="290">
        <f>SUM(G8:J8)</f>
        <v>10000</v>
      </c>
      <c r="L8" s="269" t="s">
        <v>266</v>
      </c>
    </row>
    <row r="9" spans="2:12" ht="33.75" customHeight="1" x14ac:dyDescent="0.2">
      <c r="B9" s="281" t="s">
        <v>259</v>
      </c>
      <c r="C9" s="283" t="s">
        <v>263</v>
      </c>
      <c r="D9" s="284" t="s">
        <v>171</v>
      </c>
      <c r="E9" s="285">
        <v>2012</v>
      </c>
      <c r="F9" s="285">
        <v>5</v>
      </c>
      <c r="G9" s="278">
        <v>5</v>
      </c>
      <c r="H9" s="278">
        <v>5</v>
      </c>
      <c r="I9" s="278">
        <v>5</v>
      </c>
      <c r="J9" s="278">
        <v>5</v>
      </c>
      <c r="K9" s="286">
        <v>5</v>
      </c>
      <c r="L9" s="269" t="s">
        <v>266</v>
      </c>
    </row>
    <row r="10" spans="2:12" ht="33.75" customHeight="1" x14ac:dyDescent="0.2">
      <c r="B10" s="302" t="s">
        <v>240</v>
      </c>
      <c r="C10" s="303"/>
      <c r="D10" s="303"/>
      <c r="E10" s="303"/>
      <c r="F10" s="303"/>
      <c r="G10" s="303"/>
      <c r="H10" s="303"/>
      <c r="I10" s="303"/>
      <c r="J10" s="303"/>
      <c r="K10" s="303"/>
      <c r="L10" s="304"/>
    </row>
    <row r="11" spans="2:12" ht="33.75" customHeight="1" x14ac:dyDescent="0.2">
      <c r="B11" s="267" t="s">
        <v>257</v>
      </c>
      <c r="C11" s="300" t="s">
        <v>245</v>
      </c>
      <c r="D11" s="301"/>
      <c r="E11" s="301"/>
      <c r="F11" s="301"/>
      <c r="G11" s="301"/>
      <c r="H11" s="301"/>
      <c r="I11" s="301"/>
      <c r="J11" s="301"/>
      <c r="K11" s="301"/>
      <c r="L11" s="301"/>
    </row>
    <row r="12" spans="2:12" ht="69.75" customHeight="1" x14ac:dyDescent="0.2">
      <c r="B12" s="281" t="s">
        <v>248</v>
      </c>
      <c r="C12" s="269" t="s">
        <v>273</v>
      </c>
      <c r="D12" s="270" t="s">
        <v>41</v>
      </c>
      <c r="E12" s="270" t="s">
        <v>268</v>
      </c>
      <c r="F12" s="287">
        <v>3448</v>
      </c>
      <c r="G12" s="270" t="s">
        <v>93</v>
      </c>
      <c r="H12" s="270" t="s">
        <v>93</v>
      </c>
      <c r="I12" s="270" t="s">
        <v>93</v>
      </c>
      <c r="J12" s="270" t="s">
        <v>93</v>
      </c>
      <c r="K12" s="293" t="s">
        <v>265</v>
      </c>
      <c r="L12" s="269" t="s">
        <v>274</v>
      </c>
    </row>
    <row r="13" spans="2:12" ht="33.75" customHeight="1" x14ac:dyDescent="0.2">
      <c r="B13" s="268" t="s">
        <v>252</v>
      </c>
      <c r="C13" s="305" t="s">
        <v>254</v>
      </c>
      <c r="D13" s="306"/>
      <c r="E13" s="306"/>
      <c r="F13" s="306"/>
      <c r="G13" s="306"/>
      <c r="H13" s="306"/>
      <c r="I13" s="306"/>
      <c r="J13" s="306"/>
      <c r="K13" s="306"/>
      <c r="L13" s="307"/>
    </row>
    <row r="14" spans="2:12" ht="33.75" customHeight="1" x14ac:dyDescent="0.2">
      <c r="B14" s="281" t="s">
        <v>248</v>
      </c>
      <c r="C14" s="269" t="s">
        <v>253</v>
      </c>
      <c r="D14" s="270" t="s">
        <v>125</v>
      </c>
      <c r="E14" s="270">
        <v>2012</v>
      </c>
      <c r="F14" s="270" t="s">
        <v>255</v>
      </c>
      <c r="G14" s="270" t="s">
        <v>93</v>
      </c>
      <c r="H14" s="270" t="s">
        <v>93</v>
      </c>
      <c r="I14" s="270" t="s">
        <v>93</v>
      </c>
      <c r="J14" s="270" t="s">
        <v>93</v>
      </c>
      <c r="K14" s="292" t="s">
        <v>256</v>
      </c>
      <c r="L14" s="269" t="s">
        <v>269</v>
      </c>
    </row>
    <row r="15" spans="2:12" ht="39.75" customHeight="1" x14ac:dyDescent="0.2">
      <c r="B15" s="281" t="s">
        <v>260</v>
      </c>
      <c r="C15" s="271" t="s">
        <v>264</v>
      </c>
      <c r="D15" s="274" t="s">
        <v>124</v>
      </c>
      <c r="E15" s="273">
        <v>2008</v>
      </c>
      <c r="F15" s="287">
        <v>4500000</v>
      </c>
      <c r="G15" s="287">
        <v>300000</v>
      </c>
      <c r="H15" s="288">
        <v>400000</v>
      </c>
      <c r="I15" s="288">
        <v>400000</v>
      </c>
      <c r="J15" s="289">
        <v>400000</v>
      </c>
      <c r="K15" s="290">
        <f>SUM(G15:J15)</f>
        <v>1500000</v>
      </c>
      <c r="L15" s="269" t="s">
        <v>267</v>
      </c>
    </row>
    <row r="16" spans="2:12" ht="33.75" customHeight="1" x14ac:dyDescent="0.2">
      <c r="B16" s="281" t="s">
        <v>261</v>
      </c>
      <c r="C16" s="169" t="s">
        <v>272</v>
      </c>
      <c r="D16" s="272" t="s">
        <v>221</v>
      </c>
      <c r="E16" s="273">
        <v>2012</v>
      </c>
      <c r="F16" s="277">
        <v>0</v>
      </c>
      <c r="G16" s="279">
        <v>1000</v>
      </c>
      <c r="H16" s="280">
        <v>1500</v>
      </c>
      <c r="I16" s="280">
        <v>1500</v>
      </c>
      <c r="J16" s="280">
        <v>1500</v>
      </c>
      <c r="K16" s="276">
        <f t="shared" ref="K16" si="0">SUM(G16:J16)</f>
        <v>5500</v>
      </c>
      <c r="L16" s="269" t="s">
        <v>266</v>
      </c>
    </row>
    <row r="17" spans="2:12" ht="33.75" customHeight="1" x14ac:dyDescent="0.2">
      <c r="B17" s="281" t="s">
        <v>262</v>
      </c>
      <c r="C17" s="169" t="s">
        <v>271</v>
      </c>
      <c r="D17" s="272" t="s">
        <v>38</v>
      </c>
      <c r="E17" s="277">
        <v>2008</v>
      </c>
      <c r="F17" s="277">
        <v>25</v>
      </c>
      <c r="G17" s="282">
        <v>50</v>
      </c>
      <c r="H17" s="282">
        <v>85</v>
      </c>
      <c r="I17" s="282">
        <v>100</v>
      </c>
      <c r="J17" s="282">
        <v>100</v>
      </c>
      <c r="K17" s="276">
        <f>SUM(G17:J17)</f>
        <v>335</v>
      </c>
      <c r="L17" s="269" t="s">
        <v>267</v>
      </c>
    </row>
  </sheetData>
  <mergeCells count="6">
    <mergeCell ref="B10:L10"/>
    <mergeCell ref="C3:L3"/>
    <mergeCell ref="C11:L11"/>
    <mergeCell ref="C13:L13"/>
    <mergeCell ref="B5:L5"/>
    <mergeCell ref="C6:L6"/>
  </mergeCells>
  <pageMargins left="0.7" right="0.7" top="0.75" bottom="0.75" header="0.3" footer="0.3"/>
  <pageSetup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-0.249977111117893"/>
  </sheetPr>
  <dimension ref="A1:R37"/>
  <sheetViews>
    <sheetView zoomScale="75" zoomScaleNormal="75" zoomScalePageLayoutView="75" workbookViewId="0">
      <selection activeCell="I43" sqref="I43"/>
    </sheetView>
  </sheetViews>
  <sheetFormatPr defaultColWidth="8.85546875" defaultRowHeight="32.25" customHeight="1" x14ac:dyDescent="0.25"/>
  <cols>
    <col min="1" max="1" width="3.28515625" style="175" customWidth="1"/>
    <col min="2" max="2" width="51.28515625" style="175" customWidth="1"/>
    <col min="3" max="3" width="44.42578125" style="175" hidden="1" customWidth="1"/>
    <col min="4" max="4" width="10.7109375" style="113" hidden="1" customWidth="1"/>
    <col min="5" max="5" width="9.28515625" style="113" customWidth="1"/>
    <col min="6" max="6" width="14.85546875" style="175" customWidth="1"/>
    <col min="7" max="7" width="11" style="175" customWidth="1"/>
    <col min="8" max="8" width="10.42578125" style="175" customWidth="1"/>
    <col min="9" max="9" width="10.28515625" style="175" customWidth="1"/>
    <col min="10" max="11" width="10.140625" style="175" customWidth="1"/>
    <col min="12" max="12" width="10.42578125" style="175" customWidth="1"/>
    <col min="13" max="13" width="10" style="175" customWidth="1"/>
    <col min="14" max="14" width="10.7109375" style="175" customWidth="1"/>
    <col min="15" max="15" width="10.28515625" style="175" customWidth="1"/>
    <col min="16" max="16" width="11.140625" style="175" customWidth="1"/>
    <col min="17" max="17" width="12" style="175" customWidth="1"/>
    <col min="18" max="16384" width="8.85546875" style="175"/>
  </cols>
  <sheetData>
    <row r="1" spans="1:17" ht="15" x14ac:dyDescent="0.25">
      <c r="A1" s="90"/>
      <c r="B1" s="226"/>
      <c r="C1" s="226"/>
      <c r="D1" s="227"/>
      <c r="E1" s="227"/>
      <c r="F1" s="226"/>
      <c r="G1" s="308" t="s">
        <v>130</v>
      </c>
      <c r="H1" s="309"/>
      <c r="I1" s="309"/>
      <c r="J1" s="309"/>
      <c r="K1" s="310"/>
      <c r="L1" s="308" t="s">
        <v>129</v>
      </c>
      <c r="M1" s="309"/>
      <c r="N1" s="309"/>
      <c r="O1" s="309"/>
      <c r="P1" s="310"/>
    </row>
    <row r="2" spans="1:17" s="96" customFormat="1" ht="15.75" thickBot="1" x14ac:dyDescent="0.3">
      <c r="A2" s="93" t="s">
        <v>80</v>
      </c>
      <c r="B2" s="228" t="s">
        <v>98</v>
      </c>
      <c r="C2" s="228" t="s">
        <v>0</v>
      </c>
      <c r="D2" s="229" t="s">
        <v>1</v>
      </c>
      <c r="E2" s="229" t="s">
        <v>122</v>
      </c>
      <c r="F2" s="228" t="s">
        <v>150</v>
      </c>
      <c r="G2" s="228">
        <v>2013</v>
      </c>
      <c r="H2" s="228">
        <v>2014</v>
      </c>
      <c r="I2" s="228">
        <v>2015</v>
      </c>
      <c r="J2" s="228">
        <v>2016</v>
      </c>
      <c r="K2" s="228" t="s">
        <v>81</v>
      </c>
      <c r="L2" s="228">
        <v>2013</v>
      </c>
      <c r="M2" s="228">
        <v>2014</v>
      </c>
      <c r="N2" s="228">
        <v>2015</v>
      </c>
      <c r="O2" s="228">
        <v>2016</v>
      </c>
      <c r="P2" s="228" t="s">
        <v>81</v>
      </c>
    </row>
    <row r="3" spans="1:17" s="113" customFormat="1" ht="30.75" customHeight="1" x14ac:dyDescent="0.25">
      <c r="A3" s="97"/>
      <c r="B3" s="230" t="s">
        <v>225</v>
      </c>
      <c r="C3" s="231" t="s">
        <v>291</v>
      </c>
      <c r="D3" s="232" t="s">
        <v>76</v>
      </c>
      <c r="E3" s="233" t="s">
        <v>29</v>
      </c>
      <c r="F3" s="232"/>
      <c r="G3" s="232"/>
      <c r="H3" s="232"/>
      <c r="I3" s="232"/>
      <c r="J3" s="232"/>
      <c r="K3" s="234"/>
      <c r="L3" s="235">
        <f>SUM(L4:L6)</f>
        <v>685000</v>
      </c>
      <c r="M3" s="235">
        <f t="shared" ref="M3:O3" si="0">SUM(M4:M6)</f>
        <v>845000</v>
      </c>
      <c r="N3" s="235">
        <f t="shared" si="0"/>
        <v>375000</v>
      </c>
      <c r="O3" s="235">
        <f t="shared" si="0"/>
        <v>345000</v>
      </c>
      <c r="P3" s="236">
        <f>SUM(L3:O3)</f>
        <v>2250000</v>
      </c>
      <c r="Q3" s="96"/>
    </row>
    <row r="4" spans="1:17" s="113" customFormat="1" ht="30.75" customHeight="1" x14ac:dyDescent="0.25">
      <c r="A4" s="97"/>
      <c r="B4" s="237" t="s">
        <v>127</v>
      </c>
      <c r="C4" s="237" t="s">
        <v>290</v>
      </c>
      <c r="D4" s="238" t="s">
        <v>76</v>
      </c>
      <c r="E4" s="239" t="s">
        <v>123</v>
      </c>
      <c r="F4" s="240">
        <v>0</v>
      </c>
      <c r="G4" s="240">
        <v>1000</v>
      </c>
      <c r="H4" s="240">
        <v>3000</v>
      </c>
      <c r="I4" s="241">
        <v>3000</v>
      </c>
      <c r="J4" s="242">
        <v>3000</v>
      </c>
      <c r="K4" s="243">
        <f>SUM(G4:J4)</f>
        <v>10000</v>
      </c>
      <c r="L4" s="244">
        <f>G4*75</f>
        <v>75000</v>
      </c>
      <c r="M4" s="244">
        <f t="shared" ref="M4:O4" si="1">H4*75</f>
        <v>225000</v>
      </c>
      <c r="N4" s="244">
        <f t="shared" si="1"/>
        <v>225000</v>
      </c>
      <c r="O4" s="244">
        <f t="shared" si="1"/>
        <v>225000</v>
      </c>
      <c r="P4" s="245">
        <f t="shared" ref="P4:P5" si="2">SUM(L4:O4)</f>
        <v>750000</v>
      </c>
      <c r="Q4" s="96"/>
    </row>
    <row r="5" spans="1:17" s="225" customFormat="1" ht="30.75" customHeight="1" x14ac:dyDescent="0.25">
      <c r="A5" s="130"/>
      <c r="B5" s="246" t="s">
        <v>223</v>
      </c>
      <c r="C5" s="246" t="s">
        <v>292</v>
      </c>
      <c r="D5" s="247" t="s">
        <v>58</v>
      </c>
      <c r="E5" s="239" t="s">
        <v>171</v>
      </c>
      <c r="F5" s="248">
        <v>5</v>
      </c>
      <c r="G5" s="249">
        <v>25</v>
      </c>
      <c r="H5" s="249" t="s">
        <v>93</v>
      </c>
      <c r="I5" s="249" t="s">
        <v>93</v>
      </c>
      <c r="J5" s="249" t="s">
        <v>93</v>
      </c>
      <c r="K5" s="243">
        <v>25</v>
      </c>
      <c r="L5" s="244">
        <v>390000</v>
      </c>
      <c r="M5" s="244">
        <v>120000</v>
      </c>
      <c r="N5" s="244">
        <v>120000</v>
      </c>
      <c r="O5" s="244">
        <v>120000</v>
      </c>
      <c r="P5" s="245">
        <f t="shared" si="2"/>
        <v>750000</v>
      </c>
      <c r="Q5" s="96"/>
    </row>
    <row r="6" spans="1:17" s="225" customFormat="1" ht="30.75" customHeight="1" x14ac:dyDescent="0.25">
      <c r="A6" s="130"/>
      <c r="B6" s="246" t="s">
        <v>289</v>
      </c>
      <c r="C6" s="246" t="s">
        <v>286</v>
      </c>
      <c r="D6" s="247" t="s">
        <v>1</v>
      </c>
      <c r="E6" s="239" t="s">
        <v>122</v>
      </c>
      <c r="F6" s="248">
        <v>0</v>
      </c>
      <c r="G6" s="249" t="s">
        <v>93</v>
      </c>
      <c r="H6" s="249">
        <v>1</v>
      </c>
      <c r="I6" s="249">
        <v>4</v>
      </c>
      <c r="J6" s="249"/>
      <c r="K6" s="243">
        <f>SUM(G6:J6)</f>
        <v>5</v>
      </c>
      <c r="L6" s="244">
        <v>220000</v>
      </c>
      <c r="M6" s="244">
        <v>500000</v>
      </c>
      <c r="N6" s="244">
        <v>30000</v>
      </c>
      <c r="O6" s="244">
        <v>0</v>
      </c>
      <c r="P6" s="245">
        <f>SUM(L6:O6)</f>
        <v>750000</v>
      </c>
      <c r="Q6" s="96"/>
    </row>
    <row r="7" spans="1:17" s="113" customFormat="1" ht="30.75" customHeight="1" x14ac:dyDescent="0.25">
      <c r="A7" s="97"/>
      <c r="B7" s="250" t="s">
        <v>240</v>
      </c>
      <c r="C7" s="251" t="s">
        <v>293</v>
      </c>
      <c r="D7" s="252" t="s">
        <v>76</v>
      </c>
      <c r="E7" s="253" t="s">
        <v>29</v>
      </c>
      <c r="F7" s="252"/>
      <c r="G7" s="252"/>
      <c r="H7" s="252"/>
      <c r="I7" s="252"/>
      <c r="J7" s="252"/>
      <c r="K7" s="254"/>
      <c r="L7" s="255">
        <f>SUM(L8:L9)</f>
        <v>300000</v>
      </c>
      <c r="M7" s="255">
        <f>SUM(M8:M9)</f>
        <v>1400000</v>
      </c>
      <c r="N7" s="255">
        <f>SUM(N8:N9)</f>
        <v>1850000</v>
      </c>
      <c r="O7" s="255">
        <f>SUM(O8:O9)</f>
        <v>2030000</v>
      </c>
      <c r="P7" s="256">
        <f>SUM(L7:O7)</f>
        <v>5580000</v>
      </c>
      <c r="Q7" s="96"/>
    </row>
    <row r="8" spans="1:17" s="225" customFormat="1" ht="30.75" customHeight="1" x14ac:dyDescent="0.25">
      <c r="A8" s="97"/>
      <c r="B8" s="257" t="s">
        <v>294</v>
      </c>
      <c r="C8" s="257" t="s">
        <v>287</v>
      </c>
      <c r="D8" s="258" t="s">
        <v>63</v>
      </c>
      <c r="E8" s="239" t="s">
        <v>124</v>
      </c>
      <c r="F8" s="259">
        <v>0</v>
      </c>
      <c r="G8" s="259">
        <v>300000</v>
      </c>
      <c r="H8" s="260">
        <v>400000</v>
      </c>
      <c r="I8" s="260">
        <v>400000</v>
      </c>
      <c r="J8" s="261">
        <v>400000</v>
      </c>
      <c r="K8" s="243">
        <f>SUM(G8:J8)</f>
        <v>1500000</v>
      </c>
      <c r="L8" s="244">
        <f>G8*0.5</f>
        <v>150000</v>
      </c>
      <c r="M8" s="244">
        <f t="shared" ref="M8:O8" si="3">H8*0.5</f>
        <v>200000</v>
      </c>
      <c r="N8" s="244">
        <f t="shared" si="3"/>
        <v>200000</v>
      </c>
      <c r="O8" s="244">
        <f t="shared" si="3"/>
        <v>200000</v>
      </c>
      <c r="P8" s="245">
        <f t="shared" ref="P8" si="4">SUM(L8:O8)</f>
        <v>750000</v>
      </c>
      <c r="Q8" s="96"/>
    </row>
    <row r="9" spans="1:17" s="225" customFormat="1" ht="30.75" customHeight="1" x14ac:dyDescent="0.25">
      <c r="A9" s="130"/>
      <c r="B9" s="257" t="s">
        <v>325</v>
      </c>
      <c r="C9" s="257" t="s">
        <v>288</v>
      </c>
      <c r="D9" s="258" t="s">
        <v>38</v>
      </c>
      <c r="E9" s="239" t="s">
        <v>38</v>
      </c>
      <c r="F9" s="248">
        <v>0</v>
      </c>
      <c r="G9" s="249">
        <v>20</v>
      </c>
      <c r="H9" s="249">
        <v>120</v>
      </c>
      <c r="I9" s="249">
        <v>147</v>
      </c>
      <c r="J9" s="249">
        <v>230</v>
      </c>
      <c r="K9" s="243">
        <f>SUM(G9:J9)</f>
        <v>517</v>
      </c>
      <c r="L9" s="244">
        <v>150000</v>
      </c>
      <c r="M9" s="244">
        <v>1200000</v>
      </c>
      <c r="N9" s="244">
        <v>1650000</v>
      </c>
      <c r="O9" s="244">
        <v>1830000</v>
      </c>
      <c r="P9" s="245">
        <f>SUM(L9:O9)</f>
        <v>4830000</v>
      </c>
      <c r="Q9" s="96"/>
    </row>
    <row r="10" spans="1:17" ht="30.75" customHeight="1" x14ac:dyDescent="0.25">
      <c r="B10" s="250" t="s">
        <v>323</v>
      </c>
      <c r="C10" s="250" t="s">
        <v>138</v>
      </c>
      <c r="D10" s="252" t="s">
        <v>29</v>
      </c>
      <c r="E10" s="253" t="s">
        <v>29</v>
      </c>
      <c r="F10" s="252"/>
      <c r="G10" s="252"/>
      <c r="H10" s="252"/>
      <c r="I10" s="252"/>
      <c r="J10" s="252"/>
      <c r="K10" s="255"/>
      <c r="L10" s="255">
        <v>246000</v>
      </c>
      <c r="M10" s="255">
        <v>208000</v>
      </c>
      <c r="N10" s="255">
        <v>208000</v>
      </c>
      <c r="O10" s="255">
        <v>198000</v>
      </c>
      <c r="P10" s="256">
        <f t="shared" ref="P10:P12" si="5">SUM(L10:O10)</f>
        <v>860000</v>
      </c>
      <c r="Q10" s="96"/>
    </row>
    <row r="11" spans="1:17" ht="30.75" customHeight="1" x14ac:dyDescent="0.25">
      <c r="B11" s="250" t="s">
        <v>52</v>
      </c>
      <c r="C11" s="250" t="s">
        <v>52</v>
      </c>
      <c r="D11" s="252"/>
      <c r="E11" s="253" t="s">
        <v>29</v>
      </c>
      <c r="F11" s="252"/>
      <c r="G11" s="252"/>
      <c r="H11" s="252"/>
      <c r="I11" s="252"/>
      <c r="J11" s="252"/>
      <c r="K11" s="255"/>
      <c r="L11" s="255">
        <v>15000</v>
      </c>
      <c r="M11" s="255">
        <v>15000</v>
      </c>
      <c r="N11" s="255">
        <v>15000</v>
      </c>
      <c r="O11" s="255">
        <v>15000</v>
      </c>
      <c r="P11" s="256">
        <f t="shared" si="5"/>
        <v>60000</v>
      </c>
      <c r="Q11" s="96"/>
    </row>
    <row r="12" spans="1:17" ht="30.75" customHeight="1" x14ac:dyDescent="0.25">
      <c r="B12" s="250" t="s">
        <v>139</v>
      </c>
      <c r="C12" s="250" t="s">
        <v>139</v>
      </c>
      <c r="D12" s="252"/>
      <c r="E12" s="253" t="s">
        <v>29</v>
      </c>
      <c r="F12" s="252"/>
      <c r="G12" s="252"/>
      <c r="H12" s="252"/>
      <c r="I12" s="252"/>
      <c r="J12" s="252"/>
      <c r="K12" s="255"/>
      <c r="L12" s="255">
        <v>120000</v>
      </c>
      <c r="M12" s="255">
        <v>0</v>
      </c>
      <c r="N12" s="255">
        <v>50000</v>
      </c>
      <c r="O12" s="255">
        <v>80000</v>
      </c>
      <c r="P12" s="256">
        <f t="shared" si="5"/>
        <v>250000</v>
      </c>
      <c r="Q12" s="96"/>
    </row>
    <row r="13" spans="1:17" ht="30.75" customHeight="1" x14ac:dyDescent="0.25">
      <c r="B13" s="250" t="s">
        <v>81</v>
      </c>
      <c r="C13" s="250" t="s">
        <v>81</v>
      </c>
      <c r="D13" s="252"/>
      <c r="E13" s="253" t="s">
        <v>29</v>
      </c>
      <c r="F13" s="252"/>
      <c r="G13" s="252"/>
      <c r="H13" s="252"/>
      <c r="I13" s="252"/>
      <c r="J13" s="252"/>
      <c r="K13" s="255"/>
      <c r="L13" s="255">
        <f>L3+L7+L10+L11+L12</f>
        <v>1366000</v>
      </c>
      <c r="M13" s="255">
        <f>M3+M7+M10+M11+M12</f>
        <v>2468000</v>
      </c>
      <c r="N13" s="255">
        <f>N3+N7+N10+N11+N12</f>
        <v>2498000</v>
      </c>
      <c r="O13" s="255">
        <f>O3+O7+O10+O11+O12</f>
        <v>2668000</v>
      </c>
      <c r="P13" s="255">
        <f>P3+P7+P10+P11+P12</f>
        <v>9000000</v>
      </c>
      <c r="Q13" s="298"/>
    </row>
    <row r="14" spans="1:17" ht="15" x14ac:dyDescent="0.25">
      <c r="P14" s="161"/>
      <c r="Q14" s="96"/>
    </row>
    <row r="15" spans="1:17" ht="15" x14ac:dyDescent="0.25">
      <c r="D15" s="175"/>
      <c r="E15" s="175"/>
      <c r="K15" s="96"/>
      <c r="L15" s="96"/>
      <c r="M15" s="96"/>
      <c r="N15" s="96"/>
      <c r="O15" s="96"/>
      <c r="P15" s="96"/>
      <c r="Q15" s="96"/>
    </row>
    <row r="16" spans="1:17" ht="15" x14ac:dyDescent="0.25">
      <c r="D16" s="175"/>
      <c r="E16" s="175"/>
      <c r="F16" s="225"/>
      <c r="G16" s="225"/>
      <c r="H16" s="225"/>
      <c r="Q16" s="96"/>
    </row>
    <row r="17" spans="4:18" ht="15" hidden="1" customHeight="1" x14ac:dyDescent="0.25">
      <c r="D17" s="175"/>
      <c r="E17" s="175"/>
      <c r="F17" s="225"/>
      <c r="G17" s="225"/>
      <c r="H17" s="225"/>
      <c r="I17" s="162" t="s">
        <v>211</v>
      </c>
      <c r="J17" s="165"/>
      <c r="Q17" s="96"/>
      <c r="R17" s="225"/>
    </row>
    <row r="18" spans="4:18" ht="15" hidden="1" customHeight="1" x14ac:dyDescent="0.25">
      <c r="D18" s="175"/>
      <c r="E18" s="175"/>
      <c r="F18" s="225"/>
      <c r="G18" s="225"/>
      <c r="H18" s="225"/>
      <c r="I18" s="164" t="s">
        <v>168</v>
      </c>
      <c r="J18" s="166"/>
      <c r="Q18" s="96"/>
      <c r="R18" s="225"/>
    </row>
    <row r="19" spans="4:18" ht="15" hidden="1" customHeight="1" x14ac:dyDescent="0.25">
      <c r="D19" s="175"/>
      <c r="E19" s="175"/>
      <c r="F19" s="225"/>
      <c r="G19" s="225"/>
      <c r="H19" s="225"/>
      <c r="I19" s="146" t="s">
        <v>133</v>
      </c>
      <c r="J19" s="165">
        <v>1000</v>
      </c>
      <c r="Q19" s="96"/>
      <c r="R19" s="225"/>
    </row>
    <row r="20" spans="4:18" ht="15" hidden="1" customHeight="1" x14ac:dyDescent="0.25">
      <c r="D20" s="175"/>
      <c r="E20" s="175"/>
      <c r="F20" s="225"/>
      <c r="G20" s="225"/>
      <c r="H20" s="225"/>
      <c r="I20" s="146" t="s">
        <v>128</v>
      </c>
      <c r="J20" s="165">
        <f>K8/J19</f>
        <v>1500</v>
      </c>
      <c r="Q20" s="96"/>
      <c r="R20" s="225"/>
    </row>
    <row r="21" spans="4:18" ht="15" hidden="1" customHeight="1" x14ac:dyDescent="0.25">
      <c r="D21" s="175"/>
      <c r="E21" s="175"/>
      <c r="F21" s="225"/>
      <c r="G21" s="225"/>
      <c r="H21" s="225"/>
      <c r="I21" s="164" t="s">
        <v>167</v>
      </c>
      <c r="J21" s="166"/>
      <c r="Q21" s="96"/>
      <c r="R21" s="225"/>
    </row>
    <row r="22" spans="4:18" ht="15" hidden="1" customHeight="1" x14ac:dyDescent="0.25">
      <c r="D22" s="175"/>
      <c r="E22" s="175"/>
      <c r="F22" s="225"/>
      <c r="G22" s="225"/>
      <c r="H22" s="225"/>
      <c r="I22" s="164" t="s">
        <v>169</v>
      </c>
      <c r="J22" s="166"/>
      <c r="Q22" s="96"/>
      <c r="R22" s="225"/>
    </row>
    <row r="23" spans="4:18" ht="15" hidden="1" customHeight="1" x14ac:dyDescent="0.25">
      <c r="D23" s="175"/>
      <c r="E23" s="175"/>
      <c r="F23" s="225"/>
      <c r="G23" s="225"/>
      <c r="H23" s="225"/>
      <c r="I23" s="146" t="s">
        <v>224</v>
      </c>
      <c r="J23" s="165">
        <f>0.5</f>
        <v>0.5</v>
      </c>
      <c r="Q23" s="96"/>
      <c r="R23" s="225"/>
    </row>
    <row r="24" spans="4:18" ht="15" hidden="1" customHeight="1" x14ac:dyDescent="0.25">
      <c r="D24" s="175"/>
      <c r="E24" s="175"/>
      <c r="F24" s="225"/>
      <c r="G24" s="225"/>
      <c r="H24" s="225"/>
      <c r="I24" s="146" t="s">
        <v>128</v>
      </c>
      <c r="J24" s="190" t="e">
        <f>(#REF!/3)*J23</f>
        <v>#REF!</v>
      </c>
      <c r="Q24" s="96"/>
      <c r="R24" s="225"/>
    </row>
    <row r="25" spans="4:18" ht="15" hidden="1" customHeight="1" x14ac:dyDescent="0.25">
      <c r="D25" s="175"/>
      <c r="E25" s="175"/>
      <c r="F25" s="225"/>
      <c r="G25" s="225"/>
      <c r="H25" s="225"/>
      <c r="I25" s="164" t="s">
        <v>131</v>
      </c>
      <c r="J25" s="166"/>
      <c r="Q25" s="96"/>
      <c r="R25" s="225"/>
    </row>
    <row r="26" spans="4:18" ht="15" hidden="1" x14ac:dyDescent="0.25">
      <c r="D26" s="175"/>
      <c r="E26" s="175"/>
      <c r="I26" s="146" t="s">
        <v>224</v>
      </c>
      <c r="J26" s="165">
        <v>0.5</v>
      </c>
      <c r="Q26" s="96"/>
      <c r="R26" s="225"/>
    </row>
    <row r="27" spans="4:18" ht="15" hidden="1" x14ac:dyDescent="0.25">
      <c r="D27" s="175"/>
      <c r="I27" s="146" t="s">
        <v>128</v>
      </c>
      <c r="J27" s="190" t="e">
        <f>(#REF!/3)*J26</f>
        <v>#REF!</v>
      </c>
      <c r="Q27" s="96"/>
      <c r="R27" s="225"/>
    </row>
    <row r="28" spans="4:18" ht="15" hidden="1" x14ac:dyDescent="0.25">
      <c r="D28" s="175"/>
      <c r="I28" s="164" t="s">
        <v>170</v>
      </c>
      <c r="J28" s="166"/>
      <c r="Q28" s="96"/>
      <c r="R28" s="225"/>
    </row>
    <row r="29" spans="4:18" ht="15" hidden="1" x14ac:dyDescent="0.25">
      <c r="D29" s="175"/>
      <c r="I29" s="146" t="s">
        <v>133</v>
      </c>
      <c r="J29" s="165">
        <v>0.5</v>
      </c>
      <c r="Q29" s="96"/>
      <c r="R29" s="225"/>
    </row>
    <row r="30" spans="4:18" ht="15" hidden="1" x14ac:dyDescent="0.25">
      <c r="D30" s="175"/>
      <c r="I30" s="163" t="s">
        <v>128</v>
      </c>
      <c r="J30" s="190" t="e">
        <f>(#REF!/3)*J29</f>
        <v>#REF!</v>
      </c>
      <c r="Q30" s="96"/>
      <c r="R30" s="225"/>
    </row>
    <row r="31" spans="4:18" ht="15" hidden="1" x14ac:dyDescent="0.25">
      <c r="D31" s="175"/>
      <c r="I31" s="164"/>
      <c r="J31" s="166"/>
      <c r="Q31" s="96"/>
      <c r="R31" s="225"/>
    </row>
    <row r="32" spans="4:18" ht="15" hidden="1" x14ac:dyDescent="0.25">
      <c r="D32" s="175"/>
      <c r="I32" s="146"/>
      <c r="J32" s="165"/>
      <c r="Q32" s="96"/>
      <c r="R32" s="225"/>
    </row>
    <row r="33" spans="4:18" ht="15" hidden="1" x14ac:dyDescent="0.25">
      <c r="D33" s="175"/>
      <c r="I33" s="163"/>
      <c r="J33" s="190"/>
      <c r="Q33" s="96"/>
      <c r="R33" s="225"/>
    </row>
    <row r="34" spans="4:18" ht="32.25" hidden="1" customHeight="1" x14ac:dyDescent="0.25">
      <c r="J34" s="217" t="e">
        <f>(J33+J30+J27+J24)*0.8</f>
        <v>#REF!</v>
      </c>
      <c r="Q34" s="96"/>
      <c r="R34" s="225"/>
    </row>
    <row r="35" spans="4:18" ht="32.25" hidden="1" customHeight="1" x14ac:dyDescent="0.25">
      <c r="J35" s="175" t="e">
        <f>J24/J23+J27/J26+J30/J29</f>
        <v>#REF!</v>
      </c>
      <c r="K35" s="175" t="e">
        <f>J35*0.7</f>
        <v>#REF!</v>
      </c>
      <c r="Q35" s="96"/>
      <c r="R35" s="225"/>
    </row>
    <row r="36" spans="4:18" ht="32.25" hidden="1" customHeight="1" x14ac:dyDescent="0.25">
      <c r="Q36" s="96"/>
      <c r="R36" s="225"/>
    </row>
    <row r="37" spans="4:18" ht="32.25" customHeight="1" x14ac:dyDescent="0.25">
      <c r="Q37" s="96"/>
    </row>
  </sheetData>
  <mergeCells count="2">
    <mergeCell ref="G1:K1"/>
    <mergeCell ref="L1:P1"/>
  </mergeCell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CS51"/>
  <sheetViews>
    <sheetView topLeftCell="D1" zoomScale="85" zoomScaleNormal="85" zoomScalePageLayoutView="85" workbookViewId="0">
      <selection activeCell="I35" sqref="I35"/>
    </sheetView>
  </sheetViews>
  <sheetFormatPr defaultColWidth="8.85546875" defaultRowHeight="12.75" x14ac:dyDescent="0.2"/>
  <cols>
    <col min="1" max="1" width="5" style="4" hidden="1" customWidth="1"/>
    <col min="2" max="3" width="3.7109375" style="4" hidden="1" customWidth="1"/>
    <col min="4" max="4" width="12" style="4" customWidth="1"/>
    <col min="5" max="5" width="8.28515625" style="4" customWidth="1"/>
    <col min="6" max="6" width="9.42578125" style="4" customWidth="1"/>
    <col min="7" max="7" width="47" style="1" customWidth="1"/>
    <col min="8" max="8" width="12.42578125" style="4" customWidth="1"/>
    <col min="9" max="9" width="15" style="4" customWidth="1"/>
    <col min="10" max="10" width="8.42578125" style="4" customWidth="1"/>
    <col min="11" max="12" width="8.28515625" style="4" customWidth="1"/>
    <col min="13" max="13" width="9.42578125" style="4" customWidth="1"/>
    <col min="14" max="14" width="8.28515625" style="4" customWidth="1"/>
    <col min="15" max="15" width="9.42578125" style="4" customWidth="1"/>
    <col min="16" max="16" width="8.28515625" style="4" customWidth="1"/>
    <col min="17" max="19" width="7.42578125" style="4" customWidth="1"/>
    <col min="20" max="20" width="8.42578125" style="4" customWidth="1"/>
    <col min="21" max="21" width="9.140625" style="4" customWidth="1"/>
    <col min="22" max="22" width="8.140625" style="4" customWidth="1"/>
    <col min="23" max="23" width="8.42578125" style="4" customWidth="1"/>
    <col min="24" max="27" width="8.28515625" style="4" customWidth="1"/>
    <col min="28" max="28" width="12.28515625" style="32" customWidth="1"/>
    <col min="29" max="29" width="13.85546875" style="32" customWidth="1"/>
    <col min="30" max="30" width="9.42578125" style="32" customWidth="1"/>
    <col min="31" max="33" width="8.85546875" style="40"/>
    <col min="34" max="38" width="9.140625" style="40" customWidth="1"/>
    <col min="39" max="54" width="8.85546875" style="40"/>
    <col min="55" max="16384" width="8.85546875" style="4"/>
  </cols>
  <sheetData>
    <row r="1" spans="2:54" x14ac:dyDescent="0.2">
      <c r="D1" s="311" t="s">
        <v>239</v>
      </c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</row>
    <row r="2" spans="2:54" s="80" customFormat="1" ht="12" x14ac:dyDescent="0.2">
      <c r="D2" s="76" t="s">
        <v>173</v>
      </c>
      <c r="E2" s="76" t="s">
        <v>98</v>
      </c>
      <c r="F2" s="76" t="s">
        <v>174</v>
      </c>
      <c r="G2" s="77" t="s">
        <v>175</v>
      </c>
      <c r="H2" s="78" t="s">
        <v>1</v>
      </c>
      <c r="I2" s="79" t="s">
        <v>34</v>
      </c>
      <c r="J2" s="192" t="s">
        <v>178</v>
      </c>
      <c r="K2" s="192" t="s">
        <v>179</v>
      </c>
      <c r="L2" s="192" t="s">
        <v>180</v>
      </c>
      <c r="M2" s="192" t="s">
        <v>181</v>
      </c>
      <c r="N2" s="192" t="s">
        <v>182</v>
      </c>
      <c r="O2" s="192" t="s">
        <v>183</v>
      </c>
      <c r="P2" s="192" t="s">
        <v>184</v>
      </c>
      <c r="Q2" s="192" t="s">
        <v>185</v>
      </c>
      <c r="R2" s="192" t="s">
        <v>186</v>
      </c>
      <c r="S2" s="192" t="s">
        <v>187</v>
      </c>
      <c r="T2" s="192" t="s">
        <v>188</v>
      </c>
      <c r="U2" s="192" t="s">
        <v>189</v>
      </c>
      <c r="V2" s="192" t="s">
        <v>190</v>
      </c>
      <c r="W2" s="192" t="s">
        <v>191</v>
      </c>
      <c r="X2" s="192" t="s">
        <v>192</v>
      </c>
      <c r="Y2" s="192" t="s">
        <v>193</v>
      </c>
      <c r="Z2" s="192" t="s">
        <v>194</v>
      </c>
      <c r="AA2" s="192" t="s">
        <v>195</v>
      </c>
      <c r="AB2" s="192" t="s">
        <v>200</v>
      </c>
      <c r="AC2" s="192" t="s">
        <v>201</v>
      </c>
      <c r="AD2" s="206" t="s">
        <v>2</v>
      </c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</row>
    <row r="3" spans="2:54" x14ac:dyDescent="0.2">
      <c r="B3" s="4" t="s">
        <v>29</v>
      </c>
      <c r="C3" s="4" t="s">
        <v>25</v>
      </c>
      <c r="D3" s="9" t="str">
        <f>'Budget by product version 2'!B3</f>
        <v>Component 1: Institutional and Local Governance Strengthening</v>
      </c>
      <c r="E3" s="10"/>
      <c r="F3" s="10"/>
      <c r="G3" s="10"/>
      <c r="H3" s="57" t="s">
        <v>29</v>
      </c>
      <c r="I3" s="56">
        <f>'Budget by product version 2'!P3</f>
        <v>2250000</v>
      </c>
      <c r="J3" s="56">
        <f t="shared" ref="J3" si="0">J11</f>
        <v>0</v>
      </c>
      <c r="K3" s="56">
        <f t="shared" ref="K3:AA3" si="1">K11</f>
        <v>20000</v>
      </c>
      <c r="L3" s="56">
        <f t="shared" si="1"/>
        <v>190000</v>
      </c>
      <c r="M3" s="56">
        <f t="shared" si="1"/>
        <v>115000</v>
      </c>
      <c r="N3" s="56">
        <f t="shared" si="1"/>
        <v>25000</v>
      </c>
      <c r="O3" s="56">
        <f t="shared" si="1"/>
        <v>15000</v>
      </c>
      <c r="P3" s="56">
        <f t="shared" si="1"/>
        <v>30000</v>
      </c>
      <c r="Q3" s="56">
        <f t="shared" si="1"/>
        <v>80000</v>
      </c>
      <c r="R3" s="56">
        <f t="shared" si="1"/>
        <v>90000</v>
      </c>
      <c r="S3" s="56">
        <f t="shared" si="1"/>
        <v>15000</v>
      </c>
      <c r="T3" s="56">
        <f t="shared" si="1"/>
        <v>120000</v>
      </c>
      <c r="U3" s="56">
        <f t="shared" si="1"/>
        <v>15000</v>
      </c>
      <c r="V3" s="56">
        <f t="shared" si="1"/>
        <v>70000</v>
      </c>
      <c r="W3" s="56">
        <f t="shared" si="1"/>
        <v>315000</v>
      </c>
      <c r="X3" s="56">
        <f t="shared" si="1"/>
        <v>20000</v>
      </c>
      <c r="Y3" s="56">
        <f t="shared" si="1"/>
        <v>15000</v>
      </c>
      <c r="Z3" s="56">
        <f t="shared" si="1"/>
        <v>125000</v>
      </c>
      <c r="AA3" s="56">
        <f t="shared" si="1"/>
        <v>20000</v>
      </c>
      <c r="AB3" s="56">
        <f>SUM(J3:U3)</f>
        <v>715000</v>
      </c>
      <c r="AC3" s="56">
        <f t="shared" ref="AC3:AC8" si="2">SUM(V3:AA3)</f>
        <v>565000</v>
      </c>
      <c r="AD3" s="197">
        <f t="shared" ref="AD3:AD8" si="3">AB3+AC3</f>
        <v>1280000</v>
      </c>
    </row>
    <row r="4" spans="2:54" x14ac:dyDescent="0.2">
      <c r="B4" s="4" t="s">
        <v>29</v>
      </c>
      <c r="C4" s="4" t="s">
        <v>25</v>
      </c>
      <c r="D4" s="9" t="str">
        <f>'Budget by product version 2'!B7</f>
        <v>Component 2: Enhancement and restoration of ecosystem services</v>
      </c>
      <c r="E4" s="10"/>
      <c r="F4" s="10"/>
      <c r="G4" s="10"/>
      <c r="H4" s="57" t="s">
        <v>29</v>
      </c>
      <c r="I4" s="56">
        <f>'Budget by product version 2'!P7</f>
        <v>5580000</v>
      </c>
      <c r="J4" s="19">
        <f>J30</f>
        <v>0</v>
      </c>
      <c r="K4" s="19">
        <f>K30</f>
        <v>0</v>
      </c>
      <c r="L4" s="19">
        <f t="shared" ref="L4:X4" si="4">L30</f>
        <v>50000</v>
      </c>
      <c r="M4" s="19">
        <f t="shared" si="4"/>
        <v>0</v>
      </c>
      <c r="N4" s="19">
        <f t="shared" si="4"/>
        <v>10000</v>
      </c>
      <c r="O4" s="19">
        <f t="shared" si="4"/>
        <v>0</v>
      </c>
      <c r="P4" s="19">
        <f t="shared" si="4"/>
        <v>15000</v>
      </c>
      <c r="Q4" s="19">
        <f t="shared" si="4"/>
        <v>100000</v>
      </c>
      <c r="R4" s="19">
        <f t="shared" si="4"/>
        <v>60000</v>
      </c>
      <c r="S4" s="19">
        <f t="shared" si="4"/>
        <v>0</v>
      </c>
      <c r="T4" s="19">
        <f t="shared" si="4"/>
        <v>65000</v>
      </c>
      <c r="U4" s="19">
        <f t="shared" si="4"/>
        <v>0</v>
      </c>
      <c r="V4" s="19">
        <f t="shared" si="4"/>
        <v>205000</v>
      </c>
      <c r="W4" s="19">
        <f t="shared" si="4"/>
        <v>60000</v>
      </c>
      <c r="X4" s="19">
        <f t="shared" si="4"/>
        <v>10000</v>
      </c>
      <c r="Y4" s="19">
        <f t="shared" ref="Y4:AA4" si="5">Y30</f>
        <v>0</v>
      </c>
      <c r="Z4" s="19">
        <f t="shared" si="5"/>
        <v>300000</v>
      </c>
      <c r="AA4" s="19">
        <f t="shared" si="5"/>
        <v>10000</v>
      </c>
      <c r="AB4" s="56">
        <f t="shared" ref="AB4:AB7" si="6">SUM(J4:U4)</f>
        <v>300000</v>
      </c>
      <c r="AC4" s="56">
        <f t="shared" si="2"/>
        <v>585000</v>
      </c>
      <c r="AD4" s="197">
        <f t="shared" si="3"/>
        <v>885000</v>
      </c>
      <c r="AF4" s="214"/>
    </row>
    <row r="5" spans="2:54" x14ac:dyDescent="0.2">
      <c r="B5" s="4" t="s">
        <v>29</v>
      </c>
      <c r="C5" s="4" t="s">
        <v>25</v>
      </c>
      <c r="D5" s="9" t="str">
        <f>'Budget by product version 2'!B10</f>
        <v>Administration and monitoring</v>
      </c>
      <c r="E5" s="10"/>
      <c r="F5" s="10"/>
      <c r="G5" s="10"/>
      <c r="H5" s="57" t="s">
        <v>29</v>
      </c>
      <c r="I5" s="56">
        <f>'Budget by product version 2'!P10</f>
        <v>860000</v>
      </c>
      <c r="J5" s="19">
        <f>J43</f>
        <v>8000</v>
      </c>
      <c r="K5" s="19">
        <f>K43</f>
        <v>14000</v>
      </c>
      <c r="L5" s="19">
        <f t="shared" ref="L5:X5" si="7">L43</f>
        <v>94000</v>
      </c>
      <c r="M5" s="19">
        <f t="shared" si="7"/>
        <v>14000</v>
      </c>
      <c r="N5" s="19">
        <f t="shared" si="7"/>
        <v>14000</v>
      </c>
      <c r="O5" s="19">
        <f t="shared" si="7"/>
        <v>14000</v>
      </c>
      <c r="P5" s="19">
        <f t="shared" si="7"/>
        <v>14000</v>
      </c>
      <c r="Q5" s="19">
        <f t="shared" si="7"/>
        <v>14000</v>
      </c>
      <c r="R5" s="19">
        <f t="shared" si="7"/>
        <v>15000</v>
      </c>
      <c r="S5" s="19">
        <f t="shared" si="7"/>
        <v>15000</v>
      </c>
      <c r="T5" s="19">
        <f t="shared" si="7"/>
        <v>15000</v>
      </c>
      <c r="U5" s="19">
        <f t="shared" si="7"/>
        <v>15000</v>
      </c>
      <c r="V5" s="19">
        <f t="shared" si="7"/>
        <v>15000</v>
      </c>
      <c r="W5" s="19">
        <f t="shared" si="7"/>
        <v>15000</v>
      </c>
      <c r="X5" s="19">
        <f t="shared" si="7"/>
        <v>15000</v>
      </c>
      <c r="Y5" s="19">
        <f t="shared" ref="Y5:AA5" si="8">Y43</f>
        <v>15000</v>
      </c>
      <c r="Z5" s="19">
        <f t="shared" si="8"/>
        <v>15000</v>
      </c>
      <c r="AA5" s="19">
        <f t="shared" si="8"/>
        <v>15000</v>
      </c>
      <c r="AB5" s="56">
        <f t="shared" si="6"/>
        <v>246000</v>
      </c>
      <c r="AC5" s="56">
        <f t="shared" si="2"/>
        <v>90000</v>
      </c>
      <c r="AD5" s="197">
        <f t="shared" si="3"/>
        <v>336000</v>
      </c>
      <c r="AF5" s="214"/>
    </row>
    <row r="6" spans="2:54" x14ac:dyDescent="0.2">
      <c r="B6" s="4" t="s">
        <v>29</v>
      </c>
      <c r="C6" s="4" t="s">
        <v>25</v>
      </c>
      <c r="D6" s="9" t="str">
        <f>'Budget by product version 2'!B11</f>
        <v>Audits</v>
      </c>
      <c r="E6" s="10"/>
      <c r="F6" s="10"/>
      <c r="G6" s="10"/>
      <c r="H6" s="57" t="s">
        <v>29</v>
      </c>
      <c r="I6" s="56">
        <f>'Budget by product version 2'!P11</f>
        <v>60000</v>
      </c>
      <c r="J6" s="19">
        <f>J48</f>
        <v>0</v>
      </c>
      <c r="K6" s="19">
        <f>K48</f>
        <v>0</v>
      </c>
      <c r="L6" s="19">
        <f t="shared" ref="L6:X6" si="9">L48</f>
        <v>0</v>
      </c>
      <c r="M6" s="19">
        <f t="shared" si="9"/>
        <v>0</v>
      </c>
      <c r="N6" s="19">
        <f t="shared" si="9"/>
        <v>0</v>
      </c>
      <c r="O6" s="19">
        <f t="shared" si="9"/>
        <v>0</v>
      </c>
      <c r="P6" s="19">
        <f t="shared" si="9"/>
        <v>15000</v>
      </c>
      <c r="Q6" s="19">
        <f t="shared" si="9"/>
        <v>0</v>
      </c>
      <c r="R6" s="19">
        <f t="shared" si="9"/>
        <v>0</v>
      </c>
      <c r="S6" s="19">
        <f t="shared" si="9"/>
        <v>0</v>
      </c>
      <c r="T6" s="19">
        <f t="shared" si="9"/>
        <v>0</v>
      </c>
      <c r="U6" s="19">
        <f t="shared" si="9"/>
        <v>0</v>
      </c>
      <c r="V6" s="19">
        <f t="shared" si="9"/>
        <v>7500</v>
      </c>
      <c r="W6" s="19">
        <f t="shared" si="9"/>
        <v>0</v>
      </c>
      <c r="X6" s="19">
        <f t="shared" si="9"/>
        <v>0</v>
      </c>
      <c r="Y6" s="19">
        <f t="shared" ref="Y6:AA6" si="10">Y48</f>
        <v>0</v>
      </c>
      <c r="Z6" s="19">
        <f t="shared" si="10"/>
        <v>0</v>
      </c>
      <c r="AA6" s="19">
        <f t="shared" si="10"/>
        <v>0</v>
      </c>
      <c r="AB6" s="56">
        <f t="shared" si="6"/>
        <v>15000</v>
      </c>
      <c r="AC6" s="56">
        <f t="shared" si="2"/>
        <v>7500</v>
      </c>
      <c r="AD6" s="197">
        <f t="shared" si="3"/>
        <v>22500</v>
      </c>
      <c r="AF6" s="214"/>
    </row>
    <row r="7" spans="2:54" x14ac:dyDescent="0.2">
      <c r="B7" s="4" t="s">
        <v>29</v>
      </c>
      <c r="C7" s="4" t="s">
        <v>25</v>
      </c>
      <c r="D7" s="9" t="str">
        <f>'Budget by product version 2'!B12</f>
        <v>Evaluation</v>
      </c>
      <c r="E7" s="10"/>
      <c r="F7" s="10"/>
      <c r="G7" s="10"/>
      <c r="H7" s="57" t="s">
        <v>29</v>
      </c>
      <c r="I7" s="56">
        <f>'Budget by product version 2'!P12</f>
        <v>250000</v>
      </c>
      <c r="J7" s="19">
        <f>J50</f>
        <v>0</v>
      </c>
      <c r="K7" s="19">
        <f>K50</f>
        <v>0</v>
      </c>
      <c r="L7" s="19">
        <f t="shared" ref="L7:X7" si="11">L50</f>
        <v>0</v>
      </c>
      <c r="M7" s="19">
        <f t="shared" si="11"/>
        <v>0</v>
      </c>
      <c r="N7" s="19">
        <f t="shared" si="11"/>
        <v>60000</v>
      </c>
      <c r="O7" s="19">
        <f t="shared" si="11"/>
        <v>0</v>
      </c>
      <c r="P7" s="19">
        <f t="shared" si="11"/>
        <v>0</v>
      </c>
      <c r="Q7" s="19">
        <f t="shared" si="11"/>
        <v>0</v>
      </c>
      <c r="R7" s="19">
        <f t="shared" si="11"/>
        <v>60000</v>
      </c>
      <c r="S7" s="19">
        <f t="shared" si="11"/>
        <v>0</v>
      </c>
      <c r="T7" s="19">
        <f t="shared" si="11"/>
        <v>0</v>
      </c>
      <c r="U7" s="19">
        <f>U50</f>
        <v>0</v>
      </c>
      <c r="V7" s="19">
        <f t="shared" si="11"/>
        <v>0</v>
      </c>
      <c r="W7" s="19">
        <f t="shared" si="11"/>
        <v>0</v>
      </c>
      <c r="X7" s="19">
        <f t="shared" si="11"/>
        <v>0</v>
      </c>
      <c r="Y7" s="19">
        <f t="shared" ref="Y7:AA7" si="12">Y50</f>
        <v>0</v>
      </c>
      <c r="Z7" s="19">
        <f t="shared" si="12"/>
        <v>0</v>
      </c>
      <c r="AA7" s="19">
        <f t="shared" si="12"/>
        <v>0</v>
      </c>
      <c r="AB7" s="56">
        <f t="shared" si="6"/>
        <v>120000</v>
      </c>
      <c r="AC7" s="56">
        <f t="shared" si="2"/>
        <v>0</v>
      </c>
      <c r="AD7" s="197">
        <f t="shared" si="3"/>
        <v>120000</v>
      </c>
      <c r="AF7" s="214"/>
    </row>
    <row r="8" spans="2:54" x14ac:dyDescent="0.2">
      <c r="B8" s="4" t="s">
        <v>29</v>
      </c>
      <c r="D8" s="11"/>
      <c r="E8" s="11"/>
      <c r="F8" s="11"/>
      <c r="G8" s="12"/>
      <c r="H8" s="89" t="s">
        <v>2</v>
      </c>
      <c r="I8" s="56">
        <f>SUM(I3:I7)</f>
        <v>9000000</v>
      </c>
      <c r="J8" s="19">
        <f>SUM(J3:J7)</f>
        <v>8000</v>
      </c>
      <c r="K8" s="19">
        <f t="shared" ref="K8:AA8" si="13">SUM(K3:K7)</f>
        <v>34000</v>
      </c>
      <c r="L8" s="19">
        <f t="shared" si="13"/>
        <v>334000</v>
      </c>
      <c r="M8" s="19">
        <f t="shared" si="13"/>
        <v>129000</v>
      </c>
      <c r="N8" s="19">
        <f t="shared" si="13"/>
        <v>109000</v>
      </c>
      <c r="O8" s="19">
        <f t="shared" si="13"/>
        <v>29000</v>
      </c>
      <c r="P8" s="19">
        <f t="shared" si="13"/>
        <v>74000</v>
      </c>
      <c r="Q8" s="19">
        <f t="shared" si="13"/>
        <v>194000</v>
      </c>
      <c r="R8" s="19">
        <f t="shared" si="13"/>
        <v>225000</v>
      </c>
      <c r="S8" s="19">
        <f t="shared" si="13"/>
        <v>30000</v>
      </c>
      <c r="T8" s="19">
        <f t="shared" si="13"/>
        <v>200000</v>
      </c>
      <c r="U8" s="19">
        <f t="shared" si="13"/>
        <v>30000</v>
      </c>
      <c r="V8" s="19">
        <f t="shared" si="13"/>
        <v>297500</v>
      </c>
      <c r="W8" s="19">
        <f t="shared" si="13"/>
        <v>390000</v>
      </c>
      <c r="X8" s="19">
        <f t="shared" si="13"/>
        <v>45000</v>
      </c>
      <c r="Y8" s="19">
        <f t="shared" si="13"/>
        <v>30000</v>
      </c>
      <c r="Z8" s="19">
        <f t="shared" si="13"/>
        <v>440000</v>
      </c>
      <c r="AA8" s="19">
        <f t="shared" si="13"/>
        <v>45000</v>
      </c>
      <c r="AB8" s="56">
        <f>SUM(J8:U8)</f>
        <v>1396000</v>
      </c>
      <c r="AC8" s="56">
        <f t="shared" si="2"/>
        <v>1247500</v>
      </c>
      <c r="AD8" s="197">
        <f t="shared" si="3"/>
        <v>2643500</v>
      </c>
    </row>
    <row r="9" spans="2:54" x14ac:dyDescent="0.2">
      <c r="B9" s="4" t="s">
        <v>29</v>
      </c>
      <c r="D9" s="5"/>
      <c r="E9" s="5"/>
      <c r="F9" s="5"/>
      <c r="G9" s="6"/>
      <c r="H9" s="71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0"/>
      <c r="W9" s="20"/>
      <c r="X9" s="20"/>
      <c r="Y9" s="20"/>
      <c r="Z9" s="20"/>
      <c r="AA9" s="20"/>
      <c r="AB9" s="197"/>
      <c r="AC9" s="197"/>
      <c r="AD9" s="197"/>
    </row>
    <row r="10" spans="2:54" x14ac:dyDescent="0.2">
      <c r="B10" s="4" t="s">
        <v>29</v>
      </c>
      <c r="D10" s="7"/>
      <c r="E10" s="7"/>
      <c r="F10" s="7"/>
      <c r="G10" s="8"/>
      <c r="H10" s="72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2"/>
      <c r="W10" s="22"/>
      <c r="X10" s="22"/>
      <c r="Y10" s="22"/>
      <c r="Z10" s="22"/>
      <c r="AA10" s="22"/>
      <c r="AB10" s="198"/>
      <c r="AC10" s="198"/>
      <c r="AD10" s="198"/>
      <c r="AF10" s="214"/>
    </row>
    <row r="11" spans="2:54" x14ac:dyDescent="0.2">
      <c r="B11" s="4" t="s">
        <v>29</v>
      </c>
      <c r="C11" s="4" t="s">
        <v>25</v>
      </c>
      <c r="D11" s="9" t="str">
        <f>D3</f>
        <v>Component 1: Institutional and Local Governance Strengthening</v>
      </c>
      <c r="E11" s="10"/>
      <c r="F11" s="10"/>
      <c r="G11" s="10"/>
      <c r="H11" s="60" t="s">
        <v>29</v>
      </c>
      <c r="I11" s="83">
        <f>I3</f>
        <v>2250000</v>
      </c>
      <c r="J11" s="83">
        <f>J13+J19+J25</f>
        <v>0</v>
      </c>
      <c r="K11" s="83">
        <f t="shared" ref="K11:AA11" si="14">K13+K19+K25</f>
        <v>20000</v>
      </c>
      <c r="L11" s="83">
        <f t="shared" si="14"/>
        <v>190000</v>
      </c>
      <c r="M11" s="83">
        <f t="shared" si="14"/>
        <v>115000</v>
      </c>
      <c r="N11" s="83">
        <f t="shared" si="14"/>
        <v>25000</v>
      </c>
      <c r="O11" s="83">
        <f t="shared" si="14"/>
        <v>15000</v>
      </c>
      <c r="P11" s="83">
        <f t="shared" si="14"/>
        <v>30000</v>
      </c>
      <c r="Q11" s="83">
        <f t="shared" si="14"/>
        <v>80000</v>
      </c>
      <c r="R11" s="83">
        <f t="shared" si="14"/>
        <v>90000</v>
      </c>
      <c r="S11" s="83">
        <f t="shared" si="14"/>
        <v>15000</v>
      </c>
      <c r="T11" s="83">
        <f t="shared" si="14"/>
        <v>120000</v>
      </c>
      <c r="U11" s="83">
        <f t="shared" si="14"/>
        <v>15000</v>
      </c>
      <c r="V11" s="83">
        <f t="shared" si="14"/>
        <v>70000</v>
      </c>
      <c r="W11" s="83">
        <f t="shared" si="14"/>
        <v>315000</v>
      </c>
      <c r="X11" s="83">
        <f t="shared" si="14"/>
        <v>20000</v>
      </c>
      <c r="Y11" s="83">
        <f t="shared" si="14"/>
        <v>15000</v>
      </c>
      <c r="Z11" s="83">
        <f t="shared" si="14"/>
        <v>125000</v>
      </c>
      <c r="AA11" s="83">
        <f t="shared" si="14"/>
        <v>20000</v>
      </c>
      <c r="AB11" s="199">
        <f>SUM(J11:U11)</f>
        <v>715000</v>
      </c>
      <c r="AC11" s="199">
        <f>SUM(V11:AA11)</f>
        <v>565000</v>
      </c>
      <c r="AD11" s="207">
        <f>AB11+AC11</f>
        <v>1280000</v>
      </c>
    </row>
    <row r="12" spans="2:54" s="13" customFormat="1" x14ac:dyDescent="0.2">
      <c r="B12" s="4" t="s">
        <v>213</v>
      </c>
      <c r="C12" s="4" t="s">
        <v>213</v>
      </c>
      <c r="D12" s="14"/>
      <c r="E12" s="65" t="str">
        <f>'Budget by product version 2'!B4</f>
        <v>Product 1: Local population benefiting from environmental training and education</v>
      </c>
      <c r="F12" s="66"/>
      <c r="G12" s="67"/>
      <c r="H12" s="68" t="str">
        <f>'Budget by product version 2'!E4</f>
        <v>Person</v>
      </c>
      <c r="I12" s="84">
        <f>'Budget by product version 2'!K4</f>
        <v>10000</v>
      </c>
      <c r="J12" s="84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>
        <v>1000</v>
      </c>
      <c r="V12" s="69"/>
      <c r="W12" s="69"/>
      <c r="X12" s="69"/>
      <c r="Y12" s="69"/>
      <c r="Z12" s="69"/>
      <c r="AA12" s="69"/>
      <c r="AB12" s="201">
        <f t="shared" ref="AB12:AB21" si="15">SUM(J12:U12)</f>
        <v>1000</v>
      </c>
      <c r="AC12" s="201">
        <f t="shared" ref="AC12:AC21" si="16">SUM(V12:AA12)</f>
        <v>0</v>
      </c>
      <c r="AD12" s="208">
        <f t="shared" ref="AD12:AD21" si="17">AB12+AC12</f>
        <v>1000</v>
      </c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</row>
    <row r="13" spans="2:54" s="13" customFormat="1" x14ac:dyDescent="0.2">
      <c r="B13" s="4" t="s">
        <v>29</v>
      </c>
      <c r="C13" s="4" t="s">
        <v>213</v>
      </c>
      <c r="D13" s="14"/>
      <c r="E13" s="65" t="str">
        <f>E12</f>
        <v>Product 1: Local population benefiting from environmental training and education</v>
      </c>
      <c r="F13" s="66"/>
      <c r="G13" s="67"/>
      <c r="H13" s="68" t="s">
        <v>29</v>
      </c>
      <c r="I13" s="84">
        <f>'Budget by product version 2'!P4</f>
        <v>750000</v>
      </c>
      <c r="J13" s="84">
        <f>SUM(J15:J17)</f>
        <v>0</v>
      </c>
      <c r="K13" s="84">
        <f t="shared" ref="K13:AA13" si="18">SUM(K15:K17)</f>
        <v>0</v>
      </c>
      <c r="L13" s="84">
        <f t="shared" si="18"/>
        <v>25000</v>
      </c>
      <c r="M13" s="84">
        <f t="shared" si="18"/>
        <v>0</v>
      </c>
      <c r="N13" s="84">
        <f t="shared" si="18"/>
        <v>0</v>
      </c>
      <c r="O13" s="84">
        <f t="shared" si="18"/>
        <v>0</v>
      </c>
      <c r="P13" s="84">
        <f t="shared" si="18"/>
        <v>0</v>
      </c>
      <c r="Q13" s="84">
        <f t="shared" si="18"/>
        <v>50000</v>
      </c>
      <c r="R13" s="84">
        <f t="shared" si="18"/>
        <v>0</v>
      </c>
      <c r="S13" s="84">
        <f t="shared" si="18"/>
        <v>0</v>
      </c>
      <c r="T13" s="84">
        <f t="shared" si="18"/>
        <v>0</v>
      </c>
      <c r="U13" s="84">
        <f t="shared" si="18"/>
        <v>0</v>
      </c>
      <c r="V13" s="84">
        <f t="shared" si="18"/>
        <v>50000</v>
      </c>
      <c r="W13" s="84">
        <f t="shared" si="18"/>
        <v>0</v>
      </c>
      <c r="X13" s="84">
        <f t="shared" si="18"/>
        <v>0</v>
      </c>
      <c r="Y13" s="84">
        <f t="shared" si="18"/>
        <v>0</v>
      </c>
      <c r="Z13" s="84">
        <f t="shared" si="18"/>
        <v>0</v>
      </c>
      <c r="AA13" s="84">
        <f t="shared" si="18"/>
        <v>0</v>
      </c>
      <c r="AB13" s="196">
        <f t="shared" si="15"/>
        <v>75000</v>
      </c>
      <c r="AC13" s="196">
        <f t="shared" si="16"/>
        <v>50000</v>
      </c>
      <c r="AD13" s="208">
        <f t="shared" si="17"/>
        <v>125000</v>
      </c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</row>
    <row r="14" spans="2:54" s="15" customFormat="1" x14ac:dyDescent="0.2">
      <c r="B14" s="4" t="s">
        <v>213</v>
      </c>
      <c r="C14" s="4" t="s">
        <v>214</v>
      </c>
      <c r="D14" s="14"/>
      <c r="E14" s="16"/>
      <c r="F14" s="61" t="s">
        <v>172</v>
      </c>
      <c r="G14" s="62"/>
      <c r="H14" s="75" t="str">
        <f>Produits!D4</f>
        <v>Techniciens municipaux formés</v>
      </c>
      <c r="I14" s="85">
        <v>1</v>
      </c>
      <c r="J14" s="85"/>
      <c r="K14" s="63"/>
      <c r="L14" s="63">
        <v>1</v>
      </c>
      <c r="M14" s="63"/>
      <c r="N14" s="63"/>
      <c r="O14" s="63"/>
      <c r="P14" s="63"/>
      <c r="Q14" s="63"/>
      <c r="R14" s="63"/>
      <c r="S14" s="63"/>
      <c r="T14" s="63"/>
      <c r="U14" s="63"/>
      <c r="V14" s="64"/>
      <c r="W14" s="64"/>
      <c r="X14" s="64"/>
      <c r="Y14" s="64"/>
      <c r="Z14" s="64"/>
      <c r="AA14" s="64"/>
      <c r="AB14" s="193">
        <f t="shared" si="15"/>
        <v>1</v>
      </c>
      <c r="AC14" s="193">
        <f t="shared" si="16"/>
        <v>0</v>
      </c>
      <c r="AD14" s="193">
        <f t="shared" si="17"/>
        <v>1</v>
      </c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</row>
    <row r="15" spans="2:54" s="15" customFormat="1" x14ac:dyDescent="0.2">
      <c r="B15" s="4" t="s">
        <v>29</v>
      </c>
      <c r="C15" s="4"/>
      <c r="D15" s="14"/>
      <c r="E15" s="16"/>
      <c r="F15" s="55"/>
      <c r="G15" s="18" t="s">
        <v>176</v>
      </c>
      <c r="H15" s="59"/>
      <c r="I15" s="86"/>
      <c r="J15" s="70"/>
      <c r="K15" s="70"/>
      <c r="L15" s="23"/>
      <c r="M15" s="59"/>
      <c r="N15" s="86"/>
      <c r="O15" s="86"/>
      <c r="P15" s="86"/>
      <c r="Q15" s="86"/>
      <c r="R15" s="86"/>
      <c r="S15" s="86"/>
      <c r="T15" s="86"/>
      <c r="U15" s="23"/>
      <c r="V15" s="24"/>
      <c r="W15" s="24"/>
      <c r="X15" s="24"/>
      <c r="Y15" s="24"/>
      <c r="Z15" s="24"/>
      <c r="AA15" s="24"/>
      <c r="AB15" s="194">
        <f t="shared" si="15"/>
        <v>0</v>
      </c>
      <c r="AC15" s="194">
        <f t="shared" si="16"/>
        <v>0</v>
      </c>
      <c r="AD15" s="194">
        <f t="shared" si="17"/>
        <v>0</v>
      </c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</row>
    <row r="16" spans="2:54" s="15" customFormat="1" x14ac:dyDescent="0.2">
      <c r="B16" s="4" t="s">
        <v>29</v>
      </c>
      <c r="C16" s="4"/>
      <c r="D16" s="14"/>
      <c r="E16" s="16"/>
      <c r="F16" s="55"/>
      <c r="G16" s="18" t="s">
        <v>177</v>
      </c>
      <c r="H16" s="59"/>
      <c r="I16" s="86"/>
      <c r="J16" s="23"/>
      <c r="K16" s="70"/>
      <c r="L16" s="23"/>
      <c r="M16" s="59"/>
      <c r="N16" s="86"/>
      <c r="O16" s="86"/>
      <c r="P16" s="86"/>
      <c r="Q16" s="86"/>
      <c r="R16" s="86"/>
      <c r="S16" s="86"/>
      <c r="T16" s="86"/>
      <c r="U16" s="23"/>
      <c r="V16" s="24"/>
      <c r="W16" s="24"/>
      <c r="X16" s="24"/>
      <c r="Y16" s="24"/>
      <c r="Z16" s="24"/>
      <c r="AA16" s="24"/>
      <c r="AB16" s="194">
        <f t="shared" si="15"/>
        <v>0</v>
      </c>
      <c r="AC16" s="194">
        <f t="shared" si="16"/>
        <v>0</v>
      </c>
      <c r="AD16" s="194">
        <f t="shared" si="17"/>
        <v>0</v>
      </c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</row>
    <row r="17" spans="2:97" s="15" customFormat="1" x14ac:dyDescent="0.2">
      <c r="B17" s="4" t="s">
        <v>29</v>
      </c>
      <c r="C17" s="4"/>
      <c r="D17" s="14"/>
      <c r="E17" s="16"/>
      <c r="F17" s="17"/>
      <c r="G17" s="18" t="s">
        <v>196</v>
      </c>
      <c r="H17" s="59"/>
      <c r="I17" s="86"/>
      <c r="J17" s="86"/>
      <c r="K17" s="59"/>
      <c r="L17" s="70">
        <v>25000</v>
      </c>
      <c r="M17" s="70"/>
      <c r="N17" s="70"/>
      <c r="O17" s="70"/>
      <c r="P17" s="70"/>
      <c r="Q17" s="70">
        <v>50000</v>
      </c>
      <c r="R17" s="70"/>
      <c r="S17" s="70"/>
      <c r="T17" s="70"/>
      <c r="U17" s="70"/>
      <c r="V17" s="70">
        <v>50000</v>
      </c>
      <c r="W17" s="70"/>
      <c r="X17" s="70"/>
      <c r="Y17" s="70"/>
      <c r="Z17" s="70"/>
      <c r="AA17" s="70"/>
      <c r="AB17" s="195">
        <f t="shared" si="15"/>
        <v>75000</v>
      </c>
      <c r="AC17" s="195">
        <f t="shared" si="16"/>
        <v>50000</v>
      </c>
      <c r="AD17" s="194">
        <f t="shared" si="17"/>
        <v>125000</v>
      </c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</row>
    <row r="18" spans="2:97" s="13" customFormat="1" x14ac:dyDescent="0.2">
      <c r="B18" s="4" t="s">
        <v>213</v>
      </c>
      <c r="C18" s="4" t="s">
        <v>213</v>
      </c>
      <c r="D18" s="14"/>
      <c r="E18" s="65" t="str">
        <f>'Budget by product version 2'!B5</f>
        <v>Product 2: Park surveillance guards equipped, trained and mobilized</v>
      </c>
      <c r="F18" s="66"/>
      <c r="G18" s="67"/>
      <c r="H18" s="68" t="str">
        <f>'Budget by product version 2'!E5</f>
        <v>Guard</v>
      </c>
      <c r="I18" s="84">
        <f>'Budget by product version 2'!K5</f>
        <v>25</v>
      </c>
      <c r="J18" s="84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>
        <v>20</v>
      </c>
      <c r="V18" s="69"/>
      <c r="W18" s="69"/>
      <c r="X18" s="69"/>
      <c r="Y18" s="69"/>
      <c r="Z18" s="69"/>
      <c r="AA18" s="69"/>
      <c r="AB18" s="201">
        <f t="shared" si="15"/>
        <v>20</v>
      </c>
      <c r="AC18" s="201">
        <f t="shared" si="16"/>
        <v>0</v>
      </c>
      <c r="AD18" s="208">
        <f t="shared" si="17"/>
        <v>20</v>
      </c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</row>
    <row r="19" spans="2:97" s="13" customFormat="1" x14ac:dyDescent="0.2">
      <c r="B19" s="4" t="s">
        <v>29</v>
      </c>
      <c r="C19" s="4" t="s">
        <v>213</v>
      </c>
      <c r="D19" s="14"/>
      <c r="E19" s="65" t="str">
        <f>E18</f>
        <v>Product 2: Park surveillance guards equipped, trained and mobilized</v>
      </c>
      <c r="F19" s="66"/>
      <c r="G19" s="67"/>
      <c r="H19" s="68" t="s">
        <v>29</v>
      </c>
      <c r="I19" s="84">
        <f>'Budget by product version 2'!P5</f>
        <v>750000</v>
      </c>
      <c r="J19" s="84">
        <f>SUM(J21)+SUM(J23)</f>
        <v>0</v>
      </c>
      <c r="K19" s="84">
        <f t="shared" ref="K19:AA19" si="19">SUM(K21)+SUM(K23)</f>
        <v>20000</v>
      </c>
      <c r="L19" s="84">
        <f t="shared" si="19"/>
        <v>165000</v>
      </c>
      <c r="M19" s="84">
        <f t="shared" si="19"/>
        <v>115000</v>
      </c>
      <c r="N19" s="84">
        <f t="shared" si="19"/>
        <v>15000</v>
      </c>
      <c r="O19" s="84">
        <f t="shared" si="19"/>
        <v>15000</v>
      </c>
      <c r="P19" s="84">
        <f t="shared" si="19"/>
        <v>15000</v>
      </c>
      <c r="Q19" s="84">
        <f t="shared" si="19"/>
        <v>15000</v>
      </c>
      <c r="R19" s="84">
        <f t="shared" si="19"/>
        <v>15000</v>
      </c>
      <c r="S19" s="84">
        <f t="shared" si="19"/>
        <v>15000</v>
      </c>
      <c r="T19" s="84">
        <f t="shared" si="19"/>
        <v>15000</v>
      </c>
      <c r="U19" s="84">
        <f t="shared" si="19"/>
        <v>15000</v>
      </c>
      <c r="V19" s="84">
        <f t="shared" si="19"/>
        <v>15000</v>
      </c>
      <c r="W19" s="84">
        <f t="shared" si="19"/>
        <v>15000</v>
      </c>
      <c r="X19" s="84">
        <f t="shared" si="19"/>
        <v>15000</v>
      </c>
      <c r="Y19" s="84">
        <f t="shared" si="19"/>
        <v>15000</v>
      </c>
      <c r="Z19" s="84">
        <f t="shared" si="19"/>
        <v>15000</v>
      </c>
      <c r="AA19" s="84">
        <f t="shared" si="19"/>
        <v>15000</v>
      </c>
      <c r="AB19" s="196">
        <f t="shared" si="15"/>
        <v>420000</v>
      </c>
      <c r="AC19" s="196">
        <f t="shared" si="16"/>
        <v>90000</v>
      </c>
      <c r="AD19" s="208">
        <f t="shared" si="17"/>
        <v>510000</v>
      </c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</row>
    <row r="20" spans="2:97" s="15" customFormat="1" x14ac:dyDescent="0.2">
      <c r="B20" s="4" t="s">
        <v>213</v>
      </c>
      <c r="C20" s="4" t="s">
        <v>214</v>
      </c>
      <c r="D20" s="14"/>
      <c r="E20" s="16"/>
      <c r="F20" s="61" t="s">
        <v>198</v>
      </c>
      <c r="G20" s="62"/>
      <c r="H20" s="74"/>
      <c r="I20" s="85">
        <v>5</v>
      </c>
      <c r="J20" s="85"/>
      <c r="K20" s="63"/>
      <c r="L20" s="63">
        <v>20</v>
      </c>
      <c r="M20" s="63"/>
      <c r="N20" s="63"/>
      <c r="O20" s="63"/>
      <c r="P20" s="63"/>
      <c r="Q20" s="63"/>
      <c r="R20" s="63"/>
      <c r="S20" s="63"/>
      <c r="T20" s="63"/>
      <c r="U20" s="63"/>
      <c r="V20" s="64"/>
      <c r="W20" s="64"/>
      <c r="X20" s="64"/>
      <c r="Y20" s="64"/>
      <c r="Z20" s="64"/>
      <c r="AA20" s="64"/>
      <c r="AB20" s="193">
        <f t="shared" si="15"/>
        <v>20</v>
      </c>
      <c r="AC20" s="193">
        <f t="shared" si="16"/>
        <v>0</v>
      </c>
      <c r="AD20" s="193">
        <f t="shared" si="17"/>
        <v>20</v>
      </c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</row>
    <row r="21" spans="2:97" s="16" customFormat="1" x14ac:dyDescent="0.2">
      <c r="B21" s="4" t="s">
        <v>29</v>
      </c>
      <c r="C21" s="4"/>
      <c r="G21" s="16" t="s">
        <v>199</v>
      </c>
      <c r="L21" s="70">
        <f>$I$18*600</f>
        <v>15000</v>
      </c>
      <c r="M21" s="70">
        <f t="shared" ref="M21:AA21" si="20">$I$18*600</f>
        <v>15000</v>
      </c>
      <c r="N21" s="70">
        <f t="shared" si="20"/>
        <v>15000</v>
      </c>
      <c r="O21" s="70">
        <f t="shared" si="20"/>
        <v>15000</v>
      </c>
      <c r="P21" s="70">
        <f t="shared" si="20"/>
        <v>15000</v>
      </c>
      <c r="Q21" s="70">
        <f t="shared" si="20"/>
        <v>15000</v>
      </c>
      <c r="R21" s="70">
        <f t="shared" si="20"/>
        <v>15000</v>
      </c>
      <c r="S21" s="70">
        <f t="shared" si="20"/>
        <v>15000</v>
      </c>
      <c r="T21" s="70">
        <f t="shared" si="20"/>
        <v>15000</v>
      </c>
      <c r="U21" s="70">
        <f t="shared" si="20"/>
        <v>15000</v>
      </c>
      <c r="V21" s="70">
        <f t="shared" si="20"/>
        <v>15000</v>
      </c>
      <c r="W21" s="70">
        <f t="shared" si="20"/>
        <v>15000</v>
      </c>
      <c r="X21" s="70">
        <f t="shared" si="20"/>
        <v>15000</v>
      </c>
      <c r="Y21" s="70">
        <f t="shared" si="20"/>
        <v>15000</v>
      </c>
      <c r="Z21" s="70">
        <f t="shared" si="20"/>
        <v>15000</v>
      </c>
      <c r="AA21" s="70">
        <f t="shared" si="20"/>
        <v>15000</v>
      </c>
      <c r="AB21" s="195">
        <f t="shared" si="15"/>
        <v>150000</v>
      </c>
      <c r="AC21" s="195">
        <f t="shared" si="16"/>
        <v>90000</v>
      </c>
      <c r="AD21" s="209">
        <f t="shared" si="17"/>
        <v>240000</v>
      </c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8"/>
    </row>
    <row r="22" spans="2:97" s="15" customFormat="1" x14ac:dyDescent="0.2">
      <c r="B22" s="4" t="s">
        <v>213</v>
      </c>
      <c r="C22" s="4" t="s">
        <v>214</v>
      </c>
      <c r="D22" s="14"/>
      <c r="E22" s="16"/>
      <c r="F22" s="61" t="s">
        <v>202</v>
      </c>
      <c r="G22" s="62"/>
      <c r="H22" s="74"/>
      <c r="I22" s="85">
        <f>Produits!M26</f>
        <v>1</v>
      </c>
      <c r="J22" s="8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4"/>
      <c r="W22" s="64"/>
      <c r="X22" s="64"/>
      <c r="Y22" s="64"/>
      <c r="Z22" s="64"/>
      <c r="AA22" s="64"/>
      <c r="AB22" s="193">
        <f t="shared" ref="AB22:AB51" si="21">SUM(J22:U22)</f>
        <v>0</v>
      </c>
      <c r="AC22" s="193">
        <f t="shared" ref="AC22:AC51" si="22">SUM(V22:AA22)</f>
        <v>0</v>
      </c>
      <c r="AD22" s="193">
        <f t="shared" ref="AD22:AD51" si="23">AB22+AC22</f>
        <v>0</v>
      </c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</row>
    <row r="23" spans="2:97" s="16" customFormat="1" x14ac:dyDescent="0.2">
      <c r="B23" s="4" t="s">
        <v>29</v>
      </c>
      <c r="C23" s="4"/>
      <c r="G23" s="16" t="s">
        <v>203</v>
      </c>
      <c r="K23" s="70">
        <v>20000</v>
      </c>
      <c r="L23" s="70">
        <v>150000</v>
      </c>
      <c r="M23" s="70">
        <v>100000</v>
      </c>
      <c r="AB23" s="195">
        <f t="shared" si="21"/>
        <v>270000</v>
      </c>
      <c r="AC23" s="195">
        <f t="shared" si="22"/>
        <v>0</v>
      </c>
      <c r="AD23" s="209">
        <f t="shared" si="23"/>
        <v>270000</v>
      </c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8"/>
    </row>
    <row r="24" spans="2:97" s="13" customFormat="1" x14ac:dyDescent="0.2">
      <c r="B24" s="4" t="s">
        <v>213</v>
      </c>
      <c r="C24" s="4" t="s">
        <v>213</v>
      </c>
      <c r="D24" s="14"/>
      <c r="E24" s="65" t="str">
        <f>'Budget by product version 2'!B6</f>
        <v>Product 3: Park unit and infrastructure built</v>
      </c>
      <c r="F24" s="66"/>
      <c r="G24" s="67"/>
      <c r="H24" s="68" t="str">
        <f>'Budget by product version 2'!E11</f>
        <v>USD</v>
      </c>
      <c r="I24" s="84">
        <f>'Budget by product version 2'!K11</f>
        <v>0</v>
      </c>
      <c r="J24" s="84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>
        <v>1</v>
      </c>
      <c r="AA24" s="69"/>
      <c r="AB24" s="201">
        <f t="shared" ref="AB24:AB27" si="24">SUM(J24:U24)</f>
        <v>0</v>
      </c>
      <c r="AC24" s="201">
        <f t="shared" ref="AC24:AC27" si="25">SUM(V24:AA24)</f>
        <v>1</v>
      </c>
      <c r="AD24" s="208">
        <f t="shared" si="23"/>
        <v>1</v>
      </c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</row>
    <row r="25" spans="2:97" s="13" customFormat="1" x14ac:dyDescent="0.2">
      <c r="B25" s="4" t="s">
        <v>29</v>
      </c>
      <c r="C25" s="4" t="s">
        <v>213</v>
      </c>
      <c r="D25" s="14"/>
      <c r="E25" s="65" t="str">
        <f>E24</f>
        <v>Product 3: Park unit and infrastructure built</v>
      </c>
      <c r="F25" s="66"/>
      <c r="G25" s="67"/>
      <c r="H25" s="68" t="s">
        <v>29</v>
      </c>
      <c r="I25" s="84">
        <f>'Budget by product version 2'!P11</f>
        <v>60000</v>
      </c>
      <c r="J25" s="84">
        <f t="shared" ref="J25:P25" si="26">SUM(J27)+SUM(J29)</f>
        <v>0</v>
      </c>
      <c r="K25" s="84">
        <f t="shared" si="26"/>
        <v>0</v>
      </c>
      <c r="L25" s="84">
        <f t="shared" si="26"/>
        <v>0</v>
      </c>
      <c r="M25" s="84">
        <f t="shared" si="26"/>
        <v>0</v>
      </c>
      <c r="N25" s="84">
        <f t="shared" si="26"/>
        <v>10000</v>
      </c>
      <c r="O25" s="84">
        <f t="shared" si="26"/>
        <v>0</v>
      </c>
      <c r="P25" s="84">
        <f t="shared" si="26"/>
        <v>15000</v>
      </c>
      <c r="Q25" s="84">
        <f>SUM(P27)+SUM(Q29)</f>
        <v>15000</v>
      </c>
      <c r="R25" s="84">
        <f t="shared" ref="R25:AA25" si="27">SUM(R27)+SUM(R29)</f>
        <v>75000</v>
      </c>
      <c r="S25" s="84">
        <f t="shared" si="27"/>
        <v>0</v>
      </c>
      <c r="T25" s="84">
        <f t="shared" si="27"/>
        <v>105000</v>
      </c>
      <c r="U25" s="84">
        <f t="shared" si="27"/>
        <v>0</v>
      </c>
      <c r="V25" s="84">
        <f t="shared" si="27"/>
        <v>5000</v>
      </c>
      <c r="W25" s="84">
        <f t="shared" si="27"/>
        <v>300000</v>
      </c>
      <c r="X25" s="84">
        <f t="shared" si="27"/>
        <v>5000</v>
      </c>
      <c r="Y25" s="84">
        <f t="shared" si="27"/>
        <v>0</v>
      </c>
      <c r="Z25" s="84">
        <f t="shared" si="27"/>
        <v>110000</v>
      </c>
      <c r="AA25" s="84">
        <f t="shared" si="27"/>
        <v>5000</v>
      </c>
      <c r="AB25" s="196">
        <f t="shared" si="24"/>
        <v>220000</v>
      </c>
      <c r="AC25" s="196">
        <f t="shared" si="25"/>
        <v>425000</v>
      </c>
      <c r="AD25" s="208">
        <f t="shared" si="23"/>
        <v>645000</v>
      </c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</row>
    <row r="26" spans="2:97" s="15" customFormat="1" x14ac:dyDescent="0.2">
      <c r="B26" s="4" t="s">
        <v>213</v>
      </c>
      <c r="C26" s="4" t="s">
        <v>214</v>
      </c>
      <c r="D26" s="14"/>
      <c r="E26" s="16"/>
      <c r="F26" s="61" t="s">
        <v>197</v>
      </c>
      <c r="G26" s="62"/>
      <c r="H26" s="74"/>
      <c r="I26" s="85">
        <v>1</v>
      </c>
      <c r="J26" s="85"/>
      <c r="K26" s="63"/>
      <c r="L26" s="63"/>
      <c r="M26" s="63"/>
      <c r="N26" s="63"/>
      <c r="O26" s="63"/>
      <c r="P26" s="63">
        <v>1</v>
      </c>
      <c r="Q26" s="63"/>
      <c r="R26" s="63"/>
      <c r="S26" s="63"/>
      <c r="T26" s="63"/>
      <c r="U26" s="63"/>
      <c r="V26" s="64"/>
      <c r="W26" s="64"/>
      <c r="X26" s="64"/>
      <c r="Y26" s="64"/>
      <c r="Z26" s="64"/>
      <c r="AA26" s="64"/>
      <c r="AB26" s="193">
        <f t="shared" si="24"/>
        <v>1</v>
      </c>
      <c r="AC26" s="193">
        <f t="shared" si="25"/>
        <v>0</v>
      </c>
      <c r="AD26" s="193">
        <f t="shared" si="23"/>
        <v>1</v>
      </c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</row>
    <row r="27" spans="2:97" s="16" customFormat="1" x14ac:dyDescent="0.2">
      <c r="B27" s="4" t="s">
        <v>29</v>
      </c>
      <c r="C27" s="4"/>
      <c r="G27" s="16" t="s">
        <v>295</v>
      </c>
      <c r="N27" s="70">
        <v>10000</v>
      </c>
      <c r="P27" s="70">
        <v>15000</v>
      </c>
      <c r="R27" s="70">
        <v>10000</v>
      </c>
      <c r="T27" s="70">
        <v>5000</v>
      </c>
      <c r="V27" s="70">
        <v>5000</v>
      </c>
      <c r="X27" s="70">
        <v>5000</v>
      </c>
      <c r="AA27" s="70">
        <v>5000</v>
      </c>
      <c r="AB27" s="195">
        <f t="shared" si="24"/>
        <v>40000</v>
      </c>
      <c r="AC27" s="195">
        <f t="shared" si="25"/>
        <v>15000</v>
      </c>
      <c r="AD27" s="209">
        <f t="shared" si="23"/>
        <v>55000</v>
      </c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8"/>
    </row>
    <row r="28" spans="2:97" s="15" customFormat="1" x14ac:dyDescent="0.2">
      <c r="B28" s="4" t="s">
        <v>213</v>
      </c>
      <c r="C28" s="4" t="s">
        <v>214</v>
      </c>
      <c r="D28" s="14"/>
      <c r="E28" s="16"/>
      <c r="F28" s="61" t="s">
        <v>296</v>
      </c>
      <c r="G28" s="62"/>
      <c r="H28" s="74"/>
      <c r="I28" s="85">
        <f>Produits!M32</f>
        <v>1</v>
      </c>
      <c r="J28" s="8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4"/>
      <c r="W28" s="64"/>
      <c r="X28" s="64"/>
      <c r="Y28" s="64"/>
      <c r="Z28" s="64"/>
      <c r="AA28" s="64"/>
      <c r="AB28" s="193">
        <f t="shared" ref="AB28:AB29" si="28">SUM(J28:U28)</f>
        <v>0</v>
      </c>
      <c r="AC28" s="193">
        <f t="shared" ref="AC28:AC29" si="29">SUM(V28:AA28)</f>
        <v>0</v>
      </c>
      <c r="AD28" s="193">
        <f t="shared" ref="AD28:AD29" si="30">AB28+AC28</f>
        <v>0</v>
      </c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</row>
    <row r="29" spans="2:97" s="16" customFormat="1" x14ac:dyDescent="0.2">
      <c r="B29" s="4" t="s">
        <v>29</v>
      </c>
      <c r="C29" s="4"/>
      <c r="G29" s="16" t="s">
        <v>297</v>
      </c>
      <c r="R29" s="70">
        <v>65000</v>
      </c>
      <c r="T29" s="70">
        <v>100000</v>
      </c>
      <c r="W29" s="70">
        <v>300000</v>
      </c>
      <c r="Z29" s="70">
        <v>110000</v>
      </c>
      <c r="AB29" s="195">
        <f t="shared" si="28"/>
        <v>165000</v>
      </c>
      <c r="AC29" s="195">
        <f t="shared" si="29"/>
        <v>410000</v>
      </c>
      <c r="AD29" s="209">
        <f t="shared" si="30"/>
        <v>575000</v>
      </c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8"/>
    </row>
    <row r="30" spans="2:97" x14ac:dyDescent="0.2">
      <c r="B30" s="4" t="s">
        <v>29</v>
      </c>
      <c r="C30" s="4" t="s">
        <v>25</v>
      </c>
      <c r="D30" s="9" t="str">
        <f>D4</f>
        <v>Component 2: Enhancement and restoration of ecosystem services</v>
      </c>
      <c r="E30" s="10"/>
      <c r="F30" s="10"/>
      <c r="G30" s="10"/>
      <c r="H30" s="136" t="s">
        <v>29</v>
      </c>
      <c r="I30" s="83">
        <f>I4</f>
        <v>5580000</v>
      </c>
      <c r="J30" s="137">
        <f>J32+J38</f>
        <v>0</v>
      </c>
      <c r="K30" s="137">
        <f t="shared" ref="K30:AA30" si="31">K32+K38</f>
        <v>0</v>
      </c>
      <c r="L30" s="137">
        <f t="shared" si="31"/>
        <v>50000</v>
      </c>
      <c r="M30" s="137">
        <f t="shared" si="31"/>
        <v>0</v>
      </c>
      <c r="N30" s="137">
        <f t="shared" si="31"/>
        <v>10000</v>
      </c>
      <c r="O30" s="137">
        <f t="shared" si="31"/>
        <v>0</v>
      </c>
      <c r="P30" s="137">
        <f t="shared" si="31"/>
        <v>15000</v>
      </c>
      <c r="Q30" s="137">
        <f t="shared" si="31"/>
        <v>100000</v>
      </c>
      <c r="R30" s="137">
        <f t="shared" si="31"/>
        <v>60000</v>
      </c>
      <c r="S30" s="137">
        <f t="shared" si="31"/>
        <v>0</v>
      </c>
      <c r="T30" s="137">
        <f t="shared" si="31"/>
        <v>65000</v>
      </c>
      <c r="U30" s="137">
        <f t="shared" si="31"/>
        <v>0</v>
      </c>
      <c r="V30" s="137">
        <f t="shared" si="31"/>
        <v>205000</v>
      </c>
      <c r="W30" s="137">
        <f t="shared" si="31"/>
        <v>60000</v>
      </c>
      <c r="X30" s="137">
        <f t="shared" si="31"/>
        <v>10000</v>
      </c>
      <c r="Y30" s="137">
        <f t="shared" si="31"/>
        <v>0</v>
      </c>
      <c r="Z30" s="137">
        <f t="shared" si="31"/>
        <v>300000</v>
      </c>
      <c r="AA30" s="137">
        <f t="shared" si="31"/>
        <v>10000</v>
      </c>
      <c r="AB30" s="200">
        <f>SUM(J30:U30)</f>
        <v>300000</v>
      </c>
      <c r="AC30" s="200">
        <f t="shared" si="22"/>
        <v>585000</v>
      </c>
      <c r="AD30" s="207">
        <f t="shared" si="23"/>
        <v>885000</v>
      </c>
    </row>
    <row r="31" spans="2:97" s="13" customFormat="1" ht="15" customHeight="1" x14ac:dyDescent="0.2">
      <c r="B31" s="4" t="s">
        <v>213</v>
      </c>
      <c r="C31" s="4" t="s">
        <v>213</v>
      </c>
      <c r="D31" s="14"/>
      <c r="E31" s="65" t="str">
        <f>'Budget by product version 2'!B8</f>
        <v>Product 4: Native forest restored</v>
      </c>
      <c r="F31" s="66"/>
      <c r="G31" s="67"/>
      <c r="H31" s="68" t="str">
        <f>'Budget by product version 2'!E8</f>
        <v>Tree</v>
      </c>
      <c r="I31" s="84">
        <f>'Budget by product version 2'!K8</f>
        <v>1500000</v>
      </c>
      <c r="J31" s="84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>
        <v>300000</v>
      </c>
      <c r="V31" s="69"/>
      <c r="W31" s="69"/>
      <c r="X31" s="69"/>
      <c r="Y31" s="69"/>
      <c r="Z31" s="69"/>
      <c r="AA31" s="69"/>
      <c r="AB31" s="201">
        <f t="shared" si="21"/>
        <v>300000</v>
      </c>
      <c r="AC31" s="201">
        <f t="shared" si="22"/>
        <v>0</v>
      </c>
      <c r="AD31" s="208">
        <f t="shared" si="23"/>
        <v>300000</v>
      </c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</row>
    <row r="32" spans="2:97" s="13" customFormat="1" x14ac:dyDescent="0.2">
      <c r="B32" s="4" t="s">
        <v>29</v>
      </c>
      <c r="C32" s="4" t="s">
        <v>213</v>
      </c>
      <c r="D32" s="14"/>
      <c r="E32" s="65" t="str">
        <f>E31</f>
        <v>Product 4: Native forest restored</v>
      </c>
      <c r="F32" s="66"/>
      <c r="G32" s="67"/>
      <c r="H32" s="68" t="s">
        <v>29</v>
      </c>
      <c r="I32" s="84">
        <f>'Budget by product version 2'!P8</f>
        <v>750000</v>
      </c>
      <c r="J32" s="84">
        <f t="shared" ref="J32:X32" si="32">SUM(J34:J36)</f>
        <v>0</v>
      </c>
      <c r="K32" s="84">
        <f t="shared" si="32"/>
        <v>0</v>
      </c>
      <c r="L32" s="84">
        <f>SUM(L34:L36)</f>
        <v>50000</v>
      </c>
      <c r="M32" s="84">
        <f t="shared" si="32"/>
        <v>0</v>
      </c>
      <c r="N32" s="84">
        <f t="shared" si="32"/>
        <v>0</v>
      </c>
      <c r="O32" s="84">
        <f t="shared" si="32"/>
        <v>0</v>
      </c>
      <c r="P32" s="84">
        <f t="shared" si="32"/>
        <v>0</v>
      </c>
      <c r="Q32" s="84">
        <f t="shared" si="32"/>
        <v>100000</v>
      </c>
      <c r="R32" s="84">
        <f t="shared" si="32"/>
        <v>0</v>
      </c>
      <c r="S32" s="84">
        <f t="shared" si="32"/>
        <v>0</v>
      </c>
      <c r="T32" s="84">
        <f t="shared" si="32"/>
        <v>0</v>
      </c>
      <c r="U32" s="84">
        <f t="shared" si="32"/>
        <v>0</v>
      </c>
      <c r="V32" s="84">
        <f t="shared" si="32"/>
        <v>200000</v>
      </c>
      <c r="W32" s="84">
        <f t="shared" si="32"/>
        <v>0</v>
      </c>
      <c r="X32" s="84">
        <f t="shared" si="32"/>
        <v>0</v>
      </c>
      <c r="Y32" s="84">
        <f t="shared" ref="Y32:AA32" si="33">SUM(Y34:Y36)</f>
        <v>0</v>
      </c>
      <c r="Z32" s="84">
        <f t="shared" si="33"/>
        <v>0</v>
      </c>
      <c r="AA32" s="84">
        <f t="shared" si="33"/>
        <v>0</v>
      </c>
      <c r="AB32" s="196">
        <f t="shared" si="21"/>
        <v>150000</v>
      </c>
      <c r="AC32" s="196">
        <f t="shared" si="22"/>
        <v>200000</v>
      </c>
      <c r="AD32" s="208">
        <f t="shared" si="23"/>
        <v>350000</v>
      </c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</row>
    <row r="33" spans="2:97" s="15" customFormat="1" x14ac:dyDescent="0.2">
      <c r="B33" s="4" t="s">
        <v>213</v>
      </c>
      <c r="C33" s="4" t="s">
        <v>214</v>
      </c>
      <c r="D33" s="14"/>
      <c r="E33" s="16"/>
      <c r="F33" s="61" t="s">
        <v>226</v>
      </c>
      <c r="G33" s="62"/>
      <c r="H33" s="75" t="str">
        <f>Produits!D33</f>
        <v>Etudes foncières de base</v>
      </c>
      <c r="I33" s="85">
        <v>1</v>
      </c>
      <c r="J33" s="85"/>
      <c r="K33" s="63"/>
      <c r="L33" s="63">
        <v>1</v>
      </c>
      <c r="M33" s="63"/>
      <c r="N33" s="63"/>
      <c r="O33" s="63"/>
      <c r="P33" s="63"/>
      <c r="Q33" s="63"/>
      <c r="R33" s="63"/>
      <c r="S33" s="63"/>
      <c r="T33" s="63"/>
      <c r="U33" s="63"/>
      <c r="V33" s="64"/>
      <c r="W33" s="64"/>
      <c r="X33" s="64"/>
      <c r="Y33" s="64"/>
      <c r="Z33" s="64"/>
      <c r="AA33" s="64"/>
      <c r="AB33" s="193">
        <f t="shared" si="21"/>
        <v>1</v>
      </c>
      <c r="AC33" s="193">
        <f t="shared" si="22"/>
        <v>0</v>
      </c>
      <c r="AD33" s="193">
        <f t="shared" si="23"/>
        <v>1</v>
      </c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</row>
    <row r="34" spans="2:97" s="15" customFormat="1" x14ac:dyDescent="0.2">
      <c r="B34" s="4" t="s">
        <v>29</v>
      </c>
      <c r="C34" s="4"/>
      <c r="D34" s="14"/>
      <c r="E34" s="16"/>
      <c r="F34" s="133"/>
      <c r="G34" s="18" t="s">
        <v>176</v>
      </c>
      <c r="H34" s="59"/>
      <c r="I34" s="86"/>
      <c r="J34" s="70"/>
      <c r="K34" s="70"/>
      <c r="L34" s="23"/>
      <c r="M34" s="59"/>
      <c r="N34" s="86"/>
      <c r="O34" s="86"/>
      <c r="P34" s="86"/>
      <c r="Q34" s="86"/>
      <c r="R34" s="86"/>
      <c r="S34" s="86"/>
      <c r="T34" s="86"/>
      <c r="U34" s="23"/>
      <c r="V34" s="24"/>
      <c r="W34" s="24"/>
      <c r="X34" s="24"/>
      <c r="Y34" s="24"/>
      <c r="Z34" s="24"/>
      <c r="AA34" s="24"/>
      <c r="AB34" s="194">
        <f t="shared" si="21"/>
        <v>0</v>
      </c>
      <c r="AC34" s="194">
        <f t="shared" si="22"/>
        <v>0</v>
      </c>
      <c r="AD34" s="194">
        <f t="shared" si="23"/>
        <v>0</v>
      </c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</row>
    <row r="35" spans="2:97" s="15" customFormat="1" x14ac:dyDescent="0.2">
      <c r="B35" s="4" t="s">
        <v>29</v>
      </c>
      <c r="C35" s="4"/>
      <c r="D35" s="14"/>
      <c r="E35" s="16"/>
      <c r="F35" s="133"/>
      <c r="G35" s="18" t="s">
        <v>177</v>
      </c>
      <c r="H35" s="59"/>
      <c r="I35" s="86"/>
      <c r="J35" s="23"/>
      <c r="K35" s="70"/>
      <c r="L35" s="23"/>
      <c r="M35" s="59"/>
      <c r="N35" s="86"/>
      <c r="O35" s="86"/>
      <c r="P35" s="86"/>
      <c r="Q35" s="86"/>
      <c r="R35" s="86"/>
      <c r="S35" s="86"/>
      <c r="T35" s="86"/>
      <c r="U35" s="23"/>
      <c r="V35" s="24"/>
      <c r="W35" s="24"/>
      <c r="X35" s="24"/>
      <c r="Y35" s="24"/>
      <c r="Z35" s="24"/>
      <c r="AA35" s="24"/>
      <c r="AB35" s="194">
        <f t="shared" si="21"/>
        <v>0</v>
      </c>
      <c r="AC35" s="194">
        <f t="shared" si="22"/>
        <v>0</v>
      </c>
      <c r="AD35" s="194">
        <f t="shared" si="23"/>
        <v>0</v>
      </c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</row>
    <row r="36" spans="2:97" s="15" customFormat="1" x14ac:dyDescent="0.2">
      <c r="B36" s="4" t="s">
        <v>29</v>
      </c>
      <c r="C36" s="4"/>
      <c r="D36" s="14"/>
      <c r="E36" s="16"/>
      <c r="F36" s="133"/>
      <c r="G36" s="18" t="s">
        <v>196</v>
      </c>
      <c r="H36" s="59"/>
      <c r="I36" s="86"/>
      <c r="J36" s="86"/>
      <c r="K36" s="59"/>
      <c r="L36" s="70">
        <v>50000</v>
      </c>
      <c r="M36" s="70"/>
      <c r="N36" s="70"/>
      <c r="O36" s="70"/>
      <c r="P36" s="70"/>
      <c r="Q36" s="70">
        <v>100000</v>
      </c>
      <c r="R36" s="70"/>
      <c r="S36" s="70"/>
      <c r="T36" s="70"/>
      <c r="U36" s="70"/>
      <c r="V36" s="70">
        <v>200000</v>
      </c>
      <c r="W36" s="70"/>
      <c r="X36" s="70"/>
      <c r="Y36" s="70"/>
      <c r="Z36" s="70"/>
      <c r="AA36" s="70"/>
      <c r="AB36" s="195">
        <f t="shared" si="21"/>
        <v>150000</v>
      </c>
      <c r="AC36" s="195">
        <f t="shared" si="22"/>
        <v>200000</v>
      </c>
      <c r="AD36" s="194">
        <f t="shared" si="23"/>
        <v>350000</v>
      </c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</row>
    <row r="37" spans="2:97" s="13" customFormat="1" x14ac:dyDescent="0.2">
      <c r="B37" s="4" t="s">
        <v>213</v>
      </c>
      <c r="C37" s="4" t="s">
        <v>213</v>
      </c>
      <c r="D37" s="14"/>
      <c r="E37" s="65" t="str">
        <f>'Budget by product version 2'!B9</f>
        <v>Product 5: New watershed protection infrastructures built (water-tanks, check-dams, river bank retaining walls)</v>
      </c>
      <c r="F37" s="66"/>
      <c r="G37" s="67"/>
      <c r="H37" s="68" t="str">
        <f>'Budget by product version 2'!E9</f>
        <v>Structure</v>
      </c>
      <c r="I37" s="84">
        <f>'Budget by product version 2'!K9</f>
        <v>517</v>
      </c>
      <c r="J37" s="84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>
        <v>20</v>
      </c>
      <c r="V37" s="69"/>
      <c r="W37" s="69"/>
      <c r="X37" s="69"/>
      <c r="Y37" s="69"/>
      <c r="Z37" s="69"/>
      <c r="AA37" s="69">
        <v>35</v>
      </c>
      <c r="AB37" s="201">
        <f t="shared" ref="AB37:AB40" si="34">SUM(J37:U37)</f>
        <v>20</v>
      </c>
      <c r="AC37" s="201">
        <f t="shared" ref="AC37:AC40" si="35">SUM(V37:AA37)</f>
        <v>35</v>
      </c>
      <c r="AD37" s="208">
        <f t="shared" si="23"/>
        <v>55</v>
      </c>
      <c r="AE37" s="215"/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</row>
    <row r="38" spans="2:97" s="13" customFormat="1" x14ac:dyDescent="0.2">
      <c r="B38" s="4" t="s">
        <v>29</v>
      </c>
      <c r="C38" s="4" t="s">
        <v>213</v>
      </c>
      <c r="D38" s="14"/>
      <c r="E38" s="65" t="str">
        <f>E37</f>
        <v>Product 5: New watershed protection infrastructures built (water-tanks, check-dams, river bank retaining walls)</v>
      </c>
      <c r="F38" s="66"/>
      <c r="G38" s="67"/>
      <c r="H38" s="68" t="s">
        <v>29</v>
      </c>
      <c r="I38" s="84">
        <f>'Budget by product version 2'!P9</f>
        <v>4830000</v>
      </c>
      <c r="J38" s="84">
        <f t="shared" ref="J38:AA38" si="36">SUM(J40)+SUM(J42)</f>
        <v>0</v>
      </c>
      <c r="K38" s="84">
        <f t="shared" si="36"/>
        <v>0</v>
      </c>
      <c r="L38" s="84">
        <f t="shared" si="36"/>
        <v>0</v>
      </c>
      <c r="M38" s="84">
        <f t="shared" si="36"/>
        <v>0</v>
      </c>
      <c r="N38" s="84">
        <f t="shared" si="36"/>
        <v>10000</v>
      </c>
      <c r="O38" s="84">
        <f t="shared" si="36"/>
        <v>0</v>
      </c>
      <c r="P38" s="84">
        <f t="shared" si="36"/>
        <v>15000</v>
      </c>
      <c r="Q38" s="84">
        <f t="shared" si="36"/>
        <v>0</v>
      </c>
      <c r="R38" s="84">
        <f t="shared" si="36"/>
        <v>60000</v>
      </c>
      <c r="S38" s="84">
        <f t="shared" si="36"/>
        <v>0</v>
      </c>
      <c r="T38" s="84">
        <f t="shared" si="36"/>
        <v>65000</v>
      </c>
      <c r="U38" s="84">
        <f t="shared" si="36"/>
        <v>0</v>
      </c>
      <c r="V38" s="84">
        <f t="shared" si="36"/>
        <v>5000</v>
      </c>
      <c r="W38" s="84">
        <f t="shared" si="36"/>
        <v>60000</v>
      </c>
      <c r="X38" s="84">
        <f t="shared" si="36"/>
        <v>10000</v>
      </c>
      <c r="Y38" s="84">
        <f t="shared" si="36"/>
        <v>0</v>
      </c>
      <c r="Z38" s="84">
        <f t="shared" si="36"/>
        <v>300000</v>
      </c>
      <c r="AA38" s="84">
        <f t="shared" si="36"/>
        <v>10000</v>
      </c>
      <c r="AB38" s="196">
        <f t="shared" si="34"/>
        <v>150000</v>
      </c>
      <c r="AC38" s="196">
        <f t="shared" si="35"/>
        <v>385000</v>
      </c>
      <c r="AD38" s="208">
        <f t="shared" si="23"/>
        <v>535000</v>
      </c>
      <c r="AE38" s="215"/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</row>
    <row r="39" spans="2:97" s="15" customFormat="1" x14ac:dyDescent="0.2">
      <c r="B39" s="4" t="s">
        <v>213</v>
      </c>
      <c r="C39" s="4" t="s">
        <v>214</v>
      </c>
      <c r="D39" s="14"/>
      <c r="E39" s="16"/>
      <c r="F39" s="61" t="s">
        <v>197</v>
      </c>
      <c r="G39" s="62"/>
      <c r="H39" s="74"/>
      <c r="I39" s="85">
        <v>1</v>
      </c>
      <c r="J39" s="85"/>
      <c r="K39" s="63"/>
      <c r="L39" s="63"/>
      <c r="M39" s="63"/>
      <c r="N39" s="63"/>
      <c r="O39" s="63"/>
      <c r="P39" s="63">
        <v>1</v>
      </c>
      <c r="Q39" s="63"/>
      <c r="R39" s="63"/>
      <c r="S39" s="63"/>
      <c r="T39" s="63"/>
      <c r="U39" s="63"/>
      <c r="V39" s="64"/>
      <c r="W39" s="64"/>
      <c r="X39" s="64"/>
      <c r="Y39" s="64"/>
      <c r="Z39" s="64"/>
      <c r="AA39" s="64"/>
      <c r="AB39" s="193">
        <f t="shared" si="34"/>
        <v>1</v>
      </c>
      <c r="AC39" s="193">
        <f t="shared" si="35"/>
        <v>0</v>
      </c>
      <c r="AD39" s="193">
        <f t="shared" ref="AD39:AD42" si="37">AB39+AC39</f>
        <v>1</v>
      </c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</row>
    <row r="40" spans="2:97" s="16" customFormat="1" x14ac:dyDescent="0.2">
      <c r="B40" s="4" t="s">
        <v>29</v>
      </c>
      <c r="C40" s="4"/>
      <c r="G40" s="16" t="s">
        <v>324</v>
      </c>
      <c r="N40" s="70">
        <v>10000</v>
      </c>
      <c r="P40" s="70">
        <v>15000</v>
      </c>
      <c r="R40" s="70">
        <v>10000</v>
      </c>
      <c r="T40" s="70">
        <v>5000</v>
      </c>
      <c r="V40" s="70">
        <v>5000</v>
      </c>
      <c r="X40" s="70">
        <v>10000</v>
      </c>
      <c r="AA40" s="70">
        <v>10000</v>
      </c>
      <c r="AB40" s="195">
        <f t="shared" si="34"/>
        <v>40000</v>
      </c>
      <c r="AC40" s="195">
        <f t="shared" si="35"/>
        <v>25000</v>
      </c>
      <c r="AD40" s="209">
        <f t="shared" si="37"/>
        <v>65000</v>
      </c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8"/>
    </row>
    <row r="41" spans="2:97" s="15" customFormat="1" x14ac:dyDescent="0.2">
      <c r="B41" s="4" t="s">
        <v>213</v>
      </c>
      <c r="C41" s="4" t="s">
        <v>214</v>
      </c>
      <c r="D41" s="14"/>
      <c r="E41" s="16"/>
      <c r="F41" s="61" t="s">
        <v>296</v>
      </c>
      <c r="G41" s="62"/>
      <c r="H41" s="74"/>
      <c r="I41" s="85">
        <f>Produits!M45</f>
        <v>0</v>
      </c>
      <c r="J41" s="85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4"/>
      <c r="W41" s="64"/>
      <c r="X41" s="64"/>
      <c r="Y41" s="64"/>
      <c r="Z41" s="64"/>
      <c r="AA41" s="64"/>
      <c r="AB41" s="193">
        <f t="shared" ref="AB41:AB42" si="38">SUM(J41:U41)</f>
        <v>0</v>
      </c>
      <c r="AC41" s="193">
        <f t="shared" ref="AC41:AC42" si="39">SUM(V41:AA41)</f>
        <v>0</v>
      </c>
      <c r="AD41" s="193">
        <f t="shared" si="37"/>
        <v>0</v>
      </c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</row>
    <row r="42" spans="2:97" s="16" customFormat="1" x14ac:dyDescent="0.2">
      <c r="B42" s="4" t="s">
        <v>29</v>
      </c>
      <c r="C42" s="4"/>
      <c r="G42" s="16" t="s">
        <v>297</v>
      </c>
      <c r="R42" s="70">
        <v>50000</v>
      </c>
      <c r="T42" s="70">
        <v>60000</v>
      </c>
      <c r="W42" s="70">
        <v>60000</v>
      </c>
      <c r="Z42" s="70">
        <v>300000</v>
      </c>
      <c r="AB42" s="195">
        <f t="shared" si="38"/>
        <v>110000</v>
      </c>
      <c r="AC42" s="195">
        <f t="shared" si="39"/>
        <v>360000</v>
      </c>
      <c r="AD42" s="209">
        <f t="shared" si="37"/>
        <v>470000</v>
      </c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8"/>
    </row>
    <row r="43" spans="2:97" x14ac:dyDescent="0.2">
      <c r="B43" s="4" t="s">
        <v>29</v>
      </c>
      <c r="C43" s="4" t="s">
        <v>25</v>
      </c>
      <c r="D43" s="9" t="str">
        <f>D5</f>
        <v>Administration and monitoring</v>
      </c>
      <c r="E43" s="10"/>
      <c r="F43" s="10"/>
      <c r="G43" s="10"/>
      <c r="H43" s="60" t="s">
        <v>29</v>
      </c>
      <c r="I43" s="83">
        <f>I5</f>
        <v>860000</v>
      </c>
      <c r="J43" s="137">
        <f>SUM(J44:J47)</f>
        <v>8000</v>
      </c>
      <c r="K43" s="137">
        <f t="shared" ref="K43:AA43" si="40">SUM(K44:K47)</f>
        <v>14000</v>
      </c>
      <c r="L43" s="137">
        <f t="shared" si="40"/>
        <v>94000</v>
      </c>
      <c r="M43" s="137">
        <f t="shared" si="40"/>
        <v>14000</v>
      </c>
      <c r="N43" s="137">
        <f t="shared" si="40"/>
        <v>14000</v>
      </c>
      <c r="O43" s="137">
        <f t="shared" si="40"/>
        <v>14000</v>
      </c>
      <c r="P43" s="137">
        <f t="shared" si="40"/>
        <v>14000</v>
      </c>
      <c r="Q43" s="137">
        <f t="shared" si="40"/>
        <v>14000</v>
      </c>
      <c r="R43" s="137">
        <f t="shared" si="40"/>
        <v>15000</v>
      </c>
      <c r="S43" s="137">
        <f t="shared" si="40"/>
        <v>15000</v>
      </c>
      <c r="T43" s="137">
        <f t="shared" si="40"/>
        <v>15000</v>
      </c>
      <c r="U43" s="137">
        <f t="shared" si="40"/>
        <v>15000</v>
      </c>
      <c r="V43" s="137">
        <f t="shared" si="40"/>
        <v>15000</v>
      </c>
      <c r="W43" s="137">
        <f t="shared" si="40"/>
        <v>15000</v>
      </c>
      <c r="X43" s="137">
        <f t="shared" si="40"/>
        <v>15000</v>
      </c>
      <c r="Y43" s="137">
        <f t="shared" si="40"/>
        <v>15000</v>
      </c>
      <c r="Z43" s="137">
        <f t="shared" si="40"/>
        <v>15000</v>
      </c>
      <c r="AA43" s="137">
        <f t="shared" si="40"/>
        <v>15000</v>
      </c>
      <c r="AB43" s="202">
        <f t="shared" si="21"/>
        <v>246000</v>
      </c>
      <c r="AC43" s="202">
        <f t="shared" si="22"/>
        <v>90000</v>
      </c>
      <c r="AD43" s="207">
        <f t="shared" si="23"/>
        <v>336000</v>
      </c>
    </row>
    <row r="44" spans="2:97" s="5" customFormat="1" x14ac:dyDescent="0.2">
      <c r="B44" s="4" t="s">
        <v>29</v>
      </c>
      <c r="C44" s="4"/>
      <c r="G44" s="5" t="s">
        <v>204</v>
      </c>
      <c r="J44" s="23">
        <f>5000</f>
        <v>5000</v>
      </c>
      <c r="K44" s="23">
        <f>5000</f>
        <v>5000</v>
      </c>
      <c r="L44" s="23">
        <f>5000</f>
        <v>5000</v>
      </c>
      <c r="M44" s="23">
        <f>5000</f>
        <v>5000</v>
      </c>
      <c r="N44" s="23">
        <f>5000</f>
        <v>5000</v>
      </c>
      <c r="O44" s="23">
        <f>5000</f>
        <v>5000</v>
      </c>
      <c r="P44" s="23">
        <f>5000</f>
        <v>5000</v>
      </c>
      <c r="Q44" s="23">
        <f>5000</f>
        <v>5000</v>
      </c>
      <c r="R44" s="23">
        <f>5000</f>
        <v>5000</v>
      </c>
      <c r="S44" s="23">
        <f>5000</f>
        <v>5000</v>
      </c>
      <c r="T44" s="23">
        <f>5000</f>
        <v>5000</v>
      </c>
      <c r="U44" s="23">
        <f>5000</f>
        <v>5000</v>
      </c>
      <c r="V44" s="23">
        <f>5000</f>
        <v>5000</v>
      </c>
      <c r="W44" s="23">
        <f>5000</f>
        <v>5000</v>
      </c>
      <c r="X44" s="23">
        <f>5000</f>
        <v>5000</v>
      </c>
      <c r="Y44" s="23">
        <f>5000</f>
        <v>5000</v>
      </c>
      <c r="Z44" s="23">
        <f>5000</f>
        <v>5000</v>
      </c>
      <c r="AA44" s="23">
        <f>5000</f>
        <v>5000</v>
      </c>
      <c r="AB44" s="203">
        <f t="shared" si="21"/>
        <v>60000</v>
      </c>
      <c r="AC44" s="203">
        <f t="shared" si="22"/>
        <v>30000</v>
      </c>
      <c r="AD44" s="210">
        <f t="shared" si="23"/>
        <v>90000</v>
      </c>
      <c r="AE44" s="205"/>
      <c r="AF44" s="205"/>
      <c r="AG44" s="205"/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12"/>
    </row>
    <row r="45" spans="2:97" s="5" customFormat="1" x14ac:dyDescent="0.2">
      <c r="B45" s="4" t="s">
        <v>29</v>
      </c>
      <c r="C45" s="4"/>
      <c r="G45" s="5" t="s">
        <v>205</v>
      </c>
      <c r="J45" s="23">
        <v>3000</v>
      </c>
      <c r="K45" s="23">
        <v>3000</v>
      </c>
      <c r="L45" s="23">
        <v>3000</v>
      </c>
      <c r="M45" s="23">
        <v>3000</v>
      </c>
      <c r="N45" s="23">
        <v>3000</v>
      </c>
      <c r="O45" s="23">
        <v>3000</v>
      </c>
      <c r="P45" s="23">
        <v>3000</v>
      </c>
      <c r="Q45" s="23">
        <v>3000</v>
      </c>
      <c r="R45" s="23">
        <v>4000</v>
      </c>
      <c r="S45" s="23">
        <v>4000</v>
      </c>
      <c r="T45" s="23">
        <v>4000</v>
      </c>
      <c r="U45" s="23">
        <v>4000</v>
      </c>
      <c r="V45" s="23">
        <v>4000</v>
      </c>
      <c r="W45" s="23">
        <v>4000</v>
      </c>
      <c r="X45" s="23">
        <v>4000</v>
      </c>
      <c r="Y45" s="23">
        <v>4000</v>
      </c>
      <c r="Z45" s="23">
        <v>4000</v>
      </c>
      <c r="AA45" s="23">
        <v>4000</v>
      </c>
      <c r="AB45" s="203">
        <f t="shared" si="21"/>
        <v>40000</v>
      </c>
      <c r="AC45" s="203">
        <f t="shared" si="22"/>
        <v>24000</v>
      </c>
      <c r="AD45" s="211">
        <f t="shared" si="23"/>
        <v>64000</v>
      </c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12"/>
    </row>
    <row r="46" spans="2:97" s="5" customFormat="1" x14ac:dyDescent="0.2">
      <c r="B46" s="4" t="s">
        <v>29</v>
      </c>
      <c r="C46" s="4"/>
      <c r="G46" s="5" t="s">
        <v>207</v>
      </c>
      <c r="J46" s="23"/>
      <c r="K46" s="23"/>
      <c r="L46" s="23">
        <v>80000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03">
        <f t="shared" ref="AB46" si="41">SUM(J46:U46)</f>
        <v>80000</v>
      </c>
      <c r="AC46" s="203">
        <f t="shared" ref="AC46" si="42">SUM(V46:AA46)</f>
        <v>0</v>
      </c>
      <c r="AD46" s="211">
        <f t="shared" ref="AD46" si="43">AB46+AC46</f>
        <v>80000</v>
      </c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12"/>
    </row>
    <row r="47" spans="2:97" s="5" customFormat="1" x14ac:dyDescent="0.2">
      <c r="B47" s="4" t="s">
        <v>29</v>
      </c>
      <c r="C47" s="4"/>
      <c r="G47" s="5" t="s">
        <v>311</v>
      </c>
      <c r="J47" s="23"/>
      <c r="K47" s="23">
        <v>6000</v>
      </c>
      <c r="L47" s="23">
        <v>6000</v>
      </c>
      <c r="M47" s="23">
        <v>6000</v>
      </c>
      <c r="N47" s="23">
        <v>6000</v>
      </c>
      <c r="O47" s="23">
        <v>6000</v>
      </c>
      <c r="P47" s="23">
        <v>6000</v>
      </c>
      <c r="Q47" s="23">
        <v>6000</v>
      </c>
      <c r="R47" s="23">
        <v>6000</v>
      </c>
      <c r="S47" s="23">
        <v>6000</v>
      </c>
      <c r="T47" s="23">
        <v>6000</v>
      </c>
      <c r="U47" s="23">
        <v>6000</v>
      </c>
      <c r="V47" s="23">
        <v>6000</v>
      </c>
      <c r="W47" s="23">
        <v>6000</v>
      </c>
      <c r="X47" s="23">
        <v>6000</v>
      </c>
      <c r="Y47" s="23">
        <v>6000</v>
      </c>
      <c r="Z47" s="23">
        <v>6000</v>
      </c>
      <c r="AA47" s="23">
        <v>6000</v>
      </c>
      <c r="AB47" s="203">
        <f t="shared" ref="AB47" si="44">SUM(J47:U47)</f>
        <v>66000</v>
      </c>
      <c r="AC47" s="203">
        <f t="shared" ref="AC47" si="45">SUM(V47:AA47)</f>
        <v>36000</v>
      </c>
      <c r="AD47" s="211">
        <f t="shared" ref="AD47" si="46">AB47+AC47</f>
        <v>102000</v>
      </c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12"/>
    </row>
    <row r="48" spans="2:97" x14ac:dyDescent="0.2">
      <c r="B48" s="4" t="s">
        <v>29</v>
      </c>
      <c r="C48" s="4" t="s">
        <v>25</v>
      </c>
      <c r="D48" s="9" t="str">
        <f>D6</f>
        <v>Audits</v>
      </c>
      <c r="E48" s="10"/>
      <c r="F48" s="10"/>
      <c r="G48" s="10"/>
      <c r="H48" s="60" t="s">
        <v>29</v>
      </c>
      <c r="I48" s="83">
        <f>I6</f>
        <v>60000</v>
      </c>
      <c r="J48" s="137">
        <f>SUM(J49)</f>
        <v>0</v>
      </c>
      <c r="K48" s="137">
        <f t="shared" ref="K48:AA48" si="47">SUM(K49)</f>
        <v>0</v>
      </c>
      <c r="L48" s="137">
        <f t="shared" si="47"/>
        <v>0</v>
      </c>
      <c r="M48" s="137">
        <f t="shared" si="47"/>
        <v>0</v>
      </c>
      <c r="N48" s="137">
        <f t="shared" si="47"/>
        <v>0</v>
      </c>
      <c r="O48" s="137">
        <f t="shared" si="47"/>
        <v>0</v>
      </c>
      <c r="P48" s="137">
        <f t="shared" si="47"/>
        <v>15000</v>
      </c>
      <c r="Q48" s="137">
        <f t="shared" si="47"/>
        <v>0</v>
      </c>
      <c r="R48" s="137">
        <f t="shared" si="47"/>
        <v>0</v>
      </c>
      <c r="S48" s="137">
        <f t="shared" si="47"/>
        <v>0</v>
      </c>
      <c r="T48" s="137">
        <f t="shared" si="47"/>
        <v>0</v>
      </c>
      <c r="U48" s="137">
        <f t="shared" si="47"/>
        <v>0</v>
      </c>
      <c r="V48" s="137">
        <f t="shared" si="47"/>
        <v>7500</v>
      </c>
      <c r="W48" s="137">
        <f t="shared" si="47"/>
        <v>0</v>
      </c>
      <c r="X48" s="137">
        <f t="shared" si="47"/>
        <v>0</v>
      </c>
      <c r="Y48" s="137">
        <f t="shared" si="47"/>
        <v>0</v>
      </c>
      <c r="Z48" s="137">
        <f t="shared" si="47"/>
        <v>0</v>
      </c>
      <c r="AA48" s="137">
        <f t="shared" si="47"/>
        <v>0</v>
      </c>
      <c r="AB48" s="204">
        <f t="shared" si="21"/>
        <v>15000</v>
      </c>
      <c r="AC48" s="204">
        <f t="shared" si="22"/>
        <v>7500</v>
      </c>
      <c r="AD48" s="207">
        <f t="shared" si="23"/>
        <v>22500</v>
      </c>
    </row>
    <row r="49" spans="2:54" x14ac:dyDescent="0.2">
      <c r="B49" s="4" t="s">
        <v>29</v>
      </c>
      <c r="D49" s="5"/>
      <c r="E49" s="26"/>
      <c r="F49" s="25"/>
      <c r="G49" s="3"/>
      <c r="H49" s="73"/>
      <c r="I49" s="87"/>
      <c r="J49" s="87"/>
      <c r="K49" s="19"/>
      <c r="L49" s="19"/>
      <c r="M49" s="19"/>
      <c r="N49" s="19"/>
      <c r="O49" s="19"/>
      <c r="P49" s="70">
        <v>15000</v>
      </c>
      <c r="Q49" s="19"/>
      <c r="R49" s="19"/>
      <c r="S49" s="19"/>
      <c r="T49" s="19"/>
      <c r="U49" s="19"/>
      <c r="V49" s="70">
        <v>7500</v>
      </c>
      <c r="W49" s="19"/>
      <c r="X49" s="19"/>
      <c r="Y49" s="19"/>
      <c r="Z49" s="19"/>
      <c r="AA49" s="19"/>
      <c r="AB49" s="56">
        <f t="shared" si="21"/>
        <v>15000</v>
      </c>
      <c r="AC49" s="56">
        <f t="shared" si="22"/>
        <v>7500</v>
      </c>
      <c r="AD49" s="194">
        <f t="shared" si="23"/>
        <v>22500</v>
      </c>
    </row>
    <row r="50" spans="2:54" x14ac:dyDescent="0.2">
      <c r="B50" s="4" t="s">
        <v>29</v>
      </c>
      <c r="C50" s="4" t="s">
        <v>25</v>
      </c>
      <c r="D50" s="9" t="str">
        <f>D7</f>
        <v>Evaluation</v>
      </c>
      <c r="E50" s="10"/>
      <c r="F50" s="10"/>
      <c r="G50" s="10"/>
      <c r="H50" s="58" t="s">
        <v>29</v>
      </c>
      <c r="I50" s="83">
        <f>I7</f>
        <v>250000</v>
      </c>
      <c r="J50" s="137">
        <f>J51</f>
        <v>0</v>
      </c>
      <c r="K50" s="137">
        <f t="shared" ref="K50:AA50" si="48">K51</f>
        <v>0</v>
      </c>
      <c r="L50" s="137">
        <f t="shared" si="48"/>
        <v>0</v>
      </c>
      <c r="M50" s="137">
        <f t="shared" si="48"/>
        <v>0</v>
      </c>
      <c r="N50" s="137">
        <f t="shared" si="48"/>
        <v>60000</v>
      </c>
      <c r="O50" s="137">
        <f t="shared" si="48"/>
        <v>0</v>
      </c>
      <c r="P50" s="137">
        <f t="shared" si="48"/>
        <v>0</v>
      </c>
      <c r="Q50" s="137">
        <f t="shared" si="48"/>
        <v>0</v>
      </c>
      <c r="R50" s="137">
        <f t="shared" si="48"/>
        <v>60000</v>
      </c>
      <c r="S50" s="137">
        <f t="shared" si="48"/>
        <v>0</v>
      </c>
      <c r="T50" s="137">
        <f t="shared" si="48"/>
        <v>0</v>
      </c>
      <c r="U50" s="137">
        <f t="shared" si="48"/>
        <v>0</v>
      </c>
      <c r="V50" s="137">
        <f t="shared" si="48"/>
        <v>0</v>
      </c>
      <c r="W50" s="137">
        <f t="shared" si="48"/>
        <v>0</v>
      </c>
      <c r="X50" s="137">
        <f t="shared" si="48"/>
        <v>0</v>
      </c>
      <c r="Y50" s="137">
        <f t="shared" si="48"/>
        <v>0</v>
      </c>
      <c r="Z50" s="137">
        <f t="shared" si="48"/>
        <v>0</v>
      </c>
      <c r="AA50" s="137">
        <f t="shared" si="48"/>
        <v>0</v>
      </c>
      <c r="AB50" s="202">
        <f t="shared" si="21"/>
        <v>120000</v>
      </c>
      <c r="AC50" s="202">
        <f t="shared" si="22"/>
        <v>0</v>
      </c>
      <c r="AD50" s="207">
        <f t="shared" si="23"/>
        <v>120000</v>
      </c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</row>
    <row r="51" spans="2:54" x14ac:dyDescent="0.2">
      <c r="B51" s="4" t="s">
        <v>29</v>
      </c>
      <c r="D51" s="5"/>
      <c r="E51" s="2"/>
      <c r="F51" s="81"/>
      <c r="G51" s="3" t="s">
        <v>206</v>
      </c>
      <c r="H51" s="73"/>
      <c r="I51" s="87"/>
      <c r="J51" s="87"/>
      <c r="K51" s="19"/>
      <c r="L51" s="19"/>
      <c r="M51" s="19"/>
      <c r="N51" s="70">
        <v>60000</v>
      </c>
      <c r="O51" s="19"/>
      <c r="P51" s="19"/>
      <c r="Q51" s="19"/>
      <c r="R51" s="70">
        <v>60000</v>
      </c>
      <c r="S51" s="19"/>
      <c r="T51" s="19"/>
      <c r="U51" s="19"/>
      <c r="V51" s="20"/>
      <c r="W51" s="20"/>
      <c r="X51" s="20"/>
      <c r="Y51" s="20"/>
      <c r="Z51" s="20"/>
      <c r="AA51" s="20"/>
      <c r="AB51" s="197">
        <f t="shared" si="21"/>
        <v>120000</v>
      </c>
      <c r="AC51" s="197">
        <f t="shared" si="22"/>
        <v>0</v>
      </c>
      <c r="AD51" s="194">
        <f t="shared" si="23"/>
        <v>120000</v>
      </c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</row>
  </sheetData>
  <autoFilter ref="A2:CS51"/>
  <mergeCells count="1">
    <mergeCell ref="D1:U1"/>
  </mergeCells>
  <pageMargins left="0.25" right="0.25" top="0.75" bottom="0.75" header="0.3" footer="0.3"/>
  <pageSetup scale="66" orientation="landscape" horizontalDpi="1200" verticalDpi="1200" r:id="rId1"/>
  <colBreaks count="1" manualBreakCount="1">
    <brk id="21" max="51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O77"/>
  <sheetViews>
    <sheetView tabSelected="1" zoomScaleNormal="100" workbookViewId="0">
      <selection activeCell="F20" sqref="F20"/>
    </sheetView>
  </sheetViews>
  <sheetFormatPr defaultColWidth="8.85546875" defaultRowHeight="12.75" x14ac:dyDescent="0.2"/>
  <cols>
    <col min="1" max="1" width="24.140625" style="4" customWidth="1"/>
    <col min="2" max="2" width="57.28515625" style="4" bestFit="1" customWidth="1"/>
    <col min="3" max="3" width="11.140625" style="4" customWidth="1"/>
    <col min="4" max="4" width="14.140625" style="4" customWidth="1"/>
    <col min="5" max="5" width="9" style="4" customWidth="1"/>
    <col min="6" max="6" width="11.5703125" style="54" customWidth="1"/>
    <col min="7" max="7" width="9.85546875" style="54" customWidth="1"/>
    <col min="8" max="8" width="14.85546875" style="4" customWidth="1"/>
    <col min="9" max="9" width="13.85546875" style="54" customWidth="1"/>
    <col min="10" max="10" width="11.140625" style="54" customWidth="1"/>
    <col min="11" max="11" width="9.7109375" style="54" customWidth="1"/>
    <col min="12" max="12" width="64" style="54" customWidth="1"/>
    <col min="13" max="13" width="79.28515625" style="4" customWidth="1"/>
    <col min="14" max="256" width="8.85546875" style="4"/>
    <col min="257" max="257" width="21.140625" style="4" customWidth="1"/>
    <col min="258" max="258" width="15.85546875" style="4" customWidth="1"/>
    <col min="259" max="259" width="41.7109375" style="4" customWidth="1"/>
    <col min="260" max="260" width="16.42578125" style="4" customWidth="1"/>
    <col min="261" max="261" width="11.28515625" style="4" customWidth="1"/>
    <col min="262" max="262" width="12.140625" style="4" customWidth="1"/>
    <col min="263" max="263" width="9.85546875" style="4" customWidth="1"/>
    <col min="264" max="264" width="12.140625" style="4" customWidth="1"/>
    <col min="265" max="265" width="11" style="4" customWidth="1"/>
    <col min="266" max="266" width="14.42578125" style="4" customWidth="1"/>
    <col min="267" max="267" width="13.7109375" style="4" customWidth="1"/>
    <col min="268" max="268" width="10.85546875" style="4" customWidth="1"/>
    <col min="269" max="512" width="8.85546875" style="4"/>
    <col min="513" max="513" width="21.140625" style="4" customWidth="1"/>
    <col min="514" max="514" width="15.85546875" style="4" customWidth="1"/>
    <col min="515" max="515" width="41.7109375" style="4" customWidth="1"/>
    <col min="516" max="516" width="16.42578125" style="4" customWidth="1"/>
    <col min="517" max="517" width="11.28515625" style="4" customWidth="1"/>
    <col min="518" max="518" width="12.140625" style="4" customWidth="1"/>
    <col min="519" max="519" width="9.85546875" style="4" customWidth="1"/>
    <col min="520" max="520" width="12.140625" style="4" customWidth="1"/>
    <col min="521" max="521" width="11" style="4" customWidth="1"/>
    <col min="522" max="522" width="14.42578125" style="4" customWidth="1"/>
    <col min="523" max="523" width="13.7109375" style="4" customWidth="1"/>
    <col min="524" max="524" width="10.85546875" style="4" customWidth="1"/>
    <col min="525" max="768" width="8.85546875" style="4"/>
    <col min="769" max="769" width="21.140625" style="4" customWidth="1"/>
    <col min="770" max="770" width="15.85546875" style="4" customWidth="1"/>
    <col min="771" max="771" width="41.7109375" style="4" customWidth="1"/>
    <col min="772" max="772" width="16.42578125" style="4" customWidth="1"/>
    <col min="773" max="773" width="11.28515625" style="4" customWidth="1"/>
    <col min="774" max="774" width="12.140625" style="4" customWidth="1"/>
    <col min="775" max="775" width="9.85546875" style="4" customWidth="1"/>
    <col min="776" max="776" width="12.140625" style="4" customWidth="1"/>
    <col min="777" max="777" width="11" style="4" customWidth="1"/>
    <col min="778" max="778" width="14.42578125" style="4" customWidth="1"/>
    <col min="779" max="779" width="13.7109375" style="4" customWidth="1"/>
    <col min="780" max="780" width="10.85546875" style="4" customWidth="1"/>
    <col min="781" max="1024" width="8.85546875" style="4"/>
    <col min="1025" max="1025" width="21.140625" style="4" customWidth="1"/>
    <col min="1026" max="1026" width="15.85546875" style="4" customWidth="1"/>
    <col min="1027" max="1027" width="41.7109375" style="4" customWidth="1"/>
    <col min="1028" max="1028" width="16.42578125" style="4" customWidth="1"/>
    <col min="1029" max="1029" width="11.28515625" style="4" customWidth="1"/>
    <col min="1030" max="1030" width="12.140625" style="4" customWidth="1"/>
    <col min="1031" max="1031" width="9.85546875" style="4" customWidth="1"/>
    <col min="1032" max="1032" width="12.140625" style="4" customWidth="1"/>
    <col min="1033" max="1033" width="11" style="4" customWidth="1"/>
    <col min="1034" max="1034" width="14.42578125" style="4" customWidth="1"/>
    <col min="1035" max="1035" width="13.7109375" style="4" customWidth="1"/>
    <col min="1036" max="1036" width="10.85546875" style="4" customWidth="1"/>
    <col min="1037" max="1280" width="8.85546875" style="4"/>
    <col min="1281" max="1281" width="21.140625" style="4" customWidth="1"/>
    <col min="1282" max="1282" width="15.85546875" style="4" customWidth="1"/>
    <col min="1283" max="1283" width="41.7109375" style="4" customWidth="1"/>
    <col min="1284" max="1284" width="16.42578125" style="4" customWidth="1"/>
    <col min="1285" max="1285" width="11.28515625" style="4" customWidth="1"/>
    <col min="1286" max="1286" width="12.140625" style="4" customWidth="1"/>
    <col min="1287" max="1287" width="9.85546875" style="4" customWidth="1"/>
    <col min="1288" max="1288" width="12.140625" style="4" customWidth="1"/>
    <col min="1289" max="1289" width="11" style="4" customWidth="1"/>
    <col min="1290" max="1290" width="14.42578125" style="4" customWidth="1"/>
    <col min="1291" max="1291" width="13.7109375" style="4" customWidth="1"/>
    <col min="1292" max="1292" width="10.85546875" style="4" customWidth="1"/>
    <col min="1293" max="1536" width="8.85546875" style="4"/>
    <col min="1537" max="1537" width="21.140625" style="4" customWidth="1"/>
    <col min="1538" max="1538" width="15.85546875" style="4" customWidth="1"/>
    <col min="1539" max="1539" width="41.7109375" style="4" customWidth="1"/>
    <col min="1540" max="1540" width="16.42578125" style="4" customWidth="1"/>
    <col min="1541" max="1541" width="11.28515625" style="4" customWidth="1"/>
    <col min="1542" max="1542" width="12.140625" style="4" customWidth="1"/>
    <col min="1543" max="1543" width="9.85546875" style="4" customWidth="1"/>
    <col min="1544" max="1544" width="12.140625" style="4" customWidth="1"/>
    <col min="1545" max="1545" width="11" style="4" customWidth="1"/>
    <col min="1546" max="1546" width="14.42578125" style="4" customWidth="1"/>
    <col min="1547" max="1547" width="13.7109375" style="4" customWidth="1"/>
    <col min="1548" max="1548" width="10.85546875" style="4" customWidth="1"/>
    <col min="1549" max="1792" width="8.85546875" style="4"/>
    <col min="1793" max="1793" width="21.140625" style="4" customWidth="1"/>
    <col min="1794" max="1794" width="15.85546875" style="4" customWidth="1"/>
    <col min="1795" max="1795" width="41.7109375" style="4" customWidth="1"/>
    <col min="1796" max="1796" width="16.42578125" style="4" customWidth="1"/>
    <col min="1797" max="1797" width="11.28515625" style="4" customWidth="1"/>
    <col min="1798" max="1798" width="12.140625" style="4" customWidth="1"/>
    <col min="1799" max="1799" width="9.85546875" style="4" customWidth="1"/>
    <col min="1800" max="1800" width="12.140625" style="4" customWidth="1"/>
    <col min="1801" max="1801" width="11" style="4" customWidth="1"/>
    <col min="1802" max="1802" width="14.42578125" style="4" customWidth="1"/>
    <col min="1803" max="1803" width="13.7109375" style="4" customWidth="1"/>
    <col min="1804" max="1804" width="10.85546875" style="4" customWidth="1"/>
    <col min="1805" max="2048" width="8.85546875" style="4"/>
    <col min="2049" max="2049" width="21.140625" style="4" customWidth="1"/>
    <col min="2050" max="2050" width="15.85546875" style="4" customWidth="1"/>
    <col min="2051" max="2051" width="41.7109375" style="4" customWidth="1"/>
    <col min="2052" max="2052" width="16.42578125" style="4" customWidth="1"/>
    <col min="2053" max="2053" width="11.28515625" style="4" customWidth="1"/>
    <col min="2054" max="2054" width="12.140625" style="4" customWidth="1"/>
    <col min="2055" max="2055" width="9.85546875" style="4" customWidth="1"/>
    <col min="2056" max="2056" width="12.140625" style="4" customWidth="1"/>
    <col min="2057" max="2057" width="11" style="4" customWidth="1"/>
    <col min="2058" max="2058" width="14.42578125" style="4" customWidth="1"/>
    <col min="2059" max="2059" width="13.7109375" style="4" customWidth="1"/>
    <col min="2060" max="2060" width="10.85546875" style="4" customWidth="1"/>
    <col min="2061" max="2304" width="8.85546875" style="4"/>
    <col min="2305" max="2305" width="21.140625" style="4" customWidth="1"/>
    <col min="2306" max="2306" width="15.85546875" style="4" customWidth="1"/>
    <col min="2307" max="2307" width="41.7109375" style="4" customWidth="1"/>
    <col min="2308" max="2308" width="16.42578125" style="4" customWidth="1"/>
    <col min="2309" max="2309" width="11.28515625" style="4" customWidth="1"/>
    <col min="2310" max="2310" width="12.140625" style="4" customWidth="1"/>
    <col min="2311" max="2311" width="9.85546875" style="4" customWidth="1"/>
    <col min="2312" max="2312" width="12.140625" style="4" customWidth="1"/>
    <col min="2313" max="2313" width="11" style="4" customWidth="1"/>
    <col min="2314" max="2314" width="14.42578125" style="4" customWidth="1"/>
    <col min="2315" max="2315" width="13.7109375" style="4" customWidth="1"/>
    <col min="2316" max="2316" width="10.85546875" style="4" customWidth="1"/>
    <col min="2317" max="2560" width="8.85546875" style="4"/>
    <col min="2561" max="2561" width="21.140625" style="4" customWidth="1"/>
    <col min="2562" max="2562" width="15.85546875" style="4" customWidth="1"/>
    <col min="2563" max="2563" width="41.7109375" style="4" customWidth="1"/>
    <col min="2564" max="2564" width="16.42578125" style="4" customWidth="1"/>
    <col min="2565" max="2565" width="11.28515625" style="4" customWidth="1"/>
    <col min="2566" max="2566" width="12.140625" style="4" customWidth="1"/>
    <col min="2567" max="2567" width="9.85546875" style="4" customWidth="1"/>
    <col min="2568" max="2568" width="12.140625" style="4" customWidth="1"/>
    <col min="2569" max="2569" width="11" style="4" customWidth="1"/>
    <col min="2570" max="2570" width="14.42578125" style="4" customWidth="1"/>
    <col min="2571" max="2571" width="13.7109375" style="4" customWidth="1"/>
    <col min="2572" max="2572" width="10.85546875" style="4" customWidth="1"/>
    <col min="2573" max="2816" width="8.85546875" style="4"/>
    <col min="2817" max="2817" width="21.140625" style="4" customWidth="1"/>
    <col min="2818" max="2818" width="15.85546875" style="4" customWidth="1"/>
    <col min="2819" max="2819" width="41.7109375" style="4" customWidth="1"/>
    <col min="2820" max="2820" width="16.42578125" style="4" customWidth="1"/>
    <col min="2821" max="2821" width="11.28515625" style="4" customWidth="1"/>
    <col min="2822" max="2822" width="12.140625" style="4" customWidth="1"/>
    <col min="2823" max="2823" width="9.85546875" style="4" customWidth="1"/>
    <col min="2824" max="2824" width="12.140625" style="4" customWidth="1"/>
    <col min="2825" max="2825" width="11" style="4" customWidth="1"/>
    <col min="2826" max="2826" width="14.42578125" style="4" customWidth="1"/>
    <col min="2827" max="2827" width="13.7109375" style="4" customWidth="1"/>
    <col min="2828" max="2828" width="10.85546875" style="4" customWidth="1"/>
    <col min="2829" max="3072" width="8.85546875" style="4"/>
    <col min="3073" max="3073" width="21.140625" style="4" customWidth="1"/>
    <col min="3074" max="3074" width="15.85546875" style="4" customWidth="1"/>
    <col min="3075" max="3075" width="41.7109375" style="4" customWidth="1"/>
    <col min="3076" max="3076" width="16.42578125" style="4" customWidth="1"/>
    <col min="3077" max="3077" width="11.28515625" style="4" customWidth="1"/>
    <col min="3078" max="3078" width="12.140625" style="4" customWidth="1"/>
    <col min="3079" max="3079" width="9.85546875" style="4" customWidth="1"/>
    <col min="3080" max="3080" width="12.140625" style="4" customWidth="1"/>
    <col min="3081" max="3081" width="11" style="4" customWidth="1"/>
    <col min="3082" max="3082" width="14.42578125" style="4" customWidth="1"/>
    <col min="3083" max="3083" width="13.7109375" style="4" customWidth="1"/>
    <col min="3084" max="3084" width="10.85546875" style="4" customWidth="1"/>
    <col min="3085" max="3328" width="8.85546875" style="4"/>
    <col min="3329" max="3329" width="21.140625" style="4" customWidth="1"/>
    <col min="3330" max="3330" width="15.85546875" style="4" customWidth="1"/>
    <col min="3331" max="3331" width="41.7109375" style="4" customWidth="1"/>
    <col min="3332" max="3332" width="16.42578125" style="4" customWidth="1"/>
    <col min="3333" max="3333" width="11.28515625" style="4" customWidth="1"/>
    <col min="3334" max="3334" width="12.140625" style="4" customWidth="1"/>
    <col min="3335" max="3335" width="9.85546875" style="4" customWidth="1"/>
    <col min="3336" max="3336" width="12.140625" style="4" customWidth="1"/>
    <col min="3337" max="3337" width="11" style="4" customWidth="1"/>
    <col min="3338" max="3338" width="14.42578125" style="4" customWidth="1"/>
    <col min="3339" max="3339" width="13.7109375" style="4" customWidth="1"/>
    <col min="3340" max="3340" width="10.85546875" style="4" customWidth="1"/>
    <col min="3341" max="3584" width="8.85546875" style="4"/>
    <col min="3585" max="3585" width="21.140625" style="4" customWidth="1"/>
    <col min="3586" max="3586" width="15.85546875" style="4" customWidth="1"/>
    <col min="3587" max="3587" width="41.7109375" style="4" customWidth="1"/>
    <col min="3588" max="3588" width="16.42578125" style="4" customWidth="1"/>
    <col min="3589" max="3589" width="11.28515625" style="4" customWidth="1"/>
    <col min="3590" max="3590" width="12.140625" style="4" customWidth="1"/>
    <col min="3591" max="3591" width="9.85546875" style="4" customWidth="1"/>
    <col min="3592" max="3592" width="12.140625" style="4" customWidth="1"/>
    <col min="3593" max="3593" width="11" style="4" customWidth="1"/>
    <col min="3594" max="3594" width="14.42578125" style="4" customWidth="1"/>
    <col min="3595" max="3595" width="13.7109375" style="4" customWidth="1"/>
    <col min="3596" max="3596" width="10.85546875" style="4" customWidth="1"/>
    <col min="3597" max="3840" width="8.85546875" style="4"/>
    <col min="3841" max="3841" width="21.140625" style="4" customWidth="1"/>
    <col min="3842" max="3842" width="15.85546875" style="4" customWidth="1"/>
    <col min="3843" max="3843" width="41.7109375" style="4" customWidth="1"/>
    <col min="3844" max="3844" width="16.42578125" style="4" customWidth="1"/>
    <col min="3845" max="3845" width="11.28515625" style="4" customWidth="1"/>
    <col min="3846" max="3846" width="12.140625" style="4" customWidth="1"/>
    <col min="3847" max="3847" width="9.85546875" style="4" customWidth="1"/>
    <col min="3848" max="3848" width="12.140625" style="4" customWidth="1"/>
    <col min="3849" max="3849" width="11" style="4" customWidth="1"/>
    <col min="3850" max="3850" width="14.42578125" style="4" customWidth="1"/>
    <col min="3851" max="3851" width="13.7109375" style="4" customWidth="1"/>
    <col min="3852" max="3852" width="10.85546875" style="4" customWidth="1"/>
    <col min="3853" max="4096" width="8.85546875" style="4"/>
    <col min="4097" max="4097" width="21.140625" style="4" customWidth="1"/>
    <col min="4098" max="4098" width="15.85546875" style="4" customWidth="1"/>
    <col min="4099" max="4099" width="41.7109375" style="4" customWidth="1"/>
    <col min="4100" max="4100" width="16.42578125" style="4" customWidth="1"/>
    <col min="4101" max="4101" width="11.28515625" style="4" customWidth="1"/>
    <col min="4102" max="4102" width="12.140625" style="4" customWidth="1"/>
    <col min="4103" max="4103" width="9.85546875" style="4" customWidth="1"/>
    <col min="4104" max="4104" width="12.140625" style="4" customWidth="1"/>
    <col min="4105" max="4105" width="11" style="4" customWidth="1"/>
    <col min="4106" max="4106" width="14.42578125" style="4" customWidth="1"/>
    <col min="4107" max="4107" width="13.7109375" style="4" customWidth="1"/>
    <col min="4108" max="4108" width="10.85546875" style="4" customWidth="1"/>
    <col min="4109" max="4352" width="8.85546875" style="4"/>
    <col min="4353" max="4353" width="21.140625" style="4" customWidth="1"/>
    <col min="4354" max="4354" width="15.85546875" style="4" customWidth="1"/>
    <col min="4355" max="4355" width="41.7109375" style="4" customWidth="1"/>
    <col min="4356" max="4356" width="16.42578125" style="4" customWidth="1"/>
    <col min="4357" max="4357" width="11.28515625" style="4" customWidth="1"/>
    <col min="4358" max="4358" width="12.140625" style="4" customWidth="1"/>
    <col min="4359" max="4359" width="9.85546875" style="4" customWidth="1"/>
    <col min="4360" max="4360" width="12.140625" style="4" customWidth="1"/>
    <col min="4361" max="4361" width="11" style="4" customWidth="1"/>
    <col min="4362" max="4362" width="14.42578125" style="4" customWidth="1"/>
    <col min="4363" max="4363" width="13.7109375" style="4" customWidth="1"/>
    <col min="4364" max="4364" width="10.85546875" style="4" customWidth="1"/>
    <col min="4365" max="4608" width="8.85546875" style="4"/>
    <col min="4609" max="4609" width="21.140625" style="4" customWidth="1"/>
    <col min="4610" max="4610" width="15.85546875" style="4" customWidth="1"/>
    <col min="4611" max="4611" width="41.7109375" style="4" customWidth="1"/>
    <col min="4612" max="4612" width="16.42578125" style="4" customWidth="1"/>
    <col min="4613" max="4613" width="11.28515625" style="4" customWidth="1"/>
    <col min="4614" max="4614" width="12.140625" style="4" customWidth="1"/>
    <col min="4615" max="4615" width="9.85546875" style="4" customWidth="1"/>
    <col min="4616" max="4616" width="12.140625" style="4" customWidth="1"/>
    <col min="4617" max="4617" width="11" style="4" customWidth="1"/>
    <col min="4618" max="4618" width="14.42578125" style="4" customWidth="1"/>
    <col min="4619" max="4619" width="13.7109375" style="4" customWidth="1"/>
    <col min="4620" max="4620" width="10.85546875" style="4" customWidth="1"/>
    <col min="4621" max="4864" width="8.85546875" style="4"/>
    <col min="4865" max="4865" width="21.140625" style="4" customWidth="1"/>
    <col min="4866" max="4866" width="15.85546875" style="4" customWidth="1"/>
    <col min="4867" max="4867" width="41.7109375" style="4" customWidth="1"/>
    <col min="4868" max="4868" width="16.42578125" style="4" customWidth="1"/>
    <col min="4869" max="4869" width="11.28515625" style="4" customWidth="1"/>
    <col min="4870" max="4870" width="12.140625" style="4" customWidth="1"/>
    <col min="4871" max="4871" width="9.85546875" style="4" customWidth="1"/>
    <col min="4872" max="4872" width="12.140625" style="4" customWidth="1"/>
    <col min="4873" max="4873" width="11" style="4" customWidth="1"/>
    <col min="4874" max="4874" width="14.42578125" style="4" customWidth="1"/>
    <col min="4875" max="4875" width="13.7109375" style="4" customWidth="1"/>
    <col min="4876" max="4876" width="10.85546875" style="4" customWidth="1"/>
    <col min="4877" max="5120" width="8.85546875" style="4"/>
    <col min="5121" max="5121" width="21.140625" style="4" customWidth="1"/>
    <col min="5122" max="5122" width="15.85546875" style="4" customWidth="1"/>
    <col min="5123" max="5123" width="41.7109375" style="4" customWidth="1"/>
    <col min="5124" max="5124" width="16.42578125" style="4" customWidth="1"/>
    <col min="5125" max="5125" width="11.28515625" style="4" customWidth="1"/>
    <col min="5126" max="5126" width="12.140625" style="4" customWidth="1"/>
    <col min="5127" max="5127" width="9.85546875" style="4" customWidth="1"/>
    <col min="5128" max="5128" width="12.140625" style="4" customWidth="1"/>
    <col min="5129" max="5129" width="11" style="4" customWidth="1"/>
    <col min="5130" max="5130" width="14.42578125" style="4" customWidth="1"/>
    <col min="5131" max="5131" width="13.7109375" style="4" customWidth="1"/>
    <col min="5132" max="5132" width="10.85546875" style="4" customWidth="1"/>
    <col min="5133" max="5376" width="8.85546875" style="4"/>
    <col min="5377" max="5377" width="21.140625" style="4" customWidth="1"/>
    <col min="5378" max="5378" width="15.85546875" style="4" customWidth="1"/>
    <col min="5379" max="5379" width="41.7109375" style="4" customWidth="1"/>
    <col min="5380" max="5380" width="16.42578125" style="4" customWidth="1"/>
    <col min="5381" max="5381" width="11.28515625" style="4" customWidth="1"/>
    <col min="5382" max="5382" width="12.140625" style="4" customWidth="1"/>
    <col min="5383" max="5383" width="9.85546875" style="4" customWidth="1"/>
    <col min="5384" max="5384" width="12.140625" style="4" customWidth="1"/>
    <col min="5385" max="5385" width="11" style="4" customWidth="1"/>
    <col min="5386" max="5386" width="14.42578125" style="4" customWidth="1"/>
    <col min="5387" max="5387" width="13.7109375" style="4" customWidth="1"/>
    <col min="5388" max="5388" width="10.85546875" style="4" customWidth="1"/>
    <col min="5389" max="5632" width="8.85546875" style="4"/>
    <col min="5633" max="5633" width="21.140625" style="4" customWidth="1"/>
    <col min="5634" max="5634" width="15.85546875" style="4" customWidth="1"/>
    <col min="5635" max="5635" width="41.7109375" style="4" customWidth="1"/>
    <col min="5636" max="5636" width="16.42578125" style="4" customWidth="1"/>
    <col min="5637" max="5637" width="11.28515625" style="4" customWidth="1"/>
    <col min="5638" max="5638" width="12.140625" style="4" customWidth="1"/>
    <col min="5639" max="5639" width="9.85546875" style="4" customWidth="1"/>
    <col min="5640" max="5640" width="12.140625" style="4" customWidth="1"/>
    <col min="5641" max="5641" width="11" style="4" customWidth="1"/>
    <col min="5642" max="5642" width="14.42578125" style="4" customWidth="1"/>
    <col min="5643" max="5643" width="13.7109375" style="4" customWidth="1"/>
    <col min="5644" max="5644" width="10.85546875" style="4" customWidth="1"/>
    <col min="5645" max="5888" width="8.85546875" style="4"/>
    <col min="5889" max="5889" width="21.140625" style="4" customWidth="1"/>
    <col min="5890" max="5890" width="15.85546875" style="4" customWidth="1"/>
    <col min="5891" max="5891" width="41.7109375" style="4" customWidth="1"/>
    <col min="5892" max="5892" width="16.42578125" style="4" customWidth="1"/>
    <col min="5893" max="5893" width="11.28515625" style="4" customWidth="1"/>
    <col min="5894" max="5894" width="12.140625" style="4" customWidth="1"/>
    <col min="5895" max="5895" width="9.85546875" style="4" customWidth="1"/>
    <col min="5896" max="5896" width="12.140625" style="4" customWidth="1"/>
    <col min="5897" max="5897" width="11" style="4" customWidth="1"/>
    <col min="5898" max="5898" width="14.42578125" style="4" customWidth="1"/>
    <col min="5899" max="5899" width="13.7109375" style="4" customWidth="1"/>
    <col min="5900" max="5900" width="10.85546875" style="4" customWidth="1"/>
    <col min="5901" max="6144" width="8.85546875" style="4"/>
    <col min="6145" max="6145" width="21.140625" style="4" customWidth="1"/>
    <col min="6146" max="6146" width="15.85546875" style="4" customWidth="1"/>
    <col min="6147" max="6147" width="41.7109375" style="4" customWidth="1"/>
    <col min="6148" max="6148" width="16.42578125" style="4" customWidth="1"/>
    <col min="6149" max="6149" width="11.28515625" style="4" customWidth="1"/>
    <col min="6150" max="6150" width="12.140625" style="4" customWidth="1"/>
    <col min="6151" max="6151" width="9.85546875" style="4" customWidth="1"/>
    <col min="6152" max="6152" width="12.140625" style="4" customWidth="1"/>
    <col min="6153" max="6153" width="11" style="4" customWidth="1"/>
    <col min="6154" max="6154" width="14.42578125" style="4" customWidth="1"/>
    <col min="6155" max="6155" width="13.7109375" style="4" customWidth="1"/>
    <col min="6156" max="6156" width="10.85546875" style="4" customWidth="1"/>
    <col min="6157" max="6400" width="8.85546875" style="4"/>
    <col min="6401" max="6401" width="21.140625" style="4" customWidth="1"/>
    <col min="6402" max="6402" width="15.85546875" style="4" customWidth="1"/>
    <col min="6403" max="6403" width="41.7109375" style="4" customWidth="1"/>
    <col min="6404" max="6404" width="16.42578125" style="4" customWidth="1"/>
    <col min="6405" max="6405" width="11.28515625" style="4" customWidth="1"/>
    <col min="6406" max="6406" width="12.140625" style="4" customWidth="1"/>
    <col min="6407" max="6407" width="9.85546875" style="4" customWidth="1"/>
    <col min="6408" max="6408" width="12.140625" style="4" customWidth="1"/>
    <col min="6409" max="6409" width="11" style="4" customWidth="1"/>
    <col min="6410" max="6410" width="14.42578125" style="4" customWidth="1"/>
    <col min="6411" max="6411" width="13.7109375" style="4" customWidth="1"/>
    <col min="6412" max="6412" width="10.85546875" style="4" customWidth="1"/>
    <col min="6413" max="6656" width="8.85546875" style="4"/>
    <col min="6657" max="6657" width="21.140625" style="4" customWidth="1"/>
    <col min="6658" max="6658" width="15.85546875" style="4" customWidth="1"/>
    <col min="6659" max="6659" width="41.7109375" style="4" customWidth="1"/>
    <col min="6660" max="6660" width="16.42578125" style="4" customWidth="1"/>
    <col min="6661" max="6661" width="11.28515625" style="4" customWidth="1"/>
    <col min="6662" max="6662" width="12.140625" style="4" customWidth="1"/>
    <col min="6663" max="6663" width="9.85546875" style="4" customWidth="1"/>
    <col min="6664" max="6664" width="12.140625" style="4" customWidth="1"/>
    <col min="6665" max="6665" width="11" style="4" customWidth="1"/>
    <col min="6666" max="6666" width="14.42578125" style="4" customWidth="1"/>
    <col min="6667" max="6667" width="13.7109375" style="4" customWidth="1"/>
    <col min="6668" max="6668" width="10.85546875" style="4" customWidth="1"/>
    <col min="6669" max="6912" width="8.85546875" style="4"/>
    <col min="6913" max="6913" width="21.140625" style="4" customWidth="1"/>
    <col min="6914" max="6914" width="15.85546875" style="4" customWidth="1"/>
    <col min="6915" max="6915" width="41.7109375" style="4" customWidth="1"/>
    <col min="6916" max="6916" width="16.42578125" style="4" customWidth="1"/>
    <col min="6917" max="6917" width="11.28515625" style="4" customWidth="1"/>
    <col min="6918" max="6918" width="12.140625" style="4" customWidth="1"/>
    <col min="6919" max="6919" width="9.85546875" style="4" customWidth="1"/>
    <col min="6920" max="6920" width="12.140625" style="4" customWidth="1"/>
    <col min="6921" max="6921" width="11" style="4" customWidth="1"/>
    <col min="6922" max="6922" width="14.42578125" style="4" customWidth="1"/>
    <col min="6923" max="6923" width="13.7109375" style="4" customWidth="1"/>
    <col min="6924" max="6924" width="10.85546875" style="4" customWidth="1"/>
    <col min="6925" max="7168" width="8.85546875" style="4"/>
    <col min="7169" max="7169" width="21.140625" style="4" customWidth="1"/>
    <col min="7170" max="7170" width="15.85546875" style="4" customWidth="1"/>
    <col min="7171" max="7171" width="41.7109375" style="4" customWidth="1"/>
    <col min="7172" max="7172" width="16.42578125" style="4" customWidth="1"/>
    <col min="7173" max="7173" width="11.28515625" style="4" customWidth="1"/>
    <col min="7174" max="7174" width="12.140625" style="4" customWidth="1"/>
    <col min="7175" max="7175" width="9.85546875" style="4" customWidth="1"/>
    <col min="7176" max="7176" width="12.140625" style="4" customWidth="1"/>
    <col min="7177" max="7177" width="11" style="4" customWidth="1"/>
    <col min="7178" max="7178" width="14.42578125" style="4" customWidth="1"/>
    <col min="7179" max="7179" width="13.7109375" style="4" customWidth="1"/>
    <col min="7180" max="7180" width="10.85546875" style="4" customWidth="1"/>
    <col min="7181" max="7424" width="8.85546875" style="4"/>
    <col min="7425" max="7425" width="21.140625" style="4" customWidth="1"/>
    <col min="7426" max="7426" width="15.85546875" style="4" customWidth="1"/>
    <col min="7427" max="7427" width="41.7109375" style="4" customWidth="1"/>
    <col min="7428" max="7428" width="16.42578125" style="4" customWidth="1"/>
    <col min="7429" max="7429" width="11.28515625" style="4" customWidth="1"/>
    <col min="7430" max="7430" width="12.140625" style="4" customWidth="1"/>
    <col min="7431" max="7431" width="9.85546875" style="4" customWidth="1"/>
    <col min="7432" max="7432" width="12.140625" style="4" customWidth="1"/>
    <col min="7433" max="7433" width="11" style="4" customWidth="1"/>
    <col min="7434" max="7434" width="14.42578125" style="4" customWidth="1"/>
    <col min="7435" max="7435" width="13.7109375" style="4" customWidth="1"/>
    <col min="7436" max="7436" width="10.85546875" style="4" customWidth="1"/>
    <col min="7437" max="7680" width="8.85546875" style="4"/>
    <col min="7681" max="7681" width="21.140625" style="4" customWidth="1"/>
    <col min="7682" max="7682" width="15.85546875" style="4" customWidth="1"/>
    <col min="7683" max="7683" width="41.7109375" style="4" customWidth="1"/>
    <col min="7684" max="7684" width="16.42578125" style="4" customWidth="1"/>
    <col min="7685" max="7685" width="11.28515625" style="4" customWidth="1"/>
    <col min="7686" max="7686" width="12.140625" style="4" customWidth="1"/>
    <col min="7687" max="7687" width="9.85546875" style="4" customWidth="1"/>
    <col min="7688" max="7688" width="12.140625" style="4" customWidth="1"/>
    <col min="7689" max="7689" width="11" style="4" customWidth="1"/>
    <col min="7690" max="7690" width="14.42578125" style="4" customWidth="1"/>
    <col min="7691" max="7691" width="13.7109375" style="4" customWidth="1"/>
    <col min="7692" max="7692" width="10.85546875" style="4" customWidth="1"/>
    <col min="7693" max="7936" width="8.85546875" style="4"/>
    <col min="7937" max="7937" width="21.140625" style="4" customWidth="1"/>
    <col min="7938" max="7938" width="15.85546875" style="4" customWidth="1"/>
    <col min="7939" max="7939" width="41.7109375" style="4" customWidth="1"/>
    <col min="7940" max="7940" width="16.42578125" style="4" customWidth="1"/>
    <col min="7941" max="7941" width="11.28515625" style="4" customWidth="1"/>
    <col min="7942" max="7942" width="12.140625" style="4" customWidth="1"/>
    <col min="7943" max="7943" width="9.85546875" style="4" customWidth="1"/>
    <col min="7944" max="7944" width="12.140625" style="4" customWidth="1"/>
    <col min="7945" max="7945" width="11" style="4" customWidth="1"/>
    <col min="7946" max="7946" width="14.42578125" style="4" customWidth="1"/>
    <col min="7947" max="7947" width="13.7109375" style="4" customWidth="1"/>
    <col min="7948" max="7948" width="10.85546875" style="4" customWidth="1"/>
    <col min="7949" max="8192" width="8.85546875" style="4"/>
    <col min="8193" max="8193" width="21.140625" style="4" customWidth="1"/>
    <col min="8194" max="8194" width="15.85546875" style="4" customWidth="1"/>
    <col min="8195" max="8195" width="41.7109375" style="4" customWidth="1"/>
    <col min="8196" max="8196" width="16.42578125" style="4" customWidth="1"/>
    <col min="8197" max="8197" width="11.28515625" style="4" customWidth="1"/>
    <col min="8198" max="8198" width="12.140625" style="4" customWidth="1"/>
    <col min="8199" max="8199" width="9.85546875" style="4" customWidth="1"/>
    <col min="8200" max="8200" width="12.140625" style="4" customWidth="1"/>
    <col min="8201" max="8201" width="11" style="4" customWidth="1"/>
    <col min="8202" max="8202" width="14.42578125" style="4" customWidth="1"/>
    <col min="8203" max="8203" width="13.7109375" style="4" customWidth="1"/>
    <col min="8204" max="8204" width="10.85546875" style="4" customWidth="1"/>
    <col min="8205" max="8448" width="8.85546875" style="4"/>
    <col min="8449" max="8449" width="21.140625" style="4" customWidth="1"/>
    <col min="8450" max="8450" width="15.85546875" style="4" customWidth="1"/>
    <col min="8451" max="8451" width="41.7109375" style="4" customWidth="1"/>
    <col min="8452" max="8452" width="16.42578125" style="4" customWidth="1"/>
    <col min="8453" max="8453" width="11.28515625" style="4" customWidth="1"/>
    <col min="8454" max="8454" width="12.140625" style="4" customWidth="1"/>
    <col min="8455" max="8455" width="9.85546875" style="4" customWidth="1"/>
    <col min="8456" max="8456" width="12.140625" style="4" customWidth="1"/>
    <col min="8457" max="8457" width="11" style="4" customWidth="1"/>
    <col min="8458" max="8458" width="14.42578125" style="4" customWidth="1"/>
    <col min="8459" max="8459" width="13.7109375" style="4" customWidth="1"/>
    <col min="8460" max="8460" width="10.85546875" style="4" customWidth="1"/>
    <col min="8461" max="8704" width="8.85546875" style="4"/>
    <col min="8705" max="8705" width="21.140625" style="4" customWidth="1"/>
    <col min="8706" max="8706" width="15.85546875" style="4" customWidth="1"/>
    <col min="8707" max="8707" width="41.7109375" style="4" customWidth="1"/>
    <col min="8708" max="8708" width="16.42578125" style="4" customWidth="1"/>
    <col min="8709" max="8709" width="11.28515625" style="4" customWidth="1"/>
    <col min="8710" max="8710" width="12.140625" style="4" customWidth="1"/>
    <col min="8711" max="8711" width="9.85546875" style="4" customWidth="1"/>
    <col min="8712" max="8712" width="12.140625" style="4" customWidth="1"/>
    <col min="8713" max="8713" width="11" style="4" customWidth="1"/>
    <col min="8714" max="8714" width="14.42578125" style="4" customWidth="1"/>
    <col min="8715" max="8715" width="13.7109375" style="4" customWidth="1"/>
    <col min="8716" max="8716" width="10.85546875" style="4" customWidth="1"/>
    <col min="8717" max="8960" width="8.85546875" style="4"/>
    <col min="8961" max="8961" width="21.140625" style="4" customWidth="1"/>
    <col min="8962" max="8962" width="15.85546875" style="4" customWidth="1"/>
    <col min="8963" max="8963" width="41.7109375" style="4" customWidth="1"/>
    <col min="8964" max="8964" width="16.42578125" style="4" customWidth="1"/>
    <col min="8965" max="8965" width="11.28515625" style="4" customWidth="1"/>
    <col min="8966" max="8966" width="12.140625" style="4" customWidth="1"/>
    <col min="8967" max="8967" width="9.85546875" style="4" customWidth="1"/>
    <col min="8968" max="8968" width="12.140625" style="4" customWidth="1"/>
    <col min="8969" max="8969" width="11" style="4" customWidth="1"/>
    <col min="8970" max="8970" width="14.42578125" style="4" customWidth="1"/>
    <col min="8971" max="8971" width="13.7109375" style="4" customWidth="1"/>
    <col min="8972" max="8972" width="10.85546875" style="4" customWidth="1"/>
    <col min="8973" max="9216" width="8.85546875" style="4"/>
    <col min="9217" max="9217" width="21.140625" style="4" customWidth="1"/>
    <col min="9218" max="9218" width="15.85546875" style="4" customWidth="1"/>
    <col min="9219" max="9219" width="41.7109375" style="4" customWidth="1"/>
    <col min="9220" max="9220" width="16.42578125" style="4" customWidth="1"/>
    <col min="9221" max="9221" width="11.28515625" style="4" customWidth="1"/>
    <col min="9222" max="9222" width="12.140625" style="4" customWidth="1"/>
    <col min="9223" max="9223" width="9.85546875" style="4" customWidth="1"/>
    <col min="9224" max="9224" width="12.140625" style="4" customWidth="1"/>
    <col min="9225" max="9225" width="11" style="4" customWidth="1"/>
    <col min="9226" max="9226" width="14.42578125" style="4" customWidth="1"/>
    <col min="9227" max="9227" width="13.7109375" style="4" customWidth="1"/>
    <col min="9228" max="9228" width="10.85546875" style="4" customWidth="1"/>
    <col min="9229" max="9472" width="8.85546875" style="4"/>
    <col min="9473" max="9473" width="21.140625" style="4" customWidth="1"/>
    <col min="9474" max="9474" width="15.85546875" style="4" customWidth="1"/>
    <col min="9475" max="9475" width="41.7109375" style="4" customWidth="1"/>
    <col min="9476" max="9476" width="16.42578125" style="4" customWidth="1"/>
    <col min="9477" max="9477" width="11.28515625" style="4" customWidth="1"/>
    <col min="9478" max="9478" width="12.140625" style="4" customWidth="1"/>
    <col min="9479" max="9479" width="9.85546875" style="4" customWidth="1"/>
    <col min="9480" max="9480" width="12.140625" style="4" customWidth="1"/>
    <col min="9481" max="9481" width="11" style="4" customWidth="1"/>
    <col min="9482" max="9482" width="14.42578125" style="4" customWidth="1"/>
    <col min="9483" max="9483" width="13.7109375" style="4" customWidth="1"/>
    <col min="9484" max="9484" width="10.85546875" style="4" customWidth="1"/>
    <col min="9485" max="9728" width="8.85546875" style="4"/>
    <col min="9729" max="9729" width="21.140625" style="4" customWidth="1"/>
    <col min="9730" max="9730" width="15.85546875" style="4" customWidth="1"/>
    <col min="9731" max="9731" width="41.7109375" style="4" customWidth="1"/>
    <col min="9732" max="9732" width="16.42578125" style="4" customWidth="1"/>
    <col min="9733" max="9733" width="11.28515625" style="4" customWidth="1"/>
    <col min="9734" max="9734" width="12.140625" style="4" customWidth="1"/>
    <col min="9735" max="9735" width="9.85546875" style="4" customWidth="1"/>
    <col min="9736" max="9736" width="12.140625" style="4" customWidth="1"/>
    <col min="9737" max="9737" width="11" style="4" customWidth="1"/>
    <col min="9738" max="9738" width="14.42578125" style="4" customWidth="1"/>
    <col min="9739" max="9739" width="13.7109375" style="4" customWidth="1"/>
    <col min="9740" max="9740" width="10.85546875" style="4" customWidth="1"/>
    <col min="9741" max="9984" width="8.85546875" style="4"/>
    <col min="9985" max="9985" width="21.140625" style="4" customWidth="1"/>
    <col min="9986" max="9986" width="15.85546875" style="4" customWidth="1"/>
    <col min="9987" max="9987" width="41.7109375" style="4" customWidth="1"/>
    <col min="9988" max="9988" width="16.42578125" style="4" customWidth="1"/>
    <col min="9989" max="9989" width="11.28515625" style="4" customWidth="1"/>
    <col min="9990" max="9990" width="12.140625" style="4" customWidth="1"/>
    <col min="9991" max="9991" width="9.85546875" style="4" customWidth="1"/>
    <col min="9992" max="9992" width="12.140625" style="4" customWidth="1"/>
    <col min="9993" max="9993" width="11" style="4" customWidth="1"/>
    <col min="9994" max="9994" width="14.42578125" style="4" customWidth="1"/>
    <col min="9995" max="9995" width="13.7109375" style="4" customWidth="1"/>
    <col min="9996" max="9996" width="10.85546875" style="4" customWidth="1"/>
    <col min="9997" max="10240" width="8.85546875" style="4"/>
    <col min="10241" max="10241" width="21.140625" style="4" customWidth="1"/>
    <col min="10242" max="10242" width="15.85546875" style="4" customWidth="1"/>
    <col min="10243" max="10243" width="41.7109375" style="4" customWidth="1"/>
    <col min="10244" max="10244" width="16.42578125" style="4" customWidth="1"/>
    <col min="10245" max="10245" width="11.28515625" style="4" customWidth="1"/>
    <col min="10246" max="10246" width="12.140625" style="4" customWidth="1"/>
    <col min="10247" max="10247" width="9.85546875" style="4" customWidth="1"/>
    <col min="10248" max="10248" width="12.140625" style="4" customWidth="1"/>
    <col min="10249" max="10249" width="11" style="4" customWidth="1"/>
    <col min="10250" max="10250" width="14.42578125" style="4" customWidth="1"/>
    <col min="10251" max="10251" width="13.7109375" style="4" customWidth="1"/>
    <col min="10252" max="10252" width="10.85546875" style="4" customWidth="1"/>
    <col min="10253" max="10496" width="8.85546875" style="4"/>
    <col min="10497" max="10497" width="21.140625" style="4" customWidth="1"/>
    <col min="10498" max="10498" width="15.85546875" style="4" customWidth="1"/>
    <col min="10499" max="10499" width="41.7109375" style="4" customWidth="1"/>
    <col min="10500" max="10500" width="16.42578125" style="4" customWidth="1"/>
    <col min="10501" max="10501" width="11.28515625" style="4" customWidth="1"/>
    <col min="10502" max="10502" width="12.140625" style="4" customWidth="1"/>
    <col min="10503" max="10503" width="9.85546875" style="4" customWidth="1"/>
    <col min="10504" max="10504" width="12.140625" style="4" customWidth="1"/>
    <col min="10505" max="10505" width="11" style="4" customWidth="1"/>
    <col min="10506" max="10506" width="14.42578125" style="4" customWidth="1"/>
    <col min="10507" max="10507" width="13.7109375" style="4" customWidth="1"/>
    <col min="10508" max="10508" width="10.85546875" style="4" customWidth="1"/>
    <col min="10509" max="10752" width="8.85546875" style="4"/>
    <col min="10753" max="10753" width="21.140625" style="4" customWidth="1"/>
    <col min="10754" max="10754" width="15.85546875" style="4" customWidth="1"/>
    <col min="10755" max="10755" width="41.7109375" style="4" customWidth="1"/>
    <col min="10756" max="10756" width="16.42578125" style="4" customWidth="1"/>
    <col min="10757" max="10757" width="11.28515625" style="4" customWidth="1"/>
    <col min="10758" max="10758" width="12.140625" style="4" customWidth="1"/>
    <col min="10759" max="10759" width="9.85546875" style="4" customWidth="1"/>
    <col min="10760" max="10760" width="12.140625" style="4" customWidth="1"/>
    <col min="10761" max="10761" width="11" style="4" customWidth="1"/>
    <col min="10762" max="10762" width="14.42578125" style="4" customWidth="1"/>
    <col min="10763" max="10763" width="13.7109375" style="4" customWidth="1"/>
    <col min="10764" max="10764" width="10.85546875" style="4" customWidth="1"/>
    <col min="10765" max="11008" width="8.85546875" style="4"/>
    <col min="11009" max="11009" width="21.140625" style="4" customWidth="1"/>
    <col min="11010" max="11010" width="15.85546875" style="4" customWidth="1"/>
    <col min="11011" max="11011" width="41.7109375" style="4" customWidth="1"/>
    <col min="11012" max="11012" width="16.42578125" style="4" customWidth="1"/>
    <col min="11013" max="11013" width="11.28515625" style="4" customWidth="1"/>
    <col min="11014" max="11014" width="12.140625" style="4" customWidth="1"/>
    <col min="11015" max="11015" width="9.85546875" style="4" customWidth="1"/>
    <col min="11016" max="11016" width="12.140625" style="4" customWidth="1"/>
    <col min="11017" max="11017" width="11" style="4" customWidth="1"/>
    <col min="11018" max="11018" width="14.42578125" style="4" customWidth="1"/>
    <col min="11019" max="11019" width="13.7109375" style="4" customWidth="1"/>
    <col min="11020" max="11020" width="10.85546875" style="4" customWidth="1"/>
    <col min="11021" max="11264" width="8.85546875" style="4"/>
    <col min="11265" max="11265" width="21.140625" style="4" customWidth="1"/>
    <col min="11266" max="11266" width="15.85546875" style="4" customWidth="1"/>
    <col min="11267" max="11267" width="41.7109375" style="4" customWidth="1"/>
    <col min="11268" max="11268" width="16.42578125" style="4" customWidth="1"/>
    <col min="11269" max="11269" width="11.28515625" style="4" customWidth="1"/>
    <col min="11270" max="11270" width="12.140625" style="4" customWidth="1"/>
    <col min="11271" max="11271" width="9.85546875" style="4" customWidth="1"/>
    <col min="11272" max="11272" width="12.140625" style="4" customWidth="1"/>
    <col min="11273" max="11273" width="11" style="4" customWidth="1"/>
    <col min="11274" max="11274" width="14.42578125" style="4" customWidth="1"/>
    <col min="11275" max="11275" width="13.7109375" style="4" customWidth="1"/>
    <col min="11276" max="11276" width="10.85546875" style="4" customWidth="1"/>
    <col min="11277" max="11520" width="8.85546875" style="4"/>
    <col min="11521" max="11521" width="21.140625" style="4" customWidth="1"/>
    <col min="11522" max="11522" width="15.85546875" style="4" customWidth="1"/>
    <col min="11523" max="11523" width="41.7109375" style="4" customWidth="1"/>
    <col min="11524" max="11524" width="16.42578125" style="4" customWidth="1"/>
    <col min="11525" max="11525" width="11.28515625" style="4" customWidth="1"/>
    <col min="11526" max="11526" width="12.140625" style="4" customWidth="1"/>
    <col min="11527" max="11527" width="9.85546875" style="4" customWidth="1"/>
    <col min="11528" max="11528" width="12.140625" style="4" customWidth="1"/>
    <col min="11529" max="11529" width="11" style="4" customWidth="1"/>
    <col min="11530" max="11530" width="14.42578125" style="4" customWidth="1"/>
    <col min="11531" max="11531" width="13.7109375" style="4" customWidth="1"/>
    <col min="11532" max="11532" width="10.85546875" style="4" customWidth="1"/>
    <col min="11533" max="11776" width="8.85546875" style="4"/>
    <col min="11777" max="11777" width="21.140625" style="4" customWidth="1"/>
    <col min="11778" max="11778" width="15.85546875" style="4" customWidth="1"/>
    <col min="11779" max="11779" width="41.7109375" style="4" customWidth="1"/>
    <col min="11780" max="11780" width="16.42578125" style="4" customWidth="1"/>
    <col min="11781" max="11781" width="11.28515625" style="4" customWidth="1"/>
    <col min="11782" max="11782" width="12.140625" style="4" customWidth="1"/>
    <col min="11783" max="11783" width="9.85546875" style="4" customWidth="1"/>
    <col min="11784" max="11784" width="12.140625" style="4" customWidth="1"/>
    <col min="11785" max="11785" width="11" style="4" customWidth="1"/>
    <col min="11786" max="11786" width="14.42578125" style="4" customWidth="1"/>
    <col min="11787" max="11787" width="13.7109375" style="4" customWidth="1"/>
    <col min="11788" max="11788" width="10.85546875" style="4" customWidth="1"/>
    <col min="11789" max="12032" width="8.85546875" style="4"/>
    <col min="12033" max="12033" width="21.140625" style="4" customWidth="1"/>
    <col min="12034" max="12034" width="15.85546875" style="4" customWidth="1"/>
    <col min="12035" max="12035" width="41.7109375" style="4" customWidth="1"/>
    <col min="12036" max="12036" width="16.42578125" style="4" customWidth="1"/>
    <col min="12037" max="12037" width="11.28515625" style="4" customWidth="1"/>
    <col min="12038" max="12038" width="12.140625" style="4" customWidth="1"/>
    <col min="12039" max="12039" width="9.85546875" style="4" customWidth="1"/>
    <col min="12040" max="12040" width="12.140625" style="4" customWidth="1"/>
    <col min="12041" max="12041" width="11" style="4" customWidth="1"/>
    <col min="12042" max="12042" width="14.42578125" style="4" customWidth="1"/>
    <col min="12043" max="12043" width="13.7109375" style="4" customWidth="1"/>
    <col min="12044" max="12044" width="10.85546875" style="4" customWidth="1"/>
    <col min="12045" max="12288" width="8.85546875" style="4"/>
    <col min="12289" max="12289" width="21.140625" style="4" customWidth="1"/>
    <col min="12290" max="12290" width="15.85546875" style="4" customWidth="1"/>
    <col min="12291" max="12291" width="41.7109375" style="4" customWidth="1"/>
    <col min="12292" max="12292" width="16.42578125" style="4" customWidth="1"/>
    <col min="12293" max="12293" width="11.28515625" style="4" customWidth="1"/>
    <col min="12294" max="12294" width="12.140625" style="4" customWidth="1"/>
    <col min="12295" max="12295" width="9.85546875" style="4" customWidth="1"/>
    <col min="12296" max="12296" width="12.140625" style="4" customWidth="1"/>
    <col min="12297" max="12297" width="11" style="4" customWidth="1"/>
    <col min="12298" max="12298" width="14.42578125" style="4" customWidth="1"/>
    <col min="12299" max="12299" width="13.7109375" style="4" customWidth="1"/>
    <col min="12300" max="12300" width="10.85546875" style="4" customWidth="1"/>
    <col min="12301" max="12544" width="8.85546875" style="4"/>
    <col min="12545" max="12545" width="21.140625" style="4" customWidth="1"/>
    <col min="12546" max="12546" width="15.85546875" style="4" customWidth="1"/>
    <col min="12547" max="12547" width="41.7109375" style="4" customWidth="1"/>
    <col min="12548" max="12548" width="16.42578125" style="4" customWidth="1"/>
    <col min="12549" max="12549" width="11.28515625" style="4" customWidth="1"/>
    <col min="12550" max="12550" width="12.140625" style="4" customWidth="1"/>
    <col min="12551" max="12551" width="9.85546875" style="4" customWidth="1"/>
    <col min="12552" max="12552" width="12.140625" style="4" customWidth="1"/>
    <col min="12553" max="12553" width="11" style="4" customWidth="1"/>
    <col min="12554" max="12554" width="14.42578125" style="4" customWidth="1"/>
    <col min="12555" max="12555" width="13.7109375" style="4" customWidth="1"/>
    <col min="12556" max="12556" width="10.85546875" style="4" customWidth="1"/>
    <col min="12557" max="12800" width="8.85546875" style="4"/>
    <col min="12801" max="12801" width="21.140625" style="4" customWidth="1"/>
    <col min="12802" max="12802" width="15.85546875" style="4" customWidth="1"/>
    <col min="12803" max="12803" width="41.7109375" style="4" customWidth="1"/>
    <col min="12804" max="12804" width="16.42578125" style="4" customWidth="1"/>
    <col min="12805" max="12805" width="11.28515625" style="4" customWidth="1"/>
    <col min="12806" max="12806" width="12.140625" style="4" customWidth="1"/>
    <col min="12807" max="12807" width="9.85546875" style="4" customWidth="1"/>
    <col min="12808" max="12808" width="12.140625" style="4" customWidth="1"/>
    <col min="12809" max="12809" width="11" style="4" customWidth="1"/>
    <col min="12810" max="12810" width="14.42578125" style="4" customWidth="1"/>
    <col min="12811" max="12811" width="13.7109375" style="4" customWidth="1"/>
    <col min="12812" max="12812" width="10.85546875" style="4" customWidth="1"/>
    <col min="12813" max="13056" width="8.85546875" style="4"/>
    <col min="13057" max="13057" width="21.140625" style="4" customWidth="1"/>
    <col min="13058" max="13058" width="15.85546875" style="4" customWidth="1"/>
    <col min="13059" max="13059" width="41.7109375" style="4" customWidth="1"/>
    <col min="13060" max="13060" width="16.42578125" style="4" customWidth="1"/>
    <col min="13061" max="13061" width="11.28515625" style="4" customWidth="1"/>
    <col min="13062" max="13062" width="12.140625" style="4" customWidth="1"/>
    <col min="13063" max="13063" width="9.85546875" style="4" customWidth="1"/>
    <col min="13064" max="13064" width="12.140625" style="4" customWidth="1"/>
    <col min="13065" max="13065" width="11" style="4" customWidth="1"/>
    <col min="13066" max="13066" width="14.42578125" style="4" customWidth="1"/>
    <col min="13067" max="13067" width="13.7109375" style="4" customWidth="1"/>
    <col min="13068" max="13068" width="10.85546875" style="4" customWidth="1"/>
    <col min="13069" max="13312" width="8.85546875" style="4"/>
    <col min="13313" max="13313" width="21.140625" style="4" customWidth="1"/>
    <col min="13314" max="13314" width="15.85546875" style="4" customWidth="1"/>
    <col min="13315" max="13315" width="41.7109375" style="4" customWidth="1"/>
    <col min="13316" max="13316" width="16.42578125" style="4" customWidth="1"/>
    <col min="13317" max="13317" width="11.28515625" style="4" customWidth="1"/>
    <col min="13318" max="13318" width="12.140625" style="4" customWidth="1"/>
    <col min="13319" max="13319" width="9.85546875" style="4" customWidth="1"/>
    <col min="13320" max="13320" width="12.140625" style="4" customWidth="1"/>
    <col min="13321" max="13321" width="11" style="4" customWidth="1"/>
    <col min="13322" max="13322" width="14.42578125" style="4" customWidth="1"/>
    <col min="13323" max="13323" width="13.7109375" style="4" customWidth="1"/>
    <col min="13324" max="13324" width="10.85546875" style="4" customWidth="1"/>
    <col min="13325" max="13568" width="8.85546875" style="4"/>
    <col min="13569" max="13569" width="21.140625" style="4" customWidth="1"/>
    <col min="13570" max="13570" width="15.85546875" style="4" customWidth="1"/>
    <col min="13571" max="13571" width="41.7109375" style="4" customWidth="1"/>
    <col min="13572" max="13572" width="16.42578125" style="4" customWidth="1"/>
    <col min="13573" max="13573" width="11.28515625" style="4" customWidth="1"/>
    <col min="13574" max="13574" width="12.140625" style="4" customWidth="1"/>
    <col min="13575" max="13575" width="9.85546875" style="4" customWidth="1"/>
    <col min="13576" max="13576" width="12.140625" style="4" customWidth="1"/>
    <col min="13577" max="13577" width="11" style="4" customWidth="1"/>
    <col min="13578" max="13578" width="14.42578125" style="4" customWidth="1"/>
    <col min="13579" max="13579" width="13.7109375" style="4" customWidth="1"/>
    <col min="13580" max="13580" width="10.85546875" style="4" customWidth="1"/>
    <col min="13581" max="13824" width="8.85546875" style="4"/>
    <col min="13825" max="13825" width="21.140625" style="4" customWidth="1"/>
    <col min="13826" max="13826" width="15.85546875" style="4" customWidth="1"/>
    <col min="13827" max="13827" width="41.7109375" style="4" customWidth="1"/>
    <col min="13828" max="13828" width="16.42578125" style="4" customWidth="1"/>
    <col min="13829" max="13829" width="11.28515625" style="4" customWidth="1"/>
    <col min="13830" max="13830" width="12.140625" style="4" customWidth="1"/>
    <col min="13831" max="13831" width="9.85546875" style="4" customWidth="1"/>
    <col min="13832" max="13832" width="12.140625" style="4" customWidth="1"/>
    <col min="13833" max="13833" width="11" style="4" customWidth="1"/>
    <col min="13834" max="13834" width="14.42578125" style="4" customWidth="1"/>
    <col min="13835" max="13835" width="13.7109375" style="4" customWidth="1"/>
    <col min="13836" max="13836" width="10.85546875" style="4" customWidth="1"/>
    <col min="13837" max="14080" width="8.85546875" style="4"/>
    <col min="14081" max="14081" width="21.140625" style="4" customWidth="1"/>
    <col min="14082" max="14082" width="15.85546875" style="4" customWidth="1"/>
    <col min="14083" max="14083" width="41.7109375" style="4" customWidth="1"/>
    <col min="14084" max="14084" width="16.42578125" style="4" customWidth="1"/>
    <col min="14085" max="14085" width="11.28515625" style="4" customWidth="1"/>
    <col min="14086" max="14086" width="12.140625" style="4" customWidth="1"/>
    <col min="14087" max="14087" width="9.85546875" style="4" customWidth="1"/>
    <col min="14088" max="14088" width="12.140625" style="4" customWidth="1"/>
    <col min="14089" max="14089" width="11" style="4" customWidth="1"/>
    <col min="14090" max="14090" width="14.42578125" style="4" customWidth="1"/>
    <col min="14091" max="14091" width="13.7109375" style="4" customWidth="1"/>
    <col min="14092" max="14092" width="10.85546875" style="4" customWidth="1"/>
    <col min="14093" max="14336" width="8.85546875" style="4"/>
    <col min="14337" max="14337" width="21.140625" style="4" customWidth="1"/>
    <col min="14338" max="14338" width="15.85546875" style="4" customWidth="1"/>
    <col min="14339" max="14339" width="41.7109375" style="4" customWidth="1"/>
    <col min="14340" max="14340" width="16.42578125" style="4" customWidth="1"/>
    <col min="14341" max="14341" width="11.28515625" style="4" customWidth="1"/>
    <col min="14342" max="14342" width="12.140625" style="4" customWidth="1"/>
    <col min="14343" max="14343" width="9.85546875" style="4" customWidth="1"/>
    <col min="14344" max="14344" width="12.140625" style="4" customWidth="1"/>
    <col min="14345" max="14345" width="11" style="4" customWidth="1"/>
    <col min="14346" max="14346" width="14.42578125" style="4" customWidth="1"/>
    <col min="14347" max="14347" width="13.7109375" style="4" customWidth="1"/>
    <col min="14348" max="14348" width="10.85546875" style="4" customWidth="1"/>
    <col min="14349" max="14592" width="8.85546875" style="4"/>
    <col min="14593" max="14593" width="21.140625" style="4" customWidth="1"/>
    <col min="14594" max="14594" width="15.85546875" style="4" customWidth="1"/>
    <col min="14595" max="14595" width="41.7109375" style="4" customWidth="1"/>
    <col min="14596" max="14596" width="16.42578125" style="4" customWidth="1"/>
    <col min="14597" max="14597" width="11.28515625" style="4" customWidth="1"/>
    <col min="14598" max="14598" width="12.140625" style="4" customWidth="1"/>
    <col min="14599" max="14599" width="9.85546875" style="4" customWidth="1"/>
    <col min="14600" max="14600" width="12.140625" style="4" customWidth="1"/>
    <col min="14601" max="14601" width="11" style="4" customWidth="1"/>
    <col min="14602" max="14602" width="14.42578125" style="4" customWidth="1"/>
    <col min="14603" max="14603" width="13.7109375" style="4" customWidth="1"/>
    <col min="14604" max="14604" width="10.85546875" style="4" customWidth="1"/>
    <col min="14605" max="14848" width="8.85546875" style="4"/>
    <col min="14849" max="14849" width="21.140625" style="4" customWidth="1"/>
    <col min="14850" max="14850" width="15.85546875" style="4" customWidth="1"/>
    <col min="14851" max="14851" width="41.7109375" style="4" customWidth="1"/>
    <col min="14852" max="14852" width="16.42578125" style="4" customWidth="1"/>
    <col min="14853" max="14853" width="11.28515625" style="4" customWidth="1"/>
    <col min="14854" max="14854" width="12.140625" style="4" customWidth="1"/>
    <col min="14855" max="14855" width="9.85546875" style="4" customWidth="1"/>
    <col min="14856" max="14856" width="12.140625" style="4" customWidth="1"/>
    <col min="14857" max="14857" width="11" style="4" customWidth="1"/>
    <col min="14858" max="14858" width="14.42578125" style="4" customWidth="1"/>
    <col min="14859" max="14859" width="13.7109375" style="4" customWidth="1"/>
    <col min="14860" max="14860" width="10.85546875" style="4" customWidth="1"/>
    <col min="14861" max="15104" width="8.85546875" style="4"/>
    <col min="15105" max="15105" width="21.140625" style="4" customWidth="1"/>
    <col min="15106" max="15106" width="15.85546875" style="4" customWidth="1"/>
    <col min="15107" max="15107" width="41.7109375" style="4" customWidth="1"/>
    <col min="15108" max="15108" width="16.42578125" style="4" customWidth="1"/>
    <col min="15109" max="15109" width="11.28515625" style="4" customWidth="1"/>
    <col min="15110" max="15110" width="12.140625" style="4" customWidth="1"/>
    <col min="15111" max="15111" width="9.85546875" style="4" customWidth="1"/>
    <col min="15112" max="15112" width="12.140625" style="4" customWidth="1"/>
    <col min="15113" max="15113" width="11" style="4" customWidth="1"/>
    <col min="15114" max="15114" width="14.42578125" style="4" customWidth="1"/>
    <col min="15115" max="15115" width="13.7109375" style="4" customWidth="1"/>
    <col min="15116" max="15116" width="10.85546875" style="4" customWidth="1"/>
    <col min="15117" max="15360" width="8.85546875" style="4"/>
    <col min="15361" max="15361" width="21.140625" style="4" customWidth="1"/>
    <col min="15362" max="15362" width="15.85546875" style="4" customWidth="1"/>
    <col min="15363" max="15363" width="41.7109375" style="4" customWidth="1"/>
    <col min="15364" max="15364" width="16.42578125" style="4" customWidth="1"/>
    <col min="15365" max="15365" width="11.28515625" style="4" customWidth="1"/>
    <col min="15366" max="15366" width="12.140625" style="4" customWidth="1"/>
    <col min="15367" max="15367" width="9.85546875" style="4" customWidth="1"/>
    <col min="15368" max="15368" width="12.140625" style="4" customWidth="1"/>
    <col min="15369" max="15369" width="11" style="4" customWidth="1"/>
    <col min="15370" max="15370" width="14.42578125" style="4" customWidth="1"/>
    <col min="15371" max="15371" width="13.7109375" style="4" customWidth="1"/>
    <col min="15372" max="15372" width="10.85546875" style="4" customWidth="1"/>
    <col min="15373" max="15616" width="8.85546875" style="4"/>
    <col min="15617" max="15617" width="21.140625" style="4" customWidth="1"/>
    <col min="15618" max="15618" width="15.85546875" style="4" customWidth="1"/>
    <col min="15619" max="15619" width="41.7109375" style="4" customWidth="1"/>
    <col min="15620" max="15620" width="16.42578125" style="4" customWidth="1"/>
    <col min="15621" max="15621" width="11.28515625" style="4" customWidth="1"/>
    <col min="15622" max="15622" width="12.140625" style="4" customWidth="1"/>
    <col min="15623" max="15623" width="9.85546875" style="4" customWidth="1"/>
    <col min="15624" max="15624" width="12.140625" style="4" customWidth="1"/>
    <col min="15625" max="15625" width="11" style="4" customWidth="1"/>
    <col min="15626" max="15626" width="14.42578125" style="4" customWidth="1"/>
    <col min="15627" max="15627" width="13.7109375" style="4" customWidth="1"/>
    <col min="15628" max="15628" width="10.85546875" style="4" customWidth="1"/>
    <col min="15629" max="15872" width="8.85546875" style="4"/>
    <col min="15873" max="15873" width="21.140625" style="4" customWidth="1"/>
    <col min="15874" max="15874" width="15.85546875" style="4" customWidth="1"/>
    <col min="15875" max="15875" width="41.7109375" style="4" customWidth="1"/>
    <col min="15876" max="15876" width="16.42578125" style="4" customWidth="1"/>
    <col min="15877" max="15877" width="11.28515625" style="4" customWidth="1"/>
    <col min="15878" max="15878" width="12.140625" style="4" customWidth="1"/>
    <col min="15879" max="15879" width="9.85546875" style="4" customWidth="1"/>
    <col min="15880" max="15880" width="12.140625" style="4" customWidth="1"/>
    <col min="15881" max="15881" width="11" style="4" customWidth="1"/>
    <col min="15882" max="15882" width="14.42578125" style="4" customWidth="1"/>
    <col min="15883" max="15883" width="13.7109375" style="4" customWidth="1"/>
    <col min="15884" max="15884" width="10.85546875" style="4" customWidth="1"/>
    <col min="15885" max="16128" width="8.85546875" style="4"/>
    <col min="16129" max="16129" width="21.140625" style="4" customWidth="1"/>
    <col min="16130" max="16130" width="15.85546875" style="4" customWidth="1"/>
    <col min="16131" max="16131" width="41.7109375" style="4" customWidth="1"/>
    <col min="16132" max="16132" width="16.42578125" style="4" customWidth="1"/>
    <col min="16133" max="16133" width="11.28515625" style="4" customWidth="1"/>
    <col min="16134" max="16134" width="12.140625" style="4" customWidth="1"/>
    <col min="16135" max="16135" width="9.85546875" style="4" customWidth="1"/>
    <col min="16136" max="16136" width="12.140625" style="4" customWidth="1"/>
    <col min="16137" max="16137" width="11" style="4" customWidth="1"/>
    <col min="16138" max="16138" width="14.42578125" style="4" customWidth="1"/>
    <col min="16139" max="16139" width="13.7109375" style="4" customWidth="1"/>
    <col min="16140" max="16140" width="10.85546875" style="4" customWidth="1"/>
    <col min="16141" max="16384" width="8.85546875" style="4"/>
  </cols>
  <sheetData>
    <row r="1" spans="1:15" x14ac:dyDescent="0.2">
      <c r="A1" s="313" t="s">
        <v>238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</row>
    <row r="2" spans="1:15" ht="14.25" customHeight="1" x14ac:dyDescent="0.2">
      <c r="A2" s="33" t="s">
        <v>4</v>
      </c>
      <c r="B2" s="34" t="s">
        <v>95</v>
      </c>
      <c r="C2" s="27"/>
      <c r="D2" s="35"/>
      <c r="E2" s="36" t="s">
        <v>5</v>
      </c>
      <c r="F2" s="318" t="s">
        <v>219</v>
      </c>
      <c r="G2" s="319"/>
      <c r="H2" s="319"/>
      <c r="I2" s="262"/>
      <c r="J2" s="29"/>
      <c r="K2" s="29"/>
      <c r="L2" s="30"/>
      <c r="M2" s="27"/>
      <c r="N2" s="27"/>
      <c r="O2" s="40"/>
    </row>
    <row r="3" spans="1:15" ht="17.25" customHeight="1" x14ac:dyDescent="0.2">
      <c r="A3" s="33" t="s">
        <v>6</v>
      </c>
      <c r="B3" s="264" t="s">
        <v>229</v>
      </c>
      <c r="C3" s="27"/>
      <c r="D3" s="318" t="s">
        <v>7</v>
      </c>
      <c r="E3" s="320"/>
      <c r="F3" s="37"/>
      <c r="G3" s="38"/>
      <c r="H3" s="39"/>
      <c r="I3" s="38"/>
      <c r="J3" s="28"/>
      <c r="K3" s="28"/>
      <c r="L3" s="41"/>
      <c r="M3" s="27"/>
      <c r="N3" s="27"/>
      <c r="O3" s="40"/>
    </row>
    <row r="4" spans="1:15" ht="16.5" customHeight="1" x14ac:dyDescent="0.2">
      <c r="A4" s="33" t="s">
        <v>8</v>
      </c>
      <c r="B4" s="34" t="s">
        <v>220</v>
      </c>
      <c r="C4" s="27"/>
      <c r="D4" s="35"/>
      <c r="E4" s="36" t="s">
        <v>9</v>
      </c>
      <c r="F4" s="37" t="s">
        <v>310</v>
      </c>
      <c r="G4" s="38"/>
      <c r="H4" s="28"/>
      <c r="I4" s="29"/>
      <c r="J4" s="29"/>
      <c r="K4" s="29"/>
      <c r="L4" s="30"/>
      <c r="M4" s="31"/>
      <c r="N4" s="31"/>
    </row>
    <row r="6" spans="1:15" s="32" customFormat="1" ht="14.25" customHeight="1" x14ac:dyDescent="0.2">
      <c r="A6" s="321" t="s">
        <v>10</v>
      </c>
      <c r="B6" s="321" t="s">
        <v>11</v>
      </c>
      <c r="C6" s="322" t="s">
        <v>12</v>
      </c>
      <c r="D6" s="324" t="s">
        <v>236</v>
      </c>
      <c r="E6" s="324"/>
      <c r="F6" s="321" t="s">
        <v>13</v>
      </c>
      <c r="G6" s="263" t="s">
        <v>14</v>
      </c>
      <c r="H6" s="42" t="s">
        <v>15</v>
      </c>
      <c r="I6" s="314" t="s">
        <v>233</v>
      </c>
      <c r="J6" s="263" t="s">
        <v>16</v>
      </c>
      <c r="K6" s="316" t="s">
        <v>17</v>
      </c>
      <c r="L6" s="316" t="s">
        <v>216</v>
      </c>
    </row>
    <row r="7" spans="1:15" s="32" customFormat="1" x14ac:dyDescent="0.2">
      <c r="A7" s="321"/>
      <c r="B7" s="321"/>
      <c r="C7" s="323"/>
      <c r="D7" s="43" t="s">
        <v>234</v>
      </c>
      <c r="E7" s="43" t="s">
        <v>235</v>
      </c>
      <c r="F7" s="321"/>
      <c r="G7" s="263" t="s">
        <v>18</v>
      </c>
      <c r="H7" s="44" t="s">
        <v>19</v>
      </c>
      <c r="I7" s="315"/>
      <c r="J7" s="263" t="s">
        <v>20</v>
      </c>
      <c r="K7" s="317"/>
      <c r="L7" s="317"/>
    </row>
    <row r="8" spans="1:15" x14ac:dyDescent="0.2">
      <c r="A8" s="45" t="s">
        <v>21</v>
      </c>
      <c r="B8" s="46"/>
      <c r="C8" s="46"/>
      <c r="D8" s="47"/>
      <c r="E8" s="47"/>
      <c r="F8" s="46"/>
      <c r="G8" s="48"/>
      <c r="H8" s="48"/>
      <c r="I8" s="48"/>
      <c r="J8" s="48"/>
      <c r="K8" s="49"/>
      <c r="L8" s="49"/>
    </row>
    <row r="9" spans="1:15" x14ac:dyDescent="0.2">
      <c r="A9" s="25" t="s">
        <v>243</v>
      </c>
      <c r="B9" s="25" t="s">
        <v>242</v>
      </c>
      <c r="C9" s="294">
        <v>280000</v>
      </c>
      <c r="D9" s="50">
        <v>1</v>
      </c>
      <c r="E9" s="50"/>
      <c r="F9" s="25" t="s">
        <v>326</v>
      </c>
      <c r="G9" s="191" t="s">
        <v>22</v>
      </c>
      <c r="H9" s="51" t="s">
        <v>302</v>
      </c>
      <c r="I9" s="51" t="s">
        <v>301</v>
      </c>
      <c r="J9" s="191" t="s">
        <v>24</v>
      </c>
      <c r="K9" s="191" t="s">
        <v>23</v>
      </c>
      <c r="L9" s="265" t="s">
        <v>23</v>
      </c>
    </row>
    <row r="10" spans="1:15" x14ac:dyDescent="0.2">
      <c r="A10" s="25" t="s">
        <v>231</v>
      </c>
      <c r="B10" s="52" t="s">
        <v>43</v>
      </c>
      <c r="C10" s="294">
        <v>65000</v>
      </c>
      <c r="D10" s="50">
        <v>1</v>
      </c>
      <c r="E10" s="50"/>
      <c r="F10" s="25" t="s">
        <v>25</v>
      </c>
      <c r="G10" s="191" t="s">
        <v>22</v>
      </c>
      <c r="H10" s="51" t="s">
        <v>302</v>
      </c>
      <c r="I10" s="51" t="s">
        <v>306</v>
      </c>
      <c r="J10" s="191" t="s">
        <v>24</v>
      </c>
      <c r="K10" s="191" t="s">
        <v>23</v>
      </c>
      <c r="L10" s="265" t="s">
        <v>23</v>
      </c>
    </row>
    <row r="11" spans="1:15" ht="26.25" customHeight="1" x14ac:dyDescent="0.2">
      <c r="A11" s="219" t="s">
        <v>231</v>
      </c>
      <c r="B11" s="219" t="s">
        <v>299</v>
      </c>
      <c r="C11" s="295">
        <v>750000</v>
      </c>
      <c r="D11" s="221">
        <v>1</v>
      </c>
      <c r="E11" s="221"/>
      <c r="F11" s="220" t="s">
        <v>25</v>
      </c>
      <c r="G11" s="222" t="s">
        <v>22</v>
      </c>
      <c r="H11" s="223" t="s">
        <v>302</v>
      </c>
      <c r="I11" s="223" t="s">
        <v>217</v>
      </c>
      <c r="J11" s="222" t="s">
        <v>24</v>
      </c>
      <c r="K11" s="222" t="s">
        <v>23</v>
      </c>
      <c r="L11" s="224" t="s">
        <v>228</v>
      </c>
    </row>
    <row r="12" spans="1:15" x14ac:dyDescent="0.2">
      <c r="A12" s="45" t="s">
        <v>26</v>
      </c>
      <c r="B12" s="46"/>
      <c r="C12" s="296"/>
      <c r="D12" s="47"/>
      <c r="E12" s="47"/>
      <c r="F12" s="46"/>
      <c r="G12" s="48"/>
      <c r="H12" s="48"/>
      <c r="I12" s="48"/>
      <c r="J12" s="48"/>
      <c r="K12" s="49"/>
      <c r="L12" s="266"/>
    </row>
    <row r="13" spans="1:15" x14ac:dyDescent="0.2">
      <c r="A13" s="25" t="s">
        <v>232</v>
      </c>
      <c r="B13" s="18" t="s">
        <v>300</v>
      </c>
      <c r="C13" s="294">
        <v>675000</v>
      </c>
      <c r="D13" s="50">
        <v>1</v>
      </c>
      <c r="E13" s="50"/>
      <c r="F13" s="25" t="s">
        <v>208</v>
      </c>
      <c r="G13" s="191" t="s">
        <v>22</v>
      </c>
      <c r="H13" s="51" t="s">
        <v>301</v>
      </c>
      <c r="I13" s="51" t="s">
        <v>218</v>
      </c>
      <c r="J13" s="191" t="s">
        <v>24</v>
      </c>
      <c r="K13" s="191" t="s">
        <v>23</v>
      </c>
      <c r="L13" s="265"/>
    </row>
    <row r="14" spans="1:15" x14ac:dyDescent="0.2">
      <c r="A14" s="25" t="s">
        <v>231</v>
      </c>
      <c r="B14" s="18" t="s">
        <v>298</v>
      </c>
      <c r="C14" s="294">
        <v>4500000</v>
      </c>
      <c r="D14" s="50">
        <v>1</v>
      </c>
      <c r="E14" s="50"/>
      <c r="F14" s="25" t="s">
        <v>208</v>
      </c>
      <c r="G14" s="191" t="s">
        <v>22</v>
      </c>
      <c r="H14" s="51" t="s">
        <v>301</v>
      </c>
      <c r="I14" s="51" t="s">
        <v>218</v>
      </c>
      <c r="J14" s="191" t="s">
        <v>24</v>
      </c>
      <c r="K14" s="191" t="s">
        <v>23</v>
      </c>
      <c r="L14" s="265" t="s">
        <v>309</v>
      </c>
    </row>
    <row r="15" spans="1:15" x14ac:dyDescent="0.2">
      <c r="A15" s="45" t="s">
        <v>27</v>
      </c>
      <c r="B15" s="46"/>
      <c r="C15" s="296"/>
      <c r="D15" s="47"/>
      <c r="E15" s="47"/>
      <c r="F15" s="46"/>
      <c r="G15" s="48"/>
      <c r="H15" s="48"/>
      <c r="I15" s="48"/>
      <c r="J15" s="48"/>
      <c r="K15" s="49"/>
      <c r="L15" s="266"/>
    </row>
    <row r="16" spans="1:15" x14ac:dyDescent="0.2">
      <c r="A16" s="25" t="s">
        <v>230</v>
      </c>
      <c r="B16" s="25" t="s">
        <v>227</v>
      </c>
      <c r="C16" s="294">
        <f>'Budget by product version 2'!P4</f>
        <v>750000</v>
      </c>
      <c r="D16" s="50">
        <v>1</v>
      </c>
      <c r="E16" s="50"/>
      <c r="F16" s="25" t="s">
        <v>215</v>
      </c>
      <c r="G16" s="191" t="s">
        <v>22</v>
      </c>
      <c r="H16" s="51" t="s">
        <v>302</v>
      </c>
      <c r="I16" s="51" t="s">
        <v>97</v>
      </c>
      <c r="J16" s="191" t="s">
        <v>24</v>
      </c>
      <c r="K16" s="191" t="s">
        <v>23</v>
      </c>
      <c r="L16" s="265" t="s">
        <v>23</v>
      </c>
    </row>
    <row r="17" spans="1:12" x14ac:dyDescent="0.2">
      <c r="A17" s="25" t="s">
        <v>303</v>
      </c>
      <c r="B17" s="25" t="s">
        <v>304</v>
      </c>
      <c r="C17" s="294">
        <v>75000</v>
      </c>
      <c r="D17" s="50">
        <v>1</v>
      </c>
      <c r="E17" s="50"/>
      <c r="F17" s="25" t="s">
        <v>215</v>
      </c>
      <c r="G17" s="191" t="s">
        <v>22</v>
      </c>
      <c r="H17" s="51" t="s">
        <v>302</v>
      </c>
      <c r="I17" s="51" t="s">
        <v>307</v>
      </c>
      <c r="J17" s="191" t="s">
        <v>24</v>
      </c>
      <c r="K17" s="191" t="s">
        <v>23</v>
      </c>
      <c r="L17" s="265"/>
    </row>
    <row r="18" spans="1:12" x14ac:dyDescent="0.2">
      <c r="A18" s="25" t="s">
        <v>231</v>
      </c>
      <c r="B18" s="25" t="s">
        <v>305</v>
      </c>
      <c r="C18" s="294">
        <v>570000</v>
      </c>
      <c r="D18" s="50">
        <v>1</v>
      </c>
      <c r="E18" s="50"/>
      <c r="F18" s="25" t="s">
        <v>215</v>
      </c>
      <c r="G18" s="191" t="s">
        <v>22</v>
      </c>
      <c r="H18" s="51" t="s">
        <v>302</v>
      </c>
      <c r="I18" s="51" t="s">
        <v>217</v>
      </c>
      <c r="J18" s="191" t="s">
        <v>24</v>
      </c>
      <c r="K18" s="191" t="s">
        <v>23</v>
      </c>
      <c r="L18" s="265"/>
    </row>
    <row r="19" spans="1:12" x14ac:dyDescent="0.2">
      <c r="A19" s="25" t="str">
        <f>POA!D7</f>
        <v>Evaluation</v>
      </c>
      <c r="B19" s="40" t="s">
        <v>210</v>
      </c>
      <c r="C19" s="294">
        <v>120000</v>
      </c>
      <c r="D19" s="50">
        <v>1</v>
      </c>
      <c r="E19" s="50"/>
      <c r="F19" s="25" t="s">
        <v>215</v>
      </c>
      <c r="G19" s="191" t="s">
        <v>22</v>
      </c>
      <c r="H19" s="51" t="s">
        <v>302</v>
      </c>
      <c r="I19" s="51" t="s">
        <v>306</v>
      </c>
      <c r="J19" s="191" t="s">
        <v>24</v>
      </c>
      <c r="K19" s="191" t="s">
        <v>23</v>
      </c>
      <c r="L19" s="265" t="s">
        <v>23</v>
      </c>
    </row>
    <row r="20" spans="1:12" x14ac:dyDescent="0.2">
      <c r="A20" s="25" t="str">
        <f>POA!D7</f>
        <v>Evaluation</v>
      </c>
      <c r="B20" s="35" t="s">
        <v>244</v>
      </c>
      <c r="C20" s="294">
        <v>130000</v>
      </c>
      <c r="D20" s="50">
        <v>1</v>
      </c>
      <c r="E20" s="50"/>
      <c r="F20" s="25" t="s">
        <v>215</v>
      </c>
      <c r="G20" s="191" t="s">
        <v>22</v>
      </c>
      <c r="H20" s="51" t="s">
        <v>302</v>
      </c>
      <c r="I20" s="51" t="s">
        <v>308</v>
      </c>
      <c r="J20" s="191" t="s">
        <v>24</v>
      </c>
      <c r="K20" s="191" t="s">
        <v>23</v>
      </c>
      <c r="L20" s="265" t="s">
        <v>23</v>
      </c>
    </row>
    <row r="21" spans="1:12" x14ac:dyDescent="0.2">
      <c r="A21" s="45" t="s">
        <v>28</v>
      </c>
      <c r="B21" s="46"/>
      <c r="C21" s="296"/>
      <c r="D21" s="47"/>
      <c r="E21" s="47"/>
      <c r="F21" s="46"/>
      <c r="G21" s="48"/>
      <c r="H21" s="48"/>
      <c r="I21" s="48"/>
      <c r="J21" s="48"/>
      <c r="K21" s="49"/>
      <c r="L21" s="266"/>
    </row>
    <row r="22" spans="1:12" x14ac:dyDescent="0.2">
      <c r="A22" s="25" t="s">
        <v>232</v>
      </c>
      <c r="B22" s="25" t="s">
        <v>209</v>
      </c>
      <c r="C22" s="294">
        <f>24000*4</f>
        <v>96000</v>
      </c>
      <c r="D22" s="50">
        <v>1</v>
      </c>
      <c r="E22" s="50"/>
      <c r="F22" s="25" t="s">
        <v>40</v>
      </c>
      <c r="G22" s="191" t="s">
        <v>22</v>
      </c>
      <c r="H22" s="51" t="s">
        <v>302</v>
      </c>
      <c r="I22" s="51" t="s">
        <v>217</v>
      </c>
      <c r="J22" s="191" t="s">
        <v>24</v>
      </c>
      <c r="K22" s="191" t="s">
        <v>23</v>
      </c>
      <c r="L22" s="265" t="s">
        <v>23</v>
      </c>
    </row>
    <row r="23" spans="1:12" x14ac:dyDescent="0.2">
      <c r="A23" s="25" t="str">
        <f>POA!D5</f>
        <v>Administration and monitoring</v>
      </c>
      <c r="B23" s="25" t="s">
        <v>212</v>
      </c>
      <c r="C23" s="294">
        <f>2500*12*4</f>
        <v>120000</v>
      </c>
      <c r="D23" s="50">
        <v>1</v>
      </c>
      <c r="E23" s="50"/>
      <c r="F23" s="25" t="s">
        <v>40</v>
      </c>
      <c r="G23" s="191" t="s">
        <v>22</v>
      </c>
      <c r="H23" s="51" t="s">
        <v>302</v>
      </c>
      <c r="I23" s="51" t="s">
        <v>217</v>
      </c>
      <c r="J23" s="191" t="s">
        <v>24</v>
      </c>
      <c r="K23" s="191" t="s">
        <v>23</v>
      </c>
      <c r="L23" s="265" t="s">
        <v>23</v>
      </c>
    </row>
    <row r="24" spans="1:12" x14ac:dyDescent="0.2">
      <c r="A24" s="25" t="s">
        <v>323</v>
      </c>
      <c r="B24" s="25" t="s">
        <v>312</v>
      </c>
      <c r="C24" s="294">
        <v>240000</v>
      </c>
      <c r="D24" s="50">
        <v>1</v>
      </c>
      <c r="E24" s="50"/>
      <c r="F24" s="25" t="s">
        <v>313</v>
      </c>
      <c r="G24" s="191" t="s">
        <v>22</v>
      </c>
      <c r="H24" s="51" t="s">
        <v>302</v>
      </c>
      <c r="I24" s="51" t="s">
        <v>217</v>
      </c>
      <c r="J24" s="191" t="s">
        <v>24</v>
      </c>
      <c r="K24" s="191" t="s">
        <v>23</v>
      </c>
      <c r="L24" s="265" t="s">
        <v>23</v>
      </c>
    </row>
    <row r="25" spans="1:12" ht="45.75" customHeight="1" x14ac:dyDescent="0.2">
      <c r="A25" s="312" t="s">
        <v>237</v>
      </c>
      <c r="B25" s="312"/>
      <c r="C25" s="312"/>
      <c r="D25" s="312"/>
      <c r="E25" s="312"/>
      <c r="F25" s="312"/>
      <c r="G25" s="312"/>
      <c r="H25" s="312"/>
      <c r="I25" s="312"/>
      <c r="J25" s="312"/>
      <c r="K25" s="312"/>
      <c r="L25" s="312"/>
    </row>
    <row r="26" spans="1:12" x14ac:dyDescent="0.2">
      <c r="D26" s="218"/>
      <c r="F26" s="53"/>
      <c r="G26" s="53"/>
    </row>
    <row r="27" spans="1:12" x14ac:dyDescent="0.2">
      <c r="D27" s="218"/>
      <c r="F27" s="53"/>
      <c r="G27" s="53"/>
    </row>
    <row r="28" spans="1:12" x14ac:dyDescent="0.2">
      <c r="D28" s="218"/>
      <c r="F28" s="53"/>
      <c r="G28" s="53"/>
    </row>
    <row r="29" spans="1:12" x14ac:dyDescent="0.2">
      <c r="D29" s="218"/>
      <c r="F29" s="53"/>
      <c r="G29" s="53"/>
    </row>
    <row r="30" spans="1:12" x14ac:dyDescent="0.2">
      <c r="D30" s="218"/>
      <c r="F30" s="53"/>
      <c r="G30" s="53"/>
    </row>
    <row r="31" spans="1:12" x14ac:dyDescent="0.2">
      <c r="D31" s="218"/>
      <c r="F31" s="53"/>
      <c r="G31" s="53"/>
    </row>
    <row r="32" spans="1:12" x14ac:dyDescent="0.2">
      <c r="D32" s="218"/>
      <c r="F32" s="53"/>
      <c r="G32" s="53"/>
    </row>
    <row r="33" spans="6:7" x14ac:dyDescent="0.2">
      <c r="F33" s="53"/>
      <c r="G33" s="53"/>
    </row>
    <row r="34" spans="6:7" x14ac:dyDescent="0.2">
      <c r="F34" s="53"/>
      <c r="G34" s="53"/>
    </row>
    <row r="35" spans="6:7" x14ac:dyDescent="0.2">
      <c r="F35" s="53"/>
      <c r="G35" s="53"/>
    </row>
    <row r="36" spans="6:7" x14ac:dyDescent="0.2">
      <c r="F36" s="53"/>
      <c r="G36" s="53"/>
    </row>
    <row r="37" spans="6:7" x14ac:dyDescent="0.2">
      <c r="F37" s="53"/>
      <c r="G37" s="53"/>
    </row>
    <row r="38" spans="6:7" x14ac:dyDescent="0.2">
      <c r="F38" s="53"/>
      <c r="G38" s="53"/>
    </row>
    <row r="39" spans="6:7" x14ac:dyDescent="0.2">
      <c r="F39" s="53"/>
      <c r="G39" s="53"/>
    </row>
    <row r="40" spans="6:7" x14ac:dyDescent="0.2">
      <c r="F40" s="53"/>
      <c r="G40" s="53"/>
    </row>
    <row r="41" spans="6:7" x14ac:dyDescent="0.2">
      <c r="F41" s="53"/>
      <c r="G41" s="53"/>
    </row>
    <row r="42" spans="6:7" x14ac:dyDescent="0.2">
      <c r="F42" s="53"/>
      <c r="G42" s="53"/>
    </row>
    <row r="43" spans="6:7" x14ac:dyDescent="0.2">
      <c r="F43" s="53"/>
      <c r="G43" s="53"/>
    </row>
    <row r="44" spans="6:7" x14ac:dyDescent="0.2">
      <c r="F44" s="53"/>
      <c r="G44" s="53"/>
    </row>
    <row r="45" spans="6:7" x14ac:dyDescent="0.2">
      <c r="F45" s="53"/>
      <c r="G45" s="53"/>
    </row>
    <row r="46" spans="6:7" x14ac:dyDescent="0.2">
      <c r="F46" s="53"/>
      <c r="G46" s="53"/>
    </row>
    <row r="47" spans="6:7" x14ac:dyDescent="0.2">
      <c r="F47" s="53"/>
      <c r="G47" s="53"/>
    </row>
    <row r="48" spans="6:7" x14ac:dyDescent="0.2">
      <c r="F48" s="53"/>
      <c r="G48" s="53"/>
    </row>
    <row r="49" spans="6:7" x14ac:dyDescent="0.2">
      <c r="F49" s="53"/>
      <c r="G49" s="53"/>
    </row>
    <row r="50" spans="6:7" x14ac:dyDescent="0.2">
      <c r="F50" s="53"/>
      <c r="G50" s="53"/>
    </row>
    <row r="51" spans="6:7" x14ac:dyDescent="0.2">
      <c r="F51" s="53"/>
      <c r="G51" s="53"/>
    </row>
    <row r="52" spans="6:7" x14ac:dyDescent="0.2">
      <c r="F52" s="53"/>
      <c r="G52" s="53"/>
    </row>
    <row r="53" spans="6:7" x14ac:dyDescent="0.2">
      <c r="F53" s="53"/>
      <c r="G53" s="53"/>
    </row>
    <row r="54" spans="6:7" x14ac:dyDescent="0.2">
      <c r="F54" s="53"/>
      <c r="G54" s="53"/>
    </row>
    <row r="55" spans="6:7" x14ac:dyDescent="0.2">
      <c r="F55" s="53"/>
      <c r="G55" s="53"/>
    </row>
    <row r="56" spans="6:7" x14ac:dyDescent="0.2">
      <c r="F56" s="53"/>
      <c r="G56" s="53"/>
    </row>
    <row r="57" spans="6:7" x14ac:dyDescent="0.2">
      <c r="F57" s="53"/>
      <c r="G57" s="53"/>
    </row>
    <row r="58" spans="6:7" x14ac:dyDescent="0.2">
      <c r="F58" s="53"/>
      <c r="G58" s="53"/>
    </row>
    <row r="59" spans="6:7" x14ac:dyDescent="0.2">
      <c r="F59" s="53"/>
      <c r="G59" s="53"/>
    </row>
    <row r="60" spans="6:7" x14ac:dyDescent="0.2">
      <c r="F60" s="53"/>
      <c r="G60" s="53"/>
    </row>
    <row r="61" spans="6:7" x14ac:dyDescent="0.2">
      <c r="F61" s="53"/>
      <c r="G61" s="53"/>
    </row>
    <row r="62" spans="6:7" x14ac:dyDescent="0.2">
      <c r="F62" s="53"/>
      <c r="G62" s="53"/>
    </row>
    <row r="63" spans="6:7" x14ac:dyDescent="0.2">
      <c r="F63" s="53"/>
      <c r="G63" s="53"/>
    </row>
    <row r="64" spans="6:7" x14ac:dyDescent="0.2">
      <c r="F64" s="53"/>
      <c r="G64" s="53"/>
    </row>
    <row r="65" spans="6:7" x14ac:dyDescent="0.2">
      <c r="F65" s="53"/>
      <c r="G65" s="53"/>
    </row>
    <row r="66" spans="6:7" x14ac:dyDescent="0.2">
      <c r="F66" s="53"/>
      <c r="G66" s="53"/>
    </row>
    <row r="67" spans="6:7" x14ac:dyDescent="0.2">
      <c r="F67" s="53"/>
      <c r="G67" s="53"/>
    </row>
    <row r="68" spans="6:7" x14ac:dyDescent="0.2">
      <c r="F68" s="53"/>
      <c r="G68" s="53"/>
    </row>
    <row r="69" spans="6:7" x14ac:dyDescent="0.2">
      <c r="F69" s="53"/>
      <c r="G69" s="53"/>
    </row>
    <row r="70" spans="6:7" x14ac:dyDescent="0.2">
      <c r="F70" s="53"/>
      <c r="G70" s="53"/>
    </row>
    <row r="71" spans="6:7" x14ac:dyDescent="0.2">
      <c r="F71" s="53"/>
      <c r="G71" s="53"/>
    </row>
    <row r="72" spans="6:7" x14ac:dyDescent="0.2">
      <c r="F72" s="53"/>
      <c r="G72" s="53"/>
    </row>
    <row r="73" spans="6:7" x14ac:dyDescent="0.2">
      <c r="F73" s="53"/>
      <c r="G73" s="53"/>
    </row>
    <row r="74" spans="6:7" x14ac:dyDescent="0.2">
      <c r="F74" s="53"/>
      <c r="G74" s="53"/>
    </row>
    <row r="75" spans="6:7" x14ac:dyDescent="0.2">
      <c r="F75" s="53"/>
      <c r="G75" s="53"/>
    </row>
    <row r="76" spans="6:7" x14ac:dyDescent="0.2">
      <c r="F76" s="53"/>
      <c r="G76" s="53"/>
    </row>
    <row r="77" spans="6:7" x14ac:dyDescent="0.2">
      <c r="F77" s="53"/>
      <c r="G77" s="53"/>
    </row>
  </sheetData>
  <mergeCells count="12">
    <mergeCell ref="A25:L25"/>
    <mergeCell ref="A1:L1"/>
    <mergeCell ref="I6:I7"/>
    <mergeCell ref="K6:K7"/>
    <mergeCell ref="L6:L7"/>
    <mergeCell ref="F2:H2"/>
    <mergeCell ref="D3:E3"/>
    <mergeCell ref="A6:A7"/>
    <mergeCell ref="B6:B7"/>
    <mergeCell ref="C6:C7"/>
    <mergeCell ref="D6:E6"/>
    <mergeCell ref="F6:F7"/>
  </mergeCells>
  <printOptions horizontalCentered="1"/>
  <pageMargins left="0.17" right="0.18" top="0.28999999999999998" bottom="0.28999999999999998" header="0.17" footer="0.17"/>
  <pageSetup scale="56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B9:N25"/>
  <sheetViews>
    <sheetView topLeftCell="B1" workbookViewId="0">
      <selection activeCell="B20" sqref="B20:M24"/>
    </sheetView>
  </sheetViews>
  <sheetFormatPr defaultColWidth="8.85546875" defaultRowHeight="15" x14ac:dyDescent="0.25"/>
  <cols>
    <col min="2" max="2" width="47" customWidth="1"/>
    <col min="3" max="13" width="10.28515625" customWidth="1"/>
  </cols>
  <sheetData>
    <row r="9" spans="2:5" x14ac:dyDescent="0.25">
      <c r="B9" s="174" t="s">
        <v>158</v>
      </c>
      <c r="C9" s="174" t="s">
        <v>156</v>
      </c>
      <c r="D9" s="174" t="s">
        <v>157</v>
      </c>
      <c r="E9" s="174" t="s">
        <v>2</v>
      </c>
    </row>
    <row r="10" spans="2:5" x14ac:dyDescent="0.25">
      <c r="B10" s="169" t="s">
        <v>222</v>
      </c>
      <c r="C10" s="170">
        <v>895850</v>
      </c>
      <c r="D10" s="170">
        <f>'Budget by product version 2'!P3</f>
        <v>2250000</v>
      </c>
      <c r="E10" s="170">
        <f>SUM(C10:D10)</f>
        <v>3145850</v>
      </c>
    </row>
    <row r="11" spans="2:5" ht="25.5" x14ac:dyDescent="0.25">
      <c r="B11" s="169" t="s">
        <v>241</v>
      </c>
      <c r="C11" s="170">
        <v>996000</v>
      </c>
      <c r="D11" s="170">
        <f>'Budget by product version 2'!P7</f>
        <v>5580000</v>
      </c>
      <c r="E11" s="170">
        <f t="shared" ref="E11:E16" si="0">SUM(C11:D11)</f>
        <v>6576000</v>
      </c>
    </row>
    <row r="12" spans="2:5" x14ac:dyDescent="0.25">
      <c r="B12" s="169" t="s">
        <v>151</v>
      </c>
      <c r="C12" s="170">
        <v>1036364</v>
      </c>
      <c r="D12" s="171">
        <v>0</v>
      </c>
      <c r="E12" s="170">
        <f t="shared" si="0"/>
        <v>1036364</v>
      </c>
    </row>
    <row r="13" spans="2:5" ht="25.5" x14ac:dyDescent="0.25">
      <c r="B13" s="169" t="s">
        <v>152</v>
      </c>
      <c r="C13" s="170">
        <v>208150</v>
      </c>
      <c r="D13" s="171">
        <v>0</v>
      </c>
      <c r="E13" s="170">
        <f t="shared" si="0"/>
        <v>208150</v>
      </c>
    </row>
    <row r="14" spans="2:5" x14ac:dyDescent="0.25">
      <c r="B14" s="169" t="s">
        <v>153</v>
      </c>
      <c r="C14" s="170">
        <v>200000</v>
      </c>
      <c r="D14" s="170">
        <f>'Budget by product version 2'!P10</f>
        <v>860000</v>
      </c>
      <c r="E14" s="170">
        <f t="shared" si="0"/>
        <v>1060000</v>
      </c>
    </row>
    <row r="15" spans="2:5" s="168" customFormat="1" x14ac:dyDescent="0.25">
      <c r="B15" s="169" t="s">
        <v>154</v>
      </c>
      <c r="C15" s="170">
        <v>40000</v>
      </c>
      <c r="D15" s="170">
        <f>'Budget by product version 2'!P11</f>
        <v>60000</v>
      </c>
      <c r="E15" s="170">
        <f t="shared" si="0"/>
        <v>100000</v>
      </c>
    </row>
    <row r="16" spans="2:5" s="168" customFormat="1" x14ac:dyDescent="0.25">
      <c r="B16" s="169" t="s">
        <v>155</v>
      </c>
      <c r="C16" s="170">
        <v>60000</v>
      </c>
      <c r="D16" s="170">
        <f>'Budget by product version 2'!P12</f>
        <v>250000</v>
      </c>
      <c r="E16" s="170">
        <f t="shared" si="0"/>
        <v>310000</v>
      </c>
    </row>
    <row r="17" spans="2:14" x14ac:dyDescent="0.25">
      <c r="B17" s="172" t="s">
        <v>81</v>
      </c>
      <c r="C17" s="173">
        <v>3436364</v>
      </c>
      <c r="D17" s="173">
        <f>SUM(D10:D16)</f>
        <v>9000000</v>
      </c>
      <c r="E17" s="173">
        <f>SUM(E10:E16)</f>
        <v>12436364</v>
      </c>
    </row>
    <row r="20" spans="2:14" ht="25.5" x14ac:dyDescent="0.25">
      <c r="B20" s="169" t="s">
        <v>317</v>
      </c>
      <c r="C20" s="276" t="s">
        <v>318</v>
      </c>
      <c r="D20" s="276" t="s">
        <v>319</v>
      </c>
      <c r="E20" s="276" t="s">
        <v>320</v>
      </c>
      <c r="F20" s="276" t="s">
        <v>321</v>
      </c>
      <c r="G20" s="276" t="s">
        <v>322</v>
      </c>
      <c r="H20" s="276" t="s">
        <v>81</v>
      </c>
      <c r="I20" s="276" t="s">
        <v>319</v>
      </c>
      <c r="J20" s="276" t="s">
        <v>320</v>
      </c>
      <c r="K20" s="276" t="s">
        <v>321</v>
      </c>
      <c r="L20" s="276" t="s">
        <v>322</v>
      </c>
      <c r="M20" s="276" t="s">
        <v>81</v>
      </c>
    </row>
    <row r="21" spans="2:14" x14ac:dyDescent="0.25">
      <c r="B21" s="169" t="s">
        <v>314</v>
      </c>
      <c r="C21" s="297">
        <v>5000</v>
      </c>
      <c r="D21" s="297">
        <v>10</v>
      </c>
      <c r="E21" s="297">
        <v>70</v>
      </c>
      <c r="F21" s="297">
        <v>86</v>
      </c>
      <c r="G21" s="297">
        <v>150</v>
      </c>
      <c r="H21" s="297">
        <f>SUM(D21:G21)</f>
        <v>316</v>
      </c>
      <c r="I21" s="297">
        <f>D21*$C$21</f>
        <v>50000</v>
      </c>
      <c r="J21" s="297">
        <f>E21*$C$21</f>
        <v>350000</v>
      </c>
      <c r="K21" s="297">
        <f>F21*$C$21</f>
        <v>430000</v>
      </c>
      <c r="L21" s="297">
        <f>G21*$C$21</f>
        <v>750000</v>
      </c>
      <c r="M21" s="297">
        <f>SUM(I21:L21)</f>
        <v>1580000</v>
      </c>
      <c r="N21" s="225"/>
    </row>
    <row r="22" spans="2:14" x14ac:dyDescent="0.25">
      <c r="B22" s="169" t="s">
        <v>315</v>
      </c>
      <c r="C22" s="297">
        <v>10000</v>
      </c>
      <c r="D22" s="297">
        <v>10</v>
      </c>
      <c r="E22" s="297">
        <v>50</v>
      </c>
      <c r="F22" s="297">
        <v>60</v>
      </c>
      <c r="G22" s="297">
        <v>80</v>
      </c>
      <c r="H22" s="297">
        <f>SUM(D22:G22)</f>
        <v>200</v>
      </c>
      <c r="I22" s="297">
        <f>D22*$C$22</f>
        <v>100000</v>
      </c>
      <c r="J22" s="297">
        <f>E22*$C$22</f>
        <v>500000</v>
      </c>
      <c r="K22" s="297">
        <f>F22*$C$22</f>
        <v>600000</v>
      </c>
      <c r="L22" s="297">
        <f>G22*$C$22</f>
        <v>800000</v>
      </c>
      <c r="M22" s="297">
        <f>SUM(I22:L22)</f>
        <v>2000000</v>
      </c>
      <c r="N22" s="225"/>
    </row>
    <row r="23" spans="2:14" x14ac:dyDescent="0.25">
      <c r="B23" s="169" t="s">
        <v>316</v>
      </c>
      <c r="C23" s="297">
        <v>1250000</v>
      </c>
      <c r="D23" s="297"/>
      <c r="E23" s="297"/>
      <c r="F23" s="297">
        <v>1</v>
      </c>
      <c r="G23" s="297"/>
      <c r="H23" s="297">
        <f>SUM(D23:G23)</f>
        <v>1</v>
      </c>
      <c r="I23" s="297"/>
      <c r="J23" s="297">
        <v>350000</v>
      </c>
      <c r="K23" s="297">
        <v>620000</v>
      </c>
      <c r="L23" s="297">
        <v>280000</v>
      </c>
      <c r="M23" s="297">
        <f>SUM(I23:L23)</f>
        <v>1250000</v>
      </c>
      <c r="N23" s="225"/>
    </row>
    <row r="24" spans="2:14" x14ac:dyDescent="0.25">
      <c r="B24" s="169"/>
      <c r="C24" s="297"/>
      <c r="D24" s="276">
        <f t="shared" ref="D24:M24" si="1">SUM(D21:D23)</f>
        <v>20</v>
      </c>
      <c r="E24" s="276">
        <f t="shared" si="1"/>
        <v>120</v>
      </c>
      <c r="F24" s="276">
        <f t="shared" si="1"/>
        <v>147</v>
      </c>
      <c r="G24" s="276">
        <f t="shared" si="1"/>
        <v>230</v>
      </c>
      <c r="H24" s="276">
        <f t="shared" si="1"/>
        <v>517</v>
      </c>
      <c r="I24" s="276">
        <f t="shared" si="1"/>
        <v>150000</v>
      </c>
      <c r="J24" s="276">
        <f t="shared" si="1"/>
        <v>1200000</v>
      </c>
      <c r="K24" s="276">
        <f t="shared" si="1"/>
        <v>1650000</v>
      </c>
      <c r="L24" s="276">
        <f t="shared" si="1"/>
        <v>1830000</v>
      </c>
      <c r="M24" s="276">
        <f t="shared" si="1"/>
        <v>4830000</v>
      </c>
      <c r="N24" s="225"/>
    </row>
    <row r="25" spans="2:14" x14ac:dyDescent="0.25">
      <c r="N25" s="225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/>
  </sheetPr>
  <dimension ref="A1:V45"/>
  <sheetViews>
    <sheetView showGridLines="0" zoomScale="90" zoomScaleNormal="90" zoomScalePageLayoutView="90" workbookViewId="0">
      <pane ySplit="2" topLeftCell="A3" activePane="bottomLeft" state="frozen"/>
      <selection pane="bottomLeft" activeCell="B8" sqref="B8"/>
    </sheetView>
  </sheetViews>
  <sheetFormatPr defaultColWidth="8.85546875" defaultRowHeight="32.25" customHeight="1" x14ac:dyDescent="0.25"/>
  <cols>
    <col min="1" max="1" width="3.28515625" style="82" customWidth="1"/>
    <col min="2" max="2" width="34.85546875" style="82" customWidth="1"/>
    <col min="3" max="3" width="44.42578125" style="140" customWidth="1"/>
    <col min="4" max="4" width="40" style="82" customWidth="1"/>
    <col min="5" max="5" width="8.85546875" style="82" customWidth="1"/>
    <col min="6" max="7" width="9.28515625" style="113" customWidth="1"/>
    <col min="8" max="8" width="5" style="82" customWidth="1"/>
    <col min="9" max="12" width="7.28515625" style="82" customWidth="1"/>
    <col min="13" max="13" width="8.85546875" style="82" customWidth="1"/>
    <col min="14" max="15" width="9.140625" style="82" customWidth="1"/>
    <col min="16" max="16" width="10.7109375" style="82" customWidth="1"/>
    <col min="17" max="17" width="10.28515625" style="82" customWidth="1"/>
    <col min="18" max="18" width="9.140625" style="82" customWidth="1"/>
    <col min="19" max="19" width="11.140625" style="82" customWidth="1"/>
    <col min="20" max="20" width="9.85546875" style="82" bestFit="1" customWidth="1"/>
    <col min="21" max="16384" width="8.85546875" style="82"/>
  </cols>
  <sheetData>
    <row r="1" spans="1:22" ht="32.25" customHeight="1" x14ac:dyDescent="0.25">
      <c r="A1" s="90"/>
      <c r="B1" s="91"/>
      <c r="C1" s="91"/>
      <c r="D1" s="91"/>
      <c r="E1" s="92"/>
      <c r="F1" s="101"/>
      <c r="G1" s="101"/>
      <c r="H1" s="92"/>
      <c r="I1" s="325" t="s">
        <v>78</v>
      </c>
      <c r="J1" s="326"/>
      <c r="K1" s="326"/>
      <c r="L1" s="326"/>
      <c r="M1" s="326"/>
      <c r="N1" s="325" t="s">
        <v>79</v>
      </c>
      <c r="O1" s="326"/>
      <c r="P1" s="326"/>
      <c r="Q1" s="326"/>
      <c r="R1" s="326"/>
      <c r="S1" s="102"/>
    </row>
    <row r="2" spans="1:22" s="96" customFormat="1" ht="32.25" customHeight="1" thickBot="1" x14ac:dyDescent="0.3">
      <c r="A2" s="93" t="s">
        <v>80</v>
      </c>
      <c r="B2" s="94" t="s">
        <v>98</v>
      </c>
      <c r="C2" s="94" t="s">
        <v>0</v>
      </c>
      <c r="D2" s="94" t="s">
        <v>112</v>
      </c>
      <c r="E2" s="95" t="s">
        <v>17</v>
      </c>
      <c r="F2" s="103" t="s">
        <v>1</v>
      </c>
      <c r="G2" s="103"/>
      <c r="H2" s="95" t="s">
        <v>77</v>
      </c>
      <c r="I2" s="93">
        <v>2013</v>
      </c>
      <c r="J2" s="93">
        <v>2014</v>
      </c>
      <c r="K2" s="93">
        <v>2015</v>
      </c>
      <c r="L2" s="93">
        <v>2016</v>
      </c>
      <c r="M2" s="94" t="s">
        <v>81</v>
      </c>
      <c r="N2" s="93">
        <v>2012</v>
      </c>
      <c r="O2" s="94">
        <v>2013</v>
      </c>
      <c r="P2" s="94">
        <v>2014</v>
      </c>
      <c r="Q2" s="94">
        <v>2015</v>
      </c>
      <c r="R2" s="94">
        <v>2016</v>
      </c>
      <c r="S2" s="104" t="s">
        <v>81</v>
      </c>
    </row>
    <row r="3" spans="1:22" s="113" customFormat="1" ht="32.25" customHeight="1" x14ac:dyDescent="0.25">
      <c r="A3" s="97"/>
      <c r="B3" s="88" t="s">
        <v>100</v>
      </c>
      <c r="C3" s="88" t="s">
        <v>30</v>
      </c>
      <c r="D3" s="105"/>
      <c r="E3" s="99" t="s">
        <v>82</v>
      </c>
      <c r="F3" s="106" t="s">
        <v>83</v>
      </c>
      <c r="G3" s="141" t="s">
        <v>121</v>
      </c>
      <c r="H3" s="107"/>
      <c r="I3" s="108"/>
      <c r="J3" s="105">
        <v>10</v>
      </c>
      <c r="K3" s="109"/>
      <c r="L3" s="109"/>
      <c r="M3" s="110">
        <f t="shared" ref="M3:M17" si="0">SUM(I3:L3)</f>
        <v>10</v>
      </c>
      <c r="N3" s="134">
        <v>0</v>
      </c>
      <c r="O3" s="111">
        <v>25000</v>
      </c>
      <c r="P3" s="111">
        <v>50000</v>
      </c>
      <c r="Q3" s="111">
        <v>0</v>
      </c>
      <c r="R3" s="111"/>
      <c r="S3" s="112">
        <f>SUM(N3:R3)</f>
        <v>75000</v>
      </c>
      <c r="T3" s="132"/>
      <c r="U3" s="132"/>
      <c r="V3" s="132"/>
    </row>
    <row r="4" spans="1:22" s="113" customFormat="1" ht="32.25" customHeight="1" thickBot="1" x14ac:dyDescent="0.3">
      <c r="A4" s="97"/>
      <c r="B4" s="88" t="s">
        <v>100</v>
      </c>
      <c r="C4" s="88" t="s">
        <v>30</v>
      </c>
      <c r="D4" s="117" t="s">
        <v>31</v>
      </c>
      <c r="E4" s="99" t="s">
        <v>82</v>
      </c>
      <c r="F4" s="118" t="s">
        <v>35</v>
      </c>
      <c r="G4" s="142"/>
      <c r="H4" s="115">
        <v>0</v>
      </c>
      <c r="I4" s="116">
        <v>30</v>
      </c>
      <c r="J4" s="114"/>
      <c r="K4" s="114"/>
      <c r="L4" s="114"/>
      <c r="M4" s="119">
        <f t="shared" si="0"/>
        <v>30</v>
      </c>
    </row>
    <row r="5" spans="1:22" s="113" customFormat="1" ht="32.25" customHeight="1" thickBot="1" x14ac:dyDescent="0.3">
      <c r="A5" s="98"/>
      <c r="B5" s="88" t="s">
        <v>100</v>
      </c>
      <c r="C5" s="88" t="s">
        <v>30</v>
      </c>
      <c r="D5" s="117" t="s">
        <v>32</v>
      </c>
      <c r="E5" s="99" t="s">
        <v>82</v>
      </c>
      <c r="F5" s="118" t="s">
        <v>59</v>
      </c>
      <c r="G5" s="142"/>
      <c r="H5" s="115">
        <v>0</v>
      </c>
      <c r="I5" s="116">
        <v>0</v>
      </c>
      <c r="J5" s="114"/>
      <c r="K5" s="114">
        <v>10</v>
      </c>
      <c r="L5" s="114"/>
      <c r="M5" s="120">
        <f t="shared" si="0"/>
        <v>10</v>
      </c>
    </row>
    <row r="6" spans="1:22" s="113" customFormat="1" ht="32.25" customHeight="1" thickBot="1" x14ac:dyDescent="0.3">
      <c r="A6" s="97"/>
      <c r="B6" s="88" t="s">
        <v>100</v>
      </c>
      <c r="C6" s="88" t="s">
        <v>30</v>
      </c>
      <c r="D6" s="117" t="s">
        <v>33</v>
      </c>
      <c r="E6" s="99" t="s">
        <v>82</v>
      </c>
      <c r="F6" s="118" t="s">
        <v>60</v>
      </c>
      <c r="G6" s="142"/>
      <c r="H6" s="115"/>
      <c r="I6" s="116">
        <v>0</v>
      </c>
      <c r="J6" s="114"/>
      <c r="K6" s="113">
        <v>10</v>
      </c>
      <c r="L6" s="114"/>
      <c r="M6" s="120">
        <f t="shared" si="0"/>
        <v>10</v>
      </c>
    </row>
    <row r="7" spans="1:22" s="113" customFormat="1" ht="32.25" customHeight="1" thickBot="1" x14ac:dyDescent="0.3">
      <c r="A7" s="97"/>
      <c r="B7" s="117" t="s">
        <v>101</v>
      </c>
      <c r="C7" s="117" t="s">
        <v>53</v>
      </c>
      <c r="D7" s="117"/>
      <c r="E7" s="100" t="s">
        <v>82</v>
      </c>
      <c r="F7" s="118" t="s">
        <v>3</v>
      </c>
      <c r="G7" s="142" t="s">
        <v>3</v>
      </c>
      <c r="H7" s="115"/>
      <c r="I7" s="116"/>
      <c r="J7" s="114"/>
      <c r="K7" s="114">
        <v>1</v>
      </c>
      <c r="L7" s="114"/>
      <c r="M7" s="120">
        <f t="shared" si="0"/>
        <v>1</v>
      </c>
      <c r="N7" s="123">
        <v>0</v>
      </c>
      <c r="O7" s="112">
        <v>20000</v>
      </c>
      <c r="P7" s="112">
        <v>35718.181818181816</v>
      </c>
      <c r="Q7" s="112">
        <v>30000</v>
      </c>
      <c r="R7" s="112"/>
      <c r="S7" s="112">
        <f>SUM(N7:R7)</f>
        <v>85718.181818181823</v>
      </c>
      <c r="T7" s="132"/>
      <c r="U7" s="132"/>
      <c r="V7" s="132"/>
    </row>
    <row r="8" spans="1:22" s="113" customFormat="1" ht="32.25" customHeight="1" thickBot="1" x14ac:dyDescent="0.3">
      <c r="A8" s="97"/>
      <c r="B8" s="117" t="s">
        <v>101</v>
      </c>
      <c r="C8" s="117" t="s">
        <v>53</v>
      </c>
      <c r="D8" s="117" t="s">
        <v>84</v>
      </c>
      <c r="E8" s="100" t="s">
        <v>82</v>
      </c>
      <c r="F8" s="118" t="s">
        <v>1</v>
      </c>
      <c r="G8" s="142"/>
      <c r="H8" s="115"/>
      <c r="I8" s="116"/>
      <c r="J8" s="114">
        <v>1</v>
      </c>
      <c r="K8" s="114"/>
      <c r="L8" s="114"/>
      <c r="M8" s="120">
        <f t="shared" si="0"/>
        <v>1</v>
      </c>
      <c r="N8" s="121"/>
      <c r="O8" s="121"/>
      <c r="P8" s="121"/>
      <c r="Q8" s="121"/>
      <c r="R8" s="121"/>
      <c r="S8" s="121"/>
    </row>
    <row r="9" spans="1:22" s="113" customFormat="1" ht="32.25" customHeight="1" thickBot="1" x14ac:dyDescent="0.3">
      <c r="A9" s="97"/>
      <c r="B9" s="117" t="s">
        <v>101</v>
      </c>
      <c r="C9" s="117" t="s">
        <v>53</v>
      </c>
      <c r="D9" s="117" t="s">
        <v>85</v>
      </c>
      <c r="E9" s="100" t="s">
        <v>82</v>
      </c>
      <c r="F9" s="118" t="s">
        <v>1</v>
      </c>
      <c r="G9" s="142"/>
      <c r="H9" s="115"/>
      <c r="I9" s="116"/>
      <c r="J9" s="114"/>
      <c r="K9" s="114">
        <v>1</v>
      </c>
      <c r="L9" s="114"/>
      <c r="M9" s="120">
        <f t="shared" si="0"/>
        <v>1</v>
      </c>
      <c r="N9" s="122"/>
      <c r="O9" s="122"/>
      <c r="P9" s="122"/>
      <c r="Q9" s="122"/>
      <c r="R9" s="122"/>
      <c r="S9" s="122"/>
    </row>
    <row r="10" spans="1:22" s="113" customFormat="1" ht="32.25" customHeight="1" thickBot="1" x14ac:dyDescent="0.3">
      <c r="A10" s="97"/>
      <c r="B10" s="117" t="s">
        <v>99</v>
      </c>
      <c r="C10" s="117" t="s">
        <v>54</v>
      </c>
      <c r="D10" s="117"/>
      <c r="E10" s="100" t="s">
        <v>82</v>
      </c>
      <c r="F10" s="118" t="s">
        <v>1</v>
      </c>
      <c r="G10" s="142" t="s">
        <v>122</v>
      </c>
      <c r="H10" s="115"/>
      <c r="I10" s="116"/>
      <c r="J10" s="114"/>
      <c r="K10" s="114"/>
      <c r="L10" s="114">
        <v>1</v>
      </c>
      <c r="M10" s="120">
        <f t="shared" si="0"/>
        <v>1</v>
      </c>
      <c r="N10" s="123">
        <v>100000</v>
      </c>
      <c r="O10" s="112">
        <v>40000</v>
      </c>
      <c r="P10" s="112">
        <v>100000</v>
      </c>
      <c r="Q10" s="112">
        <v>50000</v>
      </c>
      <c r="R10" s="112"/>
      <c r="S10" s="112">
        <f>SUM(N10:R10)</f>
        <v>290000</v>
      </c>
      <c r="T10" s="132"/>
      <c r="U10" s="132"/>
      <c r="V10" s="132"/>
    </row>
    <row r="11" spans="1:22" s="113" customFormat="1" ht="32.25" customHeight="1" thickBot="1" x14ac:dyDescent="0.3">
      <c r="A11" s="97"/>
      <c r="B11" s="117" t="s">
        <v>99</v>
      </c>
      <c r="C11" s="117" t="s">
        <v>54</v>
      </c>
      <c r="D11" s="117" t="s">
        <v>36</v>
      </c>
      <c r="E11" s="100" t="s">
        <v>82</v>
      </c>
      <c r="F11" s="118" t="s">
        <v>1</v>
      </c>
      <c r="G11" s="142"/>
      <c r="H11" s="115"/>
      <c r="I11" s="116">
        <v>1</v>
      </c>
      <c r="J11" s="114"/>
      <c r="K11" s="114"/>
      <c r="L11" s="114"/>
      <c r="M11" s="120">
        <f t="shared" si="0"/>
        <v>1</v>
      </c>
      <c r="N11" s="121"/>
      <c r="O11" s="121"/>
      <c r="P11" s="121"/>
      <c r="Q11" s="121"/>
      <c r="R11" s="121"/>
      <c r="S11" s="121"/>
    </row>
    <row r="12" spans="1:22" s="113" customFormat="1" ht="32.25" customHeight="1" thickBot="1" x14ac:dyDescent="0.3">
      <c r="A12" s="97"/>
      <c r="B12" s="117" t="s">
        <v>99</v>
      </c>
      <c r="C12" s="117" t="s">
        <v>54</v>
      </c>
      <c r="D12" s="117" t="s">
        <v>37</v>
      </c>
      <c r="E12" s="100" t="s">
        <v>82</v>
      </c>
      <c r="F12" s="118" t="s">
        <v>1</v>
      </c>
      <c r="G12" s="142"/>
      <c r="H12" s="115"/>
      <c r="I12" s="116">
        <v>0</v>
      </c>
      <c r="J12" s="114">
        <v>1</v>
      </c>
      <c r="K12" s="114"/>
      <c r="L12" s="114"/>
      <c r="M12" s="120">
        <f t="shared" si="0"/>
        <v>1</v>
      </c>
      <c r="N12" s="121"/>
      <c r="O12" s="121"/>
      <c r="P12" s="121"/>
      <c r="Q12" s="121"/>
      <c r="R12" s="121"/>
      <c r="S12" s="121"/>
    </row>
    <row r="13" spans="1:22" s="113" customFormat="1" ht="32.25" customHeight="1" thickBot="1" x14ac:dyDescent="0.3">
      <c r="A13" s="97"/>
      <c r="B13" s="117" t="s">
        <v>99</v>
      </c>
      <c r="C13" s="117" t="s">
        <v>54</v>
      </c>
      <c r="D13" s="117" t="s">
        <v>56</v>
      </c>
      <c r="E13" s="100" t="s">
        <v>82</v>
      </c>
      <c r="F13" s="118" t="s">
        <v>1</v>
      </c>
      <c r="G13" s="142"/>
      <c r="H13" s="115"/>
      <c r="I13" s="116"/>
      <c r="J13" s="114">
        <v>1</v>
      </c>
      <c r="K13" s="114"/>
      <c r="L13" s="114"/>
      <c r="M13" s="120">
        <f t="shared" si="0"/>
        <v>1</v>
      </c>
      <c r="N13" s="121"/>
      <c r="O13" s="121"/>
      <c r="P13" s="121"/>
      <c r="Q13" s="121"/>
      <c r="R13" s="121"/>
      <c r="S13" s="121"/>
    </row>
    <row r="14" spans="1:22" s="113" customFormat="1" ht="32.25" customHeight="1" thickBot="1" x14ac:dyDescent="0.3">
      <c r="A14" s="98"/>
      <c r="B14" s="117" t="s">
        <v>99</v>
      </c>
      <c r="C14" s="117" t="s">
        <v>54</v>
      </c>
      <c r="D14" s="117" t="s">
        <v>86</v>
      </c>
      <c r="E14" s="100" t="s">
        <v>82</v>
      </c>
      <c r="F14" s="118" t="s">
        <v>1</v>
      </c>
      <c r="G14" s="142"/>
      <c r="H14" s="115"/>
      <c r="I14" s="116"/>
      <c r="J14" s="114"/>
      <c r="K14" s="114">
        <v>1</v>
      </c>
      <c r="L14" s="114"/>
      <c r="M14" s="120">
        <f t="shared" si="0"/>
        <v>1</v>
      </c>
      <c r="N14" s="121"/>
      <c r="O14" s="121"/>
      <c r="P14" s="121"/>
      <c r="Q14" s="122"/>
      <c r="R14" s="122"/>
      <c r="S14" s="122"/>
    </row>
    <row r="15" spans="1:22" s="113" customFormat="1" ht="32.25" customHeight="1" thickBot="1" x14ac:dyDescent="0.3">
      <c r="A15" s="97"/>
      <c r="B15" s="117" t="s">
        <v>102</v>
      </c>
      <c r="C15" s="117" t="s">
        <v>55</v>
      </c>
      <c r="D15" s="117"/>
      <c r="E15" s="100" t="s">
        <v>82</v>
      </c>
      <c r="F15" s="118" t="s">
        <v>1</v>
      </c>
      <c r="G15" s="142" t="s">
        <v>122</v>
      </c>
      <c r="H15" s="115"/>
      <c r="I15" s="116"/>
      <c r="J15" s="114"/>
      <c r="K15" s="114">
        <v>1</v>
      </c>
      <c r="L15" s="114"/>
      <c r="M15" s="120">
        <f t="shared" si="0"/>
        <v>1</v>
      </c>
      <c r="N15" s="123">
        <v>2000</v>
      </c>
      <c r="O15" s="112">
        <v>35500</v>
      </c>
      <c r="P15" s="112">
        <v>40646</v>
      </c>
      <c r="Q15" s="112">
        <v>34000</v>
      </c>
      <c r="R15" s="112"/>
      <c r="S15" s="112">
        <f>SUM(N15:R15)</f>
        <v>112146</v>
      </c>
      <c r="T15" s="132"/>
      <c r="U15" s="132"/>
      <c r="V15" s="132"/>
    </row>
    <row r="16" spans="1:22" s="113" customFormat="1" ht="32.25" customHeight="1" thickBot="1" x14ac:dyDescent="0.3">
      <c r="A16" s="97"/>
      <c r="B16" s="117" t="s">
        <v>102</v>
      </c>
      <c r="C16" s="117" t="s">
        <v>55</v>
      </c>
      <c r="D16" s="117" t="s">
        <v>39</v>
      </c>
      <c r="E16" s="100" t="s">
        <v>82</v>
      </c>
      <c r="F16" s="118" t="s">
        <v>1</v>
      </c>
      <c r="G16" s="142"/>
      <c r="H16" s="115"/>
      <c r="I16" s="116">
        <v>1</v>
      </c>
      <c r="J16" s="114"/>
      <c r="K16" s="114"/>
      <c r="L16" s="114"/>
      <c r="M16" s="120">
        <f t="shared" si="0"/>
        <v>1</v>
      </c>
      <c r="N16" s="121"/>
      <c r="O16" s="121"/>
      <c r="P16" s="121"/>
      <c r="Q16" s="121"/>
      <c r="R16" s="121"/>
      <c r="S16" s="121"/>
    </row>
    <row r="17" spans="1:22" s="113" customFormat="1" ht="32.25" customHeight="1" thickBot="1" x14ac:dyDescent="0.3">
      <c r="A17" s="97"/>
      <c r="B17" s="117" t="s">
        <v>102</v>
      </c>
      <c r="C17" s="117" t="s">
        <v>55</v>
      </c>
      <c r="D17" s="117" t="s">
        <v>57</v>
      </c>
      <c r="E17" s="100" t="s">
        <v>82</v>
      </c>
      <c r="F17" s="118" t="s">
        <v>58</v>
      </c>
      <c r="G17" s="142"/>
      <c r="H17" s="115"/>
      <c r="I17" s="116"/>
      <c r="J17" s="116">
        <v>15</v>
      </c>
      <c r="K17" s="114"/>
      <c r="L17" s="114"/>
      <c r="M17" s="120">
        <f t="shared" si="0"/>
        <v>15</v>
      </c>
      <c r="N17" s="121"/>
      <c r="O17" s="122"/>
      <c r="P17" s="122"/>
      <c r="Q17" s="122"/>
      <c r="R17" s="122"/>
      <c r="S17" s="122"/>
    </row>
    <row r="18" spans="1:22" s="113" customFormat="1" ht="32.25" customHeight="1" thickBot="1" x14ac:dyDescent="0.3">
      <c r="A18" s="97"/>
      <c r="B18" s="117" t="s">
        <v>103</v>
      </c>
      <c r="C18" s="117" t="s">
        <v>113</v>
      </c>
      <c r="D18" s="117"/>
      <c r="E18" s="100" t="s">
        <v>82</v>
      </c>
      <c r="F18" s="118" t="s">
        <v>76</v>
      </c>
      <c r="G18" s="142" t="s">
        <v>123</v>
      </c>
      <c r="H18" s="115"/>
      <c r="I18" s="116"/>
      <c r="J18" s="116"/>
      <c r="K18" s="114"/>
      <c r="L18" s="114"/>
      <c r="M18" s="120"/>
      <c r="N18" s="121"/>
      <c r="O18" s="122"/>
      <c r="P18" s="122"/>
      <c r="Q18" s="122"/>
      <c r="R18" s="122"/>
      <c r="S18" s="122"/>
    </row>
    <row r="19" spans="1:22" ht="32.25" customHeight="1" thickBot="1" x14ac:dyDescent="0.3">
      <c r="A19" s="97"/>
      <c r="B19" s="117" t="s">
        <v>105</v>
      </c>
      <c r="C19" s="117" t="s">
        <v>114</v>
      </c>
      <c r="D19" s="117"/>
      <c r="E19" s="100" t="s">
        <v>82</v>
      </c>
      <c r="F19" s="118" t="s">
        <v>63</v>
      </c>
      <c r="G19" s="142" t="s">
        <v>124</v>
      </c>
      <c r="H19" s="124"/>
      <c r="I19" s="126">
        <v>30000</v>
      </c>
      <c r="J19" s="127">
        <v>20000</v>
      </c>
      <c r="K19" s="127"/>
      <c r="L19" s="127"/>
      <c r="M19" s="120">
        <f t="shared" ref="M19:M39" si="1">SUM(I19:L19)</f>
        <v>50000</v>
      </c>
      <c r="N19" s="123">
        <v>35000</v>
      </c>
      <c r="O19" s="123">
        <v>20000</v>
      </c>
      <c r="P19" s="123">
        <v>30000</v>
      </c>
      <c r="Q19" s="123">
        <v>40000</v>
      </c>
      <c r="R19" s="135"/>
      <c r="S19" s="112">
        <f>SUM(N19:R19)</f>
        <v>125000</v>
      </c>
      <c r="T19" s="132"/>
      <c r="U19" s="132"/>
      <c r="V19" s="132"/>
    </row>
    <row r="20" spans="1:22" ht="32.25" customHeight="1" thickBot="1" x14ac:dyDescent="0.3">
      <c r="A20" s="97"/>
      <c r="B20" s="117" t="s">
        <v>106</v>
      </c>
      <c r="C20" s="117" t="s">
        <v>115</v>
      </c>
      <c r="D20" s="117" t="s">
        <v>96</v>
      </c>
      <c r="E20" s="100" t="s">
        <v>82</v>
      </c>
      <c r="F20" s="118" t="s">
        <v>1</v>
      </c>
      <c r="G20" s="142"/>
      <c r="H20" s="124"/>
      <c r="I20" s="126">
        <v>1</v>
      </c>
      <c r="J20" s="127"/>
      <c r="K20" s="127"/>
      <c r="L20" s="127"/>
      <c r="M20" s="120">
        <f t="shared" si="1"/>
        <v>1</v>
      </c>
      <c r="N20" s="121"/>
      <c r="O20" s="122"/>
      <c r="P20" s="122"/>
      <c r="Q20" s="122"/>
      <c r="R20" s="122"/>
      <c r="S20" s="122"/>
    </row>
    <row r="21" spans="1:22" ht="32.25" customHeight="1" thickBot="1" x14ac:dyDescent="0.3">
      <c r="A21" s="97"/>
      <c r="B21" s="117" t="s">
        <v>106</v>
      </c>
      <c r="C21" s="117" t="s">
        <v>42</v>
      </c>
      <c r="D21" s="117" t="s">
        <v>62</v>
      </c>
      <c r="E21" s="100" t="s">
        <v>82</v>
      </c>
      <c r="F21" s="118" t="s">
        <v>63</v>
      </c>
      <c r="G21" s="142"/>
      <c r="H21" s="124"/>
      <c r="I21" s="126"/>
      <c r="J21" s="127">
        <v>9000</v>
      </c>
      <c r="K21" s="127">
        <v>6000</v>
      </c>
      <c r="L21" s="127"/>
      <c r="M21" s="120">
        <f t="shared" si="1"/>
        <v>15000</v>
      </c>
      <c r="N21" s="121"/>
      <c r="O21" s="122"/>
      <c r="P21" s="122"/>
      <c r="Q21" s="122"/>
      <c r="R21" s="122"/>
      <c r="S21" s="122"/>
    </row>
    <row r="22" spans="1:22" ht="32.25" customHeight="1" thickBot="1" x14ac:dyDescent="0.3">
      <c r="A22" s="98"/>
      <c r="B22" s="117" t="s">
        <v>106</v>
      </c>
      <c r="C22" s="117" t="s">
        <v>42</v>
      </c>
      <c r="D22" s="117" t="s">
        <v>87</v>
      </c>
      <c r="E22" s="100" t="s">
        <v>82</v>
      </c>
      <c r="F22" s="118" t="s">
        <v>63</v>
      </c>
      <c r="G22" s="142"/>
      <c r="H22" s="124"/>
      <c r="I22" s="126">
        <v>20000</v>
      </c>
      <c r="J22" s="127">
        <v>60000</v>
      </c>
      <c r="K22" s="127">
        <v>40000</v>
      </c>
      <c r="L22" s="127">
        <v>25000</v>
      </c>
      <c r="M22" s="120">
        <f t="shared" si="1"/>
        <v>145000</v>
      </c>
      <c r="N22" s="121"/>
      <c r="O22" s="121"/>
      <c r="P22" s="121"/>
      <c r="Q22" s="121"/>
      <c r="R22" s="121"/>
      <c r="S22" s="121"/>
    </row>
    <row r="23" spans="1:22" ht="32.25" customHeight="1" thickBot="1" x14ac:dyDescent="0.3">
      <c r="A23" s="98"/>
      <c r="B23" s="117" t="s">
        <v>107</v>
      </c>
      <c r="C23" s="117" t="s">
        <v>116</v>
      </c>
      <c r="D23" s="117"/>
      <c r="E23" s="100" t="s">
        <v>82</v>
      </c>
      <c r="F23" s="118" t="s">
        <v>44</v>
      </c>
      <c r="G23" s="142" t="s">
        <v>125</v>
      </c>
      <c r="H23" s="124"/>
      <c r="I23" s="126"/>
      <c r="J23" s="127"/>
      <c r="K23" s="127">
        <v>100</v>
      </c>
      <c r="L23" s="127">
        <v>100</v>
      </c>
      <c r="M23" s="120">
        <f t="shared" si="1"/>
        <v>200</v>
      </c>
      <c r="N23" s="123"/>
      <c r="O23" s="123"/>
      <c r="P23" s="123">
        <v>100000</v>
      </c>
      <c r="Q23" s="123">
        <v>100000</v>
      </c>
      <c r="R23" s="135"/>
      <c r="S23" s="112">
        <f>SUM(N23:R23)</f>
        <v>200000</v>
      </c>
      <c r="T23" s="132"/>
      <c r="U23" s="132"/>
      <c r="V23" s="132"/>
    </row>
    <row r="24" spans="1:22" ht="32.25" customHeight="1" thickBot="1" x14ac:dyDescent="0.3">
      <c r="A24" s="98"/>
      <c r="B24" s="117" t="s">
        <v>107</v>
      </c>
      <c r="C24" s="117" t="s">
        <v>116</v>
      </c>
      <c r="D24" s="117" t="s">
        <v>64</v>
      </c>
      <c r="E24" s="100" t="s">
        <v>82</v>
      </c>
      <c r="F24" s="118" t="s">
        <v>66</v>
      </c>
      <c r="G24" s="142"/>
      <c r="H24" s="124"/>
      <c r="I24" s="128"/>
      <c r="J24" s="129"/>
      <c r="K24" s="129">
        <v>1</v>
      </c>
      <c r="L24" s="129"/>
      <c r="M24" s="120">
        <f t="shared" si="1"/>
        <v>1</v>
      </c>
      <c r="N24" s="125"/>
      <c r="O24" s="125"/>
      <c r="P24" s="125"/>
      <c r="Q24" s="125"/>
      <c r="R24" s="125"/>
      <c r="S24" s="125"/>
    </row>
    <row r="25" spans="1:22" ht="32.25" customHeight="1" thickBot="1" x14ac:dyDescent="0.3">
      <c r="A25" s="130"/>
      <c r="B25" s="117" t="s">
        <v>107</v>
      </c>
      <c r="C25" s="117" t="s">
        <v>116</v>
      </c>
      <c r="D25" s="117" t="s">
        <v>88</v>
      </c>
      <c r="E25" s="100" t="s">
        <v>82</v>
      </c>
      <c r="F25" s="118" t="s">
        <v>41</v>
      </c>
      <c r="G25" s="142"/>
      <c r="H25" s="124"/>
      <c r="I25" s="128"/>
      <c r="J25" s="129"/>
      <c r="K25" s="129">
        <v>50</v>
      </c>
      <c r="L25" s="129">
        <v>50</v>
      </c>
      <c r="M25" s="120">
        <f t="shared" si="1"/>
        <v>100</v>
      </c>
      <c r="N25" s="121"/>
      <c r="O25" s="122"/>
      <c r="P25" s="122"/>
      <c r="Q25" s="122"/>
      <c r="R25" s="122"/>
      <c r="S25" s="122"/>
    </row>
    <row r="26" spans="1:22" ht="32.25" customHeight="1" thickBot="1" x14ac:dyDescent="0.3">
      <c r="A26" s="130"/>
      <c r="B26" s="117" t="s">
        <v>107</v>
      </c>
      <c r="C26" s="117" t="s">
        <v>116</v>
      </c>
      <c r="D26" s="88" t="s">
        <v>89</v>
      </c>
      <c r="E26" s="100" t="s">
        <v>82</v>
      </c>
      <c r="F26" s="118" t="s">
        <v>65</v>
      </c>
      <c r="G26" s="142"/>
      <c r="H26" s="124"/>
      <c r="I26" s="128"/>
      <c r="J26" s="129"/>
      <c r="K26" s="129">
        <v>1</v>
      </c>
      <c r="L26" s="129"/>
      <c r="M26" s="120">
        <f t="shared" si="1"/>
        <v>1</v>
      </c>
      <c r="N26" s="121"/>
      <c r="O26" s="121"/>
      <c r="P26" s="121"/>
      <c r="Q26" s="121"/>
      <c r="R26" s="121"/>
      <c r="S26" s="122"/>
    </row>
    <row r="27" spans="1:22" ht="32.25" customHeight="1" thickBot="1" x14ac:dyDescent="0.3">
      <c r="A27" s="130"/>
      <c r="B27" s="117" t="s">
        <v>108</v>
      </c>
      <c r="C27" s="117" t="s">
        <v>117</v>
      </c>
      <c r="D27" s="88"/>
      <c r="E27" s="100" t="s">
        <v>82</v>
      </c>
      <c r="F27" s="118" t="s">
        <v>44</v>
      </c>
      <c r="G27" s="142" t="s">
        <v>125</v>
      </c>
      <c r="H27" s="124"/>
      <c r="I27" s="128">
        <v>50</v>
      </c>
      <c r="J27" s="129">
        <v>100</v>
      </c>
      <c r="K27" s="129">
        <v>100</v>
      </c>
      <c r="L27" s="129"/>
      <c r="M27" s="120">
        <f t="shared" si="1"/>
        <v>250</v>
      </c>
      <c r="N27" s="123">
        <v>50000</v>
      </c>
      <c r="O27" s="112">
        <v>100000</v>
      </c>
      <c r="P27" s="112">
        <v>100000</v>
      </c>
      <c r="Q27" s="112"/>
      <c r="R27" s="112"/>
      <c r="S27" s="112">
        <f>SUM(N27:R27)</f>
        <v>250000</v>
      </c>
      <c r="T27" s="132"/>
      <c r="U27" s="132"/>
      <c r="V27" s="132"/>
    </row>
    <row r="28" spans="1:22" ht="32.25" customHeight="1" thickBot="1" x14ac:dyDescent="0.3">
      <c r="A28" s="130"/>
      <c r="B28" s="117" t="s">
        <v>108</v>
      </c>
      <c r="C28" s="117" t="s">
        <v>117</v>
      </c>
      <c r="D28" s="117" t="s">
        <v>96</v>
      </c>
      <c r="E28" s="100" t="s">
        <v>82</v>
      </c>
      <c r="F28" s="118" t="s">
        <v>66</v>
      </c>
      <c r="G28" s="142"/>
      <c r="H28" s="124"/>
      <c r="I28" s="126">
        <v>1</v>
      </c>
      <c r="J28" s="127"/>
      <c r="K28" s="127"/>
      <c r="L28" s="127"/>
      <c r="M28" s="120">
        <f t="shared" si="1"/>
        <v>1</v>
      </c>
      <c r="N28" s="121"/>
      <c r="O28" s="121"/>
      <c r="P28" s="121"/>
      <c r="Q28" s="121"/>
      <c r="R28" s="121"/>
      <c r="S28" s="122"/>
    </row>
    <row r="29" spans="1:22" ht="32.25" customHeight="1" thickBot="1" x14ac:dyDescent="0.3">
      <c r="A29" s="130"/>
      <c r="B29" s="117" t="s">
        <v>108</v>
      </c>
      <c r="C29" s="117" t="s">
        <v>117</v>
      </c>
      <c r="D29" s="88" t="s">
        <v>90</v>
      </c>
      <c r="E29" s="100" t="s">
        <v>82</v>
      </c>
      <c r="F29" s="118" t="s">
        <v>91</v>
      </c>
      <c r="G29" s="142"/>
      <c r="H29" s="124"/>
      <c r="I29" s="128"/>
      <c r="J29" s="129">
        <v>1</v>
      </c>
      <c r="K29" s="129"/>
      <c r="L29" s="129"/>
      <c r="M29" s="120">
        <f t="shared" si="1"/>
        <v>1</v>
      </c>
      <c r="N29" s="121"/>
      <c r="O29" s="121"/>
      <c r="P29" s="121"/>
      <c r="Q29" s="121"/>
      <c r="R29" s="121"/>
      <c r="S29" s="122"/>
    </row>
    <row r="30" spans="1:22" ht="32.25" customHeight="1" thickBot="1" x14ac:dyDescent="0.3">
      <c r="A30" s="130"/>
      <c r="B30" s="117" t="s">
        <v>109</v>
      </c>
      <c r="C30" s="117" t="s">
        <v>118</v>
      </c>
      <c r="D30" s="88"/>
      <c r="E30" s="100" t="s">
        <v>82</v>
      </c>
      <c r="F30" s="118" t="s">
        <v>38</v>
      </c>
      <c r="G30" s="118" t="s">
        <v>38</v>
      </c>
      <c r="H30" s="124"/>
      <c r="I30" s="128"/>
      <c r="J30" s="129">
        <v>5</v>
      </c>
      <c r="K30" s="129">
        <v>5</v>
      </c>
      <c r="L30" s="129"/>
      <c r="M30" s="120">
        <f t="shared" si="1"/>
        <v>10</v>
      </c>
      <c r="N30" s="123"/>
      <c r="O30" s="112">
        <v>40000</v>
      </c>
      <c r="P30" s="112">
        <v>40000</v>
      </c>
      <c r="Q30" s="112"/>
      <c r="R30" s="112"/>
      <c r="S30" s="112">
        <f>SUM(N30:R30)</f>
        <v>80000</v>
      </c>
      <c r="T30" s="132"/>
      <c r="U30" s="132"/>
      <c r="V30" s="132"/>
    </row>
    <row r="31" spans="1:22" ht="32.25" customHeight="1" thickBot="1" x14ac:dyDescent="0.3">
      <c r="A31" s="130"/>
      <c r="B31" s="117" t="s">
        <v>109</v>
      </c>
      <c r="C31" s="117" t="s">
        <v>118</v>
      </c>
      <c r="D31" s="88" t="s">
        <v>67</v>
      </c>
      <c r="E31" s="100" t="s">
        <v>82</v>
      </c>
      <c r="F31" s="118" t="s">
        <v>68</v>
      </c>
      <c r="G31" s="142"/>
      <c r="H31" s="124"/>
      <c r="I31" s="128"/>
      <c r="J31" s="129">
        <v>10</v>
      </c>
      <c r="K31" s="129"/>
      <c r="L31" s="129"/>
      <c r="M31" s="120">
        <f t="shared" si="1"/>
        <v>10</v>
      </c>
      <c r="N31" s="121"/>
      <c r="O31" s="121"/>
      <c r="P31" s="121"/>
      <c r="Q31" s="121"/>
      <c r="R31" s="121"/>
      <c r="S31" s="122"/>
    </row>
    <row r="32" spans="1:22" ht="32.25" customHeight="1" thickBot="1" x14ac:dyDescent="0.3">
      <c r="A32" s="130"/>
      <c r="B32" s="117" t="s">
        <v>110</v>
      </c>
      <c r="C32" s="117" t="s">
        <v>119</v>
      </c>
      <c r="D32" s="88"/>
      <c r="E32" s="100" t="s">
        <v>82</v>
      </c>
      <c r="F32" s="118" t="s">
        <v>1</v>
      </c>
      <c r="G32" s="142" t="s">
        <v>122</v>
      </c>
      <c r="H32" s="124"/>
      <c r="I32" s="128"/>
      <c r="J32" s="129"/>
      <c r="K32" s="129"/>
      <c r="L32" s="129">
        <v>1</v>
      </c>
      <c r="M32" s="120">
        <f t="shared" si="1"/>
        <v>1</v>
      </c>
      <c r="N32" s="123">
        <v>0</v>
      </c>
      <c r="O32" s="112">
        <v>55000</v>
      </c>
      <c r="P32" s="112">
        <v>350000</v>
      </c>
      <c r="Q32" s="112">
        <v>400000</v>
      </c>
      <c r="R32" s="112"/>
      <c r="S32" s="112">
        <f>SUM(N32:R32)</f>
        <v>805000</v>
      </c>
      <c r="T32" s="132"/>
      <c r="U32" s="132"/>
      <c r="V32" s="132"/>
    </row>
    <row r="33" spans="1:22" ht="32.25" customHeight="1" thickBot="1" x14ac:dyDescent="0.3">
      <c r="A33" s="130"/>
      <c r="B33" s="117" t="s">
        <v>110</v>
      </c>
      <c r="C33" s="117" t="s">
        <v>119</v>
      </c>
      <c r="D33" s="88" t="s">
        <v>45</v>
      </c>
      <c r="E33" s="100" t="s">
        <v>82</v>
      </c>
      <c r="F33" s="118" t="s">
        <v>51</v>
      </c>
      <c r="G33" s="142"/>
      <c r="H33" s="124"/>
      <c r="I33" s="128"/>
      <c r="J33" s="129"/>
      <c r="K33" s="129">
        <v>1</v>
      </c>
      <c r="L33" s="129"/>
      <c r="M33" s="120">
        <f t="shared" si="1"/>
        <v>1</v>
      </c>
      <c r="N33" s="121"/>
      <c r="O33" s="121"/>
      <c r="P33" s="121"/>
      <c r="Q33" s="121"/>
      <c r="R33" s="121"/>
      <c r="S33" s="122"/>
    </row>
    <row r="34" spans="1:22" ht="32.25" customHeight="1" thickBot="1" x14ac:dyDescent="0.3">
      <c r="A34" s="130"/>
      <c r="B34" s="117" t="s">
        <v>110</v>
      </c>
      <c r="C34" s="117" t="s">
        <v>119</v>
      </c>
      <c r="D34" s="88" t="s">
        <v>69</v>
      </c>
      <c r="E34" s="100" t="s">
        <v>82</v>
      </c>
      <c r="F34" s="118" t="s">
        <v>73</v>
      </c>
      <c r="G34" s="142"/>
      <c r="H34" s="124"/>
      <c r="I34" s="128"/>
      <c r="J34" s="129"/>
      <c r="K34" s="129">
        <v>1</v>
      </c>
      <c r="L34" s="129"/>
      <c r="M34" s="120">
        <f t="shared" si="1"/>
        <v>1</v>
      </c>
      <c r="N34" s="121"/>
      <c r="O34" s="121"/>
      <c r="P34" s="121"/>
      <c r="Q34" s="121"/>
      <c r="R34" s="121"/>
      <c r="S34" s="122"/>
    </row>
    <row r="35" spans="1:22" ht="32.25" customHeight="1" thickBot="1" x14ac:dyDescent="0.3">
      <c r="A35" s="130"/>
      <c r="B35" s="117" t="s">
        <v>110</v>
      </c>
      <c r="C35" s="117" t="s">
        <v>119</v>
      </c>
      <c r="D35" s="88" t="s">
        <v>70</v>
      </c>
      <c r="E35" s="100" t="s">
        <v>82</v>
      </c>
      <c r="F35" s="118" t="s">
        <v>72</v>
      </c>
      <c r="G35" s="142"/>
      <c r="H35" s="124"/>
      <c r="I35" s="128"/>
      <c r="J35" s="129"/>
      <c r="K35" s="129">
        <v>30</v>
      </c>
      <c r="L35" s="129">
        <v>70</v>
      </c>
      <c r="M35" s="120">
        <f t="shared" si="1"/>
        <v>100</v>
      </c>
      <c r="N35" s="121"/>
      <c r="O35" s="121"/>
      <c r="P35" s="121"/>
      <c r="Q35" s="121"/>
      <c r="R35" s="121"/>
      <c r="S35" s="122"/>
    </row>
    <row r="36" spans="1:22" ht="32.25" customHeight="1" thickBot="1" x14ac:dyDescent="0.3">
      <c r="A36" s="130"/>
      <c r="B36" s="117" t="s">
        <v>110</v>
      </c>
      <c r="C36" s="117" t="s">
        <v>119</v>
      </c>
      <c r="D36" s="88" t="s">
        <v>74</v>
      </c>
      <c r="E36" s="100" t="s">
        <v>82</v>
      </c>
      <c r="F36" s="118" t="s">
        <v>61</v>
      </c>
      <c r="G36" s="142"/>
      <c r="H36" s="124"/>
      <c r="I36" s="128"/>
      <c r="J36" s="129"/>
      <c r="K36" s="129"/>
      <c r="L36" s="129">
        <v>1</v>
      </c>
      <c r="M36" s="120">
        <f t="shared" si="1"/>
        <v>1</v>
      </c>
      <c r="N36" s="121"/>
      <c r="O36" s="121"/>
      <c r="P36" s="121"/>
      <c r="Q36" s="121"/>
      <c r="R36" s="121"/>
      <c r="S36" s="122"/>
    </row>
    <row r="37" spans="1:22" ht="32.25" customHeight="1" thickBot="1" x14ac:dyDescent="0.3">
      <c r="A37" s="130"/>
      <c r="B37" s="117" t="s">
        <v>110</v>
      </c>
      <c r="C37" s="117" t="s">
        <v>119</v>
      </c>
      <c r="D37" s="88" t="s">
        <v>71</v>
      </c>
      <c r="E37" s="100" t="s">
        <v>82</v>
      </c>
      <c r="F37" s="118" t="s">
        <v>75</v>
      </c>
      <c r="G37" s="142"/>
      <c r="H37" s="124"/>
      <c r="I37" s="128"/>
      <c r="J37" s="129"/>
      <c r="K37" s="129"/>
      <c r="L37" s="129">
        <v>1</v>
      </c>
      <c r="M37" s="120">
        <f t="shared" si="1"/>
        <v>1</v>
      </c>
      <c r="N37" s="121"/>
      <c r="O37" s="121"/>
      <c r="P37" s="121"/>
      <c r="Q37" s="121"/>
      <c r="R37" s="121"/>
      <c r="S37" s="122"/>
    </row>
    <row r="38" spans="1:22" ht="32.25" customHeight="1" thickBot="1" x14ac:dyDescent="0.3">
      <c r="A38" s="130"/>
      <c r="B38" s="117" t="s">
        <v>111</v>
      </c>
      <c r="C38" s="117" t="s">
        <v>120</v>
      </c>
      <c r="D38" s="88"/>
      <c r="E38" s="100" t="s">
        <v>82</v>
      </c>
      <c r="F38" s="118" t="s">
        <v>92</v>
      </c>
      <c r="G38" s="142" t="s">
        <v>126</v>
      </c>
      <c r="H38" s="124"/>
      <c r="I38" s="128"/>
      <c r="J38" s="129"/>
      <c r="K38" s="129"/>
      <c r="L38" s="129">
        <v>1</v>
      </c>
      <c r="M38" s="120">
        <f t="shared" si="1"/>
        <v>1</v>
      </c>
      <c r="N38" s="123"/>
      <c r="O38" s="112">
        <v>57000</v>
      </c>
      <c r="P38" s="112">
        <v>73000</v>
      </c>
      <c r="Q38" s="112">
        <v>78000</v>
      </c>
      <c r="R38" s="112"/>
      <c r="S38" s="112">
        <f>SUM(N38:R38)</f>
        <v>208000</v>
      </c>
      <c r="T38" s="132"/>
      <c r="U38" s="132"/>
      <c r="V38" s="132"/>
    </row>
    <row r="39" spans="1:22" ht="32.25" customHeight="1" thickBot="1" x14ac:dyDescent="0.3">
      <c r="A39" s="130"/>
      <c r="B39" s="117" t="s">
        <v>111</v>
      </c>
      <c r="C39" s="117" t="s">
        <v>120</v>
      </c>
      <c r="D39" s="88" t="s">
        <v>46</v>
      </c>
      <c r="E39" s="100" t="s">
        <v>82</v>
      </c>
      <c r="F39" s="118" t="s">
        <v>61</v>
      </c>
      <c r="G39" s="142"/>
      <c r="H39" s="124"/>
      <c r="I39" s="128"/>
      <c r="J39" s="129">
        <v>1</v>
      </c>
      <c r="K39" s="129"/>
      <c r="L39" s="129"/>
      <c r="M39" s="120">
        <f t="shared" si="1"/>
        <v>1</v>
      </c>
      <c r="N39" s="121"/>
      <c r="O39" s="121"/>
      <c r="P39" s="121"/>
      <c r="Q39" s="121"/>
      <c r="R39" s="121"/>
      <c r="S39" s="122"/>
    </row>
    <row r="40" spans="1:22" ht="32.25" customHeight="1" thickBot="1" x14ac:dyDescent="0.3">
      <c r="A40" s="130"/>
      <c r="B40" s="117" t="s">
        <v>111</v>
      </c>
      <c r="C40" s="117" t="s">
        <v>120</v>
      </c>
      <c r="D40" s="88" t="s">
        <v>47</v>
      </c>
      <c r="E40" s="100" t="s">
        <v>82</v>
      </c>
      <c r="F40" s="118" t="s">
        <v>76</v>
      </c>
      <c r="G40" s="142"/>
      <c r="H40" s="124"/>
      <c r="I40" s="128"/>
      <c r="J40" s="129">
        <v>6</v>
      </c>
      <c r="K40" s="129"/>
      <c r="L40" s="129">
        <v>6</v>
      </c>
      <c r="M40" s="120">
        <v>6</v>
      </c>
      <c r="N40" s="121"/>
      <c r="O40" s="121"/>
      <c r="P40" s="121"/>
      <c r="Q40" s="121"/>
      <c r="R40" s="121"/>
      <c r="S40" s="122"/>
    </row>
    <row r="41" spans="1:22" ht="32.25" customHeight="1" thickBot="1" x14ac:dyDescent="0.3">
      <c r="A41" s="130"/>
      <c r="B41" s="117" t="s">
        <v>111</v>
      </c>
      <c r="C41" s="117" t="s">
        <v>120</v>
      </c>
      <c r="D41" s="88" t="s">
        <v>48</v>
      </c>
      <c r="E41" s="100" t="s">
        <v>82</v>
      </c>
      <c r="F41" s="118" t="s">
        <v>51</v>
      </c>
      <c r="G41" s="142"/>
      <c r="H41" s="124"/>
      <c r="I41" s="128"/>
      <c r="J41" s="129">
        <v>1</v>
      </c>
      <c r="K41" s="129"/>
      <c r="L41" s="129">
        <v>1</v>
      </c>
      <c r="M41" s="120">
        <f>SUM(I41:L41)</f>
        <v>2</v>
      </c>
      <c r="N41" s="121"/>
      <c r="O41" s="121"/>
      <c r="P41" s="121"/>
      <c r="Q41" s="121"/>
      <c r="R41" s="121"/>
      <c r="S41" s="122"/>
    </row>
    <row r="42" spans="1:22" ht="32.25" customHeight="1" thickBot="1" x14ac:dyDescent="0.3">
      <c r="A42" s="130"/>
      <c r="B42" s="117" t="s">
        <v>111</v>
      </c>
      <c r="C42" s="117" t="s">
        <v>120</v>
      </c>
      <c r="D42" s="88" t="s">
        <v>49</v>
      </c>
      <c r="E42" s="100" t="s">
        <v>82</v>
      </c>
      <c r="F42" s="118" t="s">
        <v>51</v>
      </c>
      <c r="G42" s="142"/>
      <c r="H42" s="124"/>
      <c r="I42" s="128"/>
      <c r="J42" s="129">
        <v>1</v>
      </c>
      <c r="K42" s="129">
        <v>1</v>
      </c>
      <c r="L42" s="129">
        <v>1</v>
      </c>
      <c r="M42" s="120">
        <f>SUM(I42:L42)</f>
        <v>3</v>
      </c>
      <c r="N42" s="121"/>
      <c r="O42" s="121"/>
      <c r="P42" s="121"/>
      <c r="Q42" s="121"/>
      <c r="R42" s="121"/>
      <c r="S42" s="122"/>
    </row>
    <row r="43" spans="1:22" ht="32.25" customHeight="1" thickBot="1" x14ac:dyDescent="0.3">
      <c r="A43" s="130"/>
      <c r="B43" s="117" t="s">
        <v>111</v>
      </c>
      <c r="C43" s="117" t="s">
        <v>120</v>
      </c>
      <c r="D43" s="88" t="s">
        <v>50</v>
      </c>
      <c r="E43" s="100" t="s">
        <v>82</v>
      </c>
      <c r="F43" s="118" t="s">
        <v>51</v>
      </c>
      <c r="G43" s="142"/>
      <c r="H43" s="124"/>
      <c r="I43" s="128"/>
      <c r="J43" s="129"/>
      <c r="K43" s="129"/>
      <c r="L43" s="129">
        <v>1</v>
      </c>
      <c r="M43" s="120">
        <f>SUM(I43:L43)</f>
        <v>1</v>
      </c>
      <c r="N43" s="121"/>
      <c r="O43" s="121"/>
      <c r="P43" s="121"/>
      <c r="Q43" s="121"/>
      <c r="R43" s="121"/>
      <c r="S43" s="122"/>
    </row>
    <row r="44" spans="1:22" ht="32.25" customHeight="1" x14ac:dyDescent="0.25">
      <c r="B44" s="117" t="s">
        <v>104</v>
      </c>
      <c r="C44" s="117" t="s">
        <v>94</v>
      </c>
      <c r="D44" s="88"/>
      <c r="E44" s="100" t="s">
        <v>82</v>
      </c>
      <c r="F44" s="118" t="s">
        <v>29</v>
      </c>
      <c r="G44" s="142" t="s">
        <v>29</v>
      </c>
      <c r="H44" s="124"/>
      <c r="I44" s="128" t="s">
        <v>93</v>
      </c>
      <c r="J44" s="128" t="s">
        <v>93</v>
      </c>
      <c r="K44" s="128" t="s">
        <v>93</v>
      </c>
      <c r="L44" s="128" t="s">
        <v>93</v>
      </c>
      <c r="M44" s="120" t="s">
        <v>93</v>
      </c>
      <c r="N44" s="123">
        <v>199500</v>
      </c>
      <c r="O44" s="112">
        <v>266000</v>
      </c>
      <c r="P44" s="112">
        <v>260000</v>
      </c>
      <c r="Q44" s="112">
        <v>260000</v>
      </c>
      <c r="R44" s="112"/>
      <c r="S44" s="112">
        <f>SUM(N44:R44)</f>
        <v>985500</v>
      </c>
      <c r="T44" s="132"/>
      <c r="U44" s="132"/>
      <c r="V44" s="132"/>
    </row>
    <row r="45" spans="1:22" ht="32.25" customHeight="1" x14ac:dyDescent="0.25">
      <c r="N45" s="125"/>
      <c r="O45" s="125"/>
      <c r="P45" s="125"/>
      <c r="Q45" s="125"/>
      <c r="R45" s="125"/>
      <c r="S45" s="131">
        <f>SUBTOTAL(9,S19:S30)</f>
        <v>655000</v>
      </c>
    </row>
  </sheetData>
  <autoFilter ref="A2:S44"/>
  <mergeCells count="2">
    <mergeCell ref="I1:M1"/>
    <mergeCell ref="N1:R1"/>
  </mergeCells>
  <conditionalFormatting sqref="E3:E44">
    <cfRule type="containsText" dxfId="1" priority="1" operator="containsText" text="réalisé">
      <formula>NOT(ISERROR(SEARCH("réalisé",E3)))</formula>
    </cfRule>
    <cfRule type="containsText" dxfId="0" priority="2" operator="containsText" text="prévu">
      <formula>NOT(ISERROR(SEARCH("prévu",E3)))</formula>
    </cfRule>
  </conditionalFormatting>
  <pageMargins left="0.2" right="0.23" top="0.5" bottom="0.5" header="0.05" footer="0.05"/>
  <pageSetup scale="55"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/>
  </sheetPr>
  <dimension ref="A1:P48"/>
  <sheetViews>
    <sheetView showGridLines="0" zoomScale="90" zoomScaleNormal="90" zoomScalePageLayoutView="90" workbookViewId="0">
      <pane ySplit="2" topLeftCell="A3" activePane="bottomLeft" state="frozen"/>
      <selection pane="bottomLeft" sqref="A1:XFD1048576"/>
    </sheetView>
  </sheetViews>
  <sheetFormatPr defaultColWidth="8.85546875" defaultRowHeight="32.25" customHeight="1" x14ac:dyDescent="0.25"/>
  <cols>
    <col min="1" max="1" width="3.28515625" style="175" customWidth="1"/>
    <col min="2" max="2" width="39.42578125" style="175" customWidth="1"/>
    <col min="3" max="3" width="44.42578125" style="175" hidden="1" customWidth="1"/>
    <col min="4" max="4" width="10.7109375" style="113" hidden="1" customWidth="1"/>
    <col min="5" max="5" width="9.28515625" style="113" customWidth="1"/>
    <col min="6" max="6" width="11.42578125" style="175" customWidth="1"/>
    <col min="7" max="9" width="9.28515625" style="175" customWidth="1"/>
    <col min="10" max="10" width="10.28515625" style="175" customWidth="1"/>
    <col min="11" max="11" width="8.85546875" style="175" customWidth="1"/>
    <col min="12" max="12" width="10.42578125" style="175" customWidth="1"/>
    <col min="13" max="13" width="10" style="175" customWidth="1"/>
    <col min="14" max="14" width="10.7109375" style="175" customWidth="1"/>
    <col min="15" max="15" width="10.28515625" style="175" customWidth="1"/>
    <col min="16" max="16" width="11.140625" style="175" customWidth="1"/>
    <col min="17" max="17" width="9.85546875" style="175" bestFit="1" customWidth="1"/>
    <col min="18" max="16384" width="8.85546875" style="175"/>
  </cols>
  <sheetData>
    <row r="1" spans="1:16" ht="15" customHeight="1" x14ac:dyDescent="0.25">
      <c r="A1" s="90"/>
      <c r="B1" s="185"/>
      <c r="C1" s="185"/>
      <c r="D1" s="186"/>
      <c r="E1" s="186"/>
      <c r="F1" s="185"/>
      <c r="G1" s="187" t="s">
        <v>130</v>
      </c>
      <c r="H1" s="187"/>
      <c r="I1" s="187"/>
      <c r="J1" s="187"/>
      <c r="K1" s="187"/>
      <c r="L1" s="187" t="s">
        <v>129</v>
      </c>
      <c r="M1" s="187"/>
      <c r="N1" s="187"/>
      <c r="O1" s="187"/>
      <c r="P1" s="185"/>
    </row>
    <row r="2" spans="1:16" s="96" customFormat="1" ht="23.25" customHeight="1" thickBot="1" x14ac:dyDescent="0.3">
      <c r="A2" s="93" t="s">
        <v>80</v>
      </c>
      <c r="B2" s="188" t="s">
        <v>98</v>
      </c>
      <c r="C2" s="188" t="s">
        <v>0</v>
      </c>
      <c r="D2" s="189" t="s">
        <v>1</v>
      </c>
      <c r="E2" s="189" t="s">
        <v>122</v>
      </c>
      <c r="F2" s="188" t="s">
        <v>150</v>
      </c>
      <c r="G2" s="188">
        <v>2013</v>
      </c>
      <c r="H2" s="188">
        <v>2014</v>
      </c>
      <c r="I2" s="188">
        <v>2015</v>
      </c>
      <c r="J2" s="188">
        <v>2016</v>
      </c>
      <c r="K2" s="188" t="s">
        <v>81</v>
      </c>
      <c r="L2" s="188">
        <v>2013</v>
      </c>
      <c r="M2" s="188">
        <v>2014</v>
      </c>
      <c r="N2" s="188">
        <v>2015</v>
      </c>
      <c r="O2" s="188">
        <v>2016</v>
      </c>
      <c r="P2" s="188" t="s">
        <v>81</v>
      </c>
    </row>
    <row r="3" spans="1:16" s="113" customFormat="1" ht="32.25" customHeight="1" x14ac:dyDescent="0.25">
      <c r="A3" s="97"/>
      <c r="B3" s="178" t="s">
        <v>159</v>
      </c>
      <c r="C3" s="179" t="s">
        <v>113</v>
      </c>
      <c r="D3" s="180" t="s">
        <v>76</v>
      </c>
      <c r="E3" s="181" t="s">
        <v>29</v>
      </c>
      <c r="F3" s="180"/>
      <c r="G3" s="180"/>
      <c r="H3" s="180"/>
      <c r="I3" s="180"/>
      <c r="J3" s="180"/>
      <c r="K3" s="182"/>
      <c r="L3" s="183">
        <f>SUM(L4:L5)</f>
        <v>725000</v>
      </c>
      <c r="M3" s="183">
        <f t="shared" ref="M3:O3" si="0">SUM(M4:M5)</f>
        <v>100000</v>
      </c>
      <c r="N3" s="183">
        <f t="shared" si="0"/>
        <v>150000</v>
      </c>
      <c r="O3" s="183">
        <f t="shared" si="0"/>
        <v>200000</v>
      </c>
      <c r="P3" s="184">
        <f>SUM(L3:O3)</f>
        <v>1175000</v>
      </c>
    </row>
    <row r="4" spans="1:16" s="113" customFormat="1" ht="32.25" customHeight="1" x14ac:dyDescent="0.25">
      <c r="A4" s="97"/>
      <c r="B4" s="88" t="s">
        <v>127</v>
      </c>
      <c r="C4" s="88" t="s">
        <v>113</v>
      </c>
      <c r="D4" s="159" t="s">
        <v>76</v>
      </c>
      <c r="E4" s="114" t="s">
        <v>123</v>
      </c>
      <c r="F4" s="147">
        <v>0</v>
      </c>
      <c r="G4" s="147">
        <v>500</v>
      </c>
      <c r="H4" s="147">
        <v>1000</v>
      </c>
      <c r="I4" s="109">
        <v>1500</v>
      </c>
      <c r="J4" s="148">
        <v>2000</v>
      </c>
      <c r="K4" s="158">
        <f>SUM(G4:J4)</f>
        <v>5000</v>
      </c>
      <c r="L4" s="123">
        <f>G4*100</f>
        <v>50000</v>
      </c>
      <c r="M4" s="123">
        <f t="shared" ref="M4:O4" si="1">H4*100</f>
        <v>100000</v>
      </c>
      <c r="N4" s="123">
        <f t="shared" si="1"/>
        <v>150000</v>
      </c>
      <c r="O4" s="123">
        <f t="shared" si="1"/>
        <v>200000</v>
      </c>
      <c r="P4" s="112">
        <f>SUM(L4:O4)</f>
        <v>500000</v>
      </c>
    </row>
    <row r="5" spans="1:16" s="113" customFormat="1" ht="32.25" customHeight="1" x14ac:dyDescent="0.25">
      <c r="A5" s="97"/>
      <c r="B5" s="176" t="s">
        <v>160</v>
      </c>
      <c r="C5" s="177"/>
      <c r="D5" s="141"/>
      <c r="E5" s="114" t="s">
        <v>161</v>
      </c>
      <c r="F5" s="147">
        <v>0</v>
      </c>
      <c r="G5" s="147">
        <v>5</v>
      </c>
      <c r="H5" s="147">
        <v>0</v>
      </c>
      <c r="I5" s="109">
        <v>0</v>
      </c>
      <c r="J5" s="148">
        <v>0</v>
      </c>
      <c r="K5" s="158">
        <f>SUM(G5:J5)</f>
        <v>5</v>
      </c>
      <c r="L5" s="123">
        <f>G5*135000</f>
        <v>675000</v>
      </c>
      <c r="M5" s="123">
        <f t="shared" ref="M5:O5" si="2">H5*120000</f>
        <v>0</v>
      </c>
      <c r="N5" s="123">
        <f t="shared" si="2"/>
        <v>0</v>
      </c>
      <c r="O5" s="123">
        <f t="shared" si="2"/>
        <v>0</v>
      </c>
      <c r="P5" s="112">
        <f>SUM(L5:O5)</f>
        <v>675000</v>
      </c>
    </row>
    <row r="6" spans="1:16" s="113" customFormat="1" ht="32.25" customHeight="1" x14ac:dyDescent="0.25">
      <c r="A6" s="97"/>
      <c r="B6" s="152" t="s">
        <v>147</v>
      </c>
      <c r="C6" s="153" t="s">
        <v>113</v>
      </c>
      <c r="D6" s="154" t="s">
        <v>76</v>
      </c>
      <c r="E6" s="160" t="s">
        <v>29</v>
      </c>
      <c r="F6" s="154"/>
      <c r="G6" s="154"/>
      <c r="H6" s="154"/>
      <c r="I6" s="154"/>
      <c r="J6" s="154"/>
      <c r="K6" s="155"/>
      <c r="L6" s="156">
        <f>SUM(L7:L11)</f>
        <v>450000</v>
      </c>
      <c r="M6" s="156">
        <f t="shared" ref="M6:O6" si="3">SUM(M7:M11)</f>
        <v>1500000</v>
      </c>
      <c r="N6" s="156">
        <f t="shared" si="3"/>
        <v>2475000</v>
      </c>
      <c r="O6" s="156">
        <f t="shared" si="3"/>
        <v>2580000</v>
      </c>
      <c r="P6" s="157">
        <f>SUM(L6:O6)</f>
        <v>7005000</v>
      </c>
    </row>
    <row r="7" spans="1:16" ht="32.25" customHeight="1" x14ac:dyDescent="0.25">
      <c r="A7" s="97"/>
      <c r="B7" s="117" t="s">
        <v>162</v>
      </c>
      <c r="C7" s="117" t="s">
        <v>114</v>
      </c>
      <c r="D7" s="145" t="s">
        <v>63</v>
      </c>
      <c r="E7" s="114" t="s">
        <v>124</v>
      </c>
      <c r="F7" s="143">
        <v>2000000</v>
      </c>
      <c r="G7" s="143">
        <v>100000</v>
      </c>
      <c r="H7" s="144">
        <v>200000</v>
      </c>
      <c r="I7" s="144">
        <v>220000</v>
      </c>
      <c r="J7" s="149">
        <v>0</v>
      </c>
      <c r="K7" s="158">
        <f>SUM(G7:J7)</f>
        <v>520000</v>
      </c>
      <c r="L7" s="123">
        <f>G7*3</f>
        <v>300000</v>
      </c>
      <c r="M7" s="123">
        <f t="shared" ref="M7:O8" si="4">H7*3</f>
        <v>600000</v>
      </c>
      <c r="N7" s="123">
        <f t="shared" si="4"/>
        <v>660000</v>
      </c>
      <c r="O7" s="123">
        <f t="shared" si="4"/>
        <v>0</v>
      </c>
      <c r="P7" s="112">
        <f>SUM(L7:O7)</f>
        <v>1560000</v>
      </c>
    </row>
    <row r="8" spans="1:16" ht="32.25" customHeight="1" x14ac:dyDescent="0.25">
      <c r="A8" s="97"/>
      <c r="B8" s="117" t="s">
        <v>163</v>
      </c>
      <c r="C8" s="117" t="s">
        <v>115</v>
      </c>
      <c r="D8" s="145" t="s">
        <v>1</v>
      </c>
      <c r="E8" s="114" t="s">
        <v>124</v>
      </c>
      <c r="F8" s="116">
        <v>0</v>
      </c>
      <c r="G8" s="143">
        <v>50000</v>
      </c>
      <c r="H8" s="144">
        <v>100000</v>
      </c>
      <c r="I8" s="144">
        <v>205000</v>
      </c>
      <c r="J8" s="150">
        <v>260000</v>
      </c>
      <c r="K8" s="158">
        <f t="shared" ref="K8:K11" si="5">SUM(G8:J8)</f>
        <v>615000</v>
      </c>
      <c r="L8" s="123">
        <f>G8*3</f>
        <v>150000</v>
      </c>
      <c r="M8" s="123">
        <f t="shared" si="4"/>
        <v>300000</v>
      </c>
      <c r="N8" s="123">
        <f t="shared" si="4"/>
        <v>615000</v>
      </c>
      <c r="O8" s="123">
        <f t="shared" si="4"/>
        <v>780000</v>
      </c>
      <c r="P8" s="112">
        <f t="shared" ref="P8:P14" si="6">SUM(L8:O8)</f>
        <v>1845000</v>
      </c>
    </row>
    <row r="9" spans="1:16" ht="32.25" customHeight="1" x14ac:dyDescent="0.25">
      <c r="A9" s="98"/>
      <c r="B9" s="117" t="s">
        <v>164</v>
      </c>
      <c r="C9" s="117" t="s">
        <v>116</v>
      </c>
      <c r="D9" s="145" t="s">
        <v>44</v>
      </c>
      <c r="E9" s="114" t="s">
        <v>125</v>
      </c>
      <c r="F9" s="116">
        <v>1000</v>
      </c>
      <c r="G9" s="126">
        <v>0</v>
      </c>
      <c r="H9" s="127">
        <v>200</v>
      </c>
      <c r="I9" s="127">
        <v>400</v>
      </c>
      <c r="J9" s="149">
        <v>800</v>
      </c>
      <c r="K9" s="158">
        <f t="shared" si="5"/>
        <v>1400</v>
      </c>
      <c r="L9" s="123">
        <f>G9*0.5*3000</f>
        <v>0</v>
      </c>
      <c r="M9" s="123">
        <f t="shared" ref="M9:O9" si="7">H9*0.5*3000</f>
        <v>300000</v>
      </c>
      <c r="N9" s="123">
        <f t="shared" si="7"/>
        <v>600000</v>
      </c>
      <c r="O9" s="123">
        <f t="shared" si="7"/>
        <v>1200000</v>
      </c>
      <c r="P9" s="112">
        <f t="shared" si="6"/>
        <v>2100000</v>
      </c>
    </row>
    <row r="10" spans="1:16" ht="32.25" customHeight="1" x14ac:dyDescent="0.25">
      <c r="A10" s="130"/>
      <c r="B10" s="117" t="s">
        <v>165</v>
      </c>
      <c r="C10" s="117" t="s">
        <v>117</v>
      </c>
      <c r="D10" s="145" t="s">
        <v>44</v>
      </c>
      <c r="E10" s="114" t="s">
        <v>125</v>
      </c>
      <c r="F10" s="116">
        <v>300</v>
      </c>
      <c r="G10" s="128">
        <v>0</v>
      </c>
      <c r="H10" s="129">
        <v>50</v>
      </c>
      <c r="I10" s="129">
        <v>100</v>
      </c>
      <c r="J10" s="151">
        <v>100</v>
      </c>
      <c r="K10" s="158">
        <f t="shared" si="5"/>
        <v>250</v>
      </c>
      <c r="L10" s="123">
        <f>G10*2500</f>
        <v>0</v>
      </c>
      <c r="M10" s="123">
        <f>H10*1000</f>
        <v>50000</v>
      </c>
      <c r="N10" s="123">
        <f t="shared" ref="N10:O10" si="8">I10*1000</f>
        <v>100000</v>
      </c>
      <c r="O10" s="123">
        <f t="shared" si="8"/>
        <v>100000</v>
      </c>
      <c r="P10" s="112">
        <f t="shared" si="6"/>
        <v>250000</v>
      </c>
    </row>
    <row r="11" spans="1:16" ht="32.25" customHeight="1" x14ac:dyDescent="0.25">
      <c r="A11" s="130"/>
      <c r="B11" s="117" t="s">
        <v>166</v>
      </c>
      <c r="C11" s="117" t="s">
        <v>118</v>
      </c>
      <c r="D11" s="145" t="s">
        <v>38</v>
      </c>
      <c r="E11" s="114" t="s">
        <v>38</v>
      </c>
      <c r="F11" s="116">
        <v>0</v>
      </c>
      <c r="G11" s="128">
        <v>0</v>
      </c>
      <c r="H11" s="129">
        <v>50</v>
      </c>
      <c r="I11" s="129">
        <v>100</v>
      </c>
      <c r="J11" s="151">
        <v>100</v>
      </c>
      <c r="K11" s="158">
        <f t="shared" si="5"/>
        <v>250</v>
      </c>
      <c r="L11" s="123">
        <f>G11*5000</f>
        <v>0</v>
      </c>
      <c r="M11" s="123">
        <f t="shared" ref="M11:O11" si="9">H11*5000</f>
        <v>250000</v>
      </c>
      <c r="N11" s="123">
        <f t="shared" si="9"/>
        <v>500000</v>
      </c>
      <c r="O11" s="123">
        <f t="shared" si="9"/>
        <v>500000</v>
      </c>
      <c r="P11" s="112">
        <f t="shared" si="6"/>
        <v>1250000</v>
      </c>
    </row>
    <row r="12" spans="1:16" ht="32.25" customHeight="1" x14ac:dyDescent="0.25">
      <c r="B12" s="152" t="s">
        <v>138</v>
      </c>
      <c r="C12" s="152" t="s">
        <v>138</v>
      </c>
      <c r="D12" s="154" t="s">
        <v>29</v>
      </c>
      <c r="E12" s="160" t="s">
        <v>29</v>
      </c>
      <c r="F12" s="154"/>
      <c r="G12" s="154"/>
      <c r="H12" s="154"/>
      <c r="I12" s="154"/>
      <c r="J12" s="154"/>
      <c r="K12" s="156"/>
      <c r="L12" s="156">
        <v>110000</v>
      </c>
      <c r="M12" s="156">
        <v>110000</v>
      </c>
      <c r="N12" s="156">
        <v>110000</v>
      </c>
      <c r="O12" s="156">
        <v>110000</v>
      </c>
      <c r="P12" s="157">
        <f t="shared" si="6"/>
        <v>440000</v>
      </c>
    </row>
    <row r="13" spans="1:16" ht="32.25" customHeight="1" x14ac:dyDescent="0.25">
      <c r="B13" s="152" t="s">
        <v>52</v>
      </c>
      <c r="C13" s="152" t="s">
        <v>52</v>
      </c>
      <c r="D13" s="154"/>
      <c r="E13" s="160" t="s">
        <v>29</v>
      </c>
      <c r="F13" s="154"/>
      <c r="G13" s="154"/>
      <c r="H13" s="154"/>
      <c r="I13" s="154"/>
      <c r="J13" s="154"/>
      <c r="K13" s="156"/>
      <c r="L13" s="156">
        <v>15000</v>
      </c>
      <c r="M13" s="156">
        <v>15000</v>
      </c>
      <c r="N13" s="156">
        <v>15000</v>
      </c>
      <c r="O13" s="156">
        <v>15000</v>
      </c>
      <c r="P13" s="157">
        <f t="shared" si="6"/>
        <v>60000</v>
      </c>
    </row>
    <row r="14" spans="1:16" ht="32.25" customHeight="1" x14ac:dyDescent="0.25">
      <c r="B14" s="152" t="s">
        <v>139</v>
      </c>
      <c r="C14" s="152" t="s">
        <v>139</v>
      </c>
      <c r="D14" s="154"/>
      <c r="E14" s="160" t="s">
        <v>29</v>
      </c>
      <c r="F14" s="154"/>
      <c r="G14" s="154"/>
      <c r="H14" s="154"/>
      <c r="I14" s="154"/>
      <c r="J14" s="154"/>
      <c r="K14" s="156"/>
      <c r="L14" s="156">
        <v>120000</v>
      </c>
      <c r="M14" s="156">
        <v>0</v>
      </c>
      <c r="N14" s="156">
        <v>80000</v>
      </c>
      <c r="O14" s="156">
        <v>120000</v>
      </c>
      <c r="P14" s="157">
        <f t="shared" si="6"/>
        <v>320000</v>
      </c>
    </row>
    <row r="15" spans="1:16" ht="32.25" customHeight="1" x14ac:dyDescent="0.25">
      <c r="B15" s="152" t="s">
        <v>81</v>
      </c>
      <c r="C15" s="152" t="s">
        <v>81</v>
      </c>
      <c r="D15" s="154"/>
      <c r="E15" s="160" t="s">
        <v>29</v>
      </c>
      <c r="F15" s="154"/>
      <c r="G15" s="154"/>
      <c r="H15" s="154"/>
      <c r="I15" s="154"/>
      <c r="J15" s="154"/>
      <c r="K15" s="156"/>
      <c r="L15" s="156">
        <f>L3+L6+L12+L13+L14</f>
        <v>1420000</v>
      </c>
      <c r="M15" s="156">
        <f t="shared" ref="M15:P15" si="10">M3+M6+M12+M13+M14</f>
        <v>1725000</v>
      </c>
      <c r="N15" s="156">
        <f t="shared" si="10"/>
        <v>2830000</v>
      </c>
      <c r="O15" s="156">
        <f t="shared" si="10"/>
        <v>3025000</v>
      </c>
      <c r="P15" s="156">
        <f t="shared" si="10"/>
        <v>9000000</v>
      </c>
    </row>
    <row r="16" spans="1:16" ht="15" customHeight="1" x14ac:dyDescent="0.25">
      <c r="L16" s="161">
        <f>SUM(L12:L14)</f>
        <v>245000</v>
      </c>
      <c r="M16" s="161">
        <f t="shared" ref="M16:P16" si="11">SUM(M12:M14)</f>
        <v>125000</v>
      </c>
      <c r="N16" s="161">
        <f t="shared" si="11"/>
        <v>205000</v>
      </c>
      <c r="O16" s="161">
        <f t="shared" si="11"/>
        <v>245000</v>
      </c>
      <c r="P16" s="161">
        <f t="shared" si="11"/>
        <v>820000</v>
      </c>
    </row>
    <row r="17" spans="9:10" s="175" customFormat="1" ht="15" customHeight="1" x14ac:dyDescent="0.25"/>
    <row r="18" spans="9:10" s="175" customFormat="1" ht="15" customHeight="1" x14ac:dyDescent="0.25"/>
    <row r="19" spans="9:10" s="175" customFormat="1" ht="15" customHeight="1" x14ac:dyDescent="0.25">
      <c r="I19" s="162" t="s">
        <v>148</v>
      </c>
      <c r="J19" s="165"/>
    </row>
    <row r="20" spans="9:10" s="175" customFormat="1" ht="15" customHeight="1" x14ac:dyDescent="0.25">
      <c r="I20" s="164" t="s">
        <v>140</v>
      </c>
      <c r="J20" s="166"/>
    </row>
    <row r="21" spans="9:10" s="175" customFormat="1" ht="15" customHeight="1" x14ac:dyDescent="0.25">
      <c r="I21" s="146" t="s">
        <v>133</v>
      </c>
      <c r="J21" s="165">
        <v>1000</v>
      </c>
    </row>
    <row r="22" spans="9:10" s="175" customFormat="1" ht="15" customHeight="1" x14ac:dyDescent="0.25">
      <c r="I22" s="146" t="s">
        <v>128</v>
      </c>
      <c r="J22" s="165">
        <v>520</v>
      </c>
    </row>
    <row r="23" spans="9:10" s="175" customFormat="1" ht="15" customHeight="1" x14ac:dyDescent="0.25">
      <c r="I23" s="163" t="s">
        <v>134</v>
      </c>
      <c r="J23" s="165">
        <v>3</v>
      </c>
    </row>
    <row r="24" spans="9:10" s="175" customFormat="1" ht="15" customHeight="1" x14ac:dyDescent="0.25">
      <c r="I24" s="163" t="s">
        <v>135</v>
      </c>
      <c r="J24" s="167">
        <f>J21*J22*J23</f>
        <v>1560000</v>
      </c>
    </row>
    <row r="25" spans="9:10" s="175" customFormat="1" ht="15" customHeight="1" x14ac:dyDescent="0.25">
      <c r="I25" s="163" t="s">
        <v>143</v>
      </c>
      <c r="J25" s="167">
        <f>J21*J22</f>
        <v>520000</v>
      </c>
    </row>
    <row r="26" spans="9:10" s="175" customFormat="1" ht="15" customHeight="1" x14ac:dyDescent="0.25">
      <c r="I26" s="164" t="s">
        <v>141</v>
      </c>
      <c r="J26" s="166"/>
    </row>
    <row r="27" spans="9:10" s="175" customFormat="1" ht="15" customHeight="1" x14ac:dyDescent="0.25">
      <c r="I27" s="146" t="s">
        <v>44</v>
      </c>
      <c r="J27" s="165">
        <v>3575</v>
      </c>
    </row>
    <row r="28" spans="9:10" s="175" customFormat="1" ht="15" customHeight="1" x14ac:dyDescent="0.25">
      <c r="I28" s="146" t="s">
        <v>142</v>
      </c>
      <c r="J28" s="165">
        <v>200</v>
      </c>
    </row>
    <row r="29" spans="9:10" s="175" customFormat="1" ht="15" customHeight="1" x14ac:dyDescent="0.25">
      <c r="I29" s="163" t="s">
        <v>134</v>
      </c>
      <c r="J29" s="165">
        <v>3</v>
      </c>
    </row>
    <row r="30" spans="9:10" s="175" customFormat="1" ht="15" customHeight="1" x14ac:dyDescent="0.25">
      <c r="I30" s="163" t="s">
        <v>135</v>
      </c>
      <c r="J30" s="167">
        <f>J27*J28*J29</f>
        <v>2145000</v>
      </c>
    </row>
    <row r="31" spans="9:10" s="175" customFormat="1" ht="15" customHeight="1" x14ac:dyDescent="0.25">
      <c r="I31" s="163" t="s">
        <v>143</v>
      </c>
      <c r="J31" s="167">
        <f>J27*J28</f>
        <v>715000</v>
      </c>
    </row>
    <row r="32" spans="9:10" s="175" customFormat="1" ht="15" customHeight="1" x14ac:dyDescent="0.25">
      <c r="I32" s="164" t="s">
        <v>131</v>
      </c>
      <c r="J32" s="166"/>
    </row>
    <row r="33" spans="5:10" s="175" customFormat="1" ht="15" customHeight="1" x14ac:dyDescent="0.25">
      <c r="I33" s="146" t="s">
        <v>132</v>
      </c>
      <c r="J33" s="165">
        <v>0.5</v>
      </c>
    </row>
    <row r="34" spans="5:10" s="175" customFormat="1" ht="15" customHeight="1" x14ac:dyDescent="0.25">
      <c r="E34" s="113"/>
      <c r="I34" s="146" t="s">
        <v>44</v>
      </c>
      <c r="J34" s="165">
        <v>1400</v>
      </c>
    </row>
    <row r="35" spans="5:10" s="175" customFormat="1" ht="15" customHeight="1" x14ac:dyDescent="0.25">
      <c r="E35" s="113"/>
      <c r="I35" s="163" t="s">
        <v>137</v>
      </c>
      <c r="J35" s="165">
        <v>3000</v>
      </c>
    </row>
    <row r="36" spans="5:10" s="175" customFormat="1" ht="15" customHeight="1" x14ac:dyDescent="0.25">
      <c r="E36" s="113"/>
      <c r="I36" s="146" t="s">
        <v>135</v>
      </c>
      <c r="J36" s="167">
        <f>J33*J34*J35</f>
        <v>2100000</v>
      </c>
    </row>
    <row r="37" spans="5:10" s="175" customFormat="1" ht="15" customHeight="1" x14ac:dyDescent="0.25">
      <c r="E37" s="113"/>
      <c r="I37" s="163" t="s">
        <v>136</v>
      </c>
      <c r="J37" s="167">
        <f>J33*J34</f>
        <v>700</v>
      </c>
    </row>
    <row r="38" spans="5:10" s="175" customFormat="1" ht="15" customHeight="1" x14ac:dyDescent="0.25">
      <c r="E38" s="113"/>
      <c r="I38" s="164" t="s">
        <v>149</v>
      </c>
      <c r="J38" s="166"/>
    </row>
    <row r="39" spans="5:10" s="175" customFormat="1" ht="15" customHeight="1" x14ac:dyDescent="0.25">
      <c r="E39" s="113"/>
      <c r="I39" s="146" t="s">
        <v>44</v>
      </c>
      <c r="J39" s="165">
        <v>250</v>
      </c>
    </row>
    <row r="40" spans="5:10" s="175" customFormat="1" ht="15" customHeight="1" x14ac:dyDescent="0.25">
      <c r="E40" s="113"/>
      <c r="I40" s="163" t="s">
        <v>146</v>
      </c>
      <c r="J40" s="165">
        <v>2500</v>
      </c>
    </row>
    <row r="41" spans="5:10" s="175" customFormat="1" ht="15" customHeight="1" x14ac:dyDescent="0.25">
      <c r="E41" s="113"/>
      <c r="I41" s="163" t="s">
        <v>135</v>
      </c>
      <c r="J41" s="167">
        <f>J39*J40</f>
        <v>625000</v>
      </c>
    </row>
    <row r="42" spans="5:10" s="175" customFormat="1" ht="15" customHeight="1" x14ac:dyDescent="0.25">
      <c r="E42" s="113"/>
      <c r="I42" s="164" t="s">
        <v>144</v>
      </c>
      <c r="J42" s="166"/>
    </row>
    <row r="43" spans="5:10" s="175" customFormat="1" ht="15" customHeight="1" x14ac:dyDescent="0.25">
      <c r="E43" s="113"/>
      <c r="I43" s="146" t="s">
        <v>126</v>
      </c>
      <c r="J43" s="165">
        <v>250</v>
      </c>
    </row>
    <row r="44" spans="5:10" s="175" customFormat="1" ht="15" customHeight="1" x14ac:dyDescent="0.25">
      <c r="E44" s="113"/>
      <c r="I44" s="163" t="s">
        <v>145</v>
      </c>
      <c r="J44" s="165">
        <v>5000</v>
      </c>
    </row>
    <row r="45" spans="5:10" s="175" customFormat="1" ht="15" customHeight="1" x14ac:dyDescent="0.25">
      <c r="E45" s="113"/>
      <c r="I45" s="163" t="s">
        <v>135</v>
      </c>
      <c r="J45" s="167">
        <f>J43*J44</f>
        <v>1250000</v>
      </c>
    </row>
    <row r="46" spans="5:10" s="175" customFormat="1" ht="15" customHeight="1" x14ac:dyDescent="0.25">
      <c r="E46" s="113"/>
    </row>
    <row r="47" spans="5:10" s="175" customFormat="1" ht="15" customHeight="1" x14ac:dyDescent="0.25">
      <c r="E47" s="113"/>
    </row>
    <row r="48" spans="5:10" s="175" customFormat="1" ht="15" customHeight="1" x14ac:dyDescent="0.25">
      <c r="E48" s="113"/>
    </row>
  </sheetData>
  <pageMargins left="0.2" right="0.23" top="0.5" bottom="0.5" header="0.05" footer="0.05"/>
  <pageSetup scale="55"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94444EFD1DF2B459DFDF549729E41F2" ma:contentTypeVersion="0" ma:contentTypeDescription="A content type to manage public (operations) IDB documents" ma:contentTypeScope="" ma:versionID="4a20f108f341b88610f0f81566289e1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14b7773123d565fb2e4d85c866be49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d36d40e-496e-4b26-acee-69459a79587d}" ma:internalName="TaxCatchAll" ma:showField="CatchAllData" ma:web="db9651eb-f40f-447a-bd5b-fbadf30819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d36d40e-496e-4b26-acee-69459a79587d}" ma:internalName="TaxCatchAllLabel" ma:readOnly="true" ma:showField="CatchAllDataLabel" ma:web="db9651eb-f40f-447a-bd5b-fbadf30819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37690277</IDBDocs_x0020_Number>
    <Document_x0020_Author xmlns="9c571b2f-e523-4ab2-ba2e-09e151a03ef4">Jacquet, Bruno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HA-G1023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AG-ADR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6EF1497A-851B-4573-A98B-E8E6334CE6CA}"/>
</file>

<file path=customXml/itemProps2.xml><?xml version="1.0" encoding="utf-8"?>
<ds:datastoreItem xmlns:ds="http://schemas.openxmlformats.org/officeDocument/2006/customXml" ds:itemID="{FBD4FAD3-5950-477D-B0E7-AEEB78558350}"/>
</file>

<file path=customXml/itemProps3.xml><?xml version="1.0" encoding="utf-8"?>
<ds:datastoreItem xmlns:ds="http://schemas.openxmlformats.org/officeDocument/2006/customXml" ds:itemID="{0BA2E857-438E-4274-9D0E-3EDBE7969609}"/>
</file>

<file path=customXml/itemProps4.xml><?xml version="1.0" encoding="utf-8"?>
<ds:datastoreItem xmlns:ds="http://schemas.openxmlformats.org/officeDocument/2006/customXml" ds:itemID="{1B704F10-1DFE-4560-B2E8-381C49F16362}"/>
</file>

<file path=customXml/itemProps5.xml><?xml version="1.0" encoding="utf-8"?>
<ds:datastoreItem xmlns:ds="http://schemas.openxmlformats.org/officeDocument/2006/customXml" ds:itemID="{43B0E30E-2D04-4940-9A26-D4EFCD7AE3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Results (2)</vt:lpstr>
      <vt:lpstr>Results</vt:lpstr>
      <vt:lpstr>Budget by product version 2</vt:lpstr>
      <vt:lpstr>POA</vt:lpstr>
      <vt:lpstr>PPM</vt:lpstr>
      <vt:lpstr>Others</vt:lpstr>
      <vt:lpstr>Produits</vt:lpstr>
      <vt:lpstr>Budget by product version 1</vt:lpstr>
      <vt:lpstr>Sheet1</vt:lpstr>
      <vt:lpstr>POA!Print_Area</vt:lpstr>
      <vt:lpstr>PPM!Print_Area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- Budget by Output (HA-G1023) (Sustainable Management of Upper Watersheds of South Western Haiti - Macaya Natio</dc:title>
  <dc:creator>Harri</dc:creator>
  <cp:lastModifiedBy>Inter-American Development Bank</cp:lastModifiedBy>
  <cp:lastPrinted>2012-11-07T13:36:14Z</cp:lastPrinted>
  <dcterms:created xsi:type="dcterms:W3CDTF">2011-09-19T17:43:15Z</dcterms:created>
  <dcterms:modified xsi:type="dcterms:W3CDTF">2013-05-03T19:50:49Z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0x01010046CF21643EE8D14686A648AA6DAD089200894444EFD1DF2B459DFDF549729E41F2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