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externalLinks/externalLink2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-60" yWindow="-30" windowWidth="9795" windowHeight="11760" firstSheet="2" activeTab="4"/>
  </bookViews>
  <sheets>
    <sheet name="Impacts" sheetId="1" state="hidden" r:id="rId1"/>
    <sheet name="Résultats" sheetId="2" state="hidden" r:id="rId2"/>
    <sheet name="POA" sheetId="3" r:id="rId3"/>
    <sheet name="Sheet1" sheetId="4" state="hidden" r:id="rId4"/>
    <sheet name="PPM" sheetId="5" r:id="rId5"/>
    <sheet name="PT_PD" sheetId="6" r:id="rId6"/>
    <sheet name="Detail ouvrages amont" sheetId="7" r:id="rId7"/>
    <sheet name="Detail ouvrages aval" sheetId="8" r:id="rId8"/>
    <sheet name="Detail SAP" sheetId="9" r:id="rId9"/>
    <sheet name="Budget" sheetId="10" state="hidden" r:id="rId10"/>
    <sheet name="Evaluation" sheetId="11" r:id="rId11"/>
    <sheet name="Gestion" sheetId="13" r:id="rId12"/>
    <sheet name="FAMV" sheetId="14" r:id="rId13"/>
    <sheet name="Suivi-evaluation" sheetId="12" r:id="rId14"/>
    <sheet name="Sheet2" sheetId="18" r:id="rId15"/>
  </sheets>
  <externalReferences>
    <externalReference r:id="rId16"/>
    <externalReference r:id="rId17"/>
  </externalReferences>
  <definedNames>
    <definedName name="_xlnm._FilterDatabase" localSheetId="9" hidden="1">Budget!$A$2:$K$31</definedName>
    <definedName name="_xlnm._FilterDatabase" localSheetId="1" hidden="1">Résultats!$A$2:$M$18</definedName>
    <definedName name="_ftn1" localSheetId="9">Budget!#REF!</definedName>
    <definedName name="_ftn2" localSheetId="9">Budget!#REF!</definedName>
    <definedName name="_ftnref1" localSheetId="9">Budget!#REF!</definedName>
    <definedName name="_ftnref2" localSheetId="9">Budget!#REF!</definedName>
    <definedName name="Activites" localSheetId="8">[1]listes!$O$4:$O$19</definedName>
    <definedName name="Activites">[1]listes!$O$4:$O$19</definedName>
    <definedName name="Composante" localSheetId="9">#REF!</definedName>
    <definedName name="Composante" localSheetId="8">#REF!</definedName>
    <definedName name="Composante">#REF!</definedName>
    <definedName name="_xlnm.Print_Area" localSheetId="5">PT_PD!$A$3:$K$61</definedName>
    <definedName name="Produits" localSheetId="9">#REF!</definedName>
    <definedName name="Produits" localSheetId="8">#REF!</definedName>
    <definedName name="Produits">#REF!</definedName>
    <definedName name="Region" localSheetId="9">#REF!</definedName>
    <definedName name="Region" localSheetId="8">#REF!</definedName>
    <definedName name="Region">#REF!</definedName>
    <definedName name="Statut" localSheetId="9">#REF!</definedName>
    <definedName name="Statut" localSheetId="8">#REF!</definedName>
    <definedName name="Statut">#REF!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67" i="3" l="1"/>
  <c r="S67" i="3"/>
  <c r="Q68" i="3"/>
  <c r="S68" i="3"/>
  <c r="Q69" i="3"/>
  <c r="S69" i="3"/>
  <c r="Q66" i="3"/>
  <c r="S66" i="3"/>
  <c r="S72" i="3"/>
  <c r="S73" i="3"/>
  <c r="S63" i="3"/>
  <c r="N36" i="6"/>
  <c r="S54" i="3"/>
  <c r="N35" i="6"/>
  <c r="R93" i="3"/>
  <c r="S93" i="3"/>
  <c r="S94" i="3"/>
  <c r="R95" i="3"/>
  <c r="S95" i="3"/>
  <c r="S96" i="3"/>
  <c r="R97" i="3"/>
  <c r="S97" i="3"/>
  <c r="S98" i="3"/>
  <c r="S99" i="3"/>
  <c r="S100" i="3"/>
  <c r="S102" i="3"/>
  <c r="S103" i="3"/>
  <c r="S104" i="3"/>
  <c r="S105" i="3"/>
  <c r="S106" i="3"/>
  <c r="S107" i="3"/>
  <c r="S108" i="3"/>
  <c r="S109" i="3"/>
  <c r="S111" i="3"/>
  <c r="S112" i="3"/>
  <c r="S113" i="3"/>
  <c r="S114" i="3"/>
  <c r="S115" i="3"/>
  <c r="S116" i="3"/>
  <c r="S85" i="3"/>
  <c r="N38" i="6"/>
  <c r="N39" i="6"/>
  <c r="N40" i="6"/>
  <c r="N34" i="6"/>
  <c r="N9" i="6"/>
  <c r="N24" i="6"/>
  <c r="N25" i="6"/>
  <c r="S35" i="3"/>
  <c r="S33" i="3"/>
  <c r="N29" i="6"/>
  <c r="N26" i="6"/>
  <c r="S46" i="3"/>
  <c r="N32" i="6"/>
  <c r="S49" i="3"/>
  <c r="N33" i="6"/>
  <c r="N23" i="6"/>
  <c r="N8" i="6"/>
  <c r="S127" i="3"/>
  <c r="S125" i="3"/>
  <c r="S129" i="3"/>
  <c r="S132" i="3"/>
  <c r="S124" i="3"/>
  <c r="N42" i="6"/>
  <c r="N41" i="6"/>
  <c r="N10" i="6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34" i="3"/>
  <c r="N46" i="6"/>
  <c r="N11" i="6"/>
  <c r="S169" i="3"/>
  <c r="N47" i="6"/>
  <c r="N12" i="6"/>
  <c r="S172" i="3"/>
  <c r="S171" i="3"/>
  <c r="N48" i="6"/>
  <c r="N13" i="6"/>
  <c r="N16" i="6"/>
  <c r="O24" i="6"/>
  <c r="O25" i="6"/>
  <c r="T35" i="3"/>
  <c r="T33" i="3"/>
  <c r="O29" i="6"/>
  <c r="O26" i="6"/>
  <c r="T46" i="3"/>
  <c r="O32" i="6"/>
  <c r="T49" i="3"/>
  <c r="O33" i="6"/>
  <c r="O23" i="6"/>
  <c r="O8" i="6"/>
  <c r="T54" i="3"/>
  <c r="O35" i="6"/>
  <c r="T72" i="3"/>
  <c r="T73" i="3"/>
  <c r="T63" i="3"/>
  <c r="O36" i="6"/>
  <c r="T93" i="3"/>
  <c r="T94" i="3"/>
  <c r="T95" i="3"/>
  <c r="T96" i="3"/>
  <c r="T97" i="3"/>
  <c r="T98" i="3"/>
  <c r="T99" i="3"/>
  <c r="T100" i="3"/>
  <c r="T102" i="3"/>
  <c r="T103" i="3"/>
  <c r="T104" i="3"/>
  <c r="T105" i="3"/>
  <c r="T106" i="3"/>
  <c r="T107" i="3"/>
  <c r="T108" i="3"/>
  <c r="T109" i="3"/>
  <c r="T111" i="3"/>
  <c r="T112" i="3"/>
  <c r="T113" i="3"/>
  <c r="T114" i="3"/>
  <c r="T115" i="3"/>
  <c r="T116" i="3"/>
  <c r="T85" i="3"/>
  <c r="O38" i="6"/>
  <c r="O39" i="6"/>
  <c r="O40" i="6"/>
  <c r="O34" i="6"/>
  <c r="O9" i="6"/>
  <c r="T125" i="3"/>
  <c r="T129" i="3"/>
  <c r="T132" i="3"/>
  <c r="T124" i="3"/>
  <c r="O42" i="6"/>
  <c r="O41" i="6"/>
  <c r="O10" i="6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34" i="3"/>
  <c r="O46" i="6"/>
  <c r="O11" i="6"/>
  <c r="T170" i="3"/>
  <c r="T169" i="3"/>
  <c r="O47" i="6"/>
  <c r="O12" i="6"/>
  <c r="T172" i="3"/>
  <c r="T171" i="3"/>
  <c r="O48" i="6"/>
  <c r="O13" i="6"/>
  <c r="O16" i="6"/>
  <c r="P24" i="6"/>
  <c r="P25" i="6"/>
  <c r="U35" i="3"/>
  <c r="U33" i="3"/>
  <c r="P29" i="6"/>
  <c r="P26" i="6"/>
  <c r="U46" i="3"/>
  <c r="P32" i="6"/>
  <c r="U49" i="3"/>
  <c r="P33" i="6"/>
  <c r="P23" i="6"/>
  <c r="P8" i="6"/>
  <c r="U54" i="3"/>
  <c r="P35" i="6"/>
  <c r="U72" i="3"/>
  <c r="U73" i="3"/>
  <c r="U63" i="3"/>
  <c r="P36" i="6"/>
  <c r="U102" i="3"/>
  <c r="U103" i="3"/>
  <c r="U104" i="3"/>
  <c r="U105" i="3"/>
  <c r="U106" i="3"/>
  <c r="U107" i="3"/>
  <c r="U108" i="3"/>
  <c r="U109" i="3"/>
  <c r="U111" i="3"/>
  <c r="U112" i="3"/>
  <c r="U113" i="3"/>
  <c r="U114" i="3"/>
  <c r="U115" i="3"/>
  <c r="U116" i="3"/>
  <c r="U85" i="3"/>
  <c r="P38" i="6"/>
  <c r="P39" i="6"/>
  <c r="P40" i="6"/>
  <c r="P34" i="6"/>
  <c r="P9" i="6"/>
  <c r="U125" i="3"/>
  <c r="U129" i="3"/>
  <c r="U132" i="3"/>
  <c r="U124" i="3"/>
  <c r="P42" i="6"/>
  <c r="P41" i="6"/>
  <c r="P10" i="6"/>
  <c r="U135" i="3"/>
  <c r="U136" i="3"/>
  <c r="U137" i="3"/>
  <c r="U138" i="3"/>
  <c r="U139" i="3"/>
  <c r="U140" i="3"/>
  <c r="U141" i="3"/>
  <c r="U142" i="3"/>
  <c r="U143" i="3"/>
  <c r="U144" i="3"/>
  <c r="U145" i="3"/>
  <c r="U146" i="3"/>
  <c r="U147" i="3"/>
  <c r="U148" i="3"/>
  <c r="U149" i="3"/>
  <c r="U150" i="3"/>
  <c r="U151" i="3"/>
  <c r="U152" i="3"/>
  <c r="U153" i="3"/>
  <c r="U134" i="3"/>
  <c r="P46" i="6"/>
  <c r="P11" i="6"/>
  <c r="U169" i="3"/>
  <c r="P47" i="6"/>
  <c r="P12" i="6"/>
  <c r="U172" i="3"/>
  <c r="U176" i="3"/>
  <c r="U177" i="3"/>
  <c r="U171" i="3"/>
  <c r="P48" i="6"/>
  <c r="P13" i="6"/>
  <c r="P16" i="6"/>
  <c r="Q24" i="6"/>
  <c r="Q25" i="6"/>
  <c r="V35" i="3"/>
  <c r="V33" i="3"/>
  <c r="Q29" i="6"/>
  <c r="Q26" i="6"/>
  <c r="V46" i="3"/>
  <c r="Q32" i="6"/>
  <c r="V49" i="3"/>
  <c r="Q33" i="6"/>
  <c r="Q23" i="6"/>
  <c r="Q8" i="6"/>
  <c r="V54" i="3"/>
  <c r="Q35" i="6"/>
  <c r="V72" i="3"/>
  <c r="V73" i="3"/>
  <c r="V63" i="3"/>
  <c r="Q36" i="6"/>
  <c r="V90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85" i="3"/>
  <c r="Q38" i="6"/>
  <c r="Q39" i="6"/>
  <c r="Q40" i="6"/>
  <c r="Q34" i="6"/>
  <c r="Q9" i="6"/>
  <c r="V127" i="3"/>
  <c r="V125" i="3"/>
  <c r="V129" i="3"/>
  <c r="V132" i="3"/>
  <c r="V124" i="3"/>
  <c r="Q42" i="6"/>
  <c r="Q41" i="6"/>
  <c r="Q10" i="6"/>
  <c r="V135" i="3"/>
  <c r="V136" i="3"/>
  <c r="V137" i="3"/>
  <c r="V138" i="3"/>
  <c r="V139" i="3"/>
  <c r="V140" i="3"/>
  <c r="V141" i="3"/>
  <c r="V142" i="3"/>
  <c r="V143" i="3"/>
  <c r="V144" i="3"/>
  <c r="V145" i="3"/>
  <c r="V146" i="3"/>
  <c r="V147" i="3"/>
  <c r="V148" i="3"/>
  <c r="V149" i="3"/>
  <c r="V150" i="3"/>
  <c r="V151" i="3"/>
  <c r="V152" i="3"/>
  <c r="V153" i="3"/>
  <c r="V134" i="3"/>
  <c r="Q46" i="6"/>
  <c r="Q11" i="6"/>
  <c r="V169" i="3"/>
  <c r="Q47" i="6"/>
  <c r="Q12" i="6"/>
  <c r="V172" i="3"/>
  <c r="V171" i="3"/>
  <c r="Q48" i="6"/>
  <c r="Q13" i="6"/>
  <c r="Q16" i="6"/>
  <c r="M19" i="6"/>
  <c r="Q72" i="3"/>
  <c r="Q73" i="3"/>
  <c r="Q63" i="3"/>
  <c r="L36" i="6"/>
  <c r="Q54" i="3"/>
  <c r="L35" i="6"/>
  <c r="Q86" i="3"/>
  <c r="Q93" i="3"/>
  <c r="Q94" i="3"/>
  <c r="Q95" i="3"/>
  <c r="Q96" i="3"/>
  <c r="Q97" i="3"/>
  <c r="Q98" i="3"/>
  <c r="Q99" i="3"/>
  <c r="Q100" i="3"/>
  <c r="Q102" i="3"/>
  <c r="Q103" i="3"/>
  <c r="Q104" i="3"/>
  <c r="Q105" i="3"/>
  <c r="Q106" i="3"/>
  <c r="Q107" i="3"/>
  <c r="Q108" i="3"/>
  <c r="Q109" i="3"/>
  <c r="Q111" i="3"/>
  <c r="Q112" i="3"/>
  <c r="Q113" i="3"/>
  <c r="Q114" i="3"/>
  <c r="Q115" i="3"/>
  <c r="Q116" i="3"/>
  <c r="Q85" i="3"/>
  <c r="L38" i="6"/>
  <c r="L39" i="6"/>
  <c r="L40" i="6"/>
  <c r="L34" i="6"/>
  <c r="L9" i="6"/>
  <c r="L24" i="6"/>
  <c r="L25" i="6"/>
  <c r="Q35" i="3"/>
  <c r="Q33" i="3"/>
  <c r="L29" i="6"/>
  <c r="L26" i="6"/>
  <c r="Q46" i="3"/>
  <c r="L32" i="6"/>
  <c r="Q50" i="3"/>
  <c r="Q49" i="3"/>
  <c r="L33" i="6"/>
  <c r="L23" i="6"/>
  <c r="L8" i="6"/>
  <c r="Q125" i="3"/>
  <c r="Q129" i="3"/>
  <c r="Q132" i="3"/>
  <c r="Q124" i="3"/>
  <c r="L42" i="6"/>
  <c r="L41" i="6"/>
  <c r="L10" i="6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34" i="3"/>
  <c r="L46" i="6"/>
  <c r="L11" i="6"/>
  <c r="Q169" i="3"/>
  <c r="L47" i="6"/>
  <c r="L12" i="6"/>
  <c r="Q172" i="3"/>
  <c r="Q176" i="3"/>
  <c r="Q177" i="3"/>
  <c r="Q171" i="3"/>
  <c r="L48" i="6"/>
  <c r="L13" i="6"/>
  <c r="L16" i="6"/>
  <c r="R68" i="3"/>
  <c r="R66" i="3"/>
  <c r="R72" i="3"/>
  <c r="R73" i="3"/>
  <c r="R63" i="3"/>
  <c r="M36" i="6"/>
  <c r="R54" i="3"/>
  <c r="M35" i="6"/>
  <c r="R90" i="3"/>
  <c r="R94" i="3"/>
  <c r="R96" i="3"/>
  <c r="R98" i="3"/>
  <c r="R99" i="3"/>
  <c r="R100" i="3"/>
  <c r="R102" i="3"/>
  <c r="R103" i="3"/>
  <c r="R104" i="3"/>
  <c r="R105" i="3"/>
  <c r="R106" i="3"/>
  <c r="R107" i="3"/>
  <c r="R108" i="3"/>
  <c r="R109" i="3"/>
  <c r="R111" i="3"/>
  <c r="R112" i="3"/>
  <c r="R113" i="3"/>
  <c r="R114" i="3"/>
  <c r="R115" i="3"/>
  <c r="R116" i="3"/>
  <c r="R85" i="3"/>
  <c r="M38" i="6"/>
  <c r="M39" i="6"/>
  <c r="M40" i="6"/>
  <c r="M34" i="6"/>
  <c r="M9" i="6"/>
  <c r="M24" i="6"/>
  <c r="M25" i="6"/>
  <c r="R35" i="3"/>
  <c r="R33" i="3"/>
  <c r="M29" i="6"/>
  <c r="M26" i="6"/>
  <c r="R46" i="3"/>
  <c r="M32" i="6"/>
  <c r="R49" i="3"/>
  <c r="M33" i="6"/>
  <c r="M23" i="6"/>
  <c r="M8" i="6"/>
  <c r="R125" i="3"/>
  <c r="R129" i="3"/>
  <c r="R132" i="3"/>
  <c r="R124" i="3"/>
  <c r="M42" i="6"/>
  <c r="M41" i="6"/>
  <c r="M10" i="6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1" i="3"/>
  <c r="R152" i="3"/>
  <c r="R153" i="3"/>
  <c r="R134" i="3"/>
  <c r="M46" i="6"/>
  <c r="M11" i="6"/>
  <c r="R169" i="3"/>
  <c r="M47" i="6"/>
  <c r="M12" i="6"/>
  <c r="R172" i="3"/>
  <c r="R171" i="3"/>
  <c r="M48" i="6"/>
  <c r="M13" i="6"/>
  <c r="M16" i="6"/>
  <c r="J24" i="6"/>
  <c r="J25" i="6"/>
  <c r="O35" i="3"/>
  <c r="O33" i="3"/>
  <c r="J29" i="6"/>
  <c r="J26" i="6"/>
  <c r="O46" i="3"/>
  <c r="J32" i="6"/>
  <c r="O49" i="3"/>
  <c r="J33" i="6"/>
  <c r="J23" i="6"/>
  <c r="J8" i="6"/>
  <c r="O54" i="3"/>
  <c r="J35" i="6"/>
  <c r="O72" i="3"/>
  <c r="O73" i="3"/>
  <c r="O63" i="3"/>
  <c r="J36" i="6"/>
  <c r="O86" i="3"/>
  <c r="O90" i="3"/>
  <c r="O102" i="3"/>
  <c r="O103" i="3"/>
  <c r="O104" i="3"/>
  <c r="O105" i="3"/>
  <c r="O106" i="3"/>
  <c r="O107" i="3"/>
  <c r="O108" i="3"/>
  <c r="O109" i="3"/>
  <c r="O111" i="3"/>
  <c r="O112" i="3"/>
  <c r="O113" i="3"/>
  <c r="O114" i="3"/>
  <c r="O115" i="3"/>
  <c r="O116" i="3"/>
  <c r="O85" i="3"/>
  <c r="J38" i="6"/>
  <c r="J39" i="6"/>
  <c r="J40" i="6"/>
  <c r="J34" i="6"/>
  <c r="J9" i="6"/>
  <c r="O125" i="3"/>
  <c r="O129" i="3"/>
  <c r="O132" i="3"/>
  <c r="O124" i="3"/>
  <c r="J42" i="6"/>
  <c r="J41" i="6"/>
  <c r="J10" i="6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34" i="3"/>
  <c r="J46" i="6"/>
  <c r="J11" i="6"/>
  <c r="O169" i="3"/>
  <c r="J47" i="6"/>
  <c r="J12" i="6"/>
  <c r="O172" i="3"/>
  <c r="O171" i="3"/>
  <c r="J48" i="6"/>
  <c r="J13" i="6"/>
  <c r="J16" i="6"/>
  <c r="K24" i="6"/>
  <c r="K25" i="6"/>
  <c r="P35" i="3"/>
  <c r="P33" i="3"/>
  <c r="K29" i="6"/>
  <c r="K26" i="6"/>
  <c r="P46" i="3"/>
  <c r="K32" i="6"/>
  <c r="P50" i="3"/>
  <c r="P49" i="3"/>
  <c r="K33" i="6"/>
  <c r="K23" i="6"/>
  <c r="K8" i="6"/>
  <c r="P54" i="3"/>
  <c r="K35" i="6"/>
  <c r="P72" i="3"/>
  <c r="P73" i="3"/>
  <c r="P63" i="3"/>
  <c r="K36" i="6"/>
  <c r="P90" i="3"/>
  <c r="P102" i="3"/>
  <c r="P103" i="3"/>
  <c r="P104" i="3"/>
  <c r="P105" i="3"/>
  <c r="P106" i="3"/>
  <c r="P107" i="3"/>
  <c r="P108" i="3"/>
  <c r="P109" i="3"/>
  <c r="P111" i="3"/>
  <c r="P112" i="3"/>
  <c r="P113" i="3"/>
  <c r="P114" i="3"/>
  <c r="P115" i="3"/>
  <c r="P116" i="3"/>
  <c r="P85" i="3"/>
  <c r="K38" i="6"/>
  <c r="K39" i="6"/>
  <c r="K40" i="6"/>
  <c r="K34" i="6"/>
  <c r="K9" i="6"/>
  <c r="P127" i="3"/>
  <c r="P125" i="3"/>
  <c r="P129" i="3"/>
  <c r="P132" i="3"/>
  <c r="P124" i="3"/>
  <c r="K42" i="6"/>
  <c r="K41" i="6"/>
  <c r="K10" i="6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34" i="3"/>
  <c r="K46" i="6"/>
  <c r="K11" i="6"/>
  <c r="P169" i="3"/>
  <c r="K47" i="6"/>
  <c r="K12" i="6"/>
  <c r="P172" i="3"/>
  <c r="P171" i="3"/>
  <c r="K48" i="6"/>
  <c r="K13" i="6"/>
  <c r="K16" i="6"/>
  <c r="I19" i="6"/>
  <c r="M18" i="6"/>
  <c r="M20" i="6"/>
  <c r="K72" i="3"/>
  <c r="K73" i="3"/>
  <c r="K63" i="3"/>
  <c r="F36" i="6"/>
  <c r="K54" i="3"/>
  <c r="F35" i="6"/>
  <c r="K88" i="3"/>
  <c r="K91" i="3"/>
  <c r="K92" i="3"/>
  <c r="K101" i="3"/>
  <c r="K102" i="3"/>
  <c r="K103" i="3"/>
  <c r="K104" i="3"/>
  <c r="K105" i="3"/>
  <c r="K106" i="3"/>
  <c r="K107" i="3"/>
  <c r="K108" i="3"/>
  <c r="K109" i="3"/>
  <c r="K111" i="3"/>
  <c r="K112" i="3"/>
  <c r="K113" i="3"/>
  <c r="K114" i="3"/>
  <c r="K115" i="3"/>
  <c r="K116" i="3"/>
  <c r="K85" i="3"/>
  <c r="F38" i="6"/>
  <c r="F39" i="6"/>
  <c r="F40" i="6"/>
  <c r="F34" i="6"/>
  <c r="F9" i="6"/>
  <c r="F24" i="6"/>
  <c r="F25" i="6"/>
  <c r="K35" i="3"/>
  <c r="K33" i="3"/>
  <c r="F29" i="6"/>
  <c r="F26" i="6"/>
  <c r="K46" i="3"/>
  <c r="F32" i="6"/>
  <c r="K50" i="3"/>
  <c r="K49" i="3"/>
  <c r="F33" i="6"/>
  <c r="F23" i="6"/>
  <c r="F8" i="6"/>
  <c r="K127" i="3"/>
  <c r="K125" i="3"/>
  <c r="K129" i="3"/>
  <c r="K132" i="3"/>
  <c r="K124" i="3"/>
  <c r="F42" i="6"/>
  <c r="F41" i="6"/>
  <c r="F10" i="6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34" i="3"/>
  <c r="F46" i="6"/>
  <c r="F11" i="6"/>
  <c r="K170" i="3"/>
  <c r="K169" i="3"/>
  <c r="F47" i="6"/>
  <c r="F12" i="6"/>
  <c r="K172" i="3"/>
  <c r="K173" i="3"/>
  <c r="K174" i="3"/>
  <c r="K171" i="3"/>
  <c r="F48" i="6"/>
  <c r="F13" i="6"/>
  <c r="F16" i="6"/>
  <c r="L72" i="3"/>
  <c r="L73" i="3"/>
  <c r="L63" i="3"/>
  <c r="G36" i="6"/>
  <c r="L54" i="3"/>
  <c r="G35" i="6"/>
  <c r="L91" i="3"/>
  <c r="L92" i="3"/>
  <c r="L102" i="3"/>
  <c r="L103" i="3"/>
  <c r="L104" i="3"/>
  <c r="L105" i="3"/>
  <c r="L106" i="3"/>
  <c r="L107" i="3"/>
  <c r="L108" i="3"/>
  <c r="L109" i="3"/>
  <c r="L111" i="3"/>
  <c r="L112" i="3"/>
  <c r="L113" i="3"/>
  <c r="L114" i="3"/>
  <c r="L115" i="3"/>
  <c r="L116" i="3"/>
  <c r="L85" i="3"/>
  <c r="G38" i="6"/>
  <c r="G39" i="6"/>
  <c r="G40" i="6"/>
  <c r="G34" i="6"/>
  <c r="G9" i="6"/>
  <c r="G24" i="6"/>
  <c r="G25" i="6"/>
  <c r="L35" i="3"/>
  <c r="L33" i="3"/>
  <c r="G29" i="6"/>
  <c r="G26" i="6"/>
  <c r="L46" i="3"/>
  <c r="G32" i="6"/>
  <c r="L50" i="3"/>
  <c r="L49" i="3"/>
  <c r="G33" i="6"/>
  <c r="G23" i="6"/>
  <c r="G8" i="6"/>
  <c r="L125" i="3"/>
  <c r="L129" i="3"/>
  <c r="L132" i="3"/>
  <c r="L124" i="3"/>
  <c r="G42" i="6"/>
  <c r="G41" i="6"/>
  <c r="G10" i="6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34" i="3"/>
  <c r="G46" i="6"/>
  <c r="G11" i="6"/>
  <c r="L169" i="3"/>
  <c r="G47" i="6"/>
  <c r="G12" i="6"/>
  <c r="L172" i="3"/>
  <c r="L173" i="3"/>
  <c r="L171" i="3"/>
  <c r="G48" i="6"/>
  <c r="G13" i="6"/>
  <c r="G16" i="6"/>
  <c r="M72" i="3"/>
  <c r="M73" i="3"/>
  <c r="M63" i="3"/>
  <c r="H36" i="6"/>
  <c r="M54" i="3"/>
  <c r="H35" i="6"/>
  <c r="M88" i="3"/>
  <c r="M90" i="3"/>
  <c r="M91" i="3"/>
  <c r="M92" i="3"/>
  <c r="M102" i="3"/>
  <c r="M103" i="3"/>
  <c r="M104" i="3"/>
  <c r="M105" i="3"/>
  <c r="M106" i="3"/>
  <c r="M107" i="3"/>
  <c r="M108" i="3"/>
  <c r="M109" i="3"/>
  <c r="M111" i="3"/>
  <c r="M112" i="3"/>
  <c r="M113" i="3"/>
  <c r="M114" i="3"/>
  <c r="M115" i="3"/>
  <c r="M116" i="3"/>
  <c r="M85" i="3"/>
  <c r="H38" i="6"/>
  <c r="H39" i="6"/>
  <c r="H40" i="6"/>
  <c r="H34" i="6"/>
  <c r="H9" i="6"/>
  <c r="H24" i="6"/>
  <c r="H25" i="6"/>
  <c r="M35" i="3"/>
  <c r="M33" i="3"/>
  <c r="H29" i="6"/>
  <c r="H26" i="6"/>
  <c r="M46" i="3"/>
  <c r="H32" i="6"/>
  <c r="M50" i="3"/>
  <c r="M49" i="3"/>
  <c r="H33" i="6"/>
  <c r="H23" i="6"/>
  <c r="H8" i="6"/>
  <c r="M125" i="3"/>
  <c r="M129" i="3"/>
  <c r="M132" i="3"/>
  <c r="M124" i="3"/>
  <c r="H42" i="6"/>
  <c r="H41" i="6"/>
  <c r="H10" i="6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6" i="3"/>
  <c r="M134" i="3"/>
  <c r="H46" i="6"/>
  <c r="H11" i="6"/>
  <c r="M169" i="3"/>
  <c r="H47" i="6"/>
  <c r="H12" i="6"/>
  <c r="M172" i="3"/>
  <c r="M171" i="3"/>
  <c r="H48" i="6"/>
  <c r="H13" i="6"/>
  <c r="H16" i="6"/>
  <c r="N72" i="3"/>
  <c r="N73" i="3"/>
  <c r="N63" i="3"/>
  <c r="I36" i="6"/>
  <c r="N54" i="3"/>
  <c r="I35" i="6"/>
  <c r="N86" i="3"/>
  <c r="N91" i="3"/>
  <c r="N92" i="3"/>
  <c r="N101" i="3"/>
  <c r="N102" i="3"/>
  <c r="N103" i="3"/>
  <c r="N104" i="3"/>
  <c r="N105" i="3"/>
  <c r="N106" i="3"/>
  <c r="N107" i="3"/>
  <c r="N108" i="3"/>
  <c r="N109" i="3"/>
  <c r="N111" i="3"/>
  <c r="N112" i="3"/>
  <c r="N113" i="3"/>
  <c r="N114" i="3"/>
  <c r="N115" i="3"/>
  <c r="N116" i="3"/>
  <c r="N85" i="3"/>
  <c r="I38" i="6"/>
  <c r="I39" i="6"/>
  <c r="I40" i="6"/>
  <c r="I34" i="6"/>
  <c r="I9" i="6"/>
  <c r="I24" i="6"/>
  <c r="I25" i="6"/>
  <c r="N35" i="3"/>
  <c r="N33" i="3"/>
  <c r="I29" i="6"/>
  <c r="I26" i="6"/>
  <c r="N46" i="3"/>
  <c r="I32" i="6"/>
  <c r="N50" i="3"/>
  <c r="N49" i="3"/>
  <c r="I33" i="6"/>
  <c r="I23" i="6"/>
  <c r="I8" i="6"/>
  <c r="N125" i="3"/>
  <c r="N129" i="3"/>
  <c r="N132" i="3"/>
  <c r="N124" i="3"/>
  <c r="I42" i="6"/>
  <c r="I41" i="6"/>
  <c r="I10" i="6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34" i="3"/>
  <c r="I46" i="6"/>
  <c r="I11" i="6"/>
  <c r="N169" i="3"/>
  <c r="I47" i="6"/>
  <c r="I12" i="6"/>
  <c r="N172" i="3"/>
  <c r="N173" i="3"/>
  <c r="N174" i="3"/>
  <c r="N171" i="3"/>
  <c r="I48" i="6"/>
  <c r="I13" i="6"/>
  <c r="I16" i="6"/>
  <c r="I18" i="6"/>
  <c r="I20" i="6"/>
  <c r="R62" i="3"/>
  <c r="J74" i="3"/>
  <c r="H74" i="3"/>
  <c r="G172" i="3"/>
  <c r="G63" i="3"/>
  <c r="G85" i="3"/>
  <c r="G5" i="3"/>
  <c r="G23" i="3"/>
  <c r="G52" i="3"/>
  <c r="G125" i="3"/>
  <c r="I37" i="3"/>
  <c r="S28" i="3"/>
  <c r="S29" i="3"/>
  <c r="S82" i="3"/>
  <c r="S30" i="3"/>
  <c r="S24" i="3"/>
  <c r="T27" i="3"/>
  <c r="T29" i="3"/>
  <c r="T82" i="3"/>
  <c r="T30" i="3"/>
  <c r="T24" i="3"/>
  <c r="U29" i="3"/>
  <c r="U82" i="3"/>
  <c r="U30" i="3"/>
  <c r="U24" i="3"/>
  <c r="V29" i="3"/>
  <c r="V30" i="3"/>
  <c r="V24" i="3"/>
  <c r="K29" i="3"/>
  <c r="K24" i="3"/>
  <c r="L29" i="3"/>
  <c r="L82" i="3"/>
  <c r="L30" i="3"/>
  <c r="L24" i="3"/>
  <c r="M29" i="3"/>
  <c r="M82" i="3"/>
  <c r="M30" i="3"/>
  <c r="M24" i="3"/>
  <c r="N27" i="3"/>
  <c r="N28" i="3"/>
  <c r="N29" i="3"/>
  <c r="N82" i="3"/>
  <c r="N30" i="3"/>
  <c r="N24" i="3"/>
  <c r="O29" i="3"/>
  <c r="O82" i="3"/>
  <c r="O30" i="3"/>
  <c r="O24" i="3"/>
  <c r="P29" i="3"/>
  <c r="P82" i="3"/>
  <c r="P30" i="3"/>
  <c r="P24" i="3"/>
  <c r="Q27" i="3"/>
  <c r="Q29" i="3"/>
  <c r="Q82" i="3"/>
  <c r="Q30" i="3"/>
  <c r="Q24" i="3"/>
  <c r="R29" i="3"/>
  <c r="R82" i="3"/>
  <c r="R30" i="3"/>
  <c r="R24" i="3"/>
  <c r="F48" i="5"/>
  <c r="F50" i="5"/>
  <c r="F24" i="5"/>
  <c r="F18" i="5"/>
  <c r="F43" i="5"/>
  <c r="F40" i="5"/>
  <c r="F46" i="5"/>
  <c r="F29" i="5"/>
  <c r="E13" i="6"/>
  <c r="E12" i="6"/>
  <c r="E46" i="6"/>
  <c r="E11" i="6"/>
  <c r="E43" i="6"/>
  <c r="E42" i="6"/>
  <c r="E41" i="6"/>
  <c r="E10" i="6"/>
  <c r="E35" i="6"/>
  <c r="E34" i="6"/>
  <c r="E9" i="6"/>
  <c r="E28" i="6"/>
  <c r="E26" i="6"/>
  <c r="E23" i="6"/>
  <c r="E8" i="6"/>
  <c r="C29" i="6"/>
  <c r="H35" i="18"/>
  <c r="H36" i="18"/>
  <c r="I36" i="18"/>
  <c r="H37" i="18"/>
  <c r="H38" i="18"/>
  <c r="H39" i="18"/>
  <c r="H40" i="18"/>
  <c r="I40" i="18"/>
  <c r="H41" i="18"/>
  <c r="H42" i="18"/>
  <c r="H43" i="18"/>
  <c r="I43" i="18"/>
  <c r="H45" i="18"/>
  <c r="H46" i="18"/>
  <c r="H47" i="18"/>
  <c r="I47" i="18"/>
  <c r="H48" i="18"/>
  <c r="H49" i="18"/>
  <c r="H50" i="18"/>
  <c r="I50" i="18"/>
  <c r="H51" i="18"/>
  <c r="I51" i="18"/>
  <c r="H52" i="18"/>
  <c r="H55" i="18"/>
  <c r="H56" i="18"/>
  <c r="I56" i="18"/>
  <c r="H57" i="18"/>
  <c r="I57" i="18"/>
  <c r="H58" i="18"/>
  <c r="I58" i="18"/>
  <c r="H59" i="18"/>
  <c r="I59" i="18"/>
  <c r="H60" i="18"/>
  <c r="I60" i="18"/>
  <c r="H61" i="18"/>
  <c r="I61" i="18"/>
  <c r="H62" i="18"/>
  <c r="I62" i="18"/>
  <c r="F16" i="18"/>
  <c r="F26" i="18"/>
  <c r="H26" i="18"/>
  <c r="I26" i="18"/>
  <c r="F17" i="18"/>
  <c r="F27" i="18"/>
  <c r="H27" i="18"/>
  <c r="I27" i="18"/>
  <c r="F7" i="18"/>
  <c r="H7" i="18"/>
  <c r="F18" i="18"/>
  <c r="F19" i="18"/>
  <c r="H19" i="18"/>
  <c r="F29" i="18"/>
  <c r="F9" i="18"/>
  <c r="F20" i="18"/>
  <c r="F30" i="18"/>
  <c r="H30" i="18"/>
  <c r="I30" i="18"/>
  <c r="F31" i="18"/>
  <c r="F11" i="18"/>
  <c r="H11" i="18"/>
  <c r="F32" i="18"/>
  <c r="F12" i="18"/>
  <c r="H12" i="18"/>
  <c r="I12" i="18"/>
  <c r="F15" i="18"/>
  <c r="F25" i="18"/>
  <c r="F5" i="18"/>
  <c r="H25" i="18"/>
  <c r="H29" i="18"/>
  <c r="H32" i="18"/>
  <c r="H16" i="18"/>
  <c r="I16" i="18"/>
  <c r="H17" i="18"/>
  <c r="I17" i="18"/>
  <c r="H20" i="18"/>
  <c r="H21" i="18"/>
  <c r="I21" i="18"/>
  <c r="H22" i="18"/>
  <c r="I22" i="18"/>
  <c r="H5" i="18"/>
  <c r="I5" i="18"/>
  <c r="H9" i="18"/>
  <c r="I9" i="18"/>
  <c r="I11" i="18"/>
  <c r="I7" i="18"/>
  <c r="I52" i="18"/>
  <c r="I49" i="18"/>
  <c r="I48" i="18"/>
  <c r="I45" i="18"/>
  <c r="I42" i="18"/>
  <c r="I41" i="18"/>
  <c r="I39" i="18"/>
  <c r="I38" i="18"/>
  <c r="I37" i="18"/>
  <c r="I35" i="18"/>
  <c r="I32" i="18"/>
  <c r="I29" i="18"/>
  <c r="I25" i="18"/>
  <c r="I19" i="18"/>
  <c r="I20" i="18"/>
  <c r="I172" i="3"/>
  <c r="I173" i="3"/>
  <c r="H173" i="3"/>
  <c r="I174" i="3"/>
  <c r="H174" i="3"/>
  <c r="I176" i="3"/>
  <c r="H176" i="3"/>
  <c r="I177" i="3"/>
  <c r="H177" i="3"/>
  <c r="I178" i="3"/>
  <c r="H178" i="3"/>
  <c r="J171" i="3"/>
  <c r="I87" i="3"/>
  <c r="H87" i="3"/>
  <c r="I88" i="3"/>
  <c r="H88" i="3"/>
  <c r="I89" i="3"/>
  <c r="H89" i="3"/>
  <c r="I90" i="3"/>
  <c r="H90" i="3"/>
  <c r="I91" i="3"/>
  <c r="H91" i="3"/>
  <c r="I92" i="3"/>
  <c r="H92" i="3"/>
  <c r="I93" i="3"/>
  <c r="H93" i="3"/>
  <c r="I94" i="3"/>
  <c r="H94" i="3"/>
  <c r="I98" i="3"/>
  <c r="H98" i="3"/>
  <c r="I99" i="3"/>
  <c r="H99" i="3"/>
  <c r="I100" i="3"/>
  <c r="H100" i="3"/>
  <c r="I101" i="3"/>
  <c r="H101" i="3"/>
  <c r="I103" i="3"/>
  <c r="H103" i="3"/>
  <c r="I105" i="3"/>
  <c r="H105" i="3"/>
  <c r="I107" i="3"/>
  <c r="H107" i="3"/>
  <c r="I109" i="3"/>
  <c r="H109" i="3"/>
  <c r="I110" i="3"/>
  <c r="H110" i="3"/>
  <c r="I112" i="3"/>
  <c r="H112" i="3"/>
  <c r="I114" i="3"/>
  <c r="H114" i="3"/>
  <c r="I116" i="3"/>
  <c r="H116" i="3"/>
  <c r="I117" i="3"/>
  <c r="H117" i="3"/>
  <c r="I86" i="3"/>
  <c r="H86" i="3"/>
  <c r="J77" i="3"/>
  <c r="K78" i="3"/>
  <c r="L78" i="3"/>
  <c r="M78" i="3"/>
  <c r="K79" i="3"/>
  <c r="J80" i="3"/>
  <c r="J81" i="3"/>
  <c r="K82" i="3"/>
  <c r="V82" i="3"/>
  <c r="K83" i="3"/>
  <c r="L83" i="3"/>
  <c r="M83" i="3"/>
  <c r="N83" i="3"/>
  <c r="O83" i="3"/>
  <c r="P83" i="3"/>
  <c r="Q83" i="3"/>
  <c r="R83" i="3"/>
  <c r="S83" i="3"/>
  <c r="T83" i="3"/>
  <c r="U83" i="3"/>
  <c r="V83" i="3"/>
  <c r="J83" i="3"/>
  <c r="Q41" i="3"/>
  <c r="R41" i="3"/>
  <c r="S41" i="3"/>
  <c r="T41" i="3"/>
  <c r="U41" i="3"/>
  <c r="V41" i="3"/>
  <c r="J26" i="3"/>
  <c r="J27" i="3"/>
  <c r="J28" i="3"/>
  <c r="I136" i="3"/>
  <c r="H136" i="3"/>
  <c r="I138" i="3"/>
  <c r="H138" i="3"/>
  <c r="I140" i="3"/>
  <c r="H140" i="3"/>
  <c r="I142" i="3"/>
  <c r="H142" i="3"/>
  <c r="I144" i="3"/>
  <c r="H144" i="3"/>
  <c r="I146" i="3"/>
  <c r="H146" i="3"/>
  <c r="I148" i="3"/>
  <c r="H148" i="3"/>
  <c r="I150" i="3"/>
  <c r="H150" i="3"/>
  <c r="I152" i="3"/>
  <c r="H152" i="3"/>
  <c r="I154" i="3"/>
  <c r="H154" i="3"/>
  <c r="I155" i="3"/>
  <c r="H155" i="3"/>
  <c r="I156" i="3"/>
  <c r="H156" i="3"/>
  <c r="I157" i="3"/>
  <c r="H157" i="3"/>
  <c r="I158" i="3"/>
  <c r="H158" i="3"/>
  <c r="I159" i="3"/>
  <c r="H159" i="3"/>
  <c r="I160" i="3"/>
  <c r="H160" i="3"/>
  <c r="I161" i="3"/>
  <c r="H161" i="3"/>
  <c r="I162" i="3"/>
  <c r="H162" i="3"/>
  <c r="I163" i="3"/>
  <c r="H163" i="3"/>
  <c r="I164" i="3"/>
  <c r="H164" i="3"/>
  <c r="I165" i="3"/>
  <c r="H165" i="3"/>
  <c r="I166" i="3"/>
  <c r="H166" i="3"/>
  <c r="I167" i="3"/>
  <c r="H167" i="3"/>
  <c r="I168" i="3"/>
  <c r="H168" i="3"/>
  <c r="I135" i="3"/>
  <c r="H135" i="3"/>
  <c r="J134" i="3"/>
  <c r="J7" i="3"/>
  <c r="I35" i="3"/>
  <c r="H35" i="3"/>
  <c r="I71" i="3"/>
  <c r="I70" i="3"/>
  <c r="J25" i="3"/>
  <c r="J29" i="3"/>
  <c r="J30" i="3"/>
  <c r="J39" i="3"/>
  <c r="J40" i="3"/>
  <c r="I16" i="3"/>
  <c r="I17" i="3"/>
  <c r="I15" i="3"/>
  <c r="I20" i="3"/>
  <c r="I21" i="3"/>
  <c r="I24" i="3"/>
  <c r="I34" i="3"/>
  <c r="I36" i="3"/>
  <c r="I33" i="3"/>
  <c r="I23" i="3"/>
  <c r="I39" i="3"/>
  <c r="I40" i="3"/>
  <c r="I38" i="3"/>
  <c r="I44" i="3"/>
  <c r="I43" i="3"/>
  <c r="H47" i="3"/>
  <c r="I46" i="3"/>
  <c r="I50" i="3"/>
  <c r="I51" i="3"/>
  <c r="I49" i="3"/>
  <c r="H34" i="3"/>
  <c r="H36" i="3"/>
  <c r="H25" i="3"/>
  <c r="H27" i="3"/>
  <c r="H29" i="3"/>
  <c r="M23" i="3"/>
  <c r="N23" i="3"/>
  <c r="Q23" i="3"/>
  <c r="R23" i="3"/>
  <c r="S23" i="3"/>
  <c r="I67" i="3"/>
  <c r="H67" i="3"/>
  <c r="U38" i="3"/>
  <c r="U43" i="3"/>
  <c r="U75" i="3"/>
  <c r="V38" i="3"/>
  <c r="V43" i="3"/>
  <c r="V75" i="3"/>
  <c r="M38" i="3"/>
  <c r="M43" i="3"/>
  <c r="N38" i="3"/>
  <c r="N43" i="3"/>
  <c r="N13" i="3"/>
  <c r="O38" i="3"/>
  <c r="O43" i="3"/>
  <c r="O75" i="3"/>
  <c r="P38" i="3"/>
  <c r="P43" i="3"/>
  <c r="P75" i="3"/>
  <c r="K38" i="3"/>
  <c r="K43" i="3"/>
  <c r="K75" i="3"/>
  <c r="L38" i="3"/>
  <c r="L43" i="3"/>
  <c r="L75" i="3"/>
  <c r="Q38" i="3"/>
  <c r="Q43" i="3"/>
  <c r="Q13" i="3"/>
  <c r="Q4" i="3"/>
  <c r="Q75" i="3"/>
  <c r="R38" i="3"/>
  <c r="R43" i="3"/>
  <c r="R75" i="3"/>
  <c r="S38" i="3"/>
  <c r="S43" i="3"/>
  <c r="S13" i="3"/>
  <c r="S75" i="3"/>
  <c r="T38" i="3"/>
  <c r="T43" i="3"/>
  <c r="T75" i="3"/>
  <c r="I127" i="3"/>
  <c r="H127" i="3"/>
  <c r="R122" i="3"/>
  <c r="R6" i="3"/>
  <c r="R7" i="3"/>
  <c r="R8" i="3"/>
  <c r="R9" i="3"/>
  <c r="Q122" i="3"/>
  <c r="Q6" i="3"/>
  <c r="Q8" i="3"/>
  <c r="Q9" i="3"/>
  <c r="L52" i="3"/>
  <c r="L5" i="3"/>
  <c r="L8" i="3"/>
  <c r="L9" i="3"/>
  <c r="M122" i="3"/>
  <c r="M6" i="3"/>
  <c r="M7" i="3"/>
  <c r="M8" i="3"/>
  <c r="M9" i="3"/>
  <c r="N4" i="3"/>
  <c r="N7" i="3"/>
  <c r="N8" i="3"/>
  <c r="N9" i="3"/>
  <c r="O52" i="3"/>
  <c r="O5" i="3"/>
  <c r="O122" i="3"/>
  <c r="O6" i="3"/>
  <c r="O7" i="3"/>
  <c r="O8" i="3"/>
  <c r="O9" i="3"/>
  <c r="P52" i="3"/>
  <c r="P5" i="3"/>
  <c r="P122" i="3"/>
  <c r="P6" i="3"/>
  <c r="P8" i="3"/>
  <c r="P9" i="3"/>
  <c r="S4" i="3"/>
  <c r="S122" i="3"/>
  <c r="S6" i="3"/>
  <c r="S7" i="3"/>
  <c r="S8" i="3"/>
  <c r="S9" i="3"/>
  <c r="T122" i="3"/>
  <c r="T6" i="3"/>
  <c r="T7" i="3"/>
  <c r="T8" i="3"/>
  <c r="T9" i="3"/>
  <c r="U52" i="3"/>
  <c r="U5" i="3"/>
  <c r="U122" i="3"/>
  <c r="U6" i="3"/>
  <c r="U8" i="3"/>
  <c r="U9" i="3"/>
  <c r="V122" i="3"/>
  <c r="V6" i="3"/>
  <c r="V8" i="3"/>
  <c r="V9" i="3"/>
  <c r="K52" i="3"/>
  <c r="K5" i="3"/>
  <c r="K122" i="3"/>
  <c r="K6" i="3"/>
  <c r="K7" i="3"/>
  <c r="K8" i="3"/>
  <c r="K9" i="3"/>
  <c r="I42" i="3"/>
  <c r="I45" i="3"/>
  <c r="H45" i="3"/>
  <c r="I62" i="3"/>
  <c r="H62" i="3"/>
  <c r="J76" i="3"/>
  <c r="J122" i="3"/>
  <c r="J169" i="3"/>
  <c r="H54" i="3"/>
  <c r="I54" i="3"/>
  <c r="H119" i="3"/>
  <c r="I119" i="3"/>
  <c r="H121" i="3"/>
  <c r="I121" i="3"/>
  <c r="I126" i="3"/>
  <c r="I128" i="3"/>
  <c r="I125" i="3"/>
  <c r="H130" i="3"/>
  <c r="I130" i="3"/>
  <c r="H131" i="3"/>
  <c r="I131" i="3"/>
  <c r="H133" i="3"/>
  <c r="H132" i="3"/>
  <c r="I132" i="3"/>
  <c r="H169" i="3"/>
  <c r="I169" i="3"/>
  <c r="G122" i="3"/>
  <c r="H125" i="3"/>
  <c r="H124" i="3"/>
  <c r="I124" i="3"/>
  <c r="D124" i="3"/>
  <c r="B122" i="3"/>
  <c r="D85" i="3"/>
  <c r="D75" i="3"/>
  <c r="D54" i="3"/>
  <c r="B52" i="3"/>
  <c r="D49" i="3"/>
  <c r="D46" i="3"/>
  <c r="D43" i="3"/>
  <c r="D23" i="3"/>
  <c r="D19" i="3"/>
  <c r="D15" i="3"/>
  <c r="B13" i="3"/>
  <c r="G13" i="3"/>
  <c r="G4" i="3"/>
  <c r="G6" i="3"/>
  <c r="G7" i="3"/>
  <c r="G8" i="3"/>
  <c r="G9" i="3"/>
  <c r="G11" i="3"/>
  <c r="E15" i="6"/>
  <c r="E49" i="6"/>
  <c r="R48" i="6"/>
  <c r="R13" i="6"/>
  <c r="H77" i="3"/>
  <c r="I64" i="3"/>
  <c r="H64" i="3"/>
  <c r="I65" i="3"/>
  <c r="H65" i="3"/>
  <c r="H70" i="3"/>
  <c r="I6" i="7"/>
  <c r="C12" i="7"/>
  <c r="AG6" i="7"/>
  <c r="O6" i="7"/>
  <c r="D12" i="7"/>
  <c r="AM6" i="7"/>
  <c r="U6" i="7"/>
  <c r="E12" i="7"/>
  <c r="AS6" i="7"/>
  <c r="I8" i="7"/>
  <c r="AG8" i="7"/>
  <c r="O8" i="7"/>
  <c r="AM8" i="7"/>
  <c r="U8" i="7"/>
  <c r="AS8" i="7"/>
  <c r="I9" i="7"/>
  <c r="AG9" i="7"/>
  <c r="O9" i="7"/>
  <c r="AM9" i="7"/>
  <c r="U9" i="7"/>
  <c r="AS9" i="7"/>
  <c r="D2" i="3"/>
  <c r="I45" i="6"/>
  <c r="M45" i="6"/>
  <c r="H46" i="3"/>
  <c r="H44" i="3"/>
  <c r="AJ20" i="7"/>
  <c r="AN20" i="7"/>
  <c r="AN21" i="7"/>
  <c r="AN22" i="7"/>
  <c r="AN23" i="7"/>
  <c r="AH24" i="7"/>
  <c r="AL24" i="7"/>
  <c r="AN24" i="7"/>
  <c r="AL25" i="7"/>
  <c r="AJ25" i="7"/>
  <c r="AJ29" i="7"/>
  <c r="AI25" i="7"/>
  <c r="AK25" i="7"/>
  <c r="AM20" i="7"/>
  <c r="AM21" i="7"/>
  <c r="AM22" i="7"/>
  <c r="AM23" i="7"/>
  <c r="AM25" i="7"/>
  <c r="AH25" i="7"/>
  <c r="AG25" i="7"/>
  <c r="Q44" i="6"/>
  <c r="H6" i="7"/>
  <c r="N6" i="7"/>
  <c r="T6" i="7"/>
  <c r="H8" i="7"/>
  <c r="N8" i="7"/>
  <c r="T8" i="7"/>
  <c r="H9" i="7"/>
  <c r="N9" i="7"/>
  <c r="T9" i="7"/>
  <c r="H7" i="7"/>
  <c r="N7" i="7"/>
  <c r="T7" i="7"/>
  <c r="Z7" i="7"/>
  <c r="Z6" i="7"/>
  <c r="Z8" i="7"/>
  <c r="Z9" i="7"/>
  <c r="Z11" i="7"/>
  <c r="I73" i="3"/>
  <c r="H73" i="3"/>
  <c r="H76" i="3"/>
  <c r="H80" i="3"/>
  <c r="H81" i="3"/>
  <c r="H14" i="3"/>
  <c r="H18" i="3"/>
  <c r="H37" i="3"/>
  <c r="H39" i="3"/>
  <c r="H40" i="3"/>
  <c r="H41" i="3"/>
  <c r="H42" i="3"/>
  <c r="H51" i="3"/>
  <c r="H53" i="3"/>
  <c r="H55" i="3"/>
  <c r="H56" i="3"/>
  <c r="I56" i="3"/>
  <c r="H57" i="3"/>
  <c r="H58" i="3"/>
  <c r="H59" i="3"/>
  <c r="H60" i="3"/>
  <c r="I60" i="3"/>
  <c r="H61" i="3"/>
  <c r="Z10" i="7"/>
  <c r="I84" i="3"/>
  <c r="H118" i="3"/>
  <c r="I118" i="3"/>
  <c r="H120" i="3"/>
  <c r="I120" i="3"/>
  <c r="H123" i="3"/>
  <c r="H128" i="3"/>
  <c r="H129" i="3"/>
  <c r="H170" i="3"/>
  <c r="I47" i="3"/>
  <c r="D9" i="14"/>
  <c r="D15" i="14"/>
  <c r="E4" i="13"/>
  <c r="G4" i="13"/>
  <c r="E5" i="13"/>
  <c r="G5" i="13"/>
  <c r="E6" i="13"/>
  <c r="G6" i="13"/>
  <c r="E7" i="13"/>
  <c r="G7" i="13"/>
  <c r="E8" i="13"/>
  <c r="G8" i="13"/>
  <c r="E9" i="13"/>
  <c r="G9" i="13"/>
  <c r="E10" i="13"/>
  <c r="G10" i="13"/>
  <c r="E11" i="13"/>
  <c r="G11" i="13"/>
  <c r="E12" i="13"/>
  <c r="G12" i="13"/>
  <c r="E13" i="13"/>
  <c r="G13" i="13"/>
  <c r="E14" i="13"/>
  <c r="G14" i="13"/>
  <c r="E15" i="13"/>
  <c r="G15" i="13"/>
  <c r="E16" i="13"/>
  <c r="G16" i="13"/>
  <c r="E17" i="13"/>
  <c r="G17" i="13"/>
  <c r="E18" i="13"/>
  <c r="G18" i="13"/>
  <c r="G19" i="13"/>
  <c r="G20" i="13"/>
  <c r="G21" i="13"/>
  <c r="G22" i="13"/>
  <c r="F23" i="13"/>
  <c r="G23" i="13"/>
  <c r="G24" i="13"/>
  <c r="X17" i="12"/>
  <c r="D18" i="11"/>
  <c r="C7" i="9"/>
  <c r="D7" i="9"/>
  <c r="E7" i="9"/>
  <c r="E8" i="9"/>
  <c r="E10" i="9"/>
  <c r="F7" i="9"/>
  <c r="G7" i="9"/>
  <c r="C8" i="9"/>
  <c r="D8" i="9"/>
  <c r="F8" i="9"/>
  <c r="G8" i="9"/>
  <c r="H8" i="9"/>
  <c r="G10" i="9"/>
  <c r="H9" i="9"/>
  <c r="H5" i="9"/>
  <c r="H6" i="9"/>
  <c r="F10" i="9"/>
  <c r="D10" i="9"/>
  <c r="F3" i="8"/>
  <c r="H3" i="8"/>
  <c r="D11" i="8"/>
  <c r="E11" i="8"/>
  <c r="G11" i="8"/>
  <c r="H11" i="8"/>
  <c r="G12" i="8"/>
  <c r="H12" i="8"/>
  <c r="F13" i="8"/>
  <c r="X14" i="7"/>
  <c r="T14" i="7"/>
  <c r="R14" i="7"/>
  <c r="C11" i="7"/>
  <c r="C13" i="7"/>
  <c r="D11" i="7"/>
  <c r="D13" i="7"/>
  <c r="E11" i="7"/>
  <c r="E13" i="7"/>
  <c r="AF6" i="7"/>
  <c r="J6" i="7"/>
  <c r="AH6" i="7"/>
  <c r="K6" i="7"/>
  <c r="AI6" i="7"/>
  <c r="L6" i="7"/>
  <c r="AJ6" i="7"/>
  <c r="AL6" i="7"/>
  <c r="P6" i="7"/>
  <c r="AN6" i="7"/>
  <c r="Q6" i="7"/>
  <c r="AO6" i="7"/>
  <c r="R6" i="7"/>
  <c r="AP6" i="7"/>
  <c r="AR6" i="7"/>
  <c r="V6" i="7"/>
  <c r="AT6" i="7"/>
  <c r="W6" i="7"/>
  <c r="AU6" i="7"/>
  <c r="X6" i="7"/>
  <c r="AV6" i="7"/>
  <c r="X7" i="7"/>
  <c r="AV7" i="7"/>
  <c r="X8" i="7"/>
  <c r="AV8" i="7"/>
  <c r="X9" i="7"/>
  <c r="AV9" i="7"/>
  <c r="AV11" i="7"/>
  <c r="AF7" i="7"/>
  <c r="I7" i="7"/>
  <c r="AG7" i="7"/>
  <c r="J7" i="7"/>
  <c r="AH7" i="7"/>
  <c r="K7" i="7"/>
  <c r="AI7" i="7"/>
  <c r="L7" i="7"/>
  <c r="AJ7" i="7"/>
  <c r="AK7" i="7"/>
  <c r="AL7" i="7"/>
  <c r="O7" i="7"/>
  <c r="AM7" i="7"/>
  <c r="P7" i="7"/>
  <c r="AN7" i="7"/>
  <c r="Q7" i="7"/>
  <c r="AO7" i="7"/>
  <c r="R7" i="7"/>
  <c r="AP7" i="7"/>
  <c r="AQ7" i="7"/>
  <c r="AR7" i="7"/>
  <c r="U7" i="7"/>
  <c r="AS7" i="7"/>
  <c r="V7" i="7"/>
  <c r="AT7" i="7"/>
  <c r="W7" i="7"/>
  <c r="AU7" i="7"/>
  <c r="AW7" i="7"/>
  <c r="BB7" i="7"/>
  <c r="AF8" i="7"/>
  <c r="J8" i="7"/>
  <c r="AH8" i="7"/>
  <c r="K8" i="7"/>
  <c r="AI8" i="7"/>
  <c r="L8" i="7"/>
  <c r="AJ8" i="7"/>
  <c r="AL8" i="7"/>
  <c r="P8" i="7"/>
  <c r="AN8" i="7"/>
  <c r="Q8" i="7"/>
  <c r="AO8" i="7"/>
  <c r="R8" i="7"/>
  <c r="AP8" i="7"/>
  <c r="AR8" i="7"/>
  <c r="V8" i="7"/>
  <c r="AT8" i="7"/>
  <c r="W8" i="7"/>
  <c r="AU8" i="7"/>
  <c r="AF9" i="7"/>
  <c r="J9" i="7"/>
  <c r="AH9" i="7"/>
  <c r="K9" i="7"/>
  <c r="AI9" i="7"/>
  <c r="L9" i="7"/>
  <c r="AJ9" i="7"/>
  <c r="AK9" i="7"/>
  <c r="AL9" i="7"/>
  <c r="P9" i="7"/>
  <c r="AN9" i="7"/>
  <c r="Q9" i="7"/>
  <c r="AO9" i="7"/>
  <c r="R9" i="7"/>
  <c r="AP9" i="7"/>
  <c r="AR9" i="7"/>
  <c r="V9" i="7"/>
  <c r="AT9" i="7"/>
  <c r="W9" i="7"/>
  <c r="AU9" i="7"/>
  <c r="AW9" i="7"/>
  <c r="AF10" i="7"/>
  <c r="AK10" i="7"/>
  <c r="AL10" i="7"/>
  <c r="AQ10" i="7"/>
  <c r="AW10" i="7"/>
  <c r="BC10" i="7"/>
  <c r="BB9" i="7"/>
  <c r="BB10" i="7"/>
  <c r="BA7" i="7"/>
  <c r="BA10" i="7"/>
  <c r="AZ7" i="7"/>
  <c r="AZ9" i="7"/>
  <c r="AZ10" i="7"/>
  <c r="AY7" i="7"/>
  <c r="AY10" i="7"/>
  <c r="AX6" i="7"/>
  <c r="AX7" i="7"/>
  <c r="AX8" i="7"/>
  <c r="AX9" i="7"/>
  <c r="AX10" i="7"/>
  <c r="AX11" i="7"/>
  <c r="AR11" i="7"/>
  <c r="AL11" i="7"/>
  <c r="AF11" i="7"/>
  <c r="M6" i="7"/>
  <c r="S6" i="7"/>
  <c r="Y6" i="7"/>
  <c r="AE6" i="7"/>
  <c r="M7" i="7"/>
  <c r="S7" i="7"/>
  <c r="Y7" i="7"/>
  <c r="AE7" i="7"/>
  <c r="M8" i="7"/>
  <c r="S8" i="7"/>
  <c r="Y8" i="7"/>
  <c r="AE8" i="7"/>
  <c r="M9" i="7"/>
  <c r="S9" i="7"/>
  <c r="Y9" i="7"/>
  <c r="AE9" i="7"/>
  <c r="AD6" i="7"/>
  <c r="AD7" i="7"/>
  <c r="AD8" i="7"/>
  <c r="AD9" i="7"/>
  <c r="AD11" i="7"/>
  <c r="AC6" i="7"/>
  <c r="AC7" i="7"/>
  <c r="AC8" i="7"/>
  <c r="AC9" i="7"/>
  <c r="AC11" i="7"/>
  <c r="AB6" i="7"/>
  <c r="AB7" i="7"/>
  <c r="AB8" i="7"/>
  <c r="AB9" i="7"/>
  <c r="AB11" i="7"/>
  <c r="AA6" i="7"/>
  <c r="AA7" i="7"/>
  <c r="AA8" i="7"/>
  <c r="AA9" i="7"/>
  <c r="AA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M10" i="7"/>
  <c r="S10" i="7"/>
  <c r="Y10" i="7"/>
  <c r="AE10" i="7"/>
  <c r="F1" i="7"/>
  <c r="A48" i="6"/>
  <c r="A47" i="6"/>
  <c r="A46" i="6"/>
  <c r="F45" i="6"/>
  <c r="G45" i="6"/>
  <c r="H45" i="6"/>
  <c r="J45" i="6"/>
  <c r="K45" i="6"/>
  <c r="L45" i="6"/>
  <c r="N45" i="6"/>
  <c r="O45" i="6"/>
  <c r="P45" i="6"/>
  <c r="Q45" i="6"/>
  <c r="C45" i="6"/>
  <c r="F44" i="6"/>
  <c r="G44" i="6"/>
  <c r="H44" i="6"/>
  <c r="I44" i="6"/>
  <c r="J44" i="6"/>
  <c r="K44" i="6"/>
  <c r="L44" i="6"/>
  <c r="M44" i="6"/>
  <c r="N44" i="6"/>
  <c r="O44" i="6"/>
  <c r="P44" i="6"/>
  <c r="C44" i="6"/>
  <c r="F43" i="6"/>
  <c r="I43" i="6"/>
  <c r="K43" i="6"/>
  <c r="M43" i="6"/>
  <c r="N43" i="6"/>
  <c r="O43" i="6"/>
  <c r="C43" i="6"/>
  <c r="C42" i="6"/>
  <c r="B42" i="6"/>
  <c r="A41" i="6"/>
  <c r="C38" i="6"/>
  <c r="B38" i="6"/>
  <c r="C37" i="6"/>
  <c r="B37" i="6"/>
  <c r="C36" i="6"/>
  <c r="B36" i="6"/>
  <c r="C35" i="6"/>
  <c r="B35" i="6"/>
  <c r="A34" i="6"/>
  <c r="C33" i="6"/>
  <c r="B33" i="6"/>
  <c r="C32" i="6"/>
  <c r="B32" i="6"/>
  <c r="C31" i="6"/>
  <c r="B31" i="6"/>
  <c r="C30" i="6"/>
  <c r="B30" i="6"/>
  <c r="C27" i="6"/>
  <c r="C26" i="6"/>
  <c r="B26" i="6"/>
  <c r="C25" i="6"/>
  <c r="B25" i="6"/>
  <c r="C24" i="6"/>
  <c r="B24" i="6"/>
  <c r="A23" i="6"/>
  <c r="E7" i="6"/>
  <c r="E22" i="6"/>
  <c r="D7" i="6"/>
  <c r="D22" i="6"/>
  <c r="C7" i="6"/>
  <c r="C22" i="6"/>
  <c r="B7" i="6"/>
  <c r="B22" i="6"/>
  <c r="A7" i="6"/>
  <c r="A22" i="6"/>
  <c r="E16" i="6"/>
  <c r="D15" i="6"/>
  <c r="C15" i="6"/>
  <c r="A15" i="6"/>
  <c r="A14" i="6"/>
  <c r="A13" i="6"/>
  <c r="A12" i="6"/>
  <c r="A11" i="6"/>
  <c r="A10" i="6"/>
  <c r="A9" i="6"/>
  <c r="A8" i="6"/>
  <c r="D161" i="3"/>
  <c r="D160" i="3"/>
  <c r="D158" i="3"/>
  <c r="D157" i="3"/>
  <c r="D156" i="3"/>
  <c r="D155" i="3"/>
  <c r="D154" i="3"/>
  <c r="F142" i="3"/>
  <c r="D142" i="3"/>
  <c r="F141" i="3"/>
  <c r="D141" i="3"/>
  <c r="F140" i="3"/>
  <c r="F139" i="3"/>
  <c r="D139" i="3"/>
  <c r="F138" i="3"/>
  <c r="D138" i="3"/>
  <c r="F137" i="3"/>
  <c r="D137" i="3"/>
  <c r="F136" i="3"/>
  <c r="D136" i="3"/>
  <c r="F135" i="3"/>
  <c r="D135" i="3"/>
  <c r="G74" i="3"/>
  <c r="J6" i="3"/>
  <c r="J8" i="3"/>
  <c r="I170" i="3"/>
  <c r="I133" i="3"/>
  <c r="I123" i="3"/>
  <c r="I61" i="3"/>
  <c r="I59" i="3"/>
  <c r="I58" i="3"/>
  <c r="I57" i="3"/>
  <c r="I55" i="3"/>
  <c r="I53" i="3"/>
  <c r="I48" i="3"/>
  <c r="I14" i="3"/>
  <c r="R35" i="6"/>
  <c r="H126" i="3"/>
  <c r="I72" i="3"/>
  <c r="H72" i="3"/>
  <c r="Q43" i="6"/>
  <c r="H83" i="3"/>
  <c r="P43" i="6"/>
  <c r="H38" i="3"/>
  <c r="L43" i="6"/>
  <c r="H43" i="6"/>
  <c r="I66" i="3"/>
  <c r="H66" i="3"/>
  <c r="J9" i="3"/>
  <c r="J43" i="6"/>
  <c r="H43" i="3"/>
  <c r="R32" i="6"/>
  <c r="R40" i="6"/>
  <c r="R31" i="6"/>
  <c r="R45" i="6"/>
  <c r="R29" i="6"/>
  <c r="R39" i="6"/>
  <c r="R30" i="6"/>
  <c r="R25" i="6"/>
  <c r="R28" i="6"/>
  <c r="R44" i="6"/>
  <c r="R47" i="6"/>
  <c r="R12" i="6"/>
  <c r="R24" i="6"/>
  <c r="I8" i="3"/>
  <c r="H8" i="3"/>
  <c r="G43" i="6"/>
  <c r="R43" i="6"/>
  <c r="R33" i="6"/>
  <c r="H50" i="3"/>
  <c r="H49" i="3"/>
  <c r="R27" i="6"/>
  <c r="R26" i="6"/>
  <c r="I22" i="3"/>
  <c r="F52" i="5"/>
  <c r="BA9" i="7"/>
  <c r="BB8" i="7"/>
  <c r="AT11" i="7"/>
  <c r="AN11" i="7"/>
  <c r="AZ6" i="7"/>
  <c r="AK6" i="7"/>
  <c r="AH11" i="7"/>
  <c r="E14" i="7"/>
  <c r="D8" i="8"/>
  <c r="D9" i="8"/>
  <c r="E9" i="8"/>
  <c r="G9" i="8"/>
  <c r="H9" i="8"/>
  <c r="D10" i="8"/>
  <c r="E8" i="8"/>
  <c r="E10" i="8"/>
  <c r="AY6" i="7"/>
  <c r="AQ9" i="7"/>
  <c r="BC9" i="7"/>
  <c r="BA8" i="7"/>
  <c r="BC7" i="7"/>
  <c r="AW8" i="7"/>
  <c r="AW6" i="7"/>
  <c r="AW11" i="7"/>
  <c r="AS11" i="7"/>
  <c r="AE11" i="7"/>
  <c r="G62" i="3"/>
  <c r="AZ8" i="7"/>
  <c r="AP11" i="7"/>
  <c r="BB6" i="7"/>
  <c r="AJ11" i="7"/>
  <c r="AQ8" i="7"/>
  <c r="AU11" i="7"/>
  <c r="AO11" i="7"/>
  <c r="AI11" i="7"/>
  <c r="BA6" i="7"/>
  <c r="AN25" i="7"/>
  <c r="AJ28" i="7"/>
  <c r="AJ30" i="7"/>
  <c r="AY9" i="7"/>
  <c r="AY8" i="7"/>
  <c r="AK8" i="7"/>
  <c r="BC8" i="7"/>
  <c r="AG11" i="7"/>
  <c r="AM11" i="7"/>
  <c r="AQ6" i="7"/>
  <c r="I129" i="3"/>
  <c r="I122" i="3"/>
  <c r="I6" i="3"/>
  <c r="H6" i="3"/>
  <c r="C10" i="9"/>
  <c r="H7" i="9"/>
  <c r="H11" i="9"/>
  <c r="L122" i="3"/>
  <c r="Q7" i="3"/>
  <c r="N122" i="3"/>
  <c r="N6" i="3"/>
  <c r="P7" i="3"/>
  <c r="L7" i="3"/>
  <c r="I95" i="3"/>
  <c r="H172" i="3"/>
  <c r="I171" i="3"/>
  <c r="H33" i="3"/>
  <c r="J24" i="3"/>
  <c r="U23" i="3"/>
  <c r="U13" i="3"/>
  <c r="U4" i="3"/>
  <c r="I153" i="3"/>
  <c r="H153" i="3"/>
  <c r="I147" i="3"/>
  <c r="H147" i="3"/>
  <c r="I139" i="3"/>
  <c r="H139" i="3"/>
  <c r="I115" i="3"/>
  <c r="H115" i="3"/>
  <c r="I106" i="3"/>
  <c r="H106" i="3"/>
  <c r="F10" i="18"/>
  <c r="H10" i="18"/>
  <c r="I10" i="18"/>
  <c r="F6" i="18"/>
  <c r="H6" i="18"/>
  <c r="I145" i="3"/>
  <c r="H145" i="3"/>
  <c r="I137" i="3"/>
  <c r="H137" i="3"/>
  <c r="I141" i="3"/>
  <c r="H141" i="3"/>
  <c r="I143" i="3"/>
  <c r="H143" i="3"/>
  <c r="I149" i="3"/>
  <c r="H149" i="3"/>
  <c r="I151" i="3"/>
  <c r="H151" i="3"/>
  <c r="H134" i="3"/>
  <c r="J41" i="3"/>
  <c r="J38" i="3"/>
  <c r="I113" i="3"/>
  <c r="H113" i="3"/>
  <c r="I104" i="3"/>
  <c r="H104" i="3"/>
  <c r="F28" i="18"/>
  <c r="H18" i="18"/>
  <c r="I18" i="18"/>
  <c r="V23" i="3"/>
  <c r="V13" i="3"/>
  <c r="V4" i="3"/>
  <c r="T23" i="3"/>
  <c r="T13" i="3"/>
  <c r="T4" i="3"/>
  <c r="O23" i="3"/>
  <c r="O13" i="3"/>
  <c r="O4" i="3"/>
  <c r="O11" i="3"/>
  <c r="H30" i="3"/>
  <c r="H24" i="3"/>
  <c r="H23" i="3"/>
  <c r="I19" i="3"/>
  <c r="I13" i="3"/>
  <c r="M79" i="3"/>
  <c r="N78" i="3"/>
  <c r="I111" i="3"/>
  <c r="H111" i="3"/>
  <c r="I102" i="3"/>
  <c r="H102" i="3"/>
  <c r="I96" i="3"/>
  <c r="H96" i="3"/>
  <c r="R13" i="3"/>
  <c r="R4" i="3"/>
  <c r="M13" i="3"/>
  <c r="M4" i="3"/>
  <c r="K23" i="3"/>
  <c r="P23" i="3"/>
  <c r="P13" i="3"/>
  <c r="P4" i="3"/>
  <c r="P11" i="3"/>
  <c r="L23" i="3"/>
  <c r="L13" i="3"/>
  <c r="L4" i="3"/>
  <c r="J82" i="3"/>
  <c r="H82" i="3"/>
  <c r="I108" i="3"/>
  <c r="H108" i="3"/>
  <c r="I97" i="3"/>
  <c r="H97" i="3"/>
  <c r="I55" i="18"/>
  <c r="I63" i="18"/>
  <c r="H63" i="18"/>
  <c r="H64" i="18"/>
  <c r="H53" i="18"/>
  <c r="I53" i="18"/>
  <c r="I66" i="18"/>
  <c r="I46" i="18"/>
  <c r="H15" i="18"/>
  <c r="H31" i="18"/>
  <c r="I31" i="18"/>
  <c r="U7" i="3"/>
  <c r="H95" i="3"/>
  <c r="I85" i="3"/>
  <c r="H85" i="3"/>
  <c r="L6" i="3"/>
  <c r="H122" i="3"/>
  <c r="T52" i="3"/>
  <c r="T5" i="3"/>
  <c r="T11" i="3"/>
  <c r="L11" i="3"/>
  <c r="V52" i="3"/>
  <c r="V5" i="3"/>
  <c r="AQ11" i="7"/>
  <c r="AY11" i="7"/>
  <c r="G19" i="7"/>
  <c r="G21" i="7"/>
  <c r="E13" i="8"/>
  <c r="M75" i="3"/>
  <c r="I69" i="3"/>
  <c r="H23" i="18"/>
  <c r="I23" i="18"/>
  <c r="I15" i="18"/>
  <c r="N79" i="3"/>
  <c r="J79" i="3"/>
  <c r="H79" i="3"/>
  <c r="J78" i="3"/>
  <c r="I134" i="3"/>
  <c r="I7" i="3"/>
  <c r="H7" i="3"/>
  <c r="R23" i="6"/>
  <c r="R8" i="6"/>
  <c r="F8" i="18"/>
  <c r="H8" i="18"/>
  <c r="I8" i="18"/>
  <c r="H28" i="18"/>
  <c r="J13" i="3"/>
  <c r="J4" i="3"/>
  <c r="J23" i="3"/>
  <c r="H171" i="3"/>
  <c r="I9" i="3"/>
  <c r="H9" i="3"/>
  <c r="H10" i="9"/>
  <c r="G10" i="8"/>
  <c r="H10" i="8"/>
  <c r="BC6" i="7"/>
  <c r="BC11" i="7"/>
  <c r="AK11" i="7"/>
  <c r="R52" i="3"/>
  <c r="R5" i="3"/>
  <c r="R11" i="3"/>
  <c r="K13" i="3"/>
  <c r="I4" i="3"/>
  <c r="H13" i="3"/>
  <c r="V7" i="3"/>
  <c r="V11" i="3"/>
  <c r="H13" i="18"/>
  <c r="I13" i="18"/>
  <c r="I6" i="18"/>
  <c r="U11" i="3"/>
  <c r="I68" i="3"/>
  <c r="R42" i="6"/>
  <c r="BA11" i="7"/>
  <c r="BB11" i="7"/>
  <c r="G8" i="8"/>
  <c r="D13" i="8"/>
  <c r="AZ11" i="7"/>
  <c r="K4" i="3"/>
  <c r="H4" i="3"/>
  <c r="H78" i="3"/>
  <c r="J75" i="3"/>
  <c r="I28" i="18"/>
  <c r="H33" i="18"/>
  <c r="I33" i="18"/>
  <c r="R41" i="6"/>
  <c r="R10" i="6"/>
  <c r="R46" i="6"/>
  <c r="R11" i="6"/>
  <c r="M52" i="3"/>
  <c r="I63" i="3"/>
  <c r="Q52" i="3"/>
  <c r="Q5" i="3"/>
  <c r="Q11" i="3"/>
  <c r="H8" i="8"/>
  <c r="H13" i="8"/>
  <c r="G13" i="8"/>
  <c r="N75" i="3"/>
  <c r="N52" i="3"/>
  <c r="N5" i="3"/>
  <c r="N11" i="3"/>
  <c r="R38" i="6"/>
  <c r="S52" i="3"/>
  <c r="S5" i="3"/>
  <c r="S11" i="3"/>
  <c r="M5" i="3"/>
  <c r="R36" i="6"/>
  <c r="H63" i="3"/>
  <c r="H75" i="3"/>
  <c r="H52" i="3"/>
  <c r="I52" i="3"/>
  <c r="I5" i="3"/>
  <c r="J52" i="3"/>
  <c r="J5" i="3"/>
  <c r="J11" i="3"/>
  <c r="K11" i="3"/>
  <c r="R34" i="6"/>
  <c r="R9" i="6"/>
  <c r="R16" i="6"/>
  <c r="H5" i="3"/>
  <c r="H11" i="3"/>
  <c r="I11" i="3"/>
  <c r="M11" i="3"/>
</calcChain>
</file>

<file path=xl/comments1.xml><?xml version="1.0" encoding="utf-8"?>
<comments xmlns="http://schemas.openxmlformats.org/spreadsheetml/2006/main">
  <authors>
    <author>Coordonnatrice UPMP</author>
  </authors>
  <commentList>
    <comment ref="L16" authorId="0">
      <text>
        <r>
          <rPr>
            <b/>
            <sz val="9"/>
            <color indexed="81"/>
            <rFont val="Tahoma"/>
            <family val="2"/>
          </rPr>
          <t>Coordonnatrice UPMP:</t>
        </r>
        <r>
          <rPr>
            <sz val="9"/>
            <color indexed="81"/>
            <rFont val="Tahoma"/>
            <family val="2"/>
          </rPr>
          <t xml:space="preserve">
En attente de l’exécution du contrat de mise en place et formation des CGBV</t>
        </r>
      </text>
    </comment>
  </commentList>
</comments>
</file>

<file path=xl/sharedStrings.xml><?xml version="1.0" encoding="utf-8"?>
<sst xmlns="http://schemas.openxmlformats.org/spreadsheetml/2006/main" count="1147" uniqueCount="590">
  <si>
    <t>Unité</t>
  </si>
  <si>
    <t>TOTAL</t>
  </si>
  <si>
    <t>Date de préparation</t>
  </si>
  <si>
    <t>Composante</t>
  </si>
  <si>
    <t>Statut</t>
  </si>
  <si>
    <t>Biens et services connexes</t>
  </si>
  <si>
    <t>CP</t>
  </si>
  <si>
    <t>Travaux</t>
  </si>
  <si>
    <t>Produit</t>
  </si>
  <si>
    <t>Audits</t>
  </si>
  <si>
    <t>Plan d'indicateur</t>
  </si>
  <si>
    <t>Impacts</t>
  </si>
  <si>
    <t>Indicateurs</t>
  </si>
  <si>
    <t>LdB</t>
  </si>
  <si>
    <t>Fin de projet</t>
  </si>
  <si>
    <t>Résultats</t>
  </si>
  <si>
    <t>#</t>
  </si>
  <si>
    <t>Total</t>
  </si>
  <si>
    <t>Imprévus</t>
  </si>
  <si>
    <t>Annee LDB</t>
  </si>
  <si>
    <t>Composante 1</t>
  </si>
  <si>
    <t>Composante 2</t>
  </si>
  <si>
    <t>Produit 1</t>
  </si>
  <si>
    <t>Produit 2</t>
  </si>
  <si>
    <t>Produit 3</t>
  </si>
  <si>
    <t>Produit 4</t>
  </si>
  <si>
    <t>Produit 5</t>
  </si>
  <si>
    <t>Produit 6</t>
  </si>
  <si>
    <t>Produit 7</t>
  </si>
  <si>
    <t>Produit 8</t>
  </si>
  <si>
    <t>Produit 9</t>
  </si>
  <si>
    <t>Produit 10</t>
  </si>
  <si>
    <t>Produit 11</t>
  </si>
  <si>
    <t>Produit 12</t>
  </si>
  <si>
    <t>Produit 13</t>
  </si>
  <si>
    <t>Commentaires</t>
  </si>
  <si>
    <t>Etude</t>
  </si>
  <si>
    <t>Gestion</t>
  </si>
  <si>
    <t>Evaluation</t>
  </si>
  <si>
    <t>Numéro et nom du programme</t>
  </si>
  <si>
    <t>PLAN DE PASSATION DES MARCHES</t>
  </si>
  <si>
    <t>Composante du projet</t>
  </si>
  <si>
    <t>Description du marché</t>
  </si>
  <si>
    <t>Méthode de Passation de Marché  (1)</t>
  </si>
  <si>
    <t>Révision (Ex-ante ou ex-post)</t>
  </si>
  <si>
    <t>Statut: En attente, en cours, adjugé, annulé, clôturé (3)</t>
  </si>
  <si>
    <t>BID (%)</t>
  </si>
  <si>
    <t>Publication d'avis spécifique (Biens et Travaux) / Invitation (Liste restreinte)</t>
  </si>
  <si>
    <t>Ex-ante</t>
  </si>
  <si>
    <t>En attente</t>
  </si>
  <si>
    <t>Services autre que consultations</t>
  </si>
  <si>
    <t>Bureaux de services-conseils</t>
  </si>
  <si>
    <t>Services de consultants individuels</t>
  </si>
  <si>
    <t>Dépenses Opérationnelles</t>
  </si>
  <si>
    <t>Agences d'exécution</t>
  </si>
  <si>
    <t>No Marché</t>
  </si>
  <si>
    <t>IMPREVUS</t>
  </si>
  <si>
    <t>AOI</t>
  </si>
  <si>
    <t>Grande Riviere du Nord</t>
  </si>
  <si>
    <t>Artibonite</t>
  </si>
  <si>
    <t>Cavaillon</t>
  </si>
  <si>
    <t>Ravines du Sud</t>
  </si>
  <si>
    <t>Infrastructures de protection de bassins versants - Aval</t>
  </si>
  <si>
    <t>Infrastructures de protection de bassins versants - Amont</t>
  </si>
  <si>
    <t>Composante 3</t>
  </si>
  <si>
    <t>Faculté d'Agronomie et Médecine Vétérinaire construite et équipée</t>
  </si>
  <si>
    <t>St-Michel - St Raphaël</t>
  </si>
  <si>
    <t>Programme de recherche agricole/resilience CC/dynamique BV mis en oeuvre</t>
  </si>
  <si>
    <t>CGBV</t>
  </si>
  <si>
    <t>Faculte</t>
  </si>
  <si>
    <t>CIF</t>
  </si>
  <si>
    <t>BID</t>
  </si>
  <si>
    <t>Résilience agriculture CC -St-Michel - St Raphaël</t>
  </si>
  <si>
    <t>Dynamique BV et résilience CC- Sud (Cariwatnet)</t>
  </si>
  <si>
    <t>GOV</t>
  </si>
  <si>
    <t>Modèles d'analyses de risques climatiques développés</t>
  </si>
  <si>
    <t>Système  d'information sur les risques climatiques en agriculture développé</t>
  </si>
  <si>
    <t>Programme de formation en gestion de risques climatiques dans l'agriculture développé</t>
  </si>
  <si>
    <t>Formation conduite sur l’évaluation des pertes et dommages dus aux désastres naturels dans l'agriculture</t>
  </si>
  <si>
    <t>Comités départementaux et locaux formés et équipés</t>
  </si>
  <si>
    <t>Système de suivi/observation des crues installé</t>
  </si>
  <si>
    <t>Système de communication installé</t>
  </si>
  <si>
    <t>Acul Dubreuil</t>
  </si>
  <si>
    <t>Comités de Gestion de Bassins Versants (CGBV) renforces</t>
  </si>
  <si>
    <t>Produit 14</t>
  </si>
  <si>
    <t>Produit 15</t>
  </si>
  <si>
    <t>Produit 16</t>
  </si>
  <si>
    <t>Produit 17</t>
  </si>
  <si>
    <t>Bailleurs</t>
  </si>
  <si>
    <t>SFQC</t>
  </si>
  <si>
    <t>Essence</t>
  </si>
  <si>
    <t>QCII</t>
  </si>
  <si>
    <t>Produits</t>
  </si>
  <si>
    <t>Activités</t>
  </si>
  <si>
    <t>Responsable</t>
  </si>
  <si>
    <t>Total (durée projet)</t>
  </si>
  <si>
    <t>USD</t>
  </si>
  <si>
    <t>Audit</t>
  </si>
  <si>
    <t>Lancement activite</t>
  </si>
  <si>
    <t>Plan national de contingence dans le secteur agricole en cas d'evenement climatique extreme élaboré  et diffusé</t>
  </si>
  <si>
    <t>Cout unitaire</t>
  </si>
  <si>
    <t>Seuils en pierres seches (SPS)</t>
  </si>
  <si>
    <t>Financier</t>
  </si>
  <si>
    <t>QCNI</t>
  </si>
  <si>
    <t>Conception - Supervision</t>
  </si>
  <si>
    <t>Total Amont</t>
  </si>
  <si>
    <t>Total Aval</t>
  </si>
  <si>
    <t>Contrat ONG</t>
  </si>
  <si>
    <t>Technicien alerte précoce</t>
  </si>
  <si>
    <t>Comptable</t>
  </si>
  <si>
    <t>Assitance technique</t>
  </si>
  <si>
    <t>Frais fonctionnement/déplacement</t>
  </si>
  <si>
    <t>Renforcement capacités</t>
  </si>
  <si>
    <t>FAMV</t>
  </si>
  <si>
    <t>Réduction risques climatiques</t>
  </si>
  <si>
    <t>MARNDR</t>
  </si>
  <si>
    <t>DPC</t>
  </si>
  <si>
    <t>Compensation etudiants residents deplaces</t>
  </si>
  <si>
    <t>Autobus</t>
  </si>
  <si>
    <t>(in US$)</t>
  </si>
  <si>
    <t>Schedule</t>
  </si>
  <si>
    <t>Cost</t>
  </si>
  <si>
    <t>Baseline surveys</t>
  </si>
  <si>
    <t>Mid 2016</t>
  </si>
  <si>
    <t>Baseline report and supervision of data collection</t>
  </si>
  <si>
    <t>Mid term evaluation</t>
  </si>
  <si>
    <t>End 2018</t>
  </si>
  <si>
    <t>Follow up surveys #1</t>
  </si>
  <si>
    <t>Mid 2018</t>
  </si>
  <si>
    <t>Follow up report #1  and supervision of data collection</t>
  </si>
  <si>
    <t>Practical drill of community EWS</t>
  </si>
  <si>
    <t>End 2019</t>
  </si>
  <si>
    <t>Follow up surveys #2</t>
  </si>
  <si>
    <t>Mid 2020</t>
  </si>
  <si>
    <t>Follow up report #2 and supervision of data collection</t>
  </si>
  <si>
    <t>Update iGOPP</t>
  </si>
  <si>
    <t>End 2020</t>
  </si>
  <si>
    <t>Final Evaluation</t>
  </si>
  <si>
    <t>Follow up surveys dowstream watersheds (using AECOM and ARTELIA methodologies)</t>
  </si>
  <si>
    <t>Evaluation - Detailed budget</t>
  </si>
  <si>
    <t>Vehicles 4x4</t>
  </si>
  <si>
    <t>Motos</t>
  </si>
  <si>
    <t>Coordonnateur</t>
  </si>
  <si>
    <t>Coordonnateur adjoint</t>
  </si>
  <si>
    <t>Administrateur</t>
  </si>
  <si>
    <t>Assistant comptable</t>
  </si>
  <si>
    <t>Assistant administrateur</t>
  </si>
  <si>
    <t>Assistante Direction</t>
  </si>
  <si>
    <t>Passation de marchés</t>
  </si>
  <si>
    <t>Assistant passation de marchés</t>
  </si>
  <si>
    <t>Ingenieur rural 1</t>
  </si>
  <si>
    <t>Ingenieur rural 2</t>
  </si>
  <si>
    <t>Specialiste ressources naturelles 1</t>
  </si>
  <si>
    <t>Specialiste ressources naturelles 2</t>
  </si>
  <si>
    <t>Techniciens</t>
  </si>
  <si>
    <t>Techniciens suivi evaluation</t>
  </si>
  <si>
    <t>Quantité</t>
  </si>
  <si>
    <t>Personnel</t>
  </si>
  <si>
    <t>Frais de deplacements</t>
  </si>
  <si>
    <t>Autres frais</t>
  </si>
  <si>
    <t>Recrutement entité</t>
  </si>
  <si>
    <t>Aout 17</t>
  </si>
  <si>
    <t>Mai 17</t>
  </si>
  <si>
    <t>Juin 17</t>
  </si>
  <si>
    <t>Recrutement consultant (meme que produit 1)</t>
  </si>
  <si>
    <t>Lancement activités</t>
  </si>
  <si>
    <t>Résilience au CC St Michel / St Raphael</t>
  </si>
  <si>
    <t>Recherche et suivi hydrologique - Cavaillon</t>
  </si>
  <si>
    <t>Démarrage travaux</t>
  </si>
  <si>
    <t>Elaboration plan d'action et compensation pour étudiants déplacés</t>
  </si>
  <si>
    <t>Compensations aux étudiants</t>
  </si>
  <si>
    <t>Elaborer liste des équipements, matériel de laboratoire</t>
  </si>
  <si>
    <t>Compensation</t>
  </si>
  <si>
    <t>Equipements</t>
  </si>
  <si>
    <t>Recrutement assistance technique</t>
  </si>
  <si>
    <t>Recrutement ONG</t>
  </si>
  <si>
    <t>Appui DPC</t>
  </si>
  <si>
    <t>Signer Protocole MARNDR-DPC</t>
  </si>
  <si>
    <t>modeles</t>
  </si>
  <si>
    <t>systeme</t>
  </si>
  <si>
    <t>programme</t>
  </si>
  <si>
    <t>formation</t>
  </si>
  <si>
    <t>plan</t>
  </si>
  <si>
    <t>ouvrage</t>
  </si>
  <si>
    <t>P</t>
  </si>
  <si>
    <t>C</t>
  </si>
  <si>
    <t>Travaux FAMV</t>
  </si>
  <si>
    <t>Supervision travaux FAMV</t>
  </si>
  <si>
    <t>Assistance maitrise d'ouvrage construction FAMV</t>
  </si>
  <si>
    <t>Siphon Villard</t>
  </si>
  <si>
    <t>Moreau</t>
  </si>
  <si>
    <t>Carrefour Laville</t>
  </si>
  <si>
    <t>Total execution</t>
  </si>
  <si>
    <t>Supervision</t>
  </si>
  <si>
    <t>Execution</t>
  </si>
  <si>
    <t>total</t>
  </si>
  <si>
    <t>AON</t>
  </si>
  <si>
    <t>SCBD</t>
  </si>
  <si>
    <t>Supervision UCLBP</t>
  </si>
  <si>
    <t>Mobilisation appui UCLBP</t>
  </si>
  <si>
    <t>carburant et consommables pour bureaux</t>
  </si>
  <si>
    <t>Ingénieur 3 Nord / Sud</t>
  </si>
  <si>
    <t xml:space="preserve">Responsable composante </t>
  </si>
  <si>
    <t>Agent de liaison</t>
  </si>
  <si>
    <t>Ingenieurs-agronmes (service civique)</t>
  </si>
  <si>
    <t>Cadre d'appui à la passation Marchés</t>
  </si>
  <si>
    <t>Logisticien</t>
  </si>
  <si>
    <t>Chauffeur</t>
  </si>
  <si>
    <t>Manutentionniste</t>
  </si>
  <si>
    <t>Chargés de suivi</t>
  </si>
  <si>
    <t>Responsable Depot Nord/Sud</t>
  </si>
  <si>
    <t>Secrétaire comptable Nord/Sud</t>
  </si>
  <si>
    <t>Chauffeur Nord/Sud</t>
  </si>
  <si>
    <t>Achats equipements CGBV</t>
  </si>
  <si>
    <t>Carburant et consommables Nord</t>
  </si>
  <si>
    <t>Carburant et consommables Sud</t>
  </si>
  <si>
    <t>Gardien Nord/Sud</t>
  </si>
  <si>
    <t>Responsable cellule amenagement ravines</t>
  </si>
  <si>
    <t>Responsable Liaison PMDM-PTTA</t>
  </si>
  <si>
    <t>Activité</t>
  </si>
  <si>
    <t>Coût (devise/monnaie)</t>
  </si>
  <si>
    <t>Source de financement</t>
  </si>
  <si>
    <t>Suivi quotidien du projet</t>
  </si>
  <si>
    <t>Budget du Projet</t>
  </si>
  <si>
    <t>Collecte des données pour la ligne de base (417 enquêtes)</t>
  </si>
  <si>
    <t>Firme d’enquête</t>
  </si>
  <si>
    <t xml:space="preserve">HA-L1097 Budget du projet </t>
  </si>
  <si>
    <t>Supervision de la collecte des données et rapport de ligne de base</t>
  </si>
  <si>
    <t>Consultant; BID; MARNDR</t>
  </si>
  <si>
    <t>Evaluation à mi-parcours</t>
  </si>
  <si>
    <t>Collecte de données pour la première enquête de suivi (417 enquêtes)</t>
  </si>
  <si>
    <t>Supervision de la collecte des données et rapport de la première enquête de suivi</t>
  </si>
  <si>
    <t>Test pratique du système d’alerte précoce</t>
  </si>
  <si>
    <t>Budget du Projet (catégorie suivi-évaluation)</t>
  </si>
  <si>
    <t>Collecte de données pour la deuxième enquête de suivi (417 enquêtes)</t>
  </si>
  <si>
    <t>Supervision de la collecte des données et rapport final d’évaluation d’impact</t>
  </si>
  <si>
    <t>Enquêtes de suivi par panel pour estimer le niveau des pertes économiques en aval des bassins versants après l’intervention (en utilisant les échantillons Artelia et AECOM ; 1,500 enquêtes en tout)</t>
  </si>
  <si>
    <t>Mise à jour en fin de projet de l’iGOPP</t>
  </si>
  <si>
    <t>Evaluation finale</t>
  </si>
  <si>
    <t>Conduite enquetes ligne de base</t>
  </si>
  <si>
    <t>Supervision enquetes ligne de base</t>
  </si>
  <si>
    <t>Infrastructures de protection de bassins versants - Amont (St Raphael / St Michel)</t>
  </si>
  <si>
    <t>Responsable composante Infrastructures  de protection</t>
  </si>
  <si>
    <t>Missions</t>
  </si>
  <si>
    <t>Composante 2 et Gestion</t>
  </si>
  <si>
    <t>Ingénieur 1 (Guerdy)</t>
  </si>
  <si>
    <t>Agent d'achat</t>
  </si>
  <si>
    <t>Secrétaire comptable</t>
  </si>
  <si>
    <t>Ing Informaticien</t>
  </si>
  <si>
    <t>Assistante administrative</t>
  </si>
  <si>
    <t>Menagere</t>
  </si>
  <si>
    <t>Fournitures</t>
  </si>
  <si>
    <t>Montant Estimatif</t>
  </si>
  <si>
    <t>Coȗt Estimatif</t>
  </si>
  <si>
    <t>Contrepartie (%)</t>
  </si>
  <si>
    <t>Date de signature du contrat</t>
  </si>
  <si>
    <t>Mars 2017</t>
  </si>
  <si>
    <t>Juillet 2017</t>
  </si>
  <si>
    <t>Autobus 50 places pour la FAMV</t>
  </si>
  <si>
    <t>Octobre 2017</t>
  </si>
  <si>
    <t>Février 2017</t>
  </si>
  <si>
    <t>Equipements comité de gestion de bassins versants (mobilier)</t>
  </si>
  <si>
    <t>Janvier 2017</t>
  </si>
  <si>
    <t>Avril 2017</t>
  </si>
  <si>
    <t>Juin 2017</t>
  </si>
  <si>
    <t>Novembre  2017</t>
  </si>
  <si>
    <t>Travaux de construction de la Faculté Agronomie et Médecine Vétérinaire (FAMV)</t>
  </si>
  <si>
    <t>Décembre 2016</t>
  </si>
  <si>
    <t>Mai 2017</t>
  </si>
  <si>
    <t>Novembre 2016</t>
  </si>
  <si>
    <t>Développement programme de recherche résilience agriculture au changement climatique St Michel &amp; St Raphael</t>
  </si>
  <si>
    <t>Décembre 2017</t>
  </si>
  <si>
    <t>Prestataire de services Développement de systèmes d'alerte precoce (SAP) inondations communautaires</t>
  </si>
  <si>
    <t>Septembre 2017</t>
  </si>
  <si>
    <t>Assistance technique Elaboration modèles risques climatiques dans les BV + Système information risques climatiques + formation risques climatiques</t>
  </si>
  <si>
    <t>Novembre 2017</t>
  </si>
  <si>
    <t>Supervision travaux Faculté Agronomie et Médecine Véterinaire</t>
  </si>
  <si>
    <t>Etude conception ouvrages protection de berges Artibonite (Carrefour Laville et Moreau)</t>
  </si>
  <si>
    <t>Juillet 2016</t>
  </si>
  <si>
    <t>En cours</t>
  </si>
  <si>
    <t>Janvier 2018</t>
  </si>
  <si>
    <t>Audit administratif et financier</t>
  </si>
  <si>
    <t>Formation sur évaluation pertes et dommages &amp; élaboration plan de contingence en cas de désastres dans le secteur agricole</t>
  </si>
  <si>
    <t>QCIN</t>
  </si>
  <si>
    <t>Consultant supervision enquêtes ménages</t>
  </si>
  <si>
    <t>Contrats comprenant trois (3) phases (ligne de base, 1er suivi et 2eme suivi)</t>
  </si>
  <si>
    <t>Consultant appui développement SAP</t>
  </si>
  <si>
    <t>Ministère de l'Agriculture, des Ressources Naturelles et du Développement Rural (MARNDR)</t>
  </si>
  <si>
    <t>HA-L1097, Programme de Mitigation des Désastres Naturels 2 (PMDN 2)</t>
  </si>
  <si>
    <t>Agriculteurs ayant recu une compensation pour les pertes dues au cyclone Matthew</t>
  </si>
  <si>
    <t>Agriculteur</t>
  </si>
  <si>
    <t>Périmètre irrigué nettoyé après le passage de Matthew</t>
  </si>
  <si>
    <t>.</t>
  </si>
  <si>
    <t>Etude de faisabilite</t>
  </si>
  <si>
    <t>Focntionnment</t>
  </si>
  <si>
    <t>6</t>
  </si>
  <si>
    <t>72</t>
  </si>
  <si>
    <t>Budget</t>
  </si>
  <si>
    <t>Solde</t>
  </si>
  <si>
    <t>Solde Mo,Si et Ca</t>
  </si>
  <si>
    <t>Fonctionnement</t>
  </si>
  <si>
    <t>Faisabilite (EtuExec)</t>
  </si>
  <si>
    <t xml:space="preserve">Coordonnateur chantier  BCA </t>
  </si>
  <si>
    <t>Coordonnateur chantier Nord / Sud  (Nico et Silas)</t>
  </si>
  <si>
    <t>ha</t>
  </si>
  <si>
    <t xml:space="preserve">Acquisition vehicule </t>
  </si>
  <si>
    <t>Perimietre Dubreuil nettoye/anaux cures</t>
  </si>
  <si>
    <t>Location et equipement de residence et de bureau</t>
  </si>
  <si>
    <t>Infrastructures de protection de bassins versants - Amont (Nord, Sud  et Plateau Central)</t>
  </si>
  <si>
    <t>MARNDR (Responsables du suivi et stagiaires)</t>
  </si>
  <si>
    <t>Budget du Projet (catégorie M&amp;E) ?</t>
  </si>
  <si>
    <t>Budget du Projet (catégorie M&amp;E)?</t>
  </si>
  <si>
    <t>Impression et publication de document technique</t>
  </si>
  <si>
    <t>Programme de Mitigation des Désastres Naturels ( PMDN II)</t>
  </si>
  <si>
    <t>Recrutement consultant</t>
  </si>
  <si>
    <t>Janv 17</t>
  </si>
  <si>
    <t>Fev 17</t>
  </si>
  <si>
    <t>Avr 17</t>
  </si>
  <si>
    <t>Juil 17</t>
  </si>
  <si>
    <t>Sept 17</t>
  </si>
  <si>
    <t>Oct 17</t>
  </si>
  <si>
    <t>Nov 17</t>
  </si>
  <si>
    <t>Dec 17</t>
  </si>
  <si>
    <t>Mar 17</t>
  </si>
  <si>
    <t>Ingénieur  BCA (Gregory)</t>
  </si>
  <si>
    <t>Ingénieur Nord et Sud</t>
  </si>
  <si>
    <t>Programme de formation en gestion de risques climatiques dans l'agriculture développé et mis en oeuvre</t>
  </si>
  <si>
    <t>Programme de recherche&amp;formation agricole/resilience CC/dynamique BV mis en oeuvre</t>
  </si>
  <si>
    <t>Systèmes communautaires d'alerte précoce aux inondations développés</t>
  </si>
  <si>
    <t>Logisticien Nord/Sud/BCA</t>
  </si>
  <si>
    <t>Période couverte par le Plan de Passation de Marchés :  Octobre 2016- Décembre 2017</t>
  </si>
  <si>
    <t>AOIR</t>
  </si>
  <si>
    <t>Aoȗt 2017</t>
  </si>
  <si>
    <t>Les 2 canters seront achetés si le lancement de certaints lot des travaux en amont n'est pas concluant</t>
  </si>
  <si>
    <t>Août 2017</t>
  </si>
  <si>
    <t>Travaux de construction d'ouvrages de protection de berges Artibonite (Site Siphon Villard)</t>
  </si>
  <si>
    <t>Juin  2017</t>
  </si>
  <si>
    <t>Travaux de construction ouvrages de protection de bassins versants amont et aval  (4 lots: St Michel, St Raphael, Nord, Sud) (microretenues, seuils en gabion, seuils en pierre sèche)</t>
  </si>
  <si>
    <t>Consolidation des berges à Bas la Crete</t>
  </si>
  <si>
    <t>Deux programmes de recherche  - accords avec des centres de recherche et/ou universités</t>
  </si>
  <si>
    <t>Liste restreinte d'ONG</t>
  </si>
  <si>
    <t>Supervision travaux protection berges Artibonite de Siphon Villard</t>
  </si>
  <si>
    <t>Création et renforcement des comités de gestion de bassins-versants</t>
  </si>
  <si>
    <t>SFQ</t>
  </si>
  <si>
    <t>Spécialiste en passation de marchés</t>
  </si>
  <si>
    <t>Assitance technique DPC</t>
  </si>
  <si>
    <t>Responsable changement climatique (gestionnaire de recherche)</t>
  </si>
  <si>
    <t xml:space="preserve">(1) BID: Banque Interamericaine de Développement </t>
  </si>
  <si>
    <t>Date de révision: février 2017</t>
  </si>
  <si>
    <t>Cinq véhicules pick-up et un véhicule fermé</t>
  </si>
  <si>
    <t>Clause 2.8 - GN-2350-9</t>
  </si>
  <si>
    <t>QC</t>
  </si>
  <si>
    <t>Supervision des travaux de construction d'ouvrages amont et aval (St Michel, Nord, Sud) (Micro retenues, seuils en gabion et en pierres sèches)</t>
  </si>
  <si>
    <t>Technicien alerte précoce DPC</t>
  </si>
  <si>
    <t>PC</t>
  </si>
  <si>
    <t>Etude sur les forêts énergétiques</t>
  </si>
  <si>
    <t>Recrutement d'un consultant pour la supervision des travaux de consolidation à Bas la Crête</t>
  </si>
  <si>
    <t>3 CV</t>
  </si>
  <si>
    <t>Personnel contractuel</t>
  </si>
  <si>
    <t>N/A</t>
  </si>
  <si>
    <t>Adjugé</t>
  </si>
  <si>
    <t>Compensation etudiants deplaces</t>
  </si>
  <si>
    <r>
      <t>Recrutement chefs équipes et controleurs, contre-maitre maçon pour le contr</t>
    </r>
    <r>
      <rPr>
        <sz val="11"/>
        <color rgb="FF000000"/>
        <rFont val="Calibri"/>
        <family val="2"/>
      </rPr>
      <t>ô</t>
    </r>
    <r>
      <rPr>
        <sz val="11"/>
        <color rgb="FF000000"/>
        <rFont val="Times New Roman"/>
        <family val="1"/>
      </rPr>
      <t>le des travaux d'irrigation de Torbeck et Acul Dubreuil</t>
    </r>
  </si>
  <si>
    <r>
      <t>(2)</t>
    </r>
    <r>
      <rPr>
        <sz val="11"/>
        <color rgb="FF000000"/>
        <rFont val="Times New Roman"/>
        <family val="1"/>
      </rPr>
      <t xml:space="preserve"> AOI: Appel d'Offres International, AON: Appel d'Offres National,  RA: Regie Assistee, CP: Cotation de Prix, SFQC: Selection Fondee sur la Qualite et le Cout, ED: Entente Directe,  QCIN: Qualification Consultant Individuel National, QCII: Qualification Consultant Individuel International. FAMV: Faculte d'Agronomie et de Medecine Veterinaire, PC: Paticipation communautaire</t>
    </r>
  </si>
  <si>
    <r>
      <t>(3) Statut</t>
    </r>
    <r>
      <rPr>
        <sz val="11"/>
        <color rgb="FF000000"/>
        <rFont val="Times New Roman"/>
        <family val="1"/>
      </rPr>
      <t xml:space="preserve">: </t>
    </r>
    <r>
      <rPr>
        <b/>
        <sz val="11"/>
        <color rgb="FF000000"/>
        <rFont val="Times New Roman"/>
        <family val="1"/>
      </rPr>
      <t>En attente</t>
    </r>
    <r>
      <rPr>
        <sz val="11"/>
        <color rgb="FF000000"/>
        <rFont val="Times New Roman"/>
        <family val="1"/>
      </rPr>
      <t xml:space="preserve"> - Processus pas encore commencé ; </t>
    </r>
    <r>
      <rPr>
        <b/>
        <sz val="11"/>
        <color rgb="FF000000"/>
        <rFont val="Times New Roman"/>
        <family val="1"/>
      </rPr>
      <t>En cours</t>
    </r>
    <r>
      <rPr>
        <sz val="11"/>
        <color rgb="FF000000"/>
        <rFont val="Times New Roman"/>
        <family val="1"/>
      </rPr>
      <t xml:space="preserve"> - Processus de passation des marchés en cours ; </t>
    </r>
    <r>
      <rPr>
        <b/>
        <sz val="11"/>
        <color rgb="FF000000"/>
        <rFont val="Times New Roman"/>
        <family val="1"/>
      </rPr>
      <t xml:space="preserve">Adjugé </t>
    </r>
    <r>
      <rPr>
        <sz val="11"/>
        <color rgb="FF000000"/>
        <rFont val="Times New Roman"/>
        <family val="1"/>
      </rPr>
      <t>non-objection de la Banque obtenue pour, l'adjudication ;</t>
    </r>
    <r>
      <rPr>
        <b/>
        <sz val="11"/>
        <color rgb="FF000000"/>
        <rFont val="Times New Roman"/>
        <family val="1"/>
      </rPr>
      <t xml:space="preserve"> Annulé</t>
    </r>
    <r>
      <rPr>
        <sz val="11"/>
        <color rgb="FF000000"/>
        <rFont val="Times New Roman"/>
        <family val="1"/>
      </rPr>
      <t xml:space="preserve"> - Processus annulé ; </t>
    </r>
    <r>
      <rPr>
        <b/>
        <sz val="11"/>
        <color rgb="FF000000"/>
        <rFont val="Times New Roman"/>
        <family val="1"/>
      </rPr>
      <t>Clôturé</t>
    </r>
    <r>
      <rPr>
        <sz val="11"/>
        <color rgb="FF000000"/>
        <rFont val="Times New Roman"/>
        <family val="1"/>
      </rPr>
      <t xml:space="preserve"> - Contrat dûment exécuté - dernier paiement exécuté, PC: participation communautaire</t>
    </r>
  </si>
  <si>
    <t>Ex-post</t>
  </si>
  <si>
    <t>CIF (%)</t>
  </si>
  <si>
    <t>Total (PMDN)</t>
  </si>
  <si>
    <t>Plateau Central (PROGEBA)</t>
  </si>
  <si>
    <t>Quantite totale PMDN (Nord, Sud et BCA)</t>
  </si>
  <si>
    <t>Cout unitaire PMDN (US$ )</t>
  </si>
  <si>
    <t>Micro-retenues (MR)</t>
  </si>
  <si>
    <t>Gabions (SG)</t>
  </si>
  <si>
    <t>Pierres seches (SPS)</t>
  </si>
  <si>
    <t xml:space="preserve">Communautaire+supervision externe </t>
  </si>
  <si>
    <t>Procedures:</t>
  </si>
  <si>
    <t xml:space="preserve"> </t>
  </si>
  <si>
    <t>Bio</t>
  </si>
  <si>
    <t>SPS</t>
  </si>
  <si>
    <t>sg simples</t>
  </si>
  <si>
    <t>microret Sf</t>
  </si>
  <si>
    <t>Nord</t>
  </si>
  <si>
    <t>SS</t>
  </si>
  <si>
    <t>Sud</t>
  </si>
  <si>
    <t>Nombre</t>
  </si>
  <si>
    <t>Cout (HTG)</t>
  </si>
  <si>
    <t>Rurbiques</t>
  </si>
  <si>
    <t>Nbre</t>
  </si>
  <si>
    <t>Etude de faisabilité de l'irrigation Nord, NE et Artibonite</t>
  </si>
  <si>
    <t xml:space="preserve">  </t>
  </si>
  <si>
    <t>Total BID</t>
  </si>
  <si>
    <t>Total SCX</t>
  </si>
  <si>
    <t>Collecte de données pour l'enquête de suivi (417 enquêtes)</t>
  </si>
  <si>
    <t xml:space="preserve">Supervision de la collecte des données </t>
  </si>
  <si>
    <t>Lancement travaux (Participation communauaire)</t>
  </si>
  <si>
    <t xml:space="preserve"> Supervision Siphon</t>
  </si>
  <si>
    <t>Equipements pour comité de gestion de bassins versants (mobilier)</t>
  </si>
  <si>
    <t>Décembre 2018</t>
  </si>
  <si>
    <t>composante 2</t>
  </si>
  <si>
    <t>Mai 2019</t>
  </si>
  <si>
    <r>
      <t>Supervision</t>
    </r>
    <r>
      <rPr>
        <sz val="10"/>
        <color rgb="FF000000"/>
        <rFont val="Calibri"/>
        <family val="2"/>
      </rPr>
      <t xml:space="preserve"> PC</t>
    </r>
  </si>
  <si>
    <t>Suivi-Evaluation</t>
  </si>
  <si>
    <t xml:space="preserve">Projet de recherche à Cavaillon </t>
  </si>
  <si>
    <t>Projet de recherche à Trois Collines, Commune des Cayes</t>
  </si>
  <si>
    <t>Projet de recherche sur le vetiver</t>
  </si>
  <si>
    <t>Lancement du marché</t>
  </si>
  <si>
    <t>Elaboration du curriculum</t>
  </si>
  <si>
    <t>Sollicitation de NO aux TDRs de l'assistant technique</t>
  </si>
  <si>
    <t xml:space="preserve">Redaction TDRs de la mise en place du système d'alerte précoce </t>
  </si>
  <si>
    <t>Sollicitation de NO au dossier de traitement de ravines</t>
  </si>
  <si>
    <t>Sollicitation de NO au dossier de supervision ds travaux de traitement de ravines</t>
  </si>
  <si>
    <t>Exécution Arcahaie</t>
  </si>
  <si>
    <t>Supervision Arcahaie</t>
  </si>
  <si>
    <t>Exécution Laval, Communes des Cayes</t>
  </si>
  <si>
    <t xml:space="preserve"> Exécution Siphon Villard, Commune de Saint-Marc</t>
  </si>
  <si>
    <t>Exécution Carrefour Laville, Commmune de Petite Rivière de l'Artibonite</t>
  </si>
  <si>
    <t>Supervision Carrefour Laville, Commmune de Petite Rivière de l'Artibonite</t>
  </si>
  <si>
    <t>Supervision Laval, Communes des Cayes</t>
  </si>
  <si>
    <t>Identification de sites additionnels de construction d'ouvrages dans les ravines Nord</t>
  </si>
  <si>
    <t>Identification de sites additionnels de construction d'ouvrages dans les ravines Sud</t>
  </si>
  <si>
    <r>
      <t>Supervision</t>
    </r>
    <r>
      <rPr>
        <sz val="10"/>
        <color rgb="FF000000"/>
        <rFont val="Calibri"/>
        <family val="2"/>
      </rPr>
      <t xml:space="preserve"> PC Nord</t>
    </r>
  </si>
  <si>
    <t>Travaux Sud (Participation communauaire)</t>
  </si>
  <si>
    <r>
      <t>Supervision</t>
    </r>
    <r>
      <rPr>
        <sz val="10"/>
        <color rgb="FF000000"/>
        <rFont val="Calibri"/>
        <family val="2"/>
      </rPr>
      <t xml:space="preserve"> PC Surd</t>
    </r>
  </si>
  <si>
    <t>Travaux Nord (Participation communauaire)</t>
  </si>
  <si>
    <t>Acquisition 4 excavatrices et 2 canters</t>
  </si>
  <si>
    <t>Menagères</t>
  </si>
  <si>
    <t>Messagère</t>
  </si>
  <si>
    <t>Etude résiliense au CC à Sant-Raphael (Paiement fixe)</t>
  </si>
  <si>
    <t>Etude résiliense au CC à Saint-Michel de l'Attalaye (Paiement fixe)</t>
  </si>
  <si>
    <t>Etude résiliense au CC à Sant-Raphael (Paiement variable)</t>
  </si>
  <si>
    <t>Etude résiliense au CC à Saint-Michel de l'Attalaye (Paiement variable)</t>
  </si>
  <si>
    <t xml:space="preserve">Mise en place du CGBV de la GRN et formation au benefice des CGBV de Cavaillon, Ravine du Sud et Grande Rivière du Nord  </t>
  </si>
  <si>
    <t>Etude Master de M. Absalon</t>
  </si>
  <si>
    <t>Etude masdter de M. Délicieux</t>
  </si>
  <si>
    <t>Etude masdter de M. Milord</t>
  </si>
  <si>
    <t>Autres formations</t>
  </si>
  <si>
    <t>Campagne de presse autour des activités du PMDN 2</t>
  </si>
  <si>
    <t>janvier 19</t>
  </si>
  <si>
    <t>février 19</t>
  </si>
  <si>
    <t>Mars 19</t>
  </si>
  <si>
    <t>Avril 19</t>
  </si>
  <si>
    <t>Mai 19</t>
  </si>
  <si>
    <t>Juin 19</t>
  </si>
  <si>
    <t>juillet 19</t>
  </si>
  <si>
    <t>Aout 19</t>
  </si>
  <si>
    <t>septembre 19</t>
  </si>
  <si>
    <t>Octobre 19</t>
  </si>
  <si>
    <t>Novembre 19</t>
  </si>
  <si>
    <t>décembre 19</t>
  </si>
  <si>
    <t>Total 2019</t>
  </si>
  <si>
    <t>Site</t>
  </si>
  <si>
    <t>Montant</t>
  </si>
  <si>
    <t>GRN</t>
  </si>
  <si>
    <t>Arniquet</t>
  </si>
  <si>
    <t>gb 3x1x1</t>
  </si>
  <si>
    <t>gb 3x1x0.5</t>
  </si>
  <si>
    <t xml:space="preserve">gb 2x1x1x </t>
  </si>
  <si>
    <t>gb 2x1x105</t>
  </si>
  <si>
    <t>Fil</t>
  </si>
  <si>
    <t>Géotextile</t>
  </si>
  <si>
    <t>gb 4x1x0.5</t>
  </si>
  <si>
    <t>Gabion 4x1x1</t>
  </si>
  <si>
    <t>Unités</t>
  </si>
  <si>
    <t>Tonne</t>
  </si>
  <si>
    <t>Metre carré</t>
  </si>
  <si>
    <t>Panier</t>
  </si>
  <si>
    <t>Quantié</t>
  </si>
  <si>
    <t>Sud (Maniche)</t>
  </si>
  <si>
    <t>GRN (Mombin Crochu)</t>
  </si>
  <si>
    <t>Cayes (Laval)</t>
  </si>
  <si>
    <t>Rivière Blanche Thomazeau)</t>
  </si>
  <si>
    <t>Massacre (Nord-est)</t>
  </si>
  <si>
    <t>Cout unitiaire (HTG)</t>
  </si>
  <si>
    <t>Cout total (HTG)</t>
  </si>
  <si>
    <t>Cout total (USD)</t>
  </si>
  <si>
    <t>Gabion (gb)  4x1x1</t>
  </si>
  <si>
    <t>Brunet (mur)</t>
  </si>
  <si>
    <t>Saint-Michel de l'Attalaye</t>
  </si>
  <si>
    <t>Lieu de livraision</t>
  </si>
  <si>
    <t>1.- 60 SG</t>
  </si>
  <si>
    <t>2.- 7 SG</t>
  </si>
  <si>
    <t>3.- 35 SG</t>
  </si>
  <si>
    <t>4.-</t>
  </si>
  <si>
    <t>5.-</t>
  </si>
  <si>
    <t>6.-</t>
  </si>
  <si>
    <t>Total 4+5+6</t>
  </si>
  <si>
    <t>Exécution Rivière Blanche, Commune de Thomazeau</t>
  </si>
  <si>
    <t xml:space="preserve">Supervision Rivière Blanche, Commune de Thomazeau </t>
  </si>
  <si>
    <t>Exécution Massacre, Departement NE</t>
  </si>
  <si>
    <t>Supervision Massacre, Departement NE</t>
  </si>
  <si>
    <t>Exécution Arniquet, Commune Arniquet</t>
  </si>
  <si>
    <t>Supervision Arniquet, Commune Arniquet</t>
  </si>
  <si>
    <r>
      <t>Janv 1</t>
    </r>
    <r>
      <rPr>
        <b/>
        <sz val="10"/>
        <rFont val="Calibri"/>
        <family val="2"/>
      </rPr>
      <t>9</t>
    </r>
  </si>
  <si>
    <r>
      <t>Fev 1</t>
    </r>
    <r>
      <rPr>
        <b/>
        <sz val="10"/>
        <rFont val="Calibri"/>
        <family val="2"/>
      </rPr>
      <t>9</t>
    </r>
  </si>
  <si>
    <r>
      <t>Mar 1</t>
    </r>
    <r>
      <rPr>
        <b/>
        <sz val="10"/>
        <rFont val="Calibri"/>
        <family val="2"/>
      </rPr>
      <t>9</t>
    </r>
  </si>
  <si>
    <r>
      <t>Avr 1</t>
    </r>
    <r>
      <rPr>
        <b/>
        <sz val="10"/>
        <rFont val="Calibri"/>
        <family val="2"/>
      </rPr>
      <t>9</t>
    </r>
  </si>
  <si>
    <r>
      <t>Mai 1</t>
    </r>
    <r>
      <rPr>
        <b/>
        <sz val="10"/>
        <rFont val="Calibri"/>
        <family val="2"/>
      </rPr>
      <t>9</t>
    </r>
  </si>
  <si>
    <r>
      <t>Juin 1</t>
    </r>
    <r>
      <rPr>
        <b/>
        <sz val="10"/>
        <rFont val="Calibri"/>
        <family val="2"/>
      </rPr>
      <t>9</t>
    </r>
  </si>
  <si>
    <r>
      <t>Juil 1</t>
    </r>
    <r>
      <rPr>
        <b/>
        <sz val="10"/>
        <rFont val="Calibri"/>
        <family val="2"/>
      </rPr>
      <t>9</t>
    </r>
  </si>
  <si>
    <r>
      <t>Aout 1</t>
    </r>
    <r>
      <rPr>
        <b/>
        <sz val="10"/>
        <rFont val="Calibri"/>
        <family val="2"/>
      </rPr>
      <t>9</t>
    </r>
  </si>
  <si>
    <t>Sept 19</t>
  </si>
  <si>
    <r>
      <t>Oct 1</t>
    </r>
    <r>
      <rPr>
        <b/>
        <sz val="10"/>
        <rFont val="Calibri"/>
        <family val="2"/>
      </rPr>
      <t>9</t>
    </r>
  </si>
  <si>
    <r>
      <t>Nov 1</t>
    </r>
    <r>
      <rPr>
        <b/>
        <sz val="10"/>
        <rFont val="Calibri"/>
        <family val="2"/>
      </rPr>
      <t>9</t>
    </r>
  </si>
  <si>
    <r>
      <t>Dec 1</t>
    </r>
    <r>
      <rPr>
        <b/>
        <sz val="10"/>
        <rFont val="Calibri"/>
        <family val="2"/>
      </rPr>
      <t>9</t>
    </r>
  </si>
  <si>
    <t>Appui à la Recheche (PITAG)</t>
  </si>
  <si>
    <t>Avril 2019</t>
  </si>
  <si>
    <t>Agricultueurs du Sud assistés</t>
  </si>
  <si>
    <t>3622/GR-HA --PLAN DE TRÉSORERIE 2019</t>
  </si>
  <si>
    <t>Agence d'Exécution</t>
  </si>
  <si>
    <t>Ministère de l'Agriculture des Ressources Natureles et du développement Rural (MARNDR)</t>
  </si>
  <si>
    <t>Unité d'Exécution</t>
  </si>
  <si>
    <t>Unité d'exécution du PMDN II</t>
  </si>
  <si>
    <t>HA-L1097 et HA-G1031 - Programme de Mitigation des Désastres Naturels II et Résilience de l’Agriculture au Changement Climatique dans la Boucle Centre Artibonite (PMDN II)</t>
  </si>
  <si>
    <t xml:space="preserve">Date de préparation </t>
  </si>
  <si>
    <t>décembre 2018</t>
  </si>
  <si>
    <t xml:space="preserve">Date de révision </t>
  </si>
  <si>
    <t>Période couverte par le PPM</t>
  </si>
  <si>
    <t>Numéro de référence du marché (1)</t>
  </si>
  <si>
    <t>Méthode de de passation de marché (2) 7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</si>
  <si>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</si>
  <si>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</si>
  <si>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</t>
  </si>
  <si>
    <t>MARNDR/PMDN II/B/AOI-04/18</t>
  </si>
  <si>
    <t xml:space="preserve">Acquisition de gabions et accessoires pour les travaux en Participation Communautaire (St-Michel de L'Attalaye, BV-Ravine du Sud, BV Cavaillon, BV- Grande Riviere du Nord (Ranquite), Cayes-Lavale, Riviere Blanche(Ganthier), Riviere massacre, Maniche(Sud)) </t>
  </si>
  <si>
    <t>MARNDR/PMDN II/B/CP-03/18</t>
  </si>
  <si>
    <t xml:space="preserve">Acquisition de gabions et accessoires pour les travaux en Participation Communautaire (Grande Riviere du Nord (Ranquite), Maniche (Sud)) </t>
  </si>
  <si>
    <t>2- Travaux</t>
  </si>
  <si>
    <t>MARNDR/PMDN II/T/PC-___/19</t>
  </si>
  <si>
    <t xml:space="preserve">Travaux de traitement des Bassins Versants amont  1) Boucle Centre- Artibonite (St Michel de l'Attalaye -BCA) - microretenues, seuils en gabion, seuils en pierre sèche et biologique, 2) Sud, Nord - microretenues, seuils en gabion: 3 lots (Ranquite,Cavaillon et Ravain du Sud) </t>
  </si>
  <si>
    <t>Janvier 2019</t>
  </si>
  <si>
    <t xml:space="preserve">En attente </t>
  </si>
  <si>
    <t xml:space="preserve">Travaux de correction de berges (Massacre, Arcahaie Courjolles, Laval et Rivière blanche), </t>
  </si>
  <si>
    <t>3- Services autre que consultations</t>
  </si>
  <si>
    <t>4- Bureaux de services-conseils</t>
  </si>
  <si>
    <t>Développement programmes de recherche résilience agriculture au changement climatique St-Michel</t>
  </si>
  <si>
    <t xml:space="preserve">En cours </t>
  </si>
  <si>
    <t>Elaboration d’un curriculum en gestion de risques climatiques en agriculture au bénéfice des Facultés d’Agronomie et des cadres haïtiens (relance)</t>
  </si>
  <si>
    <t>Février 2019</t>
  </si>
  <si>
    <t>Juillet 2019</t>
  </si>
  <si>
    <t xml:space="preserve">Conduite de l'évaluation d'impact </t>
  </si>
  <si>
    <t>Evaluation mi-parcours du PMDN II</t>
  </si>
  <si>
    <t>5- Services de consultants individuels</t>
  </si>
  <si>
    <t xml:space="preserve">Supervision Conduite de l'évaluation d'impact </t>
  </si>
  <si>
    <t>6- Dépenses Opérationnelles</t>
  </si>
  <si>
    <t>Personnel permanent du PMDN (2018-2019)</t>
  </si>
  <si>
    <t>TOTAL 1+2+3+4+5+6</t>
  </si>
  <si>
    <r>
      <rPr>
        <b/>
        <sz val="10.5"/>
        <rFont val="Times New Roman"/>
        <family val="1"/>
      </rPr>
      <t xml:space="preserve">(1) LE NUMERO DE REFERENCE </t>
    </r>
    <r>
      <rPr>
        <sz val="10.5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</si>
  <si>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0.5"/>
        <rFont val="Times New Roman"/>
        <family val="1"/>
      </rPr>
      <t>(3) ENTENTE DIRECTE</t>
    </r>
    <r>
      <rPr>
        <sz val="10.5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</si>
  <si>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10.5"/>
        <rFont val="Times New Roman"/>
        <family val="1"/>
      </rPr>
      <t>(4) STATUT</t>
    </r>
    <r>
      <rPr>
        <sz val="10.5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</si>
  <si>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MARNDR/PMDN II/T/AOI-03/19</t>
  </si>
  <si>
    <t>Travaux de protection de berges du Fleuve Artibonite au site Carrefour Laville</t>
  </si>
  <si>
    <t>Mars 2019</t>
  </si>
  <si>
    <t>Acquisition de gabions et accessoires pour les travaux en Participation Communautaire (St-Michel de L'Attalaye, BV-Ravine du Sud, BV Cavaillon, BV- Grande Riviere du Nord (Ranquite), Cayes-Lavale, Riviere Blanche(Ganthier), Riviere massacre, Maniche(Sud))  (Relance)</t>
  </si>
  <si>
    <t>MARNDR/PMDN II/B/AOI-05/19</t>
  </si>
  <si>
    <t>MARNDR/PMDN II/B/CP-04/19</t>
  </si>
  <si>
    <t>Acquisition de gabions et accessoires pour les travaux en Participation Communautaire (Grande Riviere du Nord (Ranquite), Maniche (Sud))  (Relance)</t>
  </si>
  <si>
    <t>MARNDR/PMDN II/PI/SFQC-___/19</t>
  </si>
  <si>
    <t>MARNDR/PMDN II/PI/QC-___/19</t>
  </si>
  <si>
    <t>Supervision des travaux de protection de berges du Fleuve Artibonite au site de Carrefour Laville</t>
  </si>
  <si>
    <t>MARNDR/PMDN II/PI/SFQ-___/19</t>
  </si>
  <si>
    <t>Juin 2019</t>
  </si>
  <si>
    <t>Août 2019</t>
  </si>
  <si>
    <t>MARNDR/PMDN II/CI/QCIN-___/19</t>
  </si>
  <si>
    <t>CI</t>
  </si>
  <si>
    <t>1- Biens et services connexes</t>
  </si>
  <si>
    <t>MARNDR/PMDN II/PI/SCBD-02/18</t>
  </si>
  <si>
    <t>Janvier 2019 à décembre 2019</t>
  </si>
  <si>
    <r>
      <t>F</t>
    </r>
    <r>
      <rPr>
        <sz val="9"/>
        <rFont val="Calibri"/>
        <family val="2"/>
      </rPr>
      <t>é</t>
    </r>
    <r>
      <rPr>
        <sz val="9"/>
        <rFont val="Times New Roman"/>
        <family val="1"/>
      </rPr>
      <t>vrier 2019</t>
    </r>
  </si>
  <si>
    <t>Sous-total 1</t>
  </si>
  <si>
    <t>Sous-total 2</t>
  </si>
  <si>
    <t>Sous-total 3</t>
  </si>
  <si>
    <t>Sous-total 4</t>
  </si>
  <si>
    <t>Sous-total 5</t>
  </si>
  <si>
    <r>
      <rPr>
        <b/>
        <sz val="10.5"/>
        <rFont val="Times New Roman"/>
        <family val="1"/>
      </rPr>
      <t>(2) METHODE DE PDM</t>
    </r>
    <r>
      <rPr>
        <sz val="10.5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QCIN - Sélection fondée sur les qualifications des consultants individuels nationaux; QCII - Sélection fondée sur les qualifications des consultants individuels internationaux; PC: Participation communautaire</t>
    </r>
  </si>
  <si>
    <t>Sous-total 6</t>
  </si>
  <si>
    <r>
      <t>Realisation d'images A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riennes</t>
    </r>
  </si>
  <si>
    <r>
      <t>Infructueux et relanc</t>
    </r>
    <r>
      <rPr>
        <sz val="9"/>
        <rFont val="Calibri"/>
        <family val="2"/>
      </rPr>
      <t>é</t>
    </r>
  </si>
  <si>
    <r>
      <t>F</t>
    </r>
    <r>
      <rPr>
        <sz val="9"/>
        <rFont val="Calibri"/>
        <family val="2"/>
      </rPr>
      <t>é</t>
    </r>
    <r>
      <rPr>
        <sz val="9"/>
        <rFont val="Times New Roman"/>
        <family val="1"/>
      </rPr>
      <t>vrier 2018</t>
    </r>
  </si>
  <si>
    <t>MARNDR/PMDN II/B/CP-___/19</t>
  </si>
  <si>
    <t>Autres activités de recherche/formation</t>
  </si>
  <si>
    <t>Couverture aérienne et formation</t>
  </si>
  <si>
    <t>Evaluation mi-parcvours globale (recrutement firme et ordre de démarrage)</t>
  </si>
  <si>
    <t>Atelier de formtion en hydrologie des ingénieurs</t>
  </si>
  <si>
    <t>Prevision mai-aout</t>
  </si>
  <si>
    <t>Prevision septembre-décembre</t>
  </si>
  <si>
    <t>Renflouement</t>
  </si>
  <si>
    <t>Solde prévu au 1er mai</t>
  </si>
  <si>
    <t>Solde prévu au 1er aout</t>
  </si>
  <si>
    <t>Supervision Travaux de Traitement Ravines aux Bassins Versants BV  (Lot 1: Bassin versant de la grande Rivière du Nord, Commune de ranquite; Lot 2: Bassin versant du Fleuve Artibonite, Commune de st Michel de L'attalaye ; Lot 3: Bassin versant de Cavaillon et Lot 4: Bassin Versant de la Ravine du Sud)</t>
  </si>
  <si>
    <t xml:space="preserve">En attente (plusieurs consultants individuels)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</si>
</sst>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-* #,##0.00_-;\-* #,##0.00_-;_-* &quot;-&quot;??_-;_-@_-"/>
    <numFmt numFmtId="165" formatCode="[$-40C]mmmm\-yy;@"/>
    <numFmt numFmtId="166" formatCode="[$-40C]mmmmm\-yy;@"/>
    <numFmt numFmtId="167" formatCode="_(* #,##0_);_(* \(#,##0\);_(* &quot;-&quot;??_);_(@_)"/>
    <numFmt numFmtId="168" formatCode="[$-40C]mmm\-yy"/>
    <numFmt numFmtId="169" formatCode="[$-40C]dd\-mmm"/>
    <numFmt numFmtId="170" formatCode="0.0%"/>
    <numFmt numFmtId="171" formatCode="_(* #,##0.0_);_(* \(#,##0.0\);_(* &quot;-&quot;??_);_(@_)"/>
    <numFmt numFmtId="172" formatCode="[$$-409]#,##0.00"/>
    <numFmt numFmtId="173" formatCode="[$HTG]\ #,##0.00"/>
  </numFmts>
  <fonts count="79" x14ac:knownFonts="1">
    <font>
      <sz val="11"/>
      <name val="Calibri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FFFFFF"/>
      <name val="Calibri"/>
      <family val="2"/>
    </font>
    <font>
      <sz val="10"/>
      <color rgb="FFFFFFFF"/>
      <name val="Calibri"/>
      <family val="2"/>
    </font>
    <font>
      <sz val="8"/>
      <color rgb="FF000000"/>
      <name val="Calibri"/>
      <family val="2"/>
    </font>
    <font>
      <b/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9"/>
      <color rgb="FFFFFFFF"/>
      <name val="Calibri"/>
      <family val="2"/>
    </font>
    <font>
      <b/>
      <sz val="10"/>
      <color rgb="FFFFFFFF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sz val="9"/>
      <color rgb="FF000000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sz val="9"/>
      <color rgb="FFFF0000"/>
      <name val="Calibri"/>
      <family val="2"/>
    </font>
    <font>
      <b/>
      <sz val="10"/>
      <color rgb="FFFF0000"/>
      <name val="Calibri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b/>
      <sz val="11"/>
      <name val="Calibri"/>
      <family val="2"/>
    </font>
    <font>
      <sz val="20"/>
      <color rgb="FFFF0000"/>
      <name val="Calibri"/>
      <family val="2"/>
    </font>
    <font>
      <sz val="11"/>
      <color rgb="FFFFFFFF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0"/>
      <color rgb="FF000000"/>
      <name val="Times New Roman"/>
      <family val="1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FF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b/>
      <sz val="12"/>
      <name val="Calibri"/>
      <family val="2"/>
    </font>
    <font>
      <b/>
      <sz val="10"/>
      <color theme="0"/>
      <name val="Calibri"/>
      <family val="2"/>
    </font>
    <font>
      <b/>
      <sz val="12"/>
      <color rgb="FFFFFFFF"/>
      <name val="Calibri"/>
      <family val="2"/>
    </font>
    <font>
      <b/>
      <sz val="14"/>
      <color rgb="FFFFFFFF"/>
      <name val="Calibri"/>
      <family val="2"/>
    </font>
    <font>
      <sz val="14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theme="0"/>
      <name val="Calibri"/>
      <family val="2"/>
    </font>
    <font>
      <sz val="10"/>
      <color theme="0"/>
      <name val="Calibri"/>
      <family val="2"/>
    </font>
    <font>
      <sz val="12"/>
      <name val="Times New Roman"/>
      <family val="1"/>
    </font>
    <font>
      <sz val="11"/>
      <color rgb="FF000000"/>
      <name val="Calibri"/>
      <family val="2"/>
    </font>
    <font>
      <sz val="10"/>
      <name val="Calibri"/>
      <family val="2"/>
    </font>
    <font>
      <sz val="11"/>
      <color rgb="FFFF0000"/>
      <name val="Calibri"/>
      <family val="2"/>
      <scheme val="minor"/>
    </font>
    <font>
      <sz val="12"/>
      <name val="Calibri"/>
      <family val="2"/>
    </font>
    <font>
      <sz val="9"/>
      <name val="Calibri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FF0000"/>
      <name val="Calibri"/>
      <family val="2"/>
    </font>
    <font>
      <b/>
      <sz val="10.5"/>
      <color theme="1"/>
      <name val="Times New Roman"/>
      <family val="1"/>
    </font>
    <font>
      <i/>
      <sz val="10.5"/>
      <color theme="1"/>
      <name val="Times New Roman"/>
      <family val="1"/>
    </font>
    <font>
      <sz val="10"/>
      <name val="Arial"/>
      <family val="2"/>
    </font>
    <font>
      <sz val="12"/>
      <color theme="1"/>
      <name val="Cambria"/>
      <family val="1"/>
    </font>
    <font>
      <sz val="10.5"/>
      <name val="Times New Roman"/>
      <family val="1"/>
    </font>
    <font>
      <b/>
      <sz val="10.5"/>
      <name val="Times New Roman"/>
      <family val="1"/>
    </font>
    <font>
      <sz val="10.5"/>
      <color theme="1"/>
      <name val="Times New Roman"/>
      <family val="1"/>
    </font>
    <font>
      <sz val="11"/>
      <color theme="1"/>
      <name val="Calibri"/>
      <family val="2"/>
    </font>
    <font>
      <sz val="9"/>
      <color theme="1"/>
      <name val="Calibri"/>
      <family val="2"/>
    </font>
    <font>
      <b/>
      <sz val="10"/>
      <name val="Times New Roman"/>
    </font>
    <font>
      <sz val="11"/>
      <color rgb="FF3366FF"/>
      <name val="Calibri"/>
    </font>
    <font>
      <sz val="10"/>
      <color theme="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C4BD97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A5A5A5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8EB4E2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C5D9F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FFC000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807">
    <xf numFmtId="0" fontId="0" fillId="0" borderId="0">
      <alignment vertical="center"/>
    </xf>
    <xf numFmtId="43" fontId="36" fillId="0" borderId="0">
      <alignment vertical="top"/>
      <protection locked="0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9" fillId="0" borderId="0"/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</cellStyleXfs>
  <cellXfs count="722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/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wrapText="1"/>
    </xf>
    <xf numFmtId="0" fontId="3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/>
    <xf numFmtId="0" fontId="8" fillId="2" borderId="1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 wrapText="1"/>
    </xf>
    <xf numFmtId="165" fontId="9" fillId="2" borderId="10" xfId="0" applyNumberFormat="1" applyFont="1" applyFill="1" applyBorder="1" applyAlignment="1">
      <alignment horizontal="center" vertical="center" wrapText="1"/>
    </xf>
    <xf numFmtId="166" fontId="9" fillId="2" borderId="10" xfId="0" applyNumberFormat="1" applyFont="1" applyFill="1" applyBorder="1" applyAlignment="1">
      <alignment horizontal="center" vertical="center" wrapText="1"/>
    </xf>
    <xf numFmtId="0" fontId="10" fillId="3" borderId="10" xfId="0" applyFont="1" applyFill="1" applyBorder="1" applyAlignment="1" applyProtection="1">
      <protection locked="0"/>
    </xf>
    <xf numFmtId="0" fontId="6" fillId="3" borderId="10" xfId="0" applyFont="1" applyFill="1" applyBorder="1" applyAlignment="1" applyProtection="1">
      <protection locked="0"/>
    </xf>
    <xf numFmtId="0" fontId="6" fillId="3" borderId="10" xfId="0" applyFont="1" applyFill="1" applyBorder="1" applyAlignment="1" applyProtection="1">
      <alignment horizontal="center"/>
      <protection locked="0"/>
    </xf>
    <xf numFmtId="3" fontId="11" fillId="3" borderId="10" xfId="0" applyNumberFormat="1" applyFont="1" applyFill="1" applyBorder="1" applyAlignment="1" applyProtection="1">
      <protection locked="0"/>
    </xf>
    <xf numFmtId="3" fontId="3" fillId="0" borderId="10" xfId="0" applyNumberFormat="1" applyFont="1" applyBorder="1" applyAlignment="1" applyProtection="1">
      <alignment horizontal="right" wrapText="1"/>
      <protection locked="0"/>
    </xf>
    <xf numFmtId="0" fontId="13" fillId="0" borderId="0" xfId="0" applyFont="1" applyAlignment="1"/>
    <xf numFmtId="3" fontId="3" fillId="0" borderId="10" xfId="0" applyNumberFormat="1" applyFont="1" applyBorder="1" applyAlignment="1" applyProtection="1">
      <alignment wrapText="1"/>
      <protection locked="0"/>
    </xf>
    <xf numFmtId="0" fontId="3" fillId="0" borderId="0" xfId="0" applyFont="1" applyFill="1" applyAlignment="1"/>
    <xf numFmtId="0" fontId="14" fillId="0" borderId="10" xfId="0" applyFont="1" applyFill="1" applyBorder="1" applyAlignment="1" applyProtection="1">
      <protection locked="0"/>
    </xf>
    <xf numFmtId="3" fontId="3" fillId="0" borderId="10" xfId="0" applyNumberFormat="1" applyFont="1" applyFill="1" applyBorder="1" applyAlignment="1" applyProtection="1">
      <protection locked="0"/>
    </xf>
    <xf numFmtId="0" fontId="3" fillId="0" borderId="10" xfId="0" applyFont="1" applyFill="1" applyBorder="1" applyAlignment="1" applyProtection="1">
      <protection locked="0"/>
    </xf>
    <xf numFmtId="0" fontId="9" fillId="0" borderId="10" xfId="0" applyFont="1" applyFill="1" applyBorder="1" applyAlignment="1" applyProtection="1">
      <alignment horizontal="center" wrapText="1"/>
      <protection locked="0"/>
    </xf>
    <xf numFmtId="3" fontId="9" fillId="0" borderId="10" xfId="0" applyNumberFormat="1" applyFont="1" applyFill="1" applyBorder="1" applyAlignment="1" applyProtection="1">
      <alignment horizontal="right" wrapText="1"/>
      <protection locked="0"/>
    </xf>
    <xf numFmtId="3" fontId="11" fillId="0" borderId="10" xfId="0" applyNumberFormat="1" applyFont="1" applyFill="1" applyBorder="1" applyAlignment="1" applyProtection="1">
      <protection locked="0"/>
    </xf>
    <xf numFmtId="0" fontId="3" fillId="0" borderId="0" xfId="0" applyFont="1" applyBorder="1" applyAlignment="1"/>
    <xf numFmtId="0" fontId="11" fillId="3" borderId="10" xfId="0" applyFont="1" applyFill="1" applyBorder="1" applyAlignment="1" applyProtection="1">
      <protection locked="0"/>
    </xf>
    <xf numFmtId="0" fontId="3" fillId="4" borderId="0" xfId="0" applyFont="1" applyFill="1" applyAlignment="1">
      <alignment vertical="top"/>
    </xf>
    <xf numFmtId="0" fontId="8" fillId="4" borderId="10" xfId="0" applyFont="1" applyFill="1" applyBorder="1" applyAlignment="1" applyProtection="1">
      <alignment vertical="top"/>
      <protection locked="0"/>
    </xf>
    <xf numFmtId="0" fontId="9" fillId="5" borderId="10" xfId="0" applyFont="1" applyFill="1" applyBorder="1" applyAlignment="1" applyProtection="1">
      <alignment vertical="top"/>
      <protection locked="0"/>
    </xf>
    <xf numFmtId="0" fontId="3" fillId="5" borderId="10" xfId="0" applyFont="1" applyFill="1" applyBorder="1" applyAlignment="1" applyProtection="1">
      <alignment vertical="top" wrapText="1"/>
      <protection locked="0"/>
    </xf>
    <xf numFmtId="0" fontId="3" fillId="5" borderId="10" xfId="0" applyFont="1" applyFill="1" applyBorder="1" applyAlignment="1" applyProtection="1">
      <alignment vertical="top"/>
      <protection locked="0"/>
    </xf>
    <xf numFmtId="0" fontId="3" fillId="5" borderId="10" xfId="0" applyFont="1" applyFill="1" applyBorder="1" applyAlignment="1" applyProtection="1">
      <alignment horizontal="center" vertical="top" wrapText="1"/>
      <protection locked="0"/>
    </xf>
    <xf numFmtId="3" fontId="3" fillId="5" borderId="10" xfId="0" applyNumberFormat="1" applyFont="1" applyFill="1" applyBorder="1" applyAlignment="1" applyProtection="1">
      <alignment vertical="top" wrapText="1"/>
      <protection locked="0"/>
    </xf>
    <xf numFmtId="0" fontId="3" fillId="4" borderId="0" xfId="0" applyFont="1" applyFill="1" applyAlignment="1"/>
    <xf numFmtId="0" fontId="8" fillId="4" borderId="10" xfId="0" applyFont="1" applyFill="1" applyBorder="1" applyAlignment="1" applyProtection="1">
      <protection locked="0"/>
    </xf>
    <xf numFmtId="0" fontId="9" fillId="5" borderId="10" xfId="0" applyFont="1" applyFill="1" applyBorder="1" applyAlignment="1" applyProtection="1">
      <protection locked="0"/>
    </xf>
    <xf numFmtId="0" fontId="3" fillId="5" borderId="10" xfId="0" applyFont="1" applyFill="1" applyBorder="1" applyAlignment="1" applyProtection="1">
      <alignment wrapText="1"/>
      <protection locked="0"/>
    </xf>
    <xf numFmtId="0" fontId="3" fillId="5" borderId="10" xfId="0" applyFont="1" applyFill="1" applyBorder="1" applyAlignment="1" applyProtection="1">
      <protection locked="0"/>
    </xf>
    <xf numFmtId="0" fontId="3" fillId="5" borderId="10" xfId="0" applyFont="1" applyFill="1" applyBorder="1" applyAlignment="1" applyProtection="1">
      <alignment horizontal="center" wrapText="1"/>
      <protection locked="0"/>
    </xf>
    <xf numFmtId="3" fontId="3" fillId="5" borderId="10" xfId="0" applyNumberFormat="1" applyFont="1" applyFill="1" applyBorder="1" applyAlignment="1" applyProtection="1">
      <alignment wrapText="1"/>
      <protection locked="0"/>
    </xf>
    <xf numFmtId="0" fontId="3" fillId="4" borderId="0" xfId="0" applyFont="1" applyFill="1" applyAlignment="1"/>
    <xf numFmtId="0" fontId="3" fillId="4" borderId="10" xfId="0" applyFont="1" applyFill="1" applyBorder="1" applyAlignment="1" applyProtection="1">
      <protection locked="0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4" borderId="10" xfId="0" applyFont="1" applyFill="1" applyBorder="1" applyAlignment="1"/>
    <xf numFmtId="3" fontId="3" fillId="4" borderId="10" xfId="0" applyNumberFormat="1" applyFont="1" applyFill="1" applyBorder="1" applyAlignment="1" applyProtection="1">
      <protection locked="0"/>
    </xf>
    <xf numFmtId="0" fontId="3" fillId="0" borderId="10" xfId="0" applyFont="1" applyBorder="1" applyAlignment="1"/>
    <xf numFmtId="0" fontId="3" fillId="6" borderId="10" xfId="0" applyFont="1" applyFill="1" applyBorder="1" applyAlignment="1" applyProtection="1">
      <protection locked="0"/>
    </xf>
    <xf numFmtId="0" fontId="9" fillId="6" borderId="10" xfId="0" applyFont="1" applyFill="1" applyBorder="1" applyAlignment="1" applyProtection="1">
      <protection locked="0"/>
    </xf>
    <xf numFmtId="0" fontId="3" fillId="6" borderId="10" xfId="0" applyFont="1" applyFill="1" applyBorder="1" applyAlignment="1" applyProtection="1">
      <alignment horizontal="center"/>
      <protection locked="0"/>
    </xf>
    <xf numFmtId="3" fontId="3" fillId="6" borderId="0" xfId="0" applyNumberFormat="1" applyFont="1" applyFill="1" applyBorder="1" applyAlignment="1" applyProtection="1">
      <protection locked="0"/>
    </xf>
    <xf numFmtId="0" fontId="3" fillId="4" borderId="10" xfId="0" applyFont="1" applyFill="1" applyBorder="1" applyAlignment="1">
      <alignment horizontal="left" indent="1"/>
    </xf>
    <xf numFmtId="0" fontId="12" fillId="4" borderId="0" xfId="0" applyFont="1" applyFill="1" applyAlignment="1"/>
    <xf numFmtId="0" fontId="16" fillId="4" borderId="10" xfId="0" applyFont="1" applyFill="1" applyBorder="1" applyAlignment="1" applyProtection="1">
      <protection locked="0"/>
    </xf>
    <xf numFmtId="0" fontId="12" fillId="4" borderId="10" xfId="0" applyFont="1" applyFill="1" applyBorder="1" applyAlignment="1" applyProtection="1">
      <protection locked="0"/>
    </xf>
    <xf numFmtId="0" fontId="12" fillId="4" borderId="10" xfId="0" applyFont="1" applyFill="1" applyBorder="1" applyAlignment="1">
      <alignment horizontal="left" indent="1"/>
    </xf>
    <xf numFmtId="0" fontId="12" fillId="4" borderId="10" xfId="0" applyFont="1" applyFill="1" applyBorder="1" applyAlignment="1" applyProtection="1">
      <alignment horizontal="center"/>
      <protection locked="0"/>
    </xf>
    <xf numFmtId="3" fontId="12" fillId="4" borderId="10" xfId="0" applyNumberFormat="1" applyFont="1" applyFill="1" applyBorder="1" applyAlignment="1" applyProtection="1">
      <protection locked="0"/>
    </xf>
    <xf numFmtId="3" fontId="12" fillId="0" borderId="10" xfId="0" applyNumberFormat="1" applyFont="1" applyFill="1" applyBorder="1" applyAlignment="1" applyProtection="1">
      <protection locked="0"/>
    </xf>
    <xf numFmtId="0" fontId="9" fillId="6" borderId="10" xfId="0" applyFont="1" applyFill="1" applyBorder="1" applyAlignment="1"/>
    <xf numFmtId="3" fontId="3" fillId="6" borderId="10" xfId="0" applyNumberFormat="1" applyFont="1" applyFill="1" applyBorder="1" applyAlignment="1" applyProtection="1">
      <protection locked="0"/>
    </xf>
    <xf numFmtId="0" fontId="3" fillId="5" borderId="10" xfId="0" applyFont="1" applyFill="1" applyBorder="1" applyAlignment="1" applyProtection="1">
      <alignment horizontal="center"/>
      <protection locked="0"/>
    </xf>
    <xf numFmtId="3" fontId="3" fillId="5" borderId="10" xfId="0" applyNumberFormat="1" applyFont="1" applyFill="1" applyBorder="1" applyAlignment="1" applyProtection="1">
      <protection locked="0"/>
    </xf>
    <xf numFmtId="0" fontId="17" fillId="4" borderId="10" xfId="0" applyFont="1" applyFill="1" applyBorder="1" applyAlignment="1" applyProtection="1">
      <protection locked="0"/>
    </xf>
    <xf numFmtId="3" fontId="18" fillId="3" borderId="10" xfId="0" applyNumberFormat="1" applyFont="1" applyFill="1" applyBorder="1" applyAlignment="1" applyProtection="1">
      <protection locked="0"/>
    </xf>
    <xf numFmtId="0" fontId="3" fillId="4" borderId="10" xfId="0" applyFont="1" applyFill="1" applyBorder="1" applyAlignment="1"/>
    <xf numFmtId="3" fontId="13" fillId="4" borderId="10" xfId="0" applyNumberFormat="1" applyFont="1" applyFill="1" applyBorder="1" applyAlignment="1" applyProtection="1">
      <protection locked="0"/>
    </xf>
    <xf numFmtId="0" fontId="1" fillId="4" borderId="0" xfId="0" applyFont="1" applyFill="1" applyAlignment="1"/>
    <xf numFmtId="0" fontId="1" fillId="0" borderId="10" xfId="0" applyFont="1" applyBorder="1" applyAlignment="1"/>
    <xf numFmtId="0" fontId="13" fillId="4" borderId="10" xfId="0" applyFont="1" applyFill="1" applyBorder="1" applyAlignment="1" applyProtection="1">
      <protection locked="0"/>
    </xf>
    <xf numFmtId="167" fontId="12" fillId="4" borderId="10" xfId="1" applyNumberFormat="1" applyFont="1" applyFill="1" applyBorder="1" applyAlignment="1">
      <protection locked="0"/>
    </xf>
    <xf numFmtId="0" fontId="12" fillId="0" borderId="0" xfId="0" applyFont="1" applyAlignment="1"/>
    <xf numFmtId="3" fontId="15" fillId="3" borderId="10" xfId="0" applyNumberFormat="1" applyFont="1" applyFill="1" applyBorder="1" applyAlignment="1" applyProtection="1">
      <protection locked="0"/>
    </xf>
    <xf numFmtId="3" fontId="11" fillId="3" borderId="17" xfId="0" applyNumberFormat="1" applyFont="1" applyFill="1" applyBorder="1" applyAlignment="1" applyProtection="1">
      <protection locked="0"/>
    </xf>
    <xf numFmtId="3" fontId="13" fillId="0" borderId="10" xfId="0" applyNumberFormat="1" applyFont="1" applyFill="1" applyBorder="1" applyAlignment="1" applyProtection="1">
      <protection locked="0"/>
    </xf>
    <xf numFmtId="0" fontId="13" fillId="4" borderId="10" xfId="0" applyFont="1" applyFill="1" applyBorder="1" applyAlignment="1" applyProtection="1">
      <alignment horizontal="center"/>
      <protection locked="0"/>
    </xf>
    <xf numFmtId="167" fontId="13" fillId="4" borderId="10" xfId="0" applyNumberFormat="1" applyFont="1" applyFill="1" applyBorder="1" applyAlignment="1" applyProtection="1">
      <protection locked="0"/>
    </xf>
    <xf numFmtId="0" fontId="3" fillId="5" borderId="10" xfId="0" applyFont="1" applyFill="1" applyBorder="1" applyAlignment="1" applyProtection="1">
      <alignment horizontal="left"/>
      <protection locked="0"/>
    </xf>
    <xf numFmtId="0" fontId="3" fillId="5" borderId="10" xfId="0" applyFont="1" applyFill="1" applyBorder="1" applyAlignment="1" applyProtection="1">
      <alignment horizontal="left" wrapText="1"/>
      <protection locked="0"/>
    </xf>
    <xf numFmtId="3" fontId="3" fillId="5" borderId="10" xfId="0" applyNumberFormat="1" applyFont="1" applyFill="1" applyBorder="1" applyAlignment="1" applyProtection="1">
      <alignment horizontal="center"/>
      <protection locked="0"/>
    </xf>
    <xf numFmtId="3" fontId="3" fillId="4" borderId="10" xfId="0" applyNumberFormat="1" applyFont="1" applyFill="1" applyBorder="1" applyAlignment="1" applyProtection="1">
      <alignment horizontal="center"/>
      <protection locked="0"/>
    </xf>
    <xf numFmtId="3" fontId="12" fillId="4" borderId="10" xfId="0" applyNumberFormat="1" applyFont="1" applyFill="1" applyBorder="1" applyAlignment="1" applyProtection="1">
      <alignment horizontal="center"/>
      <protection locked="0"/>
    </xf>
    <xf numFmtId="0" fontId="13" fillId="4" borderId="0" xfId="0" applyFont="1" applyFill="1" applyAlignment="1"/>
    <xf numFmtId="0" fontId="3" fillId="0" borderId="10" xfId="0" applyFont="1" applyBorder="1" applyAlignment="1">
      <alignment horizontal="center"/>
    </xf>
    <xf numFmtId="3" fontId="12" fillId="0" borderId="10" xfId="1" applyNumberFormat="1" applyFont="1" applyBorder="1" applyAlignment="1" applyProtection="1"/>
    <xf numFmtId="3" fontId="12" fillId="0" borderId="10" xfId="0" applyNumberFormat="1" applyFont="1" applyBorder="1" applyAlignment="1"/>
    <xf numFmtId="0" fontId="19" fillId="0" borderId="0" xfId="0" applyFont="1" applyAlignment="1">
      <alignment horizontal="justify" vertical="distributed"/>
    </xf>
    <xf numFmtId="0" fontId="20" fillId="0" borderId="0" xfId="0" applyFont="1" applyAlignment="1">
      <alignment horizontal="justify" vertical="distributed"/>
    </xf>
    <xf numFmtId="0" fontId="20" fillId="8" borderId="0" xfId="0" applyFont="1" applyFill="1" applyAlignment="1">
      <alignment horizontal="left" vertical="center" wrapText="1"/>
    </xf>
    <xf numFmtId="0" fontId="20" fillId="0" borderId="0" xfId="0" applyFont="1" applyAlignment="1">
      <alignment horizontal="center" vertical="distributed"/>
    </xf>
    <xf numFmtId="0" fontId="19" fillId="0" borderId="0" xfId="0" applyFont="1" applyAlignment="1">
      <alignment vertical="distributed"/>
    </xf>
    <xf numFmtId="0" fontId="19" fillId="0" borderId="1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7" xfId="0" applyFont="1" applyBorder="1" applyAlignment="1">
      <alignment horizontal="left" vertical="center"/>
    </xf>
    <xf numFmtId="0" fontId="21" fillId="0" borderId="0" xfId="0" applyFont="1" applyAlignment="1">
      <alignment horizontal="justify" vertical="distributed"/>
    </xf>
    <xf numFmtId="0" fontId="20" fillId="0" borderId="19" xfId="0" applyFont="1" applyBorder="1" applyAlignment="1">
      <alignment horizontal="justify" vertical="distributed"/>
    </xf>
    <xf numFmtId="0" fontId="19" fillId="0" borderId="0" xfId="0" applyFont="1" applyAlignment="1">
      <alignment horizontal="center" vertical="distributed"/>
    </xf>
    <xf numFmtId="0" fontId="22" fillId="0" borderId="0" xfId="0" applyFont="1" applyAlignment="1">
      <alignment horizontal="justify" vertical="distributed"/>
    </xf>
    <xf numFmtId="0" fontId="22" fillId="8" borderId="0" xfId="0" applyFont="1" applyFill="1" applyAlignment="1">
      <alignment horizontal="left" vertical="center" wrapText="1"/>
    </xf>
    <xf numFmtId="0" fontId="22" fillId="0" borderId="0" xfId="0" applyFont="1" applyAlignment="1">
      <alignment horizontal="center" vertical="distributed"/>
    </xf>
    <xf numFmtId="0" fontId="22" fillId="9" borderId="24" xfId="0" applyFont="1" applyFill="1" applyBorder="1" applyAlignment="1">
      <alignment horizontal="center" vertical="center" wrapText="1"/>
    </xf>
    <xf numFmtId="0" fontId="22" fillId="9" borderId="25" xfId="0" applyFont="1" applyFill="1" applyBorder="1" applyAlignment="1">
      <alignment horizontal="center" vertical="center" wrapText="1"/>
    </xf>
    <xf numFmtId="0" fontId="19" fillId="11" borderId="26" xfId="0" applyFont="1" applyFill="1" applyBorder="1">
      <alignment vertical="center"/>
    </xf>
    <xf numFmtId="0" fontId="19" fillId="11" borderId="18" xfId="0" applyFont="1" applyFill="1" applyBorder="1">
      <alignment vertical="center"/>
    </xf>
    <xf numFmtId="0" fontId="19" fillId="11" borderId="27" xfId="0" applyFont="1" applyFill="1" applyBorder="1" applyAlignment="1">
      <alignment vertical="center" wrapText="1"/>
    </xf>
    <xf numFmtId="0" fontId="19" fillId="11" borderId="18" xfId="0" applyFont="1" applyFill="1" applyBorder="1" applyAlignment="1">
      <alignment horizontal="center" vertical="center" wrapText="1"/>
    </xf>
    <xf numFmtId="0" fontId="19" fillId="11" borderId="18" xfId="0" applyFont="1" applyFill="1" applyBorder="1" applyAlignment="1">
      <alignment vertical="center" wrapText="1"/>
    </xf>
    <xf numFmtId="0" fontId="19" fillId="11" borderId="7" xfId="0" applyFont="1" applyFill="1" applyBorder="1" applyAlignment="1">
      <alignment vertical="center" wrapText="1"/>
    </xf>
    <xf numFmtId="0" fontId="20" fillId="0" borderId="7" xfId="0" applyFont="1" applyBorder="1" applyAlignment="1">
      <alignment horizontal="right" vertical="distributed"/>
    </xf>
    <xf numFmtId="0" fontId="20" fillId="8" borderId="27" xfId="0" applyFont="1" applyFill="1" applyBorder="1" applyAlignment="1">
      <alignment horizontal="justify" vertical="distributed"/>
    </xf>
    <xf numFmtId="0" fontId="23" fillId="8" borderId="7" xfId="0" applyFont="1" applyFill="1" applyBorder="1" applyAlignment="1">
      <alignment horizontal="left" vertical="center" wrapText="1"/>
    </xf>
    <xf numFmtId="0" fontId="20" fillId="8" borderId="19" xfId="0" applyFont="1" applyFill="1" applyBorder="1" applyAlignment="1">
      <alignment horizontal="center" vertical="distributed"/>
    </xf>
    <xf numFmtId="0" fontId="23" fillId="0" borderId="19" xfId="0" applyFont="1" applyBorder="1" applyAlignment="1">
      <alignment horizontal="justify" vertical="distributed"/>
    </xf>
    <xf numFmtId="3" fontId="23" fillId="0" borderId="19" xfId="0" applyNumberFormat="1" applyFont="1" applyBorder="1" applyAlignment="1">
      <alignment horizontal="right" vertical="distributed"/>
    </xf>
    <xf numFmtId="9" fontId="23" fillId="0" borderId="19" xfId="0" applyNumberFormat="1" applyFont="1" applyBorder="1" applyAlignment="1">
      <alignment horizontal="center" vertical="distributed"/>
    </xf>
    <xf numFmtId="9" fontId="23" fillId="0" borderId="19" xfId="0" applyNumberFormat="1" applyFont="1" applyBorder="1" applyAlignment="1">
      <alignment horizontal="justify" vertical="distributed"/>
    </xf>
    <xf numFmtId="168" fontId="23" fillId="0" borderId="19" xfId="0" applyNumberFormat="1" applyFont="1" applyBorder="1" applyAlignment="1">
      <alignment horizontal="justify" vertical="distributed"/>
    </xf>
    <xf numFmtId="0" fontId="23" fillId="0" borderId="27" xfId="0" applyFont="1" applyBorder="1" applyAlignment="1">
      <alignment horizontal="left" vertical="distributed"/>
    </xf>
    <xf numFmtId="0" fontId="23" fillId="0" borderId="7" xfId="0" applyFont="1" applyBorder="1" applyAlignment="1">
      <alignment horizontal="justify" vertical="distributed"/>
    </xf>
    <xf numFmtId="0" fontId="20" fillId="8" borderId="7" xfId="0" applyFont="1" applyFill="1" applyBorder="1" applyAlignment="1">
      <alignment horizontal="right" vertical="distributed"/>
    </xf>
    <xf numFmtId="0" fontId="23" fillId="8" borderId="19" xfId="0" applyFont="1" applyFill="1" applyBorder="1" applyAlignment="1">
      <alignment horizontal="justify" vertical="distributed"/>
    </xf>
    <xf numFmtId="3" fontId="23" fillId="8" borderId="19" xfId="0" applyNumberFormat="1" applyFont="1" applyFill="1" applyBorder="1" applyAlignment="1">
      <alignment horizontal="right" vertical="distributed"/>
    </xf>
    <xf numFmtId="9" fontId="23" fillId="8" borderId="19" xfId="0" applyNumberFormat="1" applyFont="1" applyFill="1" applyBorder="1" applyAlignment="1">
      <alignment horizontal="center" vertical="distributed"/>
    </xf>
    <xf numFmtId="9" fontId="23" fillId="8" borderId="19" xfId="0" applyNumberFormat="1" applyFont="1" applyFill="1" applyBorder="1" applyAlignment="1">
      <alignment horizontal="justify" vertical="distributed"/>
    </xf>
    <xf numFmtId="168" fontId="23" fillId="8" borderId="19" xfId="0" applyNumberFormat="1" applyFont="1" applyFill="1" applyBorder="1" applyAlignment="1">
      <alignment horizontal="justify" vertical="distributed"/>
    </xf>
    <xf numFmtId="0" fontId="23" fillId="8" borderId="19" xfId="0" applyFont="1" applyFill="1" applyBorder="1" applyAlignment="1">
      <alignment horizontal="left" vertical="distributed"/>
    </xf>
    <xf numFmtId="0" fontId="20" fillId="0" borderId="19" xfId="0" applyFont="1" applyBorder="1" applyAlignment="1">
      <alignment horizontal="center" vertical="distributed"/>
    </xf>
    <xf numFmtId="0" fontId="23" fillId="0" borderId="19" xfId="0" applyFont="1" applyBorder="1" applyAlignment="1">
      <alignment horizontal="left" vertical="distributed"/>
    </xf>
    <xf numFmtId="0" fontId="19" fillId="12" borderId="27" xfId="0" applyFont="1" applyFill="1" applyBorder="1" applyAlignment="1">
      <alignment horizontal="justify" vertical="distributed"/>
    </xf>
    <xf numFmtId="0" fontId="19" fillId="12" borderId="7" xfId="0" applyFont="1" applyFill="1" applyBorder="1" applyAlignment="1">
      <alignment horizontal="center" vertical="distributed"/>
    </xf>
    <xf numFmtId="0" fontId="19" fillId="12" borderId="19" xfId="0" applyFont="1" applyFill="1" applyBorder="1" applyAlignment="1">
      <alignment horizontal="justify" vertical="distributed"/>
    </xf>
    <xf numFmtId="3" fontId="19" fillId="12" borderId="19" xfId="0" applyNumberFormat="1" applyFont="1" applyFill="1" applyBorder="1" applyAlignment="1">
      <alignment horizontal="justify" vertical="distributed"/>
    </xf>
    <xf numFmtId="0" fontId="19" fillId="11" borderId="13" xfId="0" applyFont="1" applyFill="1" applyBorder="1">
      <alignment vertical="center"/>
    </xf>
    <xf numFmtId="0" fontId="19" fillId="11" borderId="27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right" vertical="distributed"/>
    </xf>
    <xf numFmtId="0" fontId="20" fillId="8" borderId="19" xfId="0" applyFont="1" applyFill="1" applyBorder="1" applyAlignment="1">
      <alignment horizontal="justify" vertical="distributed"/>
    </xf>
    <xf numFmtId="0" fontId="20" fillId="8" borderId="19" xfId="0" applyFont="1" applyFill="1" applyBorder="1" applyAlignment="1">
      <alignment horizontal="left" vertical="center" wrapText="1"/>
    </xf>
    <xf numFmtId="3" fontId="20" fillId="0" borderId="19" xfId="0" applyNumberFormat="1" applyFont="1" applyBorder="1" applyAlignment="1">
      <alignment horizontal="right" vertical="distributed"/>
    </xf>
    <xf numFmtId="9" fontId="20" fillId="8" borderId="19" xfId="0" applyNumberFormat="1" applyFont="1" applyFill="1" applyBorder="1" applyAlignment="1">
      <alignment horizontal="center" vertical="distributed"/>
    </xf>
    <xf numFmtId="9" fontId="20" fillId="0" borderId="19" xfId="0" applyNumberFormat="1" applyFont="1" applyBorder="1" applyAlignment="1">
      <alignment horizontal="justify" vertical="distributed"/>
    </xf>
    <xf numFmtId="168" fontId="20" fillId="0" borderId="25" xfId="0" applyNumberFormat="1" applyFont="1" applyBorder="1" applyAlignment="1">
      <alignment horizontal="justify" vertical="distributed"/>
    </xf>
    <xf numFmtId="0" fontId="20" fillId="0" borderId="27" xfId="0" applyFont="1" applyBorder="1" applyAlignment="1">
      <alignment horizontal="justify" vertical="distributed"/>
    </xf>
    <xf numFmtId="0" fontId="20" fillId="0" borderId="7" xfId="0" applyFont="1" applyBorder="1" applyAlignment="1">
      <alignment horizontal="justify" vertical="distributed"/>
    </xf>
    <xf numFmtId="0" fontId="20" fillId="8" borderId="7" xfId="0" applyFont="1" applyFill="1" applyBorder="1" applyAlignment="1">
      <alignment horizontal="left" vertical="center" wrapText="1"/>
    </xf>
    <xf numFmtId="9" fontId="20" fillId="0" borderId="19" xfId="0" applyNumberFormat="1" applyFont="1" applyBorder="1" applyAlignment="1">
      <alignment horizontal="center" vertical="distributed"/>
    </xf>
    <xf numFmtId="168" fontId="20" fillId="0" borderId="17" xfId="0" applyNumberFormat="1" applyFont="1" applyBorder="1" applyAlignment="1">
      <alignment horizontal="justify" vertical="distributed"/>
    </xf>
    <xf numFmtId="0" fontId="23" fillId="8" borderId="19" xfId="0" applyFont="1" applyFill="1" applyBorder="1" applyAlignment="1">
      <alignment horizontal="left" vertical="center" wrapText="1"/>
    </xf>
    <xf numFmtId="0" fontId="23" fillId="0" borderId="19" xfId="0" applyFont="1" applyBorder="1" applyAlignment="1">
      <alignment horizontal="center" vertical="distributed"/>
    </xf>
    <xf numFmtId="0" fontId="23" fillId="0" borderId="27" xfId="0" applyFont="1" applyBorder="1" applyAlignment="1">
      <alignment horizontal="justify" vertical="distributed"/>
    </xf>
    <xf numFmtId="168" fontId="20" fillId="0" borderId="19" xfId="0" applyNumberFormat="1" applyFont="1" applyBorder="1" applyAlignment="1">
      <alignment horizontal="justify" vertical="distributed"/>
    </xf>
    <xf numFmtId="0" fontId="22" fillId="11" borderId="26" xfId="0" applyFont="1" applyFill="1" applyBorder="1">
      <alignment vertical="center"/>
    </xf>
    <xf numFmtId="0" fontId="22" fillId="11" borderId="18" xfId="0" applyFont="1" applyFill="1" applyBorder="1">
      <alignment vertical="center"/>
    </xf>
    <xf numFmtId="0" fontId="22" fillId="11" borderId="7" xfId="0" applyFont="1" applyFill="1" applyBorder="1" applyAlignment="1">
      <alignment horizontal="center" vertical="center" wrapText="1"/>
    </xf>
    <xf numFmtId="0" fontId="22" fillId="11" borderId="19" xfId="0" applyFont="1" applyFill="1" applyBorder="1" applyAlignment="1">
      <alignment vertical="center" wrapText="1"/>
    </xf>
    <xf numFmtId="0" fontId="22" fillId="11" borderId="27" xfId="0" applyFont="1" applyFill="1" applyBorder="1" applyAlignment="1">
      <alignment vertical="center" wrapText="1"/>
    </xf>
    <xf numFmtId="0" fontId="23" fillId="0" borderId="7" xfId="0" applyFont="1" applyBorder="1" applyAlignment="1">
      <alignment horizontal="right" vertical="distributed"/>
    </xf>
    <xf numFmtId="0" fontId="23" fillId="8" borderId="27" xfId="0" applyFont="1" applyFill="1" applyBorder="1" applyAlignment="1">
      <alignment horizontal="justify" vertical="distributed"/>
    </xf>
    <xf numFmtId="169" fontId="23" fillId="0" borderId="19" xfId="0" applyNumberFormat="1" applyFont="1" applyBorder="1" applyAlignment="1">
      <alignment horizontal="justify" vertical="distributed"/>
    </xf>
    <xf numFmtId="0" fontId="20" fillId="0" borderId="17" xfId="0" applyFont="1" applyBorder="1" applyAlignment="1">
      <alignment horizontal="justify" vertical="distributed"/>
    </xf>
    <xf numFmtId="0" fontId="23" fillId="0" borderId="25" xfId="0" applyFont="1" applyBorder="1" applyAlignment="1">
      <alignment horizontal="justify" vertical="distributed"/>
    </xf>
    <xf numFmtId="3" fontId="20" fillId="8" borderId="19" xfId="0" applyNumberFormat="1" applyFont="1" applyFill="1" applyBorder="1" applyAlignment="1">
      <alignment horizontal="right" vertical="distributed"/>
    </xf>
    <xf numFmtId="0" fontId="20" fillId="8" borderId="17" xfId="0" applyFont="1" applyFill="1" applyBorder="1" applyAlignment="1">
      <alignment horizontal="justify" vertical="distributed"/>
    </xf>
    <xf numFmtId="168" fontId="20" fillId="8" borderId="19" xfId="0" applyNumberFormat="1" applyFont="1" applyFill="1" applyBorder="1" applyAlignment="1">
      <alignment horizontal="justify" vertical="distributed"/>
    </xf>
    <xf numFmtId="0" fontId="20" fillId="8" borderId="7" xfId="0" applyFont="1" applyFill="1" applyBorder="1" applyAlignment="1">
      <alignment horizontal="justify" vertical="distributed"/>
    </xf>
    <xf numFmtId="0" fontId="19" fillId="12" borderId="19" xfId="0" applyFont="1" applyFill="1" applyBorder="1" applyAlignment="1">
      <alignment horizontal="center" vertical="distributed"/>
    </xf>
    <xf numFmtId="3" fontId="19" fillId="12" borderId="19" xfId="0" applyNumberFormat="1" applyFont="1" applyFill="1" applyBorder="1" applyAlignment="1">
      <alignment horizontal="right" vertical="distributed"/>
    </xf>
    <xf numFmtId="0" fontId="20" fillId="0" borderId="14" xfId="0" applyFont="1" applyBorder="1" applyAlignment="1">
      <alignment horizontal="right" vertical="distributed"/>
    </xf>
    <xf numFmtId="0" fontId="20" fillId="8" borderId="14" xfId="0" applyFont="1" applyFill="1" applyBorder="1" applyAlignment="1">
      <alignment horizontal="justify" vertical="distributed"/>
    </xf>
    <xf numFmtId="0" fontId="23" fillId="8" borderId="14" xfId="0" applyFont="1" applyFill="1" applyBorder="1" applyAlignment="1">
      <alignment horizontal="justify" vertical="distributed"/>
    </xf>
    <xf numFmtId="0" fontId="23" fillId="8" borderId="19" xfId="0" applyFont="1" applyFill="1" applyBorder="1" applyAlignment="1">
      <alignment wrapText="1"/>
    </xf>
    <xf numFmtId="0" fontId="20" fillId="8" borderId="0" xfId="0" applyFont="1" applyFill="1" applyAlignment="1">
      <alignment horizontal="justify" vertical="distributed"/>
    </xf>
    <xf numFmtId="0" fontId="19" fillId="13" borderId="26" xfId="0" applyFont="1" applyFill="1" applyBorder="1">
      <alignment vertical="center"/>
    </xf>
    <xf numFmtId="0" fontId="19" fillId="13" borderId="18" xfId="0" applyFont="1" applyFill="1" applyBorder="1">
      <alignment vertical="center"/>
    </xf>
    <xf numFmtId="0" fontId="19" fillId="13" borderId="27" xfId="0" applyFont="1" applyFill="1" applyBorder="1" applyAlignment="1">
      <alignment vertical="distributed"/>
    </xf>
    <xf numFmtId="0" fontId="19" fillId="13" borderId="27" xfId="0" applyFont="1" applyFill="1" applyBorder="1" applyAlignment="1">
      <alignment horizontal="center" vertical="distributed"/>
    </xf>
    <xf numFmtId="0" fontId="20" fillId="8" borderId="7" xfId="0" applyFont="1" applyFill="1" applyBorder="1">
      <alignment vertical="center"/>
    </xf>
    <xf numFmtId="0" fontId="20" fillId="8" borderId="19" xfId="0" applyFont="1" applyFill="1" applyBorder="1" applyAlignment="1">
      <alignment vertical="distributed"/>
    </xf>
    <xf numFmtId="0" fontId="19" fillId="8" borderId="19" xfId="0" applyFont="1" applyFill="1" applyBorder="1" applyAlignment="1">
      <alignment horizontal="center" vertical="distributed"/>
    </xf>
    <xf numFmtId="3" fontId="20" fillId="8" borderId="19" xfId="0" applyNumberFormat="1" applyFont="1" applyFill="1" applyBorder="1" applyAlignment="1">
      <alignment vertical="distributed"/>
    </xf>
    <xf numFmtId="0" fontId="19" fillId="8" borderId="19" xfId="0" applyFont="1" applyFill="1" applyBorder="1" applyAlignment="1">
      <alignment vertical="distributed"/>
    </xf>
    <xf numFmtId="3" fontId="19" fillId="12" borderId="19" xfId="0" applyNumberFormat="1" applyFont="1" applyFill="1" applyBorder="1" applyAlignment="1">
      <alignment horizontal="center" vertical="distributed"/>
    </xf>
    <xf numFmtId="0" fontId="19" fillId="12" borderId="7" xfId="0" applyFont="1" applyFill="1" applyBorder="1" applyAlignment="1">
      <alignment horizontal="justify" vertical="distributed"/>
    </xf>
    <xf numFmtId="0" fontId="19" fillId="14" borderId="27" xfId="0" applyFont="1" applyFill="1" applyBorder="1" applyAlignment="1">
      <alignment horizontal="left" vertical="distributed"/>
    </xf>
    <xf numFmtId="3" fontId="19" fillId="14" borderId="19" xfId="0" applyNumberFormat="1" applyFont="1" applyFill="1" applyBorder="1" applyAlignment="1">
      <alignment horizontal="center" vertical="distributed"/>
    </xf>
    <xf numFmtId="0" fontId="19" fillId="8" borderId="19" xfId="0" applyFont="1" applyFill="1" applyBorder="1" applyAlignment="1">
      <alignment horizontal="justify" vertical="distributed"/>
    </xf>
    <xf numFmtId="0" fontId="19" fillId="8" borderId="19" xfId="0" applyFont="1" applyFill="1" applyBorder="1" applyAlignment="1">
      <alignment horizontal="left" vertical="center" wrapText="1"/>
    </xf>
    <xf numFmtId="0" fontId="19" fillId="8" borderId="27" xfId="0" applyFont="1" applyFill="1" applyBorder="1" applyAlignment="1">
      <alignment horizontal="justify" vertical="distributed"/>
    </xf>
    <xf numFmtId="0" fontId="19" fillId="8" borderId="7" xfId="0" applyFont="1" applyFill="1" applyBorder="1" applyAlignment="1">
      <alignment horizontal="justify" vertical="distributed"/>
    </xf>
    <xf numFmtId="0" fontId="1" fillId="0" borderId="0" xfId="0" applyFont="1" applyAlignment="1"/>
    <xf numFmtId="0" fontId="2" fillId="0" borderId="0" xfId="0" applyFont="1" applyAlignment="1"/>
    <xf numFmtId="3" fontId="15" fillId="15" borderId="10" xfId="0" applyNumberFormat="1" applyFont="1" applyFill="1" applyBorder="1" applyAlignment="1" applyProtection="1">
      <protection locked="0"/>
    </xf>
    <xf numFmtId="3" fontId="15" fillId="15" borderId="10" xfId="0" applyNumberFormat="1" applyFont="1" applyFill="1" applyBorder="1" applyAlignment="1" applyProtection="1">
      <alignment horizontal="right"/>
      <protection locked="0"/>
    </xf>
    <xf numFmtId="3" fontId="15" fillId="15" borderId="10" xfId="0" quotePrefix="1" applyNumberFormat="1" applyFont="1" applyFill="1" applyBorder="1" applyAlignment="1" applyProtection="1">
      <alignment horizontal="right"/>
      <protection locked="0"/>
    </xf>
    <xf numFmtId="3" fontId="15" fillId="15" borderId="32" xfId="0" applyNumberFormat="1" applyFont="1" applyFill="1" applyBorder="1" applyAlignment="1" applyProtection="1">
      <alignment horizontal="right"/>
      <protection locked="0"/>
    </xf>
    <xf numFmtId="3" fontId="15" fillId="15" borderId="32" xfId="0" quotePrefix="1" applyNumberFormat="1" applyFont="1" applyFill="1" applyBorder="1" applyAlignment="1" applyProtection="1">
      <alignment horizontal="right"/>
      <protection locked="0"/>
    </xf>
    <xf numFmtId="49" fontId="15" fillId="15" borderId="32" xfId="0" quotePrefix="1" applyNumberFormat="1" applyFont="1" applyFill="1" applyBorder="1" applyAlignment="1" applyProtection="1">
      <alignment horizontal="right"/>
      <protection locked="0"/>
    </xf>
    <xf numFmtId="49" fontId="15" fillId="15" borderId="0" xfId="0" quotePrefix="1" applyNumberFormat="1" applyFont="1" applyFill="1" applyBorder="1" applyAlignment="1" applyProtection="1">
      <alignment horizontal="right"/>
      <protection locked="0"/>
    </xf>
    <xf numFmtId="0" fontId="1" fillId="0" borderId="0" xfId="0" applyFont="1" applyFill="1" applyAlignment="1"/>
    <xf numFmtId="3" fontId="9" fillId="2" borderId="10" xfId="0" applyNumberFormat="1" applyFont="1" applyFill="1" applyBorder="1" applyAlignment="1">
      <alignment horizontal="right" vertical="center" wrapText="1"/>
    </xf>
    <xf numFmtId="3" fontId="3" fillId="16" borderId="10" xfId="0" applyNumberFormat="1" applyFont="1" applyFill="1" applyBorder="1" applyAlignment="1" applyProtection="1">
      <alignment wrapText="1"/>
      <protection locked="0"/>
    </xf>
    <xf numFmtId="3" fontId="3" fillId="16" borderId="10" xfId="0" applyNumberFormat="1" applyFont="1" applyFill="1" applyBorder="1" applyAlignment="1" applyProtection="1">
      <protection locked="0"/>
    </xf>
    <xf numFmtId="3" fontId="3" fillId="16" borderId="10" xfId="0" applyNumberFormat="1" applyFont="1" applyFill="1" applyBorder="1" applyAlignment="1" applyProtection="1">
      <alignment horizontal="right" wrapText="1"/>
      <protection locked="0"/>
    </xf>
    <xf numFmtId="3" fontId="9" fillId="16" borderId="10" xfId="0" applyNumberFormat="1" applyFont="1" applyFill="1" applyBorder="1" applyAlignment="1" applyProtection="1">
      <alignment horizontal="right" wrapText="1"/>
      <protection locked="0"/>
    </xf>
    <xf numFmtId="3" fontId="3" fillId="0" borderId="0" xfId="0" applyNumberFormat="1" applyFont="1" applyFill="1" applyBorder="1" applyAlignment="1" applyProtection="1">
      <protection locked="0"/>
    </xf>
    <xf numFmtId="3" fontId="3" fillId="0" borderId="10" xfId="0" applyNumberFormat="1" applyFont="1" applyFill="1" applyBorder="1" applyAlignment="1" applyProtection="1">
      <alignment horizontal="right"/>
      <protection locked="0"/>
    </xf>
    <xf numFmtId="3" fontId="3" fillId="0" borderId="17" xfId="0" applyNumberFormat="1" applyFont="1" applyFill="1" applyBorder="1" applyAlignment="1" applyProtection="1">
      <protection locked="0"/>
    </xf>
    <xf numFmtId="3" fontId="3" fillId="16" borderId="10" xfId="0" applyNumberFormat="1" applyFont="1" applyFill="1" applyBorder="1" applyAlignment="1" applyProtection="1">
      <alignment horizontal="right"/>
      <protection locked="0"/>
    </xf>
    <xf numFmtId="3" fontId="1" fillId="0" borderId="0" xfId="0" applyNumberFormat="1" applyFont="1" applyAlignment="1"/>
    <xf numFmtId="3" fontId="24" fillId="0" borderId="0" xfId="0" applyNumberFormat="1" applyFont="1" applyAlignment="1"/>
    <xf numFmtId="3" fontId="28" fillId="0" borderId="0" xfId="0" applyNumberFormat="1" applyFont="1" applyAlignment="1">
      <alignment horizontal="right"/>
    </xf>
    <xf numFmtId="3" fontId="28" fillId="0" borderId="0" xfId="0" applyNumberFormat="1" applyFont="1" applyAlignment="1"/>
    <xf numFmtId="3" fontId="29" fillId="0" borderId="0" xfId="0" applyNumberFormat="1" applyFont="1" applyAlignment="1"/>
    <xf numFmtId="3" fontId="25" fillId="0" borderId="0" xfId="0" quotePrefix="1" applyNumberFormat="1" applyFont="1" applyAlignment="1"/>
    <xf numFmtId="0" fontId="29" fillId="0" borderId="0" xfId="0" applyFont="1" applyAlignment="1"/>
    <xf numFmtId="3" fontId="1" fillId="0" borderId="10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1" fontId="30" fillId="17" borderId="10" xfId="0" applyNumberFormat="1" applyFont="1" applyFill="1" applyBorder="1" applyAlignment="1">
      <alignment horizontal="center" vertical="center" wrapText="1"/>
    </xf>
    <xf numFmtId="1" fontId="31" fillId="17" borderId="10" xfId="0" applyNumberFormat="1" applyFont="1" applyFill="1" applyBorder="1" applyAlignment="1">
      <alignment horizontal="center" vertical="center" wrapText="1"/>
    </xf>
    <xf numFmtId="1" fontId="30" fillId="18" borderId="10" xfId="0" applyNumberFormat="1" applyFont="1" applyFill="1" applyBorder="1" applyAlignment="1">
      <alignment horizontal="center" vertical="center" wrapText="1"/>
    </xf>
    <xf numFmtId="1" fontId="31" fillId="18" borderId="10" xfId="0" applyNumberFormat="1" applyFont="1" applyFill="1" applyBorder="1" applyAlignment="1">
      <alignment horizontal="center" vertical="center" wrapText="1"/>
    </xf>
    <xf numFmtId="1" fontId="30" fillId="20" borderId="10" xfId="0" applyNumberFormat="1" applyFont="1" applyFill="1" applyBorder="1" applyAlignment="1">
      <alignment horizontal="center" vertical="center" wrapText="1"/>
    </xf>
    <xf numFmtId="1" fontId="31" fillId="20" borderId="10" xfId="0" applyNumberFormat="1" applyFont="1" applyFill="1" applyBorder="1" applyAlignment="1">
      <alignment horizontal="center" vertical="center" wrapText="1"/>
    </xf>
    <xf numFmtId="1" fontId="30" fillId="0" borderId="10" xfId="0" applyNumberFormat="1" applyFont="1" applyFill="1" applyBorder="1" applyAlignment="1">
      <alignment horizontal="center" vertical="center" wrapText="1"/>
    </xf>
    <xf numFmtId="1" fontId="30" fillId="19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3" fontId="25" fillId="0" borderId="10" xfId="0" applyNumberFormat="1" applyFont="1" applyFill="1" applyBorder="1" applyAlignment="1"/>
    <xf numFmtId="3" fontId="1" fillId="17" borderId="10" xfId="0" applyNumberFormat="1" applyFont="1" applyFill="1" applyBorder="1" applyAlignment="1"/>
    <xf numFmtId="3" fontId="2" fillId="17" borderId="10" xfId="0" applyNumberFormat="1" applyFont="1" applyFill="1" applyBorder="1" applyAlignment="1"/>
    <xf numFmtId="3" fontId="1" fillId="18" borderId="10" xfId="0" applyNumberFormat="1" applyFont="1" applyFill="1" applyBorder="1" applyAlignment="1"/>
    <xf numFmtId="3" fontId="2" fillId="18" borderId="10" xfId="0" applyNumberFormat="1" applyFont="1" applyFill="1" applyBorder="1" applyAlignment="1"/>
    <xf numFmtId="3" fontId="1" fillId="20" borderId="10" xfId="0" applyNumberFormat="1" applyFont="1" applyFill="1" applyBorder="1" applyAlignment="1"/>
    <xf numFmtId="3" fontId="2" fillId="20" borderId="10" xfId="0" applyNumberFormat="1" applyFont="1" applyFill="1" applyBorder="1" applyAlignment="1"/>
    <xf numFmtId="3" fontId="1" fillId="0" borderId="10" xfId="0" applyNumberFormat="1" applyFont="1" applyBorder="1" applyAlignment="1"/>
    <xf numFmtId="3" fontId="1" fillId="19" borderId="10" xfId="0" applyNumberFormat="1" applyFont="1" applyFill="1" applyBorder="1" applyAlignment="1"/>
    <xf numFmtId="3" fontId="25" fillId="0" borderId="10" xfId="0" quotePrefix="1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left" vertical="center" wrapText="1"/>
    </xf>
    <xf numFmtId="3" fontId="27" fillId="0" borderId="10" xfId="0" applyNumberFormat="1" applyFont="1" applyFill="1" applyBorder="1" applyAlignment="1"/>
    <xf numFmtId="0" fontId="2" fillId="0" borderId="10" xfId="0" applyFont="1" applyBorder="1" applyAlignment="1"/>
    <xf numFmtId="3" fontId="2" fillId="0" borderId="10" xfId="0" applyNumberFormat="1" applyFont="1" applyFill="1" applyBorder="1" applyAlignment="1"/>
    <xf numFmtId="3" fontId="2" fillId="19" borderId="10" xfId="0" applyNumberFormat="1" applyFont="1" applyFill="1" applyBorder="1" applyAlignment="1"/>
    <xf numFmtId="3" fontId="2" fillId="0" borderId="10" xfId="0" applyNumberFormat="1" applyFont="1" applyBorder="1" applyAlignment="1"/>
    <xf numFmtId="3" fontId="25" fillId="0" borderId="0" xfId="0" applyNumberFormat="1" applyFont="1" applyAlignment="1"/>
    <xf numFmtId="1" fontId="1" fillId="0" borderId="0" xfId="0" applyNumberFormat="1" applyFont="1" applyAlignment="1"/>
    <xf numFmtId="0" fontId="1" fillId="0" borderId="0" xfId="0" applyFont="1" applyAlignment="1">
      <alignment horizontal="right"/>
    </xf>
    <xf numFmtId="167" fontId="1" fillId="0" borderId="0" xfId="1" applyNumberFormat="1" applyFont="1" applyAlignment="1" applyProtection="1"/>
    <xf numFmtId="43" fontId="1" fillId="0" borderId="0" xfId="1" applyFont="1" applyAlignment="1" applyProtection="1"/>
    <xf numFmtId="164" fontId="1" fillId="0" borderId="0" xfId="0" applyNumberFormat="1" applyFont="1" applyAlignment="1"/>
    <xf numFmtId="3" fontId="3" fillId="4" borderId="10" xfId="0" applyNumberFormat="1" applyFont="1" applyFill="1" applyBorder="1" applyAlignment="1" applyProtection="1">
      <alignment wrapText="1"/>
      <protection locked="0"/>
    </xf>
    <xf numFmtId="1" fontId="2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/>
    <xf numFmtId="0" fontId="1" fillId="2" borderId="10" xfId="0" applyFont="1" applyFill="1" applyBorder="1" applyAlignment="1"/>
    <xf numFmtId="0" fontId="2" fillId="2" borderId="10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7" xfId="0" applyFont="1" applyFill="1" applyBorder="1" applyAlignment="1">
      <alignment horizontal="left" vertical="center" wrapText="1"/>
    </xf>
    <xf numFmtId="3" fontId="1" fillId="4" borderId="10" xfId="0" applyNumberFormat="1" applyFont="1" applyFill="1" applyBorder="1" applyAlignment="1">
      <alignment horizontal="right" vertical="center" wrapText="1"/>
    </xf>
    <xf numFmtId="3" fontId="1" fillId="4" borderId="10" xfId="0" applyNumberFormat="1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center" vertical="center"/>
    </xf>
    <xf numFmtId="3" fontId="1" fillId="4" borderId="10" xfId="0" applyNumberFormat="1" applyFont="1" applyFill="1" applyBorder="1" applyAlignment="1">
      <alignment horizontal="right" vertical="center" wrapText="1"/>
    </xf>
    <xf numFmtId="0" fontId="1" fillId="21" borderId="0" xfId="0" applyFont="1" applyFill="1" applyAlignment="1">
      <alignment horizontal="center" vertical="center" wrapText="1"/>
    </xf>
    <xf numFmtId="0" fontId="1" fillId="21" borderId="7" xfId="0" applyFont="1" applyFill="1" applyBorder="1" applyAlignment="1">
      <alignment horizontal="center" vertical="center"/>
    </xf>
    <xf numFmtId="0" fontId="1" fillId="21" borderId="7" xfId="0" applyFont="1" applyFill="1" applyBorder="1" applyAlignment="1" applyProtection="1">
      <alignment horizontal="left" vertical="center" wrapText="1"/>
      <protection locked="0"/>
    </xf>
    <xf numFmtId="0" fontId="30" fillId="21" borderId="10" xfId="0" applyFont="1" applyFill="1" applyBorder="1" applyAlignment="1">
      <alignment horizontal="left" vertical="center" wrapText="1" indent="2"/>
    </xf>
    <xf numFmtId="3" fontId="30" fillId="21" borderId="10" xfId="0" applyNumberFormat="1" applyFont="1" applyFill="1" applyBorder="1" applyAlignment="1">
      <alignment horizontal="right" vertical="center" wrapText="1"/>
    </xf>
    <xf numFmtId="3" fontId="30" fillId="21" borderId="10" xfId="0" applyNumberFormat="1" applyFont="1" applyFill="1" applyBorder="1" applyAlignment="1">
      <alignment horizontal="center" vertical="center" wrapText="1"/>
    </xf>
    <xf numFmtId="3" fontId="1" fillId="21" borderId="7" xfId="0" applyNumberFormat="1" applyFont="1" applyFill="1" applyBorder="1" applyAlignment="1" applyProtection="1">
      <alignment horizontal="left" vertical="center" wrapText="1"/>
      <protection locked="0"/>
    </xf>
    <xf numFmtId="0" fontId="1" fillId="21" borderId="0" xfId="0" applyFont="1" applyFill="1" applyAlignment="1"/>
    <xf numFmtId="0" fontId="1" fillId="22" borderId="10" xfId="0" applyFont="1" applyFill="1" applyBorder="1" applyAlignment="1"/>
    <xf numFmtId="0" fontId="2" fillId="22" borderId="10" xfId="0" applyFont="1" applyFill="1" applyBorder="1" applyAlignment="1">
      <alignment horizontal="center"/>
    </xf>
    <xf numFmtId="4" fontId="1" fillId="0" borderId="0" xfId="0" applyNumberFormat="1" applyFont="1" applyAlignment="1"/>
    <xf numFmtId="0" fontId="2" fillId="23" borderId="10" xfId="0" applyFont="1" applyFill="1" applyBorder="1" applyAlignment="1"/>
    <xf numFmtId="3" fontId="1" fillId="23" borderId="10" xfId="0" applyNumberFormat="1" applyFont="1" applyFill="1" applyBorder="1" applyAlignment="1">
      <alignment horizontal="right"/>
    </xf>
    <xf numFmtId="0" fontId="2" fillId="24" borderId="10" xfId="0" applyFont="1" applyFill="1" applyBorder="1" applyAlignment="1"/>
    <xf numFmtId="3" fontId="1" fillId="24" borderId="10" xfId="0" applyNumberFormat="1" applyFont="1" applyFill="1" applyBorder="1" applyAlignment="1">
      <alignment horizontal="right"/>
    </xf>
    <xf numFmtId="3" fontId="2" fillId="24" borderId="10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horizontal="center" vertical="center" wrapText="1"/>
    </xf>
    <xf numFmtId="0" fontId="1" fillId="0" borderId="10" xfId="0" applyFont="1" applyFill="1" applyBorder="1" applyAlignment="1"/>
    <xf numFmtId="0" fontId="1" fillId="4" borderId="16" xfId="0" applyFont="1" applyFill="1" applyBorder="1" applyAlignment="1" applyProtection="1">
      <alignment vertical="center" wrapText="1"/>
      <protection locked="0"/>
    </xf>
    <xf numFmtId="0" fontId="1" fillId="24" borderId="7" xfId="0" applyFont="1" applyFill="1" applyBorder="1" applyAlignment="1" applyProtection="1">
      <alignment horizontal="center" vertical="center" wrapText="1"/>
      <protection locked="0"/>
    </xf>
    <xf numFmtId="0" fontId="1" fillId="24" borderId="7" xfId="0" applyFont="1" applyFill="1" applyBorder="1" applyAlignment="1">
      <alignment horizontal="left" vertical="center" wrapText="1"/>
    </xf>
    <xf numFmtId="3" fontId="1" fillId="24" borderId="10" xfId="0" applyNumberFormat="1" applyFont="1" applyFill="1" applyBorder="1" applyAlignment="1">
      <alignment horizontal="right" vertical="center" wrapText="1"/>
    </xf>
    <xf numFmtId="3" fontId="1" fillId="24" borderId="10" xfId="0" applyNumberFormat="1" applyFont="1" applyFill="1" applyBorder="1" applyAlignment="1">
      <alignment horizontal="center" vertical="center" wrapText="1"/>
    </xf>
    <xf numFmtId="0" fontId="1" fillId="4" borderId="32" xfId="0" applyFont="1" applyFill="1" applyBorder="1" applyAlignment="1" applyProtection="1">
      <alignment vertical="center" wrapText="1"/>
      <protection locked="0"/>
    </xf>
    <xf numFmtId="0" fontId="1" fillId="23" borderId="7" xfId="0" applyFont="1" applyFill="1" applyBorder="1" applyAlignment="1" applyProtection="1">
      <alignment horizontal="center" vertical="center" wrapText="1"/>
      <protection locked="0"/>
    </xf>
    <xf numFmtId="0" fontId="1" fillId="23" borderId="10" xfId="0" applyFont="1" applyFill="1" applyBorder="1" applyAlignment="1">
      <alignment horizontal="left" vertical="center" wrapText="1"/>
    </xf>
    <xf numFmtId="3" fontId="1" fillId="23" borderId="10" xfId="0" applyNumberFormat="1" applyFont="1" applyFill="1" applyBorder="1" applyAlignment="1">
      <alignment horizontal="right" vertical="center" wrapText="1"/>
    </xf>
    <xf numFmtId="3" fontId="1" fillId="23" borderId="10" xfId="0" applyNumberFormat="1" applyFont="1" applyFill="1" applyBorder="1" applyAlignment="1">
      <alignment horizontal="center" vertical="center" wrapText="1"/>
    </xf>
    <xf numFmtId="0" fontId="1" fillId="24" borderId="7" xfId="0" applyFont="1" applyFill="1" applyBorder="1" applyAlignment="1" applyProtection="1">
      <alignment horizontal="left" vertical="center" wrapText="1"/>
      <protection locked="0"/>
    </xf>
    <xf numFmtId="0" fontId="30" fillId="23" borderId="7" xfId="0" applyFont="1" applyFill="1" applyBorder="1" applyAlignment="1" applyProtection="1">
      <alignment horizontal="center" vertical="center" wrapText="1"/>
      <protection locked="0"/>
    </xf>
    <xf numFmtId="0" fontId="30" fillId="23" borderId="10" xfId="0" applyFont="1" applyFill="1" applyBorder="1" applyAlignment="1">
      <alignment horizontal="left" vertical="center" wrapText="1" indent="2"/>
    </xf>
    <xf numFmtId="3" fontId="30" fillId="23" borderId="10" xfId="0" applyNumberFormat="1" applyFont="1" applyFill="1" applyBorder="1" applyAlignment="1">
      <alignment horizontal="right" vertical="center" wrapText="1"/>
    </xf>
    <xf numFmtId="3" fontId="30" fillId="23" borderId="10" xfId="0" applyNumberFormat="1" applyFont="1" applyFill="1" applyBorder="1" applyAlignment="1">
      <alignment horizontal="center" vertical="center" wrapText="1"/>
    </xf>
    <xf numFmtId="0" fontId="1" fillId="4" borderId="7" xfId="0" applyFont="1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 applyProtection="1">
      <alignment horizontal="left" vertical="center" wrapText="1"/>
      <protection locked="0"/>
    </xf>
    <xf numFmtId="0" fontId="33" fillId="4" borderId="10" xfId="0" applyFont="1" applyFill="1" applyBorder="1" applyAlignment="1"/>
    <xf numFmtId="0" fontId="34" fillId="4" borderId="10" xfId="0" applyFont="1" applyFill="1" applyBorder="1" applyAlignment="1">
      <alignment horizontal="center" vertical="center"/>
    </xf>
    <xf numFmtId="43" fontId="34" fillId="4" borderId="10" xfId="1" applyFont="1" applyFill="1" applyBorder="1" applyAlignment="1" applyProtection="1">
      <alignment horizontal="center" vertical="center"/>
    </xf>
    <xf numFmtId="0" fontId="35" fillId="4" borderId="10" xfId="0" applyFont="1" applyFill="1" applyBorder="1">
      <alignment vertical="center"/>
    </xf>
    <xf numFmtId="0" fontId="35" fillId="4" borderId="10" xfId="0" applyFont="1" applyFill="1" applyBorder="1" applyAlignment="1">
      <alignment horizontal="center" vertical="center"/>
    </xf>
    <xf numFmtId="43" fontId="36" fillId="4" borderId="10" xfId="1" applyFont="1" applyFill="1" applyBorder="1" applyAlignment="1" applyProtection="1">
      <alignment horizontal="center"/>
    </xf>
    <xf numFmtId="0" fontId="35" fillId="4" borderId="10" xfId="0" applyFont="1" applyFill="1" applyBorder="1" applyAlignment="1">
      <alignment vertical="center" wrapText="1"/>
    </xf>
    <xf numFmtId="43" fontId="36" fillId="4" borderId="10" xfId="1" applyFont="1" applyFill="1" applyBorder="1" applyAlignment="1" applyProtection="1">
      <alignment horizontal="center" vertical="center"/>
    </xf>
    <xf numFmtId="0" fontId="33" fillId="4" borderId="0" xfId="0" applyFont="1" applyFill="1" applyAlignment="1"/>
    <xf numFmtId="43" fontId="36" fillId="4" borderId="0" xfId="1" applyFont="1" applyFill="1" applyAlignment="1" applyProtection="1"/>
    <xf numFmtId="0" fontId="4" fillId="4" borderId="15" xfId="0" applyFont="1" applyFill="1" applyBorder="1" applyAlignment="1"/>
    <xf numFmtId="0" fontId="33" fillId="4" borderId="18" xfId="0" applyFont="1" applyFill="1" applyBorder="1" applyAlignment="1"/>
    <xf numFmtId="43" fontId="37" fillId="4" borderId="33" xfId="1" applyFont="1" applyFill="1" applyBorder="1" applyAlignment="1" applyProtection="1"/>
    <xf numFmtId="0" fontId="38" fillId="0" borderId="5" xfId="0" applyFont="1" applyBorder="1" applyAlignment="1">
      <alignment horizontal="center" vertical="center"/>
    </xf>
    <xf numFmtId="0" fontId="39" fillId="0" borderId="39" xfId="0" applyFont="1" applyBorder="1" applyAlignment="1">
      <alignment vertical="center" wrapText="1"/>
    </xf>
    <xf numFmtId="0" fontId="39" fillId="25" borderId="5" xfId="0" applyFont="1" applyFill="1" applyBorder="1">
      <alignment vertical="center"/>
    </xf>
    <xf numFmtId="0" fontId="39" fillId="0" borderId="5" xfId="0" applyFont="1" applyBorder="1" applyAlignment="1">
      <alignment vertical="center" wrapText="1"/>
    </xf>
    <xf numFmtId="3" fontId="39" fillId="0" borderId="5" xfId="0" applyNumberFormat="1" applyFont="1" applyBorder="1">
      <alignment vertical="center"/>
    </xf>
    <xf numFmtId="0" fontId="40" fillId="0" borderId="5" xfId="0" applyFont="1" applyBorder="1">
      <alignment vertical="center"/>
    </xf>
    <xf numFmtId="0" fontId="39" fillId="7" borderId="39" xfId="0" applyFont="1" applyFill="1" applyBorder="1" applyAlignment="1">
      <alignment vertical="center" wrapText="1"/>
    </xf>
    <xf numFmtId="0" fontId="39" fillId="0" borderId="5" xfId="0" applyFont="1" applyBorder="1">
      <alignment vertical="center"/>
    </xf>
    <xf numFmtId="0" fontId="39" fillId="26" borderId="5" xfId="0" applyFont="1" applyFill="1" applyBorder="1">
      <alignment vertical="center"/>
    </xf>
    <xf numFmtId="0" fontId="39" fillId="23" borderId="39" xfId="0" applyFont="1" applyFill="1" applyBorder="1" applyAlignment="1">
      <alignment vertical="center" wrapText="1"/>
    </xf>
    <xf numFmtId="0" fontId="39" fillId="4" borderId="5" xfId="0" applyFont="1" applyFill="1" applyBorder="1">
      <alignment vertical="center"/>
    </xf>
    <xf numFmtId="0" fontId="39" fillId="26" borderId="5" xfId="0" applyFont="1" applyFill="1" applyBorder="1">
      <alignment vertical="center"/>
    </xf>
    <xf numFmtId="0" fontId="2" fillId="0" borderId="10" xfId="0" applyFont="1" applyBorder="1" applyAlignment="1">
      <alignment horizontal="center"/>
    </xf>
    <xf numFmtId="3" fontId="30" fillId="0" borderId="10" xfId="0" applyNumberFormat="1" applyFont="1" applyBorder="1" applyAlignment="1">
      <alignment horizontal="left" indent="1"/>
    </xf>
    <xf numFmtId="0" fontId="41" fillId="0" borderId="33" xfId="0" applyFont="1" applyBorder="1">
      <alignment vertical="center"/>
    </xf>
    <xf numFmtId="3" fontId="41" fillId="0" borderId="37" xfId="0" applyNumberFormat="1" applyFont="1" applyBorder="1" applyAlignment="1">
      <alignment horizontal="right" vertical="center"/>
    </xf>
    <xf numFmtId="0" fontId="41" fillId="0" borderId="39" xfId="0" applyFont="1" applyBorder="1">
      <alignment vertical="center"/>
    </xf>
    <xf numFmtId="3" fontId="41" fillId="0" borderId="5" xfId="0" applyNumberFormat="1" applyFont="1" applyBorder="1" applyAlignment="1">
      <alignment horizontal="right" vertical="center"/>
    </xf>
    <xf numFmtId="170" fontId="1" fillId="0" borderId="0" xfId="0" applyNumberFormat="1" applyFont="1" applyAlignment="1"/>
    <xf numFmtId="0" fontId="42" fillId="0" borderId="39" xfId="0" applyFont="1" applyBorder="1">
      <alignment vertical="center"/>
    </xf>
    <xf numFmtId="3" fontId="42" fillId="0" borderId="5" xfId="0" applyNumberFormat="1" applyFont="1" applyBorder="1" applyAlignment="1">
      <alignment horizontal="right" vertical="center"/>
    </xf>
    <xf numFmtId="0" fontId="17" fillId="0" borderId="10" xfId="0" applyFont="1" applyFill="1" applyBorder="1" applyAlignment="1" applyProtection="1">
      <protection locked="0"/>
    </xf>
    <xf numFmtId="0" fontId="13" fillId="0" borderId="10" xfId="0" applyFont="1" applyFill="1" applyBorder="1" applyAlignment="1" applyProtection="1">
      <protection locked="0"/>
    </xf>
    <xf numFmtId="0" fontId="12" fillId="0" borderId="10" xfId="0" applyFont="1" applyFill="1" applyBorder="1" applyAlignment="1" applyProtection="1">
      <protection locked="0"/>
    </xf>
    <xf numFmtId="0" fontId="12" fillId="0" borderId="10" xfId="0" applyFont="1" applyFill="1" applyBorder="1" applyAlignment="1" applyProtection="1">
      <alignment horizontal="center"/>
      <protection locked="0"/>
    </xf>
    <xf numFmtId="0" fontId="13" fillId="0" borderId="0" xfId="0" applyFont="1" applyFill="1" applyAlignment="1"/>
    <xf numFmtId="0" fontId="8" fillId="0" borderId="10" xfId="0" applyFont="1" applyFill="1" applyBorder="1" applyAlignment="1" applyProtection="1">
      <protection locked="0"/>
    </xf>
    <xf numFmtId="3" fontId="12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/>
    <xf numFmtId="0" fontId="0" fillId="0" borderId="10" xfId="0" applyBorder="1">
      <alignment vertical="center"/>
    </xf>
    <xf numFmtId="0" fontId="0" fillId="0" borderId="10" xfId="0" applyFill="1" applyBorder="1">
      <alignment vertical="center"/>
    </xf>
    <xf numFmtId="0" fontId="13" fillId="0" borderId="10" xfId="0" applyFont="1" applyFill="1" applyBorder="1" applyAlignment="1"/>
    <xf numFmtId="3" fontId="3" fillId="0" borderId="10" xfId="0" quotePrefix="1" applyNumberFormat="1" applyFont="1" applyFill="1" applyBorder="1" applyAlignment="1" applyProtection="1">
      <protection locked="0"/>
    </xf>
    <xf numFmtId="0" fontId="3" fillId="0" borderId="10" xfId="0" applyFont="1" applyFill="1" applyBorder="1" applyAlignment="1" applyProtection="1">
      <alignment horizontal="left" wrapText="1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3" fontId="3" fillId="27" borderId="10" xfId="0" applyNumberFormat="1" applyFont="1" applyFill="1" applyBorder="1" applyAlignment="1" applyProtection="1">
      <protection locked="0"/>
    </xf>
    <xf numFmtId="0" fontId="37" fillId="0" borderId="10" xfId="0" applyFont="1" applyFill="1" applyBorder="1" applyAlignment="1" applyProtection="1">
      <alignment horizontal="center" wrapText="1"/>
      <protection locked="0"/>
    </xf>
    <xf numFmtId="3" fontId="45" fillId="0" borderId="10" xfId="0" applyNumberFormat="1" applyFont="1" applyFill="1" applyBorder="1" applyAlignment="1" applyProtection="1">
      <protection locked="0"/>
    </xf>
    <xf numFmtId="3" fontId="37" fillId="0" borderId="10" xfId="0" applyNumberFormat="1" applyFont="1" applyFill="1" applyBorder="1" applyAlignment="1" applyProtection="1">
      <alignment horizontal="right" wrapText="1"/>
      <protection locked="0"/>
    </xf>
    <xf numFmtId="3" fontId="12" fillId="5" borderId="10" xfId="0" applyNumberFormat="1" applyFont="1" applyFill="1" applyBorder="1" applyAlignment="1" applyProtection="1">
      <protection locked="0"/>
    </xf>
    <xf numFmtId="0" fontId="12" fillId="5" borderId="10" xfId="0" applyFont="1" applyFill="1" applyBorder="1" applyAlignment="1" applyProtection="1">
      <alignment horizontal="center"/>
      <protection locked="0"/>
    </xf>
    <xf numFmtId="3" fontId="46" fillId="3" borderId="10" xfId="0" applyNumberFormat="1" applyFont="1" applyFill="1" applyBorder="1" applyAlignment="1" applyProtection="1">
      <protection locked="0"/>
    </xf>
    <xf numFmtId="3" fontId="47" fillId="3" borderId="10" xfId="0" applyNumberFormat="1" applyFont="1" applyFill="1" applyBorder="1" applyAlignment="1" applyProtection="1">
      <protection locked="0"/>
    </xf>
    <xf numFmtId="3" fontId="48" fillId="3" borderId="10" xfId="0" applyNumberFormat="1" applyFont="1" applyFill="1" applyBorder="1" applyAlignment="1" applyProtection="1">
      <protection locked="0"/>
    </xf>
    <xf numFmtId="43" fontId="36" fillId="0" borderId="0" xfId="1">
      <alignment vertical="top"/>
      <protection locked="0"/>
    </xf>
    <xf numFmtId="167" fontId="36" fillId="0" borderId="0" xfId="1" applyNumberFormat="1">
      <alignment vertical="top"/>
      <protection locked="0"/>
    </xf>
    <xf numFmtId="3" fontId="0" fillId="0" borderId="10" xfId="0" applyNumberFormat="1" applyFont="1" applyFill="1" applyBorder="1" applyAlignment="1"/>
    <xf numFmtId="0" fontId="27" fillId="0" borderId="10" xfId="0" applyFont="1" applyBorder="1">
      <alignment vertical="center"/>
    </xf>
    <xf numFmtId="0" fontId="50" fillId="0" borderId="10" xfId="0" applyFont="1" applyBorder="1" applyAlignment="1">
      <alignment horizontal="right" vertical="center" wrapText="1"/>
    </xf>
    <xf numFmtId="0" fontId="27" fillId="0" borderId="15" xfId="0" applyFont="1" applyBorder="1">
      <alignment vertical="center"/>
    </xf>
    <xf numFmtId="0" fontId="0" fillId="0" borderId="15" xfId="0" applyBorder="1">
      <alignment vertical="center"/>
    </xf>
    <xf numFmtId="0" fontId="27" fillId="0" borderId="10" xfId="0" applyFont="1" applyBorder="1" applyAlignment="1">
      <alignment horizontal="right" vertical="center"/>
    </xf>
    <xf numFmtId="2" fontId="27" fillId="0" borderId="10" xfId="0" applyNumberFormat="1" applyFont="1" applyBorder="1" applyAlignment="1">
      <alignment horizontal="right" vertical="center"/>
    </xf>
    <xf numFmtId="4" fontId="3" fillId="0" borderId="10" xfId="0" applyNumberFormat="1" applyFont="1" applyFill="1" applyBorder="1" applyAlignment="1">
      <alignment horizontal="right" vertical="center" wrapText="1"/>
    </xf>
    <xf numFmtId="43" fontId="2" fillId="0" borderId="10" xfId="1" applyFont="1" applyBorder="1" applyAlignment="1">
      <alignment horizontal="right" vertical="top"/>
      <protection locked="0"/>
    </xf>
    <xf numFmtId="43" fontId="2" fillId="0" borderId="10" xfId="1" applyFont="1" applyBorder="1">
      <alignment vertical="top"/>
      <protection locked="0"/>
    </xf>
    <xf numFmtId="164" fontId="0" fillId="0" borderId="0" xfId="0" applyNumberFormat="1">
      <alignment vertical="center"/>
    </xf>
    <xf numFmtId="4" fontId="3" fillId="0" borderId="10" xfId="0" applyNumberFormat="1" applyFont="1" applyBorder="1" applyAlignment="1">
      <alignment horizontal="right" vertical="center" wrapText="1"/>
    </xf>
    <xf numFmtId="4" fontId="50" fillId="0" borderId="10" xfId="0" applyNumberFormat="1" applyFont="1" applyBorder="1" applyAlignment="1">
      <alignment horizontal="right" vertical="center" wrapText="1"/>
    </xf>
    <xf numFmtId="0" fontId="27" fillId="27" borderId="10" xfId="0" applyFont="1" applyFill="1" applyBorder="1">
      <alignment vertical="center"/>
    </xf>
    <xf numFmtId="0" fontId="0" fillId="27" borderId="10" xfId="0" applyFill="1" applyBorder="1">
      <alignment vertical="center"/>
    </xf>
    <xf numFmtId="4" fontId="2" fillId="27" borderId="10" xfId="0" applyNumberFormat="1" applyFont="1" applyFill="1" applyBorder="1">
      <alignment vertical="center"/>
    </xf>
    <xf numFmtId="43" fontId="36" fillId="27" borderId="10" xfId="1" applyFill="1" applyBorder="1">
      <alignment vertical="top"/>
      <protection locked="0"/>
    </xf>
    <xf numFmtId="43" fontId="2" fillId="27" borderId="10" xfId="1" applyFont="1" applyFill="1" applyBorder="1">
      <alignment vertical="top"/>
      <protection locked="0"/>
    </xf>
    <xf numFmtId="4" fontId="2" fillId="27" borderId="10" xfId="0" applyNumberFormat="1" applyFont="1" applyFill="1" applyBorder="1" applyAlignment="1">
      <alignment horizontal="right" vertical="center" wrapText="1"/>
    </xf>
    <xf numFmtId="0" fontId="1" fillId="27" borderId="10" xfId="0" applyFont="1" applyFill="1" applyBorder="1" applyAlignment="1">
      <alignment horizontal="right" vertical="center" wrapText="1"/>
    </xf>
    <xf numFmtId="4" fontId="51" fillId="27" borderId="10" xfId="0" applyNumberFormat="1" applyFont="1" applyFill="1" applyBorder="1" applyAlignment="1">
      <alignment horizontal="right" vertical="center" wrapText="1"/>
    </xf>
    <xf numFmtId="0" fontId="12" fillId="5" borderId="10" xfId="0" applyFont="1" applyFill="1" applyBorder="1" applyAlignment="1" applyProtection="1">
      <protection locked="0"/>
    </xf>
    <xf numFmtId="43" fontId="52" fillId="0" borderId="0" xfId="1" applyFont="1">
      <alignment vertical="top"/>
      <protection locked="0"/>
    </xf>
    <xf numFmtId="3" fontId="53" fillId="0" borderId="0" xfId="0" applyNumberFormat="1" applyFont="1" applyAlignment="1"/>
    <xf numFmtId="0" fontId="54" fillId="0" borderId="0" xfId="0" applyFont="1">
      <alignment vertical="center"/>
    </xf>
    <xf numFmtId="1" fontId="0" fillId="0" borderId="0" xfId="0" applyNumberFormat="1">
      <alignment vertical="center"/>
    </xf>
    <xf numFmtId="3" fontId="0" fillId="0" borderId="0" xfId="0" applyNumberFormat="1">
      <alignment vertical="center"/>
    </xf>
    <xf numFmtId="3" fontId="49" fillId="0" borderId="0" xfId="0" applyNumberFormat="1" applyFont="1">
      <alignment vertical="center"/>
    </xf>
    <xf numFmtId="0" fontId="33" fillId="4" borderId="5" xfId="0" applyFont="1" applyFill="1" applyBorder="1">
      <alignment vertical="center"/>
    </xf>
    <xf numFmtId="3" fontId="56" fillId="28" borderId="10" xfId="0" applyNumberFormat="1" applyFont="1" applyFill="1" applyBorder="1" applyAlignment="1" applyProtection="1">
      <protection locked="0"/>
    </xf>
    <xf numFmtId="0" fontId="56" fillId="28" borderId="0" xfId="0" applyFont="1" applyFill="1" applyAlignment="1"/>
    <xf numFmtId="3" fontId="56" fillId="28" borderId="16" xfId="0" applyNumberFormat="1" applyFont="1" applyFill="1" applyBorder="1" applyAlignment="1" applyProtection="1">
      <protection locked="0"/>
    </xf>
    <xf numFmtId="3" fontId="56" fillId="28" borderId="0" xfId="0" applyNumberFormat="1" applyFont="1" applyFill="1" applyBorder="1" applyAlignment="1" applyProtection="1">
      <protection locked="0"/>
    </xf>
    <xf numFmtId="3" fontId="11" fillId="3" borderId="15" xfId="0" applyNumberFormat="1" applyFont="1" applyFill="1" applyBorder="1" applyAlignment="1" applyProtection="1">
      <protection locked="0"/>
    </xf>
    <xf numFmtId="3" fontId="12" fillId="27" borderId="10" xfId="0" applyNumberFormat="1" applyFont="1" applyFill="1" applyBorder="1" applyAlignment="1" applyProtection="1">
      <protection locked="0"/>
    </xf>
    <xf numFmtId="3" fontId="2" fillId="0" borderId="0" xfId="0" applyNumberFormat="1" applyFont="1" applyAlignment="1"/>
    <xf numFmtId="0" fontId="55" fillId="0" borderId="27" xfId="0" applyFont="1" applyFill="1" applyBorder="1" applyAlignment="1">
      <alignment horizontal="center"/>
    </xf>
    <xf numFmtId="3" fontId="9" fillId="0" borderId="16" xfId="0" applyNumberFormat="1" applyFont="1" applyBorder="1" applyAlignment="1" applyProtection="1">
      <alignment horizontal="right" wrapText="1"/>
      <protection locked="0"/>
    </xf>
    <xf numFmtId="3" fontId="15" fillId="15" borderId="7" xfId="0" applyNumberFormat="1" applyFont="1" applyFill="1" applyBorder="1" applyAlignment="1" applyProtection="1">
      <protection locked="0"/>
    </xf>
    <xf numFmtId="3" fontId="9" fillId="0" borderId="0" xfId="0" applyNumberFormat="1" applyFont="1" applyFill="1" applyBorder="1" applyAlignment="1" applyProtection="1">
      <alignment horizontal="right" wrapText="1"/>
      <protection locked="0"/>
    </xf>
    <xf numFmtId="3" fontId="9" fillId="0" borderId="40" xfId="0" applyNumberFormat="1" applyFont="1" applyFill="1" applyBorder="1" applyAlignment="1" applyProtection="1">
      <alignment horizontal="right" wrapText="1"/>
      <protection locked="0"/>
    </xf>
    <xf numFmtId="3" fontId="15" fillId="0" borderId="40" xfId="0" applyNumberFormat="1" applyFont="1" applyFill="1" applyBorder="1" applyAlignment="1" applyProtection="1">
      <protection locked="0"/>
    </xf>
    <xf numFmtId="3" fontId="9" fillId="0" borderId="27" xfId="0" applyNumberFormat="1" applyFont="1" applyFill="1" applyBorder="1" applyAlignment="1" applyProtection="1">
      <alignment horizontal="right" wrapText="1"/>
      <protection locked="0"/>
    </xf>
    <xf numFmtId="3" fontId="15" fillId="0" borderId="27" xfId="0" applyNumberFormat="1" applyFont="1" applyFill="1" applyBorder="1" applyAlignment="1" applyProtection="1">
      <protection locked="0"/>
    </xf>
    <xf numFmtId="43" fontId="57" fillId="0" borderId="0" xfId="1" applyFont="1" applyFill="1" applyAlignment="1" applyProtection="1"/>
    <xf numFmtId="43" fontId="0" fillId="0" borderId="0" xfId="1" applyFont="1" applyFill="1" applyAlignment="1" applyProtection="1"/>
    <xf numFmtId="43" fontId="0" fillId="0" borderId="0" xfId="0" applyNumberFormat="1" applyFill="1" applyAlignment="1"/>
    <xf numFmtId="0" fontId="58" fillId="0" borderId="0" xfId="0" applyFont="1">
      <alignment vertical="center"/>
    </xf>
    <xf numFmtId="164" fontId="13" fillId="0" borderId="0" xfId="0" applyNumberFormat="1" applyFont="1" applyAlignment="1"/>
    <xf numFmtId="0" fontId="0" fillId="0" borderId="0" xfId="0" applyAlignment="1"/>
    <xf numFmtId="0" fontId="27" fillId="0" borderId="0" xfId="0" applyFont="1">
      <alignment vertical="center"/>
    </xf>
    <xf numFmtId="0" fontId="27" fillId="0" borderId="0" xfId="0" applyFont="1" applyAlignment="1"/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43" fontId="0" fillId="0" borderId="0" xfId="0" applyNumberFormat="1">
      <alignment vertical="center"/>
    </xf>
    <xf numFmtId="164" fontId="26" fillId="0" borderId="0" xfId="0" applyNumberFormat="1" applyFont="1" applyAlignment="1"/>
    <xf numFmtId="3" fontId="3" fillId="29" borderId="10" xfId="0" applyNumberFormat="1" applyFont="1" applyFill="1" applyBorder="1" applyAlignment="1" applyProtection="1">
      <protection locked="0"/>
    </xf>
    <xf numFmtId="0" fontId="3" fillId="27" borderId="10" xfId="0" applyFont="1" applyFill="1" applyBorder="1" applyAlignment="1"/>
    <xf numFmtId="3" fontId="13" fillId="27" borderId="10" xfId="0" applyNumberFormat="1" applyFont="1" applyFill="1" applyBorder="1" applyAlignment="1" applyProtection="1">
      <protection locked="0"/>
    </xf>
    <xf numFmtId="0" fontId="3" fillId="27" borderId="0" xfId="0" applyFont="1" applyFill="1" applyAlignment="1"/>
    <xf numFmtId="167" fontId="55" fillId="27" borderId="10" xfId="1" applyNumberFormat="1" applyFont="1" applyFill="1" applyBorder="1">
      <alignment vertical="top"/>
      <protection locked="0"/>
    </xf>
    <xf numFmtId="167" fontId="36" fillId="29" borderId="10" xfId="1" applyNumberFormat="1" applyFill="1" applyBorder="1">
      <alignment vertical="top"/>
      <protection locked="0"/>
    </xf>
    <xf numFmtId="0" fontId="12" fillId="8" borderId="10" xfId="0" applyFont="1" applyFill="1" applyBorder="1" applyAlignment="1">
      <alignment horizontal="left" indent="1"/>
    </xf>
    <xf numFmtId="3" fontId="66" fillId="3" borderId="10" xfId="0" applyNumberFormat="1" applyFont="1" applyFill="1" applyBorder="1" applyAlignment="1" applyProtection="1">
      <protection locked="0"/>
    </xf>
    <xf numFmtId="3" fontId="3" fillId="30" borderId="10" xfId="0" applyNumberFormat="1" applyFont="1" applyFill="1" applyBorder="1" applyAlignment="1" applyProtection="1">
      <protection locked="0"/>
    </xf>
    <xf numFmtId="3" fontId="3" fillId="30" borderId="17" xfId="0" applyNumberFormat="1" applyFont="1" applyFill="1" applyBorder="1" applyAlignment="1" applyProtection="1">
      <protection locked="0"/>
    </xf>
    <xf numFmtId="3" fontId="3" fillId="30" borderId="7" xfId="0" applyNumberFormat="1" applyFont="1" applyFill="1" applyBorder="1" applyAlignment="1" applyProtection="1">
      <protection locked="0"/>
    </xf>
    <xf numFmtId="3" fontId="3" fillId="30" borderId="19" xfId="0" applyNumberFormat="1" applyFont="1" applyFill="1" applyBorder="1" applyAlignment="1" applyProtection="1">
      <protection locked="0"/>
    </xf>
    <xf numFmtId="167" fontId="36" fillId="27" borderId="0" xfId="1" applyNumberFormat="1" applyFill="1">
      <alignment vertical="top"/>
      <protection locked="0"/>
    </xf>
    <xf numFmtId="0" fontId="12" fillId="4" borderId="10" xfId="0" applyFont="1" applyFill="1" applyBorder="1" applyAlignment="1">
      <alignment horizontal="left" wrapText="1" indent="1"/>
    </xf>
    <xf numFmtId="167" fontId="55" fillId="27" borderId="0" xfId="1" applyNumberFormat="1" applyFont="1" applyFill="1">
      <alignment vertical="top"/>
      <protection locked="0"/>
    </xf>
    <xf numFmtId="43" fontId="36" fillId="27" borderId="0" xfId="1" applyFill="1" applyAlignment="1">
      <protection locked="0"/>
    </xf>
    <xf numFmtId="0" fontId="15" fillId="0" borderId="0" xfId="0" applyFont="1" applyAlignment="1"/>
    <xf numFmtId="0" fontId="45" fillId="0" borderId="0" xfId="0" applyFont="1">
      <alignment vertical="center"/>
    </xf>
    <xf numFmtId="167" fontId="4" fillId="0" borderId="0" xfId="1" applyNumberFormat="1" applyFont="1">
      <alignment vertical="top"/>
      <protection locked="0"/>
    </xf>
    <xf numFmtId="167" fontId="45" fillId="0" borderId="0" xfId="0" applyNumberFormat="1" applyFont="1">
      <alignment vertical="center"/>
    </xf>
    <xf numFmtId="0" fontId="45" fillId="0" borderId="0" xfId="0" applyFont="1" applyAlignment="1">
      <alignment horizontal="right" vertical="center"/>
    </xf>
    <xf numFmtId="164" fontId="52" fillId="0" borderId="0" xfId="0" applyNumberFormat="1" applyFont="1">
      <alignment vertical="center"/>
    </xf>
    <xf numFmtId="0" fontId="58" fillId="0" borderId="10" xfId="0" applyFont="1" applyBorder="1">
      <alignment vertical="center"/>
    </xf>
    <xf numFmtId="0" fontId="45" fillId="0" borderId="10" xfId="0" applyFont="1" applyBorder="1">
      <alignment vertical="center"/>
    </xf>
    <xf numFmtId="0" fontId="45" fillId="0" borderId="10" xfId="0" applyFont="1" applyBorder="1" applyAlignment="1">
      <alignment horizontal="right" vertical="center"/>
    </xf>
    <xf numFmtId="164" fontId="0" fillId="0" borderId="10" xfId="0" applyNumberFormat="1" applyBorder="1">
      <alignment vertical="center"/>
    </xf>
    <xf numFmtId="43" fontId="36" fillId="0" borderId="10" xfId="1" applyBorder="1">
      <alignment vertical="top"/>
      <protection locked="0"/>
    </xf>
    <xf numFmtId="0" fontId="0" fillId="0" borderId="10" xfId="0" applyFont="1" applyBorder="1">
      <alignment vertical="center"/>
    </xf>
    <xf numFmtId="171" fontId="36" fillId="0" borderId="10" xfId="1" applyNumberFormat="1" applyBorder="1">
      <alignment vertical="top"/>
      <protection locked="0"/>
    </xf>
    <xf numFmtId="43" fontId="36" fillId="0" borderId="10" xfId="1" applyBorder="1" applyAlignment="1">
      <alignment horizontal="right" vertical="top"/>
      <protection locked="0"/>
    </xf>
    <xf numFmtId="172" fontId="2" fillId="0" borderId="0" xfId="1" applyNumberFormat="1" applyFont="1">
      <alignment vertical="top"/>
      <protection locked="0"/>
    </xf>
    <xf numFmtId="173" fontId="2" fillId="0" borderId="0" xfId="1" applyNumberFormat="1" applyFont="1">
      <alignment vertical="top"/>
      <protection locked="0"/>
    </xf>
    <xf numFmtId="0" fontId="58" fillId="0" borderId="10" xfId="0" applyFont="1" applyBorder="1" applyAlignment="1">
      <alignment horizontal="right" vertical="center"/>
    </xf>
    <xf numFmtId="172" fontId="27" fillId="0" borderId="0" xfId="0" applyNumberFormat="1" applyFont="1">
      <alignment vertical="center"/>
    </xf>
    <xf numFmtId="3" fontId="48" fillId="3" borderId="10" xfId="0" quotePrefix="1" applyNumberFormat="1" applyFont="1" applyFill="1" applyBorder="1" applyAlignment="1" applyProtection="1">
      <protection locked="0"/>
    </xf>
    <xf numFmtId="43" fontId="24" fillId="0" borderId="0" xfId="1" applyFont="1">
      <alignment vertical="top"/>
      <protection locked="0"/>
    </xf>
    <xf numFmtId="0" fontId="67" fillId="29" borderId="41" xfId="0" applyFont="1" applyFill="1" applyBorder="1" applyAlignment="1">
      <alignment horizontal="justify" vertical="center"/>
    </xf>
    <xf numFmtId="0" fontId="67" fillId="29" borderId="43" xfId="0" applyFont="1" applyFill="1" applyBorder="1" applyAlignment="1">
      <alignment horizontal="justify" vertical="center"/>
    </xf>
    <xf numFmtId="0" fontId="67" fillId="29" borderId="44" xfId="0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60" fillId="31" borderId="10" xfId="0" applyFont="1" applyFill="1" applyBorder="1" applyAlignment="1">
      <alignment horizontal="center" vertical="center" wrapText="1"/>
    </xf>
    <xf numFmtId="0" fontId="61" fillId="0" borderId="43" xfId="0" applyFont="1" applyBorder="1" applyAlignment="1">
      <alignment horizontal="justify" vertical="center"/>
    </xf>
    <xf numFmtId="0" fontId="61" fillId="0" borderId="10" xfId="0" applyFont="1" applyBorder="1" applyAlignment="1">
      <alignment horizontal="left" vertical="center"/>
    </xf>
    <xf numFmtId="0" fontId="61" fillId="0" borderId="10" xfId="0" applyFont="1" applyBorder="1" applyAlignment="1">
      <alignment horizontal="left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/>
    </xf>
    <xf numFmtId="0" fontId="61" fillId="0" borderId="11" xfId="0" applyFont="1" applyBorder="1" applyAlignment="1">
      <alignment horizontal="center" vertical="center"/>
    </xf>
    <xf numFmtId="0" fontId="60" fillId="33" borderId="43" xfId="0" applyFont="1" applyFill="1" applyBorder="1" applyAlignment="1">
      <alignment horizontal="justify" vertical="center"/>
    </xf>
    <xf numFmtId="0" fontId="60" fillId="33" borderId="10" xfId="0" applyFont="1" applyFill="1" applyBorder="1" applyAlignment="1">
      <alignment horizontal="left" vertical="center"/>
    </xf>
    <xf numFmtId="0" fontId="60" fillId="33" borderId="10" xfId="0" applyFont="1" applyFill="1" applyBorder="1" applyAlignment="1">
      <alignment horizontal="left" vertical="center" wrapText="1"/>
    </xf>
    <xf numFmtId="0" fontId="60" fillId="33" borderId="10" xfId="0" applyFont="1" applyFill="1" applyBorder="1" applyAlignment="1">
      <alignment horizontal="center" vertical="center"/>
    </xf>
    <xf numFmtId="0" fontId="60" fillId="0" borderId="43" xfId="0" applyFont="1" applyFill="1" applyBorder="1" applyAlignment="1">
      <alignment horizontal="justify" vertical="center"/>
    </xf>
    <xf numFmtId="0" fontId="60" fillId="0" borderId="10" xfId="0" applyFont="1" applyFill="1" applyBorder="1" applyAlignment="1">
      <alignment horizontal="left" vertical="center"/>
    </xf>
    <xf numFmtId="0" fontId="60" fillId="0" borderId="10" xfId="0" applyFont="1" applyFill="1" applyBorder="1" applyAlignment="1">
      <alignment horizontal="left" vertical="center" wrapText="1"/>
    </xf>
    <xf numFmtId="0" fontId="60" fillId="0" borderId="10" xfId="0" applyFont="1" applyFill="1" applyBorder="1" applyAlignment="1">
      <alignment horizontal="center" vertical="center" wrapText="1"/>
    </xf>
    <xf numFmtId="0" fontId="61" fillId="4" borderId="10" xfId="0" applyFont="1" applyFill="1" applyBorder="1" applyAlignment="1">
      <alignment horizontal="justify" vertical="center" wrapText="1"/>
    </xf>
    <xf numFmtId="0" fontId="61" fillId="4" borderId="10" xfId="0" applyFont="1" applyFill="1" applyBorder="1" applyAlignment="1">
      <alignment horizontal="justify" vertical="center"/>
    </xf>
    <xf numFmtId="0" fontId="61" fillId="4" borderId="10" xfId="0" applyFont="1" applyFill="1" applyBorder="1" applyAlignment="1">
      <alignment horizontal="left" vertical="center"/>
    </xf>
    <xf numFmtId="0" fontId="63" fillId="0" borderId="43" xfId="0" applyFont="1" applyBorder="1" applyAlignment="1">
      <alignment horizontal="justify" vertical="center"/>
    </xf>
    <xf numFmtId="0" fontId="63" fillId="0" borderId="10" xfId="0" applyFont="1" applyBorder="1" applyAlignment="1">
      <alignment horizontal="justify" vertical="center"/>
    </xf>
    <xf numFmtId="0" fontId="57" fillId="0" borderId="10" xfId="0" applyFont="1" applyBorder="1" applyAlignment="1">
      <alignment horizontal="center"/>
    </xf>
    <xf numFmtId="0" fontId="63" fillId="0" borderId="10" xfId="0" applyFont="1" applyBorder="1" applyAlignment="1">
      <alignment horizontal="center" vertical="center" wrapText="1"/>
    </xf>
    <xf numFmtId="0" fontId="63" fillId="4" borderId="10" xfId="0" applyFont="1" applyFill="1" applyBorder="1" applyAlignment="1">
      <alignment horizontal="center" vertical="center" wrapText="1"/>
    </xf>
    <xf numFmtId="0" fontId="63" fillId="0" borderId="11" xfId="0" applyFont="1" applyBorder="1" applyAlignment="1">
      <alignment horizontal="center" vertical="center"/>
    </xf>
    <xf numFmtId="0" fontId="60" fillId="33" borderId="10" xfId="0" applyFont="1" applyFill="1" applyBorder="1" applyAlignment="1">
      <alignment horizontal="center" vertical="center" wrapText="1"/>
    </xf>
    <xf numFmtId="0" fontId="62" fillId="0" borderId="43" xfId="0" applyFont="1" applyBorder="1" applyAlignment="1">
      <alignment horizontal="justify" vertical="center"/>
    </xf>
    <xf numFmtId="0" fontId="62" fillId="0" borderId="10" xfId="0" applyFont="1" applyBorder="1" applyAlignment="1">
      <alignment horizontal="left" vertical="center" wrapText="1"/>
    </xf>
    <xf numFmtId="0" fontId="62" fillId="0" borderId="10" xfId="0" applyFont="1" applyBorder="1" applyAlignment="1">
      <alignment horizontal="center" vertical="center"/>
    </xf>
    <xf numFmtId="0" fontId="60" fillId="34" borderId="43" xfId="0" applyFont="1" applyFill="1" applyBorder="1" applyAlignment="1">
      <alignment horizontal="justify" vertical="center"/>
    </xf>
    <xf numFmtId="0" fontId="60" fillId="34" borderId="10" xfId="0" applyFont="1" applyFill="1" applyBorder="1" applyAlignment="1">
      <alignment horizontal="left" vertical="center"/>
    </xf>
    <xf numFmtId="0" fontId="60" fillId="34" borderId="10" xfId="0" applyFont="1" applyFill="1" applyBorder="1" applyAlignment="1">
      <alignment horizontal="left" vertical="center" wrapText="1"/>
    </xf>
    <xf numFmtId="0" fontId="60" fillId="34" borderId="10" xfId="0" applyFont="1" applyFill="1" applyBorder="1" applyAlignment="1">
      <alignment horizontal="center" vertical="center"/>
    </xf>
    <xf numFmtId="0" fontId="60" fillId="35" borderId="44" xfId="0" applyFont="1" applyFill="1" applyBorder="1" applyAlignment="1">
      <alignment horizontal="justify" vertical="center"/>
    </xf>
    <xf numFmtId="0" fontId="60" fillId="35" borderId="45" xfId="0" applyFont="1" applyFill="1" applyBorder="1" applyAlignment="1">
      <alignment horizontal="left" vertical="center"/>
    </xf>
    <xf numFmtId="3" fontId="60" fillId="35" borderId="45" xfId="0" applyNumberFormat="1" applyFont="1" applyFill="1" applyBorder="1" applyAlignment="1">
      <alignment horizontal="center" vertical="center"/>
    </xf>
    <xf numFmtId="0" fontId="60" fillId="4" borderId="1" xfId="0" applyFont="1" applyFill="1" applyBorder="1" applyAlignment="1">
      <alignment horizontal="justify" vertical="center"/>
    </xf>
    <xf numFmtId="0" fontId="60" fillId="4" borderId="1" xfId="0" applyFont="1" applyFill="1" applyBorder="1" applyAlignment="1">
      <alignment horizontal="left" vertical="center"/>
    </xf>
    <xf numFmtId="0" fontId="60" fillId="4" borderId="1" xfId="0" applyFont="1" applyFill="1" applyBorder="1" applyAlignment="1">
      <alignment horizontal="center" vertical="center"/>
    </xf>
    <xf numFmtId="0" fontId="71" fillId="27" borderId="0" xfId="760" applyFont="1" applyFill="1" applyBorder="1" applyAlignment="1">
      <alignment horizontal="justify" vertical="center" wrapText="1"/>
    </xf>
    <xf numFmtId="0" fontId="71" fillId="27" borderId="0" xfId="760" applyFont="1" applyFill="1" applyBorder="1" applyAlignment="1">
      <alignment horizontal="center" vertical="center" wrapText="1"/>
    </xf>
    <xf numFmtId="0" fontId="71" fillId="27" borderId="0" xfId="760" applyFont="1" applyFill="1" applyBorder="1" applyAlignment="1">
      <alignment vertical="center" wrapText="1"/>
    </xf>
    <xf numFmtId="0" fontId="73" fillId="27" borderId="0" xfId="0" applyFont="1" applyFill="1" applyAlignment="1"/>
    <xf numFmtId="0" fontId="61" fillId="29" borderId="10" xfId="0" applyFont="1" applyFill="1" applyBorder="1" applyAlignment="1">
      <alignment horizontal="left" vertical="center" wrapText="1"/>
    </xf>
    <xf numFmtId="0" fontId="61" fillId="29" borderId="43" xfId="0" applyFont="1" applyFill="1" applyBorder="1" applyAlignment="1">
      <alignment horizontal="justify" vertical="center"/>
    </xf>
    <xf numFmtId="0" fontId="61" fillId="29" borderId="10" xfId="0" applyFont="1" applyFill="1" applyBorder="1" applyAlignment="1">
      <alignment horizontal="center" vertical="center" wrapText="1"/>
    </xf>
    <xf numFmtId="0" fontId="25" fillId="29" borderId="0" xfId="0" applyFont="1" applyFill="1">
      <alignment vertical="center"/>
    </xf>
    <xf numFmtId="0" fontId="61" fillId="29" borderId="10" xfId="0" applyFont="1" applyFill="1" applyBorder="1" applyAlignment="1">
      <alignment horizontal="left" vertical="center"/>
    </xf>
    <xf numFmtId="0" fontId="70" fillId="29" borderId="10" xfId="0" applyFont="1" applyFill="1" applyBorder="1" applyAlignment="1">
      <alignment vertical="center" wrapText="1"/>
    </xf>
    <xf numFmtId="0" fontId="62" fillId="29" borderId="43" xfId="0" applyFont="1" applyFill="1" applyBorder="1" applyAlignment="1">
      <alignment horizontal="justify" vertical="center"/>
    </xf>
    <xf numFmtId="0" fontId="62" fillId="29" borderId="10" xfId="0" applyFont="1" applyFill="1" applyBorder="1" applyAlignment="1">
      <alignment horizontal="left" vertical="center" wrapText="1"/>
    </xf>
    <xf numFmtId="0" fontId="62" fillId="29" borderId="10" xfId="0" applyFont="1" applyFill="1" applyBorder="1" applyAlignment="1">
      <alignment horizontal="center" vertical="center"/>
    </xf>
    <xf numFmtId="0" fontId="74" fillId="29" borderId="0" xfId="0" applyFont="1" applyFill="1">
      <alignment vertical="center"/>
    </xf>
    <xf numFmtId="0" fontId="0" fillId="0" borderId="0" xfId="0" applyAlignment="1">
      <alignment horizontal="center"/>
    </xf>
    <xf numFmtId="0" fontId="61" fillId="29" borderId="10" xfId="0" applyFont="1" applyFill="1" applyBorder="1" applyAlignment="1">
      <alignment horizontal="center" vertical="center"/>
    </xf>
    <xf numFmtId="0" fontId="61" fillId="4" borderId="10" xfId="0" applyFont="1" applyFill="1" applyBorder="1" applyAlignment="1">
      <alignment horizontal="center" vertical="center"/>
    </xf>
    <xf numFmtId="0" fontId="63" fillId="0" borderId="10" xfId="0" applyFont="1" applyBorder="1" applyAlignment="1">
      <alignment horizontal="center" vertical="center"/>
    </xf>
    <xf numFmtId="0" fontId="60" fillId="35" borderId="45" xfId="0" applyFont="1" applyFill="1" applyBorder="1" applyAlignment="1">
      <alignment horizontal="center" vertical="center"/>
    </xf>
    <xf numFmtId="0" fontId="61" fillId="0" borderId="11" xfId="0" applyFont="1" applyBorder="1" applyAlignment="1">
      <alignment horizontal="center" vertical="center" wrapText="1"/>
    </xf>
    <xf numFmtId="0" fontId="60" fillId="33" borderId="11" xfId="0" applyFont="1" applyFill="1" applyBorder="1" applyAlignment="1">
      <alignment horizontal="center" vertical="center"/>
    </xf>
    <xf numFmtId="0" fontId="61" fillId="29" borderId="11" xfId="0" applyFont="1" applyFill="1" applyBorder="1" applyAlignment="1">
      <alignment horizontal="center" vertical="center" wrapText="1"/>
    </xf>
    <xf numFmtId="0" fontId="61" fillId="29" borderId="11" xfId="0" applyFont="1" applyFill="1" applyBorder="1" applyAlignment="1">
      <alignment horizontal="center" vertical="center"/>
    </xf>
    <xf numFmtId="0" fontId="60" fillId="0" borderId="11" xfId="0" applyFont="1" applyFill="1" applyBorder="1" applyAlignment="1">
      <alignment horizontal="center" vertical="center" wrapText="1"/>
    </xf>
    <xf numFmtId="0" fontId="62" fillId="0" borderId="11" xfId="0" applyFont="1" applyBorder="1" applyAlignment="1">
      <alignment horizontal="center" vertical="center"/>
    </xf>
    <xf numFmtId="0" fontId="62" fillId="29" borderId="11" xfId="0" applyFont="1" applyFill="1" applyBorder="1" applyAlignment="1">
      <alignment horizontal="center" vertical="center"/>
    </xf>
    <xf numFmtId="0" fontId="60" fillId="34" borderId="11" xfId="0" applyFont="1" applyFill="1" applyBorder="1" applyAlignment="1">
      <alignment horizontal="center" vertical="center"/>
    </xf>
    <xf numFmtId="0" fontId="61" fillId="4" borderId="11" xfId="0" applyFont="1" applyFill="1" applyBorder="1" applyAlignment="1">
      <alignment horizontal="center" vertical="center"/>
    </xf>
    <xf numFmtId="0" fontId="60" fillId="35" borderId="46" xfId="0" applyFont="1" applyFill="1" applyBorder="1" applyAlignment="1">
      <alignment horizontal="center" vertical="center"/>
    </xf>
    <xf numFmtId="0" fontId="73" fillId="27" borderId="0" xfId="0" applyFont="1" applyFill="1" applyAlignment="1">
      <alignment horizontal="center"/>
    </xf>
    <xf numFmtId="43" fontId="36" fillId="0" borderId="0" xfId="1" applyAlignment="1">
      <alignment horizontal="center" vertical="top"/>
      <protection locked="0"/>
    </xf>
    <xf numFmtId="0" fontId="24" fillId="0" borderId="0" xfId="0" applyFont="1" applyAlignment="1">
      <alignment horizontal="center"/>
    </xf>
    <xf numFmtId="9" fontId="61" fillId="0" borderId="10" xfId="0" applyNumberFormat="1" applyFont="1" applyBorder="1" applyAlignment="1">
      <alignment horizontal="center" vertical="center"/>
    </xf>
    <xf numFmtId="9" fontId="61" fillId="29" borderId="10" xfId="0" applyNumberFormat="1" applyFont="1" applyFill="1" applyBorder="1" applyAlignment="1">
      <alignment horizontal="center" vertical="center"/>
    </xf>
    <xf numFmtId="9" fontId="61" fillId="0" borderId="10" xfId="0" applyNumberFormat="1" applyFont="1" applyBorder="1" applyAlignment="1">
      <alignment horizontal="center" vertical="center" wrapText="1"/>
    </xf>
    <xf numFmtId="9" fontId="62" fillId="0" borderId="10" xfId="0" applyNumberFormat="1" applyFont="1" applyBorder="1" applyAlignment="1">
      <alignment horizontal="center" vertical="center"/>
    </xf>
    <xf numFmtId="9" fontId="63" fillId="0" borderId="10" xfId="0" applyNumberFormat="1" applyFont="1" applyBorder="1" applyAlignment="1">
      <alignment horizontal="center" vertical="center"/>
    </xf>
    <xf numFmtId="9" fontId="62" fillId="29" borderId="10" xfId="0" applyNumberFormat="1" applyFont="1" applyFill="1" applyBorder="1" applyAlignment="1">
      <alignment horizontal="center" vertical="center"/>
    </xf>
    <xf numFmtId="3" fontId="63" fillId="0" borderId="10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0" fillId="33" borderId="10" xfId="0" applyNumberFormat="1" applyFont="1" applyFill="1" applyBorder="1" applyAlignment="1">
      <alignment horizontal="center" vertical="center"/>
    </xf>
    <xf numFmtId="3" fontId="61" fillId="29" borderId="10" xfId="0" applyNumberFormat="1" applyFont="1" applyFill="1" applyBorder="1" applyAlignment="1">
      <alignment horizontal="center" vertical="center"/>
    </xf>
    <xf numFmtId="3" fontId="61" fillId="0" borderId="10" xfId="0" applyNumberFormat="1" applyFont="1" applyFill="1" applyBorder="1" applyAlignment="1">
      <alignment horizontal="center" vertical="center"/>
    </xf>
    <xf numFmtId="3" fontId="62" fillId="29" borderId="10" xfId="0" applyNumberFormat="1" applyFont="1" applyFill="1" applyBorder="1" applyAlignment="1">
      <alignment horizontal="center" vertical="center"/>
    </xf>
    <xf numFmtId="3" fontId="62" fillId="0" borderId="10" xfId="0" applyNumberFormat="1" applyFont="1" applyBorder="1" applyAlignment="1">
      <alignment horizontal="center" vertical="center"/>
    </xf>
    <xf numFmtId="0" fontId="63" fillId="4" borderId="10" xfId="0" applyFont="1" applyFill="1" applyBorder="1" applyAlignment="1">
      <alignment horizontal="center" vertical="center"/>
    </xf>
    <xf numFmtId="0" fontId="67" fillId="29" borderId="43" xfId="0" applyFont="1" applyFill="1" applyBorder="1" applyAlignment="1">
      <alignment horizontal="left" vertical="center" wrapText="1"/>
    </xf>
    <xf numFmtId="4" fontId="76" fillId="0" borderId="0" xfId="0" applyNumberFormat="1" applyFont="1">
      <alignment vertical="center"/>
    </xf>
    <xf numFmtId="43" fontId="1" fillId="0" borderId="0" xfId="1" applyFont="1" applyAlignment="1">
      <alignment horizontal="right" vertical="top"/>
      <protection locked="0"/>
    </xf>
    <xf numFmtId="43" fontId="77" fillId="0" borderId="0" xfId="1" applyFont="1" applyAlignment="1">
      <alignment horizontal="right" vertical="top"/>
      <protection locked="0"/>
    </xf>
    <xf numFmtId="43" fontId="77" fillId="0" borderId="0" xfId="1" applyFont="1">
      <alignment vertical="top"/>
      <protection locked="0"/>
    </xf>
    <xf numFmtId="3" fontId="15" fillId="15" borderId="15" xfId="0" applyNumberFormat="1" applyFont="1" applyFill="1" applyBorder="1" applyAlignment="1" applyProtection="1">
      <protection locked="0"/>
    </xf>
    <xf numFmtId="3" fontId="11" fillId="3" borderId="47" xfId="0" applyNumberFormat="1" applyFont="1" applyFill="1" applyBorder="1" applyAlignment="1" applyProtection="1">
      <protection locked="0"/>
    </xf>
    <xf numFmtId="3" fontId="15" fillId="15" borderId="16" xfId="0" applyNumberFormat="1" applyFont="1" applyFill="1" applyBorder="1" applyAlignment="1" applyProtection="1">
      <alignment horizontal="right"/>
      <protection locked="0"/>
    </xf>
    <xf numFmtId="3" fontId="15" fillId="15" borderId="16" xfId="0" quotePrefix="1" applyNumberFormat="1" applyFont="1" applyFill="1" applyBorder="1" applyAlignment="1" applyProtection="1">
      <alignment horizontal="right"/>
      <protection locked="0"/>
    </xf>
    <xf numFmtId="3" fontId="1" fillId="0" borderId="10" xfId="1" applyNumberFormat="1" applyFont="1" applyBorder="1" applyAlignment="1" applyProtection="1"/>
    <xf numFmtId="167" fontId="2" fillId="0" borderId="10" xfId="1" applyNumberFormat="1" applyFont="1" applyFill="1" applyBorder="1" applyAlignment="1" applyProtection="1"/>
    <xf numFmtId="3" fontId="9" fillId="0" borderId="0" xfId="0" applyNumberFormat="1" applyFont="1" applyFill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61" fillId="0" borderId="10" xfId="0" applyFont="1" applyFill="1" applyBorder="1" applyAlignment="1">
      <alignment horizontal="justify" vertical="center"/>
    </xf>
    <xf numFmtId="0" fontId="61" fillId="0" borderId="10" xfId="0" applyFont="1" applyFill="1" applyBorder="1" applyAlignment="1">
      <alignment horizontal="justify" vertical="center" wrapText="1"/>
    </xf>
    <xf numFmtId="0" fontId="61" fillId="0" borderId="10" xfId="0" applyFont="1" applyFill="1" applyBorder="1" applyAlignment="1">
      <alignment horizontal="center" vertical="center"/>
    </xf>
    <xf numFmtId="9" fontId="61" fillId="0" borderId="10" xfId="0" applyNumberFormat="1" applyFont="1" applyFill="1" applyBorder="1" applyAlignment="1">
      <alignment horizontal="center" vertical="center"/>
    </xf>
    <xf numFmtId="0" fontId="61" fillId="0" borderId="11" xfId="0" applyFont="1" applyFill="1" applyBorder="1" applyAlignment="1">
      <alignment horizontal="center" vertical="center" wrapText="1"/>
    </xf>
    <xf numFmtId="0" fontId="61" fillId="0" borderId="43" xfId="0" applyFont="1" applyFill="1" applyBorder="1" applyAlignment="1">
      <alignment horizontal="justify" vertical="center"/>
    </xf>
    <xf numFmtId="0" fontId="0" fillId="0" borderId="43" xfId="0" applyBorder="1">
      <alignment vertical="center"/>
    </xf>
    <xf numFmtId="0" fontId="0" fillId="0" borderId="11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 applyProtection="1">
      <alignment horizontal="left" wrapText="1"/>
      <protection locked="0"/>
    </xf>
    <xf numFmtId="0" fontId="3" fillId="5" borderId="15" xfId="0" applyFont="1" applyFill="1" applyBorder="1" applyAlignment="1" applyProtection="1">
      <alignment horizontal="left" wrapText="1"/>
      <protection locked="0"/>
    </xf>
    <xf numFmtId="0" fontId="3" fillId="5" borderId="17" xfId="0" applyFont="1" applyFill="1" applyBorder="1" applyAlignment="1" applyProtection="1">
      <alignment horizontal="left" wrapText="1"/>
      <protection locked="0"/>
    </xf>
    <xf numFmtId="0" fontId="12" fillId="5" borderId="15" xfId="0" applyFont="1" applyFill="1" applyBorder="1" applyAlignment="1" applyProtection="1">
      <alignment horizontal="left" wrapText="1"/>
      <protection locked="0"/>
    </xf>
    <xf numFmtId="0" fontId="12" fillId="5" borderId="17" xfId="0" applyFont="1" applyFill="1" applyBorder="1" applyAlignment="1" applyProtection="1">
      <alignment horizontal="left" wrapText="1"/>
      <protection locked="0"/>
    </xf>
    <xf numFmtId="0" fontId="3" fillId="5" borderId="10" xfId="0" applyFont="1" applyFill="1" applyBorder="1" applyAlignment="1" applyProtection="1">
      <alignment horizontal="left" wrapText="1"/>
      <protection locked="0"/>
    </xf>
    <xf numFmtId="0" fontId="23" fillId="0" borderId="30" xfId="0" applyFont="1" applyBorder="1" applyAlignment="1">
      <alignment horizontal="left" vertical="center"/>
    </xf>
    <xf numFmtId="0" fontId="23" fillId="0" borderId="31" xfId="0" applyFont="1" applyBorder="1" applyAlignment="1">
      <alignment horizontal="left" vertical="center"/>
    </xf>
    <xf numFmtId="0" fontId="22" fillId="9" borderId="16" xfId="0" applyFont="1" applyFill="1" applyBorder="1" applyAlignment="1">
      <alignment horizontal="center" vertical="center" wrapText="1"/>
    </xf>
    <xf numFmtId="0" fontId="22" fillId="9" borderId="7" xfId="0" applyFont="1" applyFill="1" applyBorder="1" applyAlignment="1">
      <alignment horizontal="center" vertical="center" wrapText="1"/>
    </xf>
    <xf numFmtId="0" fontId="19" fillId="12" borderId="15" xfId="0" applyFont="1" applyFill="1" applyBorder="1" applyAlignment="1">
      <alignment horizontal="left" vertical="distributed"/>
    </xf>
    <xf numFmtId="0" fontId="19" fillId="12" borderId="28" xfId="0" applyFont="1" applyFill="1" applyBorder="1" applyAlignment="1">
      <alignment horizontal="left" vertical="distributed"/>
    </xf>
    <xf numFmtId="0" fontId="19" fillId="12" borderId="18" xfId="0" applyFont="1" applyFill="1" applyBorder="1" applyAlignment="1">
      <alignment horizontal="left" vertical="distributed"/>
    </xf>
    <xf numFmtId="0" fontId="19" fillId="14" borderId="18" xfId="0" applyFont="1" applyFill="1" applyBorder="1" applyAlignment="1">
      <alignment horizontal="left" vertical="distributed"/>
    </xf>
    <xf numFmtId="0" fontId="19" fillId="14" borderId="28" xfId="0" applyFont="1" applyFill="1" applyBorder="1" applyAlignment="1">
      <alignment horizontal="left" vertical="distributed"/>
    </xf>
    <xf numFmtId="0" fontId="19" fillId="14" borderId="29" xfId="0" applyFont="1" applyFill="1" applyBorder="1" applyAlignment="1">
      <alignment horizontal="left" vertical="distributed"/>
    </xf>
    <xf numFmtId="0" fontId="22" fillId="9" borderId="15" xfId="0" applyFont="1" applyFill="1" applyBorder="1" applyAlignment="1">
      <alignment horizontal="center" vertical="center" wrapText="1"/>
    </xf>
    <xf numFmtId="0" fontId="22" fillId="9" borderId="18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8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22" fillId="9" borderId="23" xfId="0" applyFont="1" applyFill="1" applyBorder="1" applyAlignment="1">
      <alignment horizontal="center" vertical="center" wrapText="1"/>
    </xf>
    <xf numFmtId="0" fontId="19" fillId="14" borderId="15" xfId="0" applyFont="1" applyFill="1" applyBorder="1" applyAlignment="1">
      <alignment horizontal="left" vertical="distributed"/>
    </xf>
    <xf numFmtId="0" fontId="20" fillId="0" borderId="15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justify" vertical="distributed"/>
    </xf>
    <xf numFmtId="0" fontId="20" fillId="0" borderId="18" xfId="0" applyFont="1" applyBorder="1" applyAlignment="1">
      <alignment horizontal="justify" vertical="distributed"/>
    </xf>
    <xf numFmtId="0" fontId="20" fillId="0" borderId="17" xfId="0" applyFont="1" applyBorder="1" applyAlignment="1">
      <alignment horizontal="justify" vertical="distributed"/>
    </xf>
    <xf numFmtId="0" fontId="22" fillId="9" borderId="15" xfId="0" applyFont="1" applyFill="1" applyBorder="1" applyAlignment="1">
      <alignment horizontal="justify" vertical="distributed"/>
    </xf>
    <xf numFmtId="0" fontId="22" fillId="9" borderId="18" xfId="0" applyFont="1" applyFill="1" applyBorder="1" applyAlignment="1">
      <alignment horizontal="justify" vertical="distributed"/>
    </xf>
    <xf numFmtId="0" fontId="22" fillId="9" borderId="17" xfId="0" applyFont="1" applyFill="1" applyBorder="1" applyAlignment="1">
      <alignment horizontal="justify" vertical="distributed"/>
    </xf>
    <xf numFmtId="0" fontId="19" fillId="10" borderId="20" xfId="0" applyFont="1" applyFill="1" applyBorder="1" applyAlignment="1">
      <alignment horizontal="center" vertical="center"/>
    </xf>
    <xf numFmtId="0" fontId="19" fillId="10" borderId="21" xfId="0" applyFont="1" applyFill="1" applyBorder="1" applyAlignment="1">
      <alignment horizontal="center" vertical="center"/>
    </xf>
    <xf numFmtId="0" fontId="19" fillId="10" borderId="22" xfId="0" applyFont="1" applyFill="1" applyBorder="1" applyAlignment="1">
      <alignment horizontal="center" vertical="center"/>
    </xf>
    <xf numFmtId="0" fontId="23" fillId="0" borderId="15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22" fillId="9" borderId="18" xfId="0" applyFont="1" applyFill="1" applyBorder="1" applyAlignment="1">
      <alignment horizontal="center" vertical="distributed"/>
    </xf>
    <xf numFmtId="0" fontId="22" fillId="9" borderId="17" xfId="0" applyFont="1" applyFill="1" applyBorder="1" applyAlignment="1">
      <alignment horizontal="center" vertical="distributed"/>
    </xf>
    <xf numFmtId="0" fontId="22" fillId="9" borderId="16" xfId="0" applyFont="1" applyFill="1" applyBorder="1" applyAlignment="1">
      <alignment horizontal="center" vertical="distributed"/>
    </xf>
    <xf numFmtId="0" fontId="22" fillId="9" borderId="23" xfId="0" applyFont="1" applyFill="1" applyBorder="1" applyAlignment="1">
      <alignment horizontal="center" vertical="distributed"/>
    </xf>
    <xf numFmtId="0" fontId="68" fillId="29" borderId="8" xfId="0" applyFont="1" applyFill="1" applyBorder="1" applyAlignment="1">
      <alignment horizontal="justify" vertical="top"/>
    </xf>
    <xf numFmtId="0" fontId="68" fillId="29" borderId="42" xfId="0" applyFont="1" applyFill="1" applyBorder="1" applyAlignment="1">
      <alignment horizontal="justify" vertical="top"/>
    </xf>
    <xf numFmtId="0" fontId="68" fillId="29" borderId="10" xfId="0" applyFont="1" applyFill="1" applyBorder="1" applyAlignment="1">
      <alignment horizontal="justify" vertical="top"/>
    </xf>
    <xf numFmtId="0" fontId="68" fillId="29" borderId="11" xfId="0" applyFont="1" applyFill="1" applyBorder="1" applyAlignment="1">
      <alignment horizontal="justify" vertical="top"/>
    </xf>
    <xf numFmtId="0" fontId="68" fillId="29" borderId="10" xfId="0" applyFont="1" applyFill="1" applyBorder="1" applyAlignment="1">
      <alignment horizontal="justify" vertical="top" wrapText="1"/>
    </xf>
    <xf numFmtId="0" fontId="68" fillId="29" borderId="11" xfId="0" applyFont="1" applyFill="1" applyBorder="1" applyAlignment="1">
      <alignment horizontal="justify" vertical="top" wrapText="1"/>
    </xf>
    <xf numFmtId="0" fontId="68" fillId="29" borderId="45" xfId="0" applyFont="1" applyFill="1" applyBorder="1" applyAlignment="1">
      <alignment horizontal="justify" vertical="top" wrapText="1"/>
    </xf>
    <xf numFmtId="0" fontId="68" fillId="29" borderId="46" xfId="0" applyFont="1" applyFill="1" applyBorder="1" applyAlignment="1">
      <alignment horizontal="justify" vertical="top" wrapText="1"/>
    </xf>
    <xf numFmtId="0" fontId="60" fillId="31" borderId="41" xfId="0" applyFont="1" applyFill="1" applyBorder="1" applyAlignment="1">
      <alignment horizontal="justify" vertical="center" wrapText="1"/>
    </xf>
    <xf numFmtId="0" fontId="60" fillId="31" borderId="43" xfId="0" applyFont="1" applyFill="1" applyBorder="1" applyAlignment="1">
      <alignment horizontal="justify" vertical="center" wrapText="1"/>
    </xf>
    <xf numFmtId="0" fontId="60" fillId="31" borderId="8" xfId="0" applyFont="1" applyFill="1" applyBorder="1" applyAlignment="1">
      <alignment horizontal="center" vertical="center" wrapText="1"/>
    </xf>
    <xf numFmtId="0" fontId="60" fillId="31" borderId="10" xfId="0" applyFont="1" applyFill="1" applyBorder="1" applyAlignment="1">
      <alignment horizontal="center" vertical="center" wrapText="1"/>
    </xf>
    <xf numFmtId="0" fontId="60" fillId="31" borderId="42" xfId="0" applyFont="1" applyFill="1" applyBorder="1" applyAlignment="1">
      <alignment horizontal="center" vertical="center" wrapText="1"/>
    </xf>
    <xf numFmtId="0" fontId="60" fillId="31" borderId="11" xfId="0" applyFont="1" applyFill="1" applyBorder="1" applyAlignment="1">
      <alignment horizontal="center" vertical="center" wrapText="1"/>
    </xf>
    <xf numFmtId="0" fontId="71" fillId="27" borderId="10" xfId="760" applyFont="1" applyFill="1" applyBorder="1" applyAlignment="1">
      <alignment horizontal="left" vertical="center" wrapText="1"/>
    </xf>
    <xf numFmtId="0" fontId="71" fillId="27" borderId="7" xfId="760" applyFont="1" applyFill="1" applyBorder="1" applyAlignment="1">
      <alignment horizontal="left" vertical="center" wrapText="1"/>
    </xf>
    <xf numFmtId="0" fontId="71" fillId="27" borderId="15" xfId="760" applyFont="1" applyFill="1" applyBorder="1" applyAlignment="1">
      <alignment horizontal="center" vertical="center" wrapText="1"/>
    </xf>
    <xf numFmtId="0" fontId="71" fillId="27" borderId="18" xfId="760" applyFont="1" applyFill="1" applyBorder="1" applyAlignment="1">
      <alignment horizontal="center" vertical="center" wrapText="1"/>
    </xf>
    <xf numFmtId="0" fontId="71" fillId="27" borderId="17" xfId="760" applyFont="1" applyFill="1" applyBorder="1" applyAlignment="1">
      <alignment horizontal="center" vertical="center" wrapText="1"/>
    </xf>
    <xf numFmtId="0" fontId="71" fillId="27" borderId="10" xfId="760" applyFont="1" applyFill="1" applyBorder="1" applyAlignment="1">
      <alignment vertical="center" wrapText="1"/>
    </xf>
    <xf numFmtId="0" fontId="71" fillId="27" borderId="10" xfId="760" applyFont="1" applyFill="1" applyBorder="1" applyAlignment="1">
      <alignment horizontal="center" vertical="center" wrapText="1"/>
    </xf>
    <xf numFmtId="0" fontId="60" fillId="32" borderId="43" xfId="0" applyFont="1" applyFill="1" applyBorder="1" applyAlignment="1">
      <alignment horizontal="left" vertical="center"/>
    </xf>
    <xf numFmtId="0" fontId="60" fillId="32" borderId="10" xfId="0" applyFont="1" applyFill="1" applyBorder="1" applyAlignment="1">
      <alignment horizontal="left" vertical="center"/>
    </xf>
    <xf numFmtId="0" fontId="60" fillId="32" borderId="11" xfId="0" applyFont="1" applyFill="1" applyBorder="1" applyAlignment="1">
      <alignment horizontal="left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7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18" borderId="15" xfId="0" applyFont="1" applyFill="1" applyBorder="1" applyAlignment="1">
      <alignment horizontal="center"/>
    </xf>
    <xf numFmtId="0" fontId="2" fillId="18" borderId="18" xfId="0" applyFont="1" applyFill="1" applyBorder="1" applyAlignment="1">
      <alignment horizontal="center"/>
    </xf>
    <xf numFmtId="0" fontId="2" fillId="18" borderId="17" xfId="0" applyFont="1" applyFill="1" applyBorder="1" applyAlignment="1">
      <alignment horizontal="center"/>
    </xf>
    <xf numFmtId="0" fontId="2" fillId="19" borderId="15" xfId="0" applyFont="1" applyFill="1" applyBorder="1" applyAlignment="1">
      <alignment horizontal="center"/>
    </xf>
    <xf numFmtId="0" fontId="2" fillId="19" borderId="18" xfId="0" applyFont="1" applyFill="1" applyBorder="1" applyAlignment="1">
      <alignment horizontal="center"/>
    </xf>
    <xf numFmtId="0" fontId="2" fillId="19" borderId="17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17" borderId="15" xfId="0" applyFont="1" applyFill="1" applyBorder="1" applyAlignment="1">
      <alignment horizontal="center"/>
    </xf>
    <xf numFmtId="0" fontId="2" fillId="17" borderId="18" xfId="0" applyFont="1" applyFill="1" applyBorder="1" applyAlignment="1">
      <alignment horizontal="center"/>
    </xf>
    <xf numFmtId="0" fontId="2" fillId="17" borderId="17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 applyProtection="1">
      <alignment horizontal="center" vertical="center" wrapText="1"/>
      <protection locked="0"/>
    </xf>
    <xf numFmtId="0" fontId="1" fillId="4" borderId="32" xfId="0" applyFont="1" applyFill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horizontal="center" vertical="center" wrapText="1"/>
      <protection locked="0"/>
    </xf>
    <xf numFmtId="0" fontId="32" fillId="4" borderId="15" xfId="0" applyFont="1" applyFill="1" applyBorder="1" applyAlignment="1">
      <alignment horizontal="center"/>
    </xf>
    <xf numFmtId="0" fontId="32" fillId="4" borderId="18" xfId="0" applyFont="1" applyFill="1" applyBorder="1" applyAlignment="1">
      <alignment horizontal="center"/>
    </xf>
    <xf numFmtId="0" fontId="32" fillId="4" borderId="17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3" fontId="1" fillId="0" borderId="17" xfId="0" applyNumberFormat="1" applyFont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15" xfId="0" applyNumberFormat="1" applyFont="1" applyBorder="1" applyAlignment="1">
      <alignment horizontal="left"/>
    </xf>
    <xf numFmtId="3" fontId="2" fillId="0" borderId="18" xfId="0" applyNumberFormat="1" applyFont="1" applyBorder="1" applyAlignment="1">
      <alignment horizontal="left"/>
    </xf>
    <xf numFmtId="3" fontId="2" fillId="0" borderId="17" xfId="0" applyNumberFormat="1" applyFont="1" applyBorder="1" applyAlignment="1">
      <alignment horizontal="left"/>
    </xf>
    <xf numFmtId="0" fontId="38" fillId="0" borderId="34" xfId="0" applyFont="1" applyBorder="1">
      <alignment vertical="center"/>
    </xf>
    <xf numFmtId="0" fontId="38" fillId="0" borderId="38" xfId="0" applyFont="1" applyBorder="1">
      <alignment vertical="center"/>
    </xf>
    <xf numFmtId="0" fontId="38" fillId="0" borderId="35" xfId="0" applyFont="1" applyBorder="1" applyAlignment="1">
      <alignment horizontal="center" vertical="center"/>
    </xf>
    <xf numFmtId="0" fontId="38" fillId="0" borderId="36" xfId="0" applyFont="1" applyBorder="1" applyAlignment="1">
      <alignment horizontal="center" vertical="center"/>
    </xf>
    <xf numFmtId="0" fontId="38" fillId="0" borderId="37" xfId="0" applyFont="1" applyBorder="1" applyAlignment="1">
      <alignment horizontal="center" vertical="center"/>
    </xf>
    <xf numFmtId="0" fontId="38" fillId="0" borderId="34" xfId="0" applyFont="1" applyBorder="1" applyAlignment="1">
      <alignment vertical="center" wrapText="1"/>
    </xf>
    <xf numFmtId="0" fontId="38" fillId="0" borderId="38" xfId="0" applyFont="1" applyBorder="1" applyAlignment="1">
      <alignment vertical="center" wrapText="1"/>
    </xf>
    <xf numFmtId="0" fontId="74" fillId="0" borderId="0" xfId="0" applyFont="1" applyFill="1">
      <alignment vertical="center"/>
    </xf>
    <xf numFmtId="0" fontId="62" fillId="0" borderId="43" xfId="0" applyFont="1" applyFill="1" applyBorder="1" applyAlignment="1">
      <alignment horizontal="justify" vertical="center"/>
    </xf>
    <xf numFmtId="0" fontId="62" fillId="0" borderId="10" xfId="0" applyFont="1" applyFill="1" applyBorder="1" applyAlignment="1">
      <alignment horizontal="justify" vertical="center"/>
    </xf>
    <xf numFmtId="0" fontId="62" fillId="0" borderId="10" xfId="0" applyFont="1" applyFill="1" applyBorder="1" applyAlignment="1">
      <alignment horizontal="left" vertical="center" wrapText="1"/>
    </xf>
    <xf numFmtId="0" fontId="62" fillId="0" borderId="10" xfId="0" applyFont="1" applyFill="1" applyBorder="1" applyAlignment="1">
      <alignment horizontal="center" vertical="center"/>
    </xf>
    <xf numFmtId="3" fontId="62" fillId="0" borderId="10" xfId="0" applyNumberFormat="1" applyFont="1" applyFill="1" applyBorder="1" applyAlignment="1">
      <alignment horizontal="center" vertical="center"/>
    </xf>
    <xf numFmtId="9" fontId="62" fillId="0" borderId="10" xfId="0" applyNumberFormat="1" applyFont="1" applyFill="1" applyBorder="1" applyAlignment="1">
      <alignment horizontal="center" vertical="center"/>
    </xf>
    <xf numFmtId="0" fontId="78" fillId="0" borderId="10" xfId="0" applyFont="1" applyFill="1" applyBorder="1" applyAlignment="1">
      <alignment horizontal="center" vertical="center"/>
    </xf>
    <xf numFmtId="0" fontId="62" fillId="0" borderId="10" xfId="0" applyFont="1" applyFill="1" applyBorder="1" applyAlignment="1">
      <alignment horizontal="center" vertical="center" wrapText="1"/>
    </xf>
    <xf numFmtId="0" fontId="62" fillId="0" borderId="11" xfId="0" applyFont="1" applyFill="1" applyBorder="1" applyAlignment="1">
      <alignment horizontal="center" vertical="center"/>
    </xf>
  </cellXfs>
  <cellStyles count="807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Normal" xfId="0" builtinId="0"/>
    <cellStyle name="Normal 2" xfId="76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26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28" Type="http://schemas.openxmlformats.org/officeDocument/2006/relationships/customXml" Target="../customXml/item7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7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RIBOUL/AppData/Local/Packages/Microsoft.MicrosoftEdge_8wekyb3d8bbwe/TempState/Downloads/Users/pmdnmarndr/Downloads/E/Users/pmdnmarndr/Downloads/C/Users/Harri/Desktop/PE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RIBOUL/AppData/Local/Packages/Microsoft.MicrosoftEdge_8wekyb3d8bbwe/TempState/Downloads/Users/pmdnmarndr/Downloads/E/Users/pmdnmarndr/Downloads/C/Users/ABSALON/Downloads/PMDN-II-PEP-POA-PPM-HA-L1097-mod%202_JEANROL_110916_N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listes"/>
      <sheetName val="Sheet3"/>
      <sheetName val="Sheet1"/>
    </sheetNames>
    <sheetDataSet>
      <sheetData sheetId="0"/>
      <sheetData sheetId="1">
        <row r="4">
          <cell r="O4" t="str">
            <v>Sites identifiés</v>
          </cell>
        </row>
        <row r="5">
          <cell r="O5" t="str">
            <v>DAO prêt à être publié</v>
          </cell>
        </row>
        <row r="6">
          <cell r="O6" t="str">
            <v>Réception des chantiers effectuée</v>
          </cell>
        </row>
        <row r="7">
          <cell r="O7" t="str">
            <v>Plans d'entretien des ouvrages approuvés</v>
          </cell>
        </row>
        <row r="8">
          <cell r="O8" t="str">
            <v>Menus technologiques validés</v>
          </cell>
        </row>
        <row r="9">
          <cell r="O9" t="str">
            <v>Registres établis</v>
          </cell>
        </row>
        <row r="10">
          <cell r="O10" t="str">
            <v>Système informatisé opérationnel</v>
          </cell>
        </row>
        <row r="11">
          <cell r="O11" t="str">
            <v>Contrat signé avec l'intermédiaire financier</v>
          </cell>
        </row>
        <row r="12">
          <cell r="O12" t="str">
            <v>Centre réhabilité</v>
          </cell>
        </row>
        <row r="13">
          <cell r="O13" t="str">
            <v>Firme pour le design recrutée</v>
          </cell>
        </row>
        <row r="14">
          <cell r="O14" t="str">
            <v>DDE équipées</v>
          </cell>
        </row>
        <row r="15">
          <cell r="O15" t="str">
            <v>DDA équipées</v>
          </cell>
        </row>
        <row r="16">
          <cell r="O16" t="str">
            <v>CGBV formés</v>
          </cell>
        </row>
        <row r="17">
          <cell r="O17" t="str">
            <v>CGBV disposent réglements intérieurs</v>
          </cell>
        </row>
        <row r="18">
          <cell r="O18" t="str">
            <v>Contrat signé avec le prestataire de services</v>
          </cell>
        </row>
        <row r="19">
          <cell r="O19" t="str">
            <v>Promotion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acts"/>
      <sheetName val="Résultats"/>
      <sheetName val="PEP"/>
      <sheetName val="POA"/>
      <sheetName val="PPM"/>
      <sheetName val="Detail ouvrages amont"/>
      <sheetName val="Detail SAP"/>
      <sheetName val="Budget"/>
      <sheetName val="Evaluation"/>
      <sheetName val="Gestion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81">
          <cell r="E81" t="str">
            <v>Carburant</v>
          </cell>
        </row>
        <row r="82">
          <cell r="E82" t="str">
            <v>Entretien vehicule</v>
          </cell>
        </row>
        <row r="83">
          <cell r="E83" t="str">
            <v>Assurances</v>
          </cell>
        </row>
        <row r="84">
          <cell r="E84" t="str">
            <v>Digicel materiel et abonnment</v>
          </cell>
        </row>
        <row r="85">
          <cell r="E85" t="str">
            <v>Cartes tel</v>
          </cell>
        </row>
        <row r="86">
          <cell r="E86" t="str">
            <v>Internet</v>
          </cell>
        </row>
        <row r="87">
          <cell r="E87" t="str">
            <v>Consommables, matériel informatique et bureau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E36B09"/>
  </sheetPr>
  <dimension ref="A1:IV6"/>
  <sheetViews>
    <sheetView workbookViewId="0">
      <selection activeCell="G9" sqref="G9:G10"/>
    </sheetView>
  </sheetViews>
  <sheetFormatPr defaultColWidth="8.85546875" defaultRowHeight="30.75" customHeight="1" x14ac:dyDescent="0.25"/>
  <cols>
    <col min="1" max="1" width="54.28515625" style="1" customWidth="1"/>
    <col min="2" max="2" width="52" style="1" customWidth="1"/>
    <col min="3" max="3" width="8" style="1" customWidth="1"/>
    <col min="4" max="5" width="9.140625" style="1" customWidth="1"/>
    <col min="6" max="6" width="7.140625" style="2" customWidth="1"/>
    <col min="7" max="7" width="10.7109375" style="1" customWidth="1"/>
    <col min="8" max="8" width="10" style="1" customWidth="1"/>
    <col min="9" max="11" width="9.140625" style="1" customWidth="1"/>
    <col min="12" max="12" width="12.28515625" style="1" customWidth="1"/>
    <col min="13" max="256" width="8.85546875" style="1" customWidth="1"/>
  </cols>
  <sheetData>
    <row r="1" spans="1:12" ht="30.75" customHeight="1" x14ac:dyDescent="0.25">
      <c r="A1" s="3"/>
      <c r="B1" s="3"/>
      <c r="C1" s="4"/>
      <c r="D1" s="4"/>
      <c r="E1" s="4"/>
      <c r="F1" s="3"/>
      <c r="G1" s="601" t="s">
        <v>10</v>
      </c>
      <c r="H1" s="602"/>
      <c r="I1" s="602"/>
      <c r="J1" s="602"/>
      <c r="K1" s="602"/>
      <c r="L1" s="602"/>
    </row>
    <row r="2" spans="1:12" s="5" customFormat="1" ht="30.75" customHeight="1" x14ac:dyDescent="0.25">
      <c r="A2" s="6" t="s">
        <v>11</v>
      </c>
      <c r="B2" s="6" t="s">
        <v>12</v>
      </c>
      <c r="C2" s="7" t="s">
        <v>4</v>
      </c>
      <c r="D2" s="7" t="s">
        <v>0</v>
      </c>
      <c r="E2" s="7" t="s">
        <v>13</v>
      </c>
      <c r="F2" s="8" t="s">
        <v>19</v>
      </c>
      <c r="G2" s="9">
        <v>2104</v>
      </c>
      <c r="H2" s="9">
        <v>2104</v>
      </c>
      <c r="I2" s="9">
        <v>2015</v>
      </c>
      <c r="J2" s="9">
        <v>2016</v>
      </c>
      <c r="K2" s="9">
        <v>2017</v>
      </c>
      <c r="L2" s="10" t="s">
        <v>14</v>
      </c>
    </row>
    <row r="3" spans="1:12" s="11" customFormat="1" ht="15" x14ac:dyDescent="0.25">
      <c r="A3" s="12"/>
      <c r="B3" s="13"/>
      <c r="C3" s="13"/>
      <c r="D3" s="14"/>
      <c r="E3" s="15"/>
      <c r="F3" s="16"/>
      <c r="G3" s="16"/>
      <c r="H3" s="16"/>
      <c r="I3" s="16"/>
      <c r="J3" s="16"/>
      <c r="K3" s="16"/>
      <c r="L3" s="17"/>
    </row>
    <row r="4" spans="1:12" s="11" customFormat="1" ht="15" x14ac:dyDescent="0.25">
      <c r="A4" s="12"/>
      <c r="B4" s="13"/>
      <c r="C4" s="13"/>
      <c r="D4" s="14"/>
      <c r="E4" s="18"/>
      <c r="F4" s="18"/>
      <c r="G4" s="18"/>
      <c r="H4" s="18"/>
      <c r="I4" s="18"/>
      <c r="J4" s="18"/>
      <c r="K4" s="18"/>
      <c r="L4" s="19"/>
    </row>
    <row r="5" spans="1:12" s="11" customFormat="1" ht="15" x14ac:dyDescent="0.25">
      <c r="A5" s="12"/>
      <c r="B5" s="20"/>
      <c r="C5" s="20"/>
      <c r="D5" s="14"/>
      <c r="E5" s="18"/>
      <c r="F5" s="18"/>
      <c r="G5" s="18"/>
      <c r="H5" s="18"/>
      <c r="I5" s="18"/>
      <c r="J5" s="18"/>
      <c r="K5" s="18"/>
      <c r="L5" s="17"/>
    </row>
    <row r="6" spans="1:12" s="11" customFormat="1" ht="15" x14ac:dyDescent="0.25">
      <c r="A6" s="12"/>
      <c r="B6" s="20"/>
      <c r="C6" s="20"/>
      <c r="D6" s="14"/>
      <c r="E6" s="18"/>
      <c r="F6" s="18"/>
      <c r="G6" s="18"/>
      <c r="H6" s="18"/>
      <c r="I6" s="18"/>
      <c r="J6" s="18"/>
      <c r="K6" s="18"/>
      <c r="L6" s="19"/>
    </row>
  </sheetData>
  <mergeCells count="1">
    <mergeCell ref="G1:L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IV70"/>
  <sheetViews>
    <sheetView showGridLines="0" topLeftCell="B1" zoomScale="93" workbookViewId="0">
      <selection activeCell="D10" sqref="D10"/>
    </sheetView>
  </sheetViews>
  <sheetFormatPr defaultColWidth="8.85546875" defaultRowHeight="17.25" customHeight="1" x14ac:dyDescent="0.25"/>
  <cols>
    <col min="1" max="1" width="3.140625" style="228" hidden="1"/>
    <col min="2" max="2" width="16.140625" style="228" customWidth="1"/>
    <col min="3" max="3" width="11.140625" style="228" customWidth="1"/>
    <col min="4" max="4" width="100.140625" style="228" customWidth="1"/>
    <col min="5" max="5" width="14.140625" style="228" customWidth="1"/>
    <col min="6" max="7" width="11.7109375" style="289" customWidth="1"/>
    <col min="8" max="8" width="11.7109375" style="228" customWidth="1"/>
    <col min="9" max="9" width="6.140625" style="228" customWidth="1"/>
    <col min="10" max="10" width="15.140625" style="228" customWidth="1"/>
    <col min="11" max="11" width="13" style="228" customWidth="1"/>
    <col min="12" max="12" width="10.85546875" style="228" customWidth="1"/>
    <col min="13" max="13" width="103.28515625" style="228" customWidth="1"/>
    <col min="14" max="14" width="13.85546875" style="228" customWidth="1"/>
    <col min="15" max="19" width="8.85546875" style="228" customWidth="1"/>
    <col min="20" max="20" width="13.7109375" style="228" customWidth="1"/>
    <col min="21" max="21" width="3.140625" style="290" customWidth="1"/>
    <col min="22" max="22" width="54.140625" style="228" customWidth="1"/>
    <col min="23" max="23" width="15.85546875" style="228" customWidth="1"/>
    <col min="24" max="256" width="8.85546875" style="228" customWidth="1"/>
  </cols>
  <sheetData>
    <row r="1" spans="1:10" ht="17.25" customHeight="1" x14ac:dyDescent="0.25">
      <c r="A1" s="291"/>
      <c r="B1" s="292"/>
      <c r="C1" s="292"/>
      <c r="D1" s="292"/>
      <c r="E1" s="292"/>
      <c r="F1" s="689" t="s">
        <v>88</v>
      </c>
      <c r="G1" s="689"/>
      <c r="H1" s="689"/>
      <c r="I1" s="293"/>
    </row>
    <row r="2" spans="1:10" s="5" customFormat="1" ht="17.25" customHeight="1" x14ac:dyDescent="0.25">
      <c r="A2" s="9" t="s">
        <v>16</v>
      </c>
      <c r="B2" s="294" t="s">
        <v>3</v>
      </c>
      <c r="C2" s="294"/>
      <c r="D2" s="295" t="s">
        <v>8</v>
      </c>
      <c r="E2" s="295" t="s">
        <v>17</v>
      </c>
      <c r="F2" s="294" t="s">
        <v>71</v>
      </c>
      <c r="G2" s="294" t="s">
        <v>70</v>
      </c>
      <c r="H2" s="295" t="s">
        <v>74</v>
      </c>
      <c r="I2" s="295" t="s">
        <v>17</v>
      </c>
    </row>
    <row r="3" spans="1:10" s="296" customFormat="1" ht="17.25" customHeight="1" x14ac:dyDescent="0.25">
      <c r="A3" s="297"/>
      <c r="B3" s="690" t="s">
        <v>20</v>
      </c>
      <c r="C3" s="298" t="s">
        <v>22</v>
      </c>
      <c r="D3" s="299" t="s">
        <v>75</v>
      </c>
      <c r="E3" s="300">
        <v>800000</v>
      </c>
      <c r="F3" s="300">
        <v>800000</v>
      </c>
      <c r="G3" s="300">
        <v>0</v>
      </c>
      <c r="H3" s="300">
        <v>0</v>
      </c>
      <c r="I3" s="301">
        <v>4</v>
      </c>
      <c r="J3" s="107"/>
    </row>
    <row r="4" spans="1:10" s="296" customFormat="1" ht="17.25" customHeight="1" x14ac:dyDescent="0.25">
      <c r="A4" s="297"/>
      <c r="B4" s="691"/>
      <c r="C4" s="298" t="s">
        <v>23</v>
      </c>
      <c r="D4" s="302" t="s">
        <v>76</v>
      </c>
      <c r="E4" s="300">
        <v>300000</v>
      </c>
      <c r="F4" s="300">
        <v>300000</v>
      </c>
      <c r="G4" s="300"/>
      <c r="H4" s="300"/>
      <c r="I4" s="301">
        <v>1</v>
      </c>
      <c r="J4" s="107"/>
    </row>
    <row r="5" spans="1:10" s="296" customFormat="1" ht="17.25" customHeight="1" x14ac:dyDescent="0.25">
      <c r="A5" s="303"/>
      <c r="B5" s="691"/>
      <c r="C5" s="298" t="s">
        <v>24</v>
      </c>
      <c r="D5" s="302" t="s">
        <v>67</v>
      </c>
      <c r="E5" s="304">
        <v>3250000</v>
      </c>
      <c r="F5" s="304">
        <v>500000</v>
      </c>
      <c r="G5" s="304">
        <v>2250000</v>
      </c>
      <c r="H5" s="304">
        <v>500000</v>
      </c>
      <c r="I5" s="301">
        <v>1</v>
      </c>
    </row>
    <row r="6" spans="1:10" s="305" customFormat="1" ht="17.25" customHeight="1" x14ac:dyDescent="0.25">
      <c r="A6" s="306"/>
      <c r="B6" s="691"/>
      <c r="C6" s="307"/>
      <c r="D6" s="308" t="s">
        <v>72</v>
      </c>
      <c r="E6" s="309">
        <v>2500000</v>
      </c>
      <c r="F6" s="309"/>
      <c r="G6" s="309">
        <v>2250000</v>
      </c>
      <c r="H6" s="309">
        <v>250000</v>
      </c>
      <c r="I6" s="310">
        <v>0</v>
      </c>
    </row>
    <row r="7" spans="1:10" s="305" customFormat="1" ht="17.25" customHeight="1" x14ac:dyDescent="0.25">
      <c r="A7" s="306"/>
      <c r="B7" s="691"/>
      <c r="C7" s="307"/>
      <c r="D7" s="308" t="s">
        <v>73</v>
      </c>
      <c r="E7" s="309">
        <v>750000</v>
      </c>
      <c r="F7" s="309">
        <v>500000</v>
      </c>
      <c r="G7" s="309"/>
      <c r="H7" s="309">
        <v>250000</v>
      </c>
      <c r="I7" s="310">
        <v>0</v>
      </c>
    </row>
    <row r="8" spans="1:10" s="296" customFormat="1" ht="17.25" customHeight="1" x14ac:dyDescent="0.25">
      <c r="A8" s="297"/>
      <c r="B8" s="691"/>
      <c r="C8" s="298" t="s">
        <v>25</v>
      </c>
      <c r="D8" s="302" t="s">
        <v>77</v>
      </c>
      <c r="E8" s="300">
        <v>300000</v>
      </c>
      <c r="F8" s="300">
        <v>150000</v>
      </c>
      <c r="G8" s="300">
        <v>150000</v>
      </c>
      <c r="H8" s="300"/>
      <c r="I8" s="301">
        <v>1</v>
      </c>
      <c r="J8" s="107"/>
    </row>
    <row r="9" spans="1:10" s="296" customFormat="1" ht="17.25" customHeight="1" x14ac:dyDescent="0.25">
      <c r="A9" s="297"/>
      <c r="B9" s="691"/>
      <c r="C9" s="298" t="s">
        <v>26</v>
      </c>
      <c r="D9" s="302" t="s">
        <v>78</v>
      </c>
      <c r="E9" s="300">
        <v>50000</v>
      </c>
      <c r="F9" s="300">
        <v>50000</v>
      </c>
      <c r="G9" s="300"/>
      <c r="H9" s="300"/>
      <c r="I9" s="301">
        <v>1</v>
      </c>
      <c r="J9" s="107"/>
    </row>
    <row r="10" spans="1:10" s="296" customFormat="1" ht="21" customHeight="1" x14ac:dyDescent="0.25">
      <c r="A10" s="297"/>
      <c r="B10" s="691"/>
      <c r="C10" s="298" t="s">
        <v>27</v>
      </c>
      <c r="D10" s="302" t="s">
        <v>99</v>
      </c>
      <c r="E10" s="300">
        <v>150000</v>
      </c>
      <c r="F10" s="300">
        <v>150000</v>
      </c>
      <c r="G10" s="300"/>
      <c r="H10" s="300"/>
      <c r="I10" s="301">
        <v>1</v>
      </c>
      <c r="J10" s="107"/>
    </row>
    <row r="11" spans="1:10" s="296" customFormat="1" ht="17.25" customHeight="1" x14ac:dyDescent="0.25">
      <c r="A11" s="297"/>
      <c r="B11" s="692"/>
      <c r="C11" s="298" t="s">
        <v>28</v>
      </c>
      <c r="D11" s="302" t="s">
        <v>83</v>
      </c>
      <c r="E11" s="300">
        <v>450000</v>
      </c>
      <c r="F11" s="300">
        <v>350000</v>
      </c>
      <c r="G11" s="300"/>
      <c r="H11" s="300">
        <v>100000</v>
      </c>
      <c r="I11" s="301">
        <v>3</v>
      </c>
      <c r="J11" s="107"/>
    </row>
    <row r="12" spans="1:10" s="296" customFormat="1" ht="17.25" customHeight="1" x14ac:dyDescent="0.25">
      <c r="A12" s="303"/>
      <c r="B12" s="690" t="s">
        <v>21</v>
      </c>
      <c r="C12" s="298" t="s">
        <v>29</v>
      </c>
      <c r="D12" s="302" t="s">
        <v>79</v>
      </c>
      <c r="E12" s="300">
        <v>500000</v>
      </c>
      <c r="F12" s="300">
        <v>500000</v>
      </c>
      <c r="G12" s="300"/>
      <c r="H12" s="300"/>
      <c r="I12" s="301">
        <v>3</v>
      </c>
    </row>
    <row r="13" spans="1:10" s="296" customFormat="1" ht="17.25" customHeight="1" x14ac:dyDescent="0.25">
      <c r="A13" s="303"/>
      <c r="B13" s="691"/>
      <c r="C13" s="298" t="s">
        <v>30</v>
      </c>
      <c r="D13" s="302" t="s">
        <v>80</v>
      </c>
      <c r="E13" s="300">
        <v>500000</v>
      </c>
      <c r="F13" s="300">
        <v>500000</v>
      </c>
      <c r="G13" s="300"/>
      <c r="H13" s="300"/>
      <c r="I13" s="301">
        <v>3</v>
      </c>
    </row>
    <row r="14" spans="1:10" s="296" customFormat="1" ht="17.25" customHeight="1" x14ac:dyDescent="0.25">
      <c r="A14" s="303"/>
      <c r="B14" s="691"/>
      <c r="C14" s="298" t="s">
        <v>31</v>
      </c>
      <c r="D14" s="302" t="s">
        <v>81</v>
      </c>
      <c r="E14" s="300">
        <v>500000</v>
      </c>
      <c r="F14" s="300">
        <v>500000</v>
      </c>
      <c r="G14" s="300"/>
      <c r="H14" s="300"/>
      <c r="I14" s="301">
        <v>3</v>
      </c>
    </row>
    <row r="15" spans="1:10" s="296" customFormat="1" ht="17.25" customHeight="1" x14ac:dyDescent="0.25">
      <c r="A15" s="303"/>
      <c r="B15" s="691"/>
      <c r="C15" s="298" t="s">
        <v>32</v>
      </c>
      <c r="D15" s="302" t="s">
        <v>63</v>
      </c>
      <c r="E15" s="300">
        <v>5270000</v>
      </c>
      <c r="F15" s="300">
        <v>3170000</v>
      </c>
      <c r="G15" s="300">
        <v>2100000</v>
      </c>
      <c r="H15" s="300"/>
      <c r="I15" s="301">
        <v>571</v>
      </c>
    </row>
    <row r="16" spans="1:10" s="305" customFormat="1" ht="17.25" customHeight="1" x14ac:dyDescent="0.25">
      <c r="A16" s="306"/>
      <c r="B16" s="691"/>
      <c r="C16" s="311"/>
      <c r="D16" s="308" t="s">
        <v>58</v>
      </c>
      <c r="E16" s="309">
        <v>1170000</v>
      </c>
      <c r="F16" s="309">
        <v>1170000</v>
      </c>
      <c r="G16" s="309"/>
      <c r="H16" s="309"/>
      <c r="I16" s="310">
        <v>131</v>
      </c>
    </row>
    <row r="17" spans="1:15" s="305" customFormat="1" ht="17.25" customHeight="1" x14ac:dyDescent="0.25">
      <c r="A17" s="306"/>
      <c r="B17" s="691"/>
      <c r="C17" s="311"/>
      <c r="D17" s="308" t="s">
        <v>66</v>
      </c>
      <c r="E17" s="309">
        <v>2100000</v>
      </c>
      <c r="F17" s="309"/>
      <c r="G17" s="309">
        <v>2100000</v>
      </c>
      <c r="H17" s="309"/>
      <c r="I17" s="310">
        <v>218</v>
      </c>
    </row>
    <row r="18" spans="1:15" s="305" customFormat="1" ht="17.25" customHeight="1" x14ac:dyDescent="0.25">
      <c r="A18" s="306"/>
      <c r="B18" s="691"/>
      <c r="C18" s="311"/>
      <c r="D18" s="308" t="s">
        <v>60</v>
      </c>
      <c r="E18" s="309">
        <v>1000000</v>
      </c>
      <c r="F18" s="309">
        <v>1000000</v>
      </c>
      <c r="G18" s="309"/>
      <c r="H18" s="309"/>
      <c r="I18" s="310">
        <v>126</v>
      </c>
      <c r="K18" s="228"/>
      <c r="L18" s="228"/>
      <c r="M18" s="228"/>
      <c r="N18" s="228"/>
      <c r="O18" s="228"/>
    </row>
    <row r="19" spans="1:15" s="305" customFormat="1" ht="17.25" customHeight="1" x14ac:dyDescent="0.25">
      <c r="A19" s="306"/>
      <c r="B19" s="691"/>
      <c r="C19" s="311"/>
      <c r="D19" s="308" t="s">
        <v>61</v>
      </c>
      <c r="E19" s="309">
        <v>1000000</v>
      </c>
      <c r="F19" s="309">
        <v>1000000</v>
      </c>
      <c r="G19" s="309"/>
      <c r="H19" s="309"/>
      <c r="I19" s="310">
        <v>96</v>
      </c>
      <c r="K19" s="228"/>
      <c r="L19" s="228"/>
      <c r="M19" s="228"/>
      <c r="N19" s="228"/>
      <c r="O19" s="228"/>
    </row>
    <row r="20" spans="1:15" s="296" customFormat="1" ht="17.25" customHeight="1" x14ac:dyDescent="0.25">
      <c r="A20" s="297"/>
      <c r="B20" s="691"/>
      <c r="C20" s="298" t="s">
        <v>33</v>
      </c>
      <c r="D20" s="302" t="s">
        <v>62</v>
      </c>
      <c r="E20" s="300">
        <v>19680000</v>
      </c>
      <c r="F20" s="300">
        <v>19430000</v>
      </c>
      <c r="G20" s="300"/>
      <c r="H20" s="300">
        <v>250000</v>
      </c>
      <c r="I20" s="301">
        <v>7</v>
      </c>
      <c r="J20" s="107"/>
      <c r="K20" s="228"/>
      <c r="L20" s="228"/>
      <c r="M20" s="228"/>
      <c r="N20" s="228"/>
      <c r="O20" s="228"/>
    </row>
    <row r="21" spans="1:15" s="305" customFormat="1" ht="17.25" customHeight="1" x14ac:dyDescent="0.25">
      <c r="A21" s="306"/>
      <c r="B21" s="691"/>
      <c r="C21" s="307"/>
      <c r="D21" s="308" t="s">
        <v>58</v>
      </c>
      <c r="E21" s="309">
        <v>3050000</v>
      </c>
      <c r="F21" s="309">
        <v>3000000</v>
      </c>
      <c r="G21" s="309"/>
      <c r="H21" s="309">
        <v>50000</v>
      </c>
      <c r="I21" s="310">
        <v>1</v>
      </c>
      <c r="J21" s="312"/>
      <c r="K21" s="228"/>
      <c r="L21" s="228"/>
      <c r="M21" s="228"/>
      <c r="N21" s="228"/>
      <c r="O21" s="228"/>
    </row>
    <row r="22" spans="1:15" s="305" customFormat="1" ht="17.25" customHeight="1" x14ac:dyDescent="0.25">
      <c r="A22" s="306"/>
      <c r="B22" s="691"/>
      <c r="C22" s="307"/>
      <c r="D22" s="308" t="s">
        <v>59</v>
      </c>
      <c r="E22" s="309">
        <v>9050000</v>
      </c>
      <c r="F22" s="309">
        <v>9000000</v>
      </c>
      <c r="G22" s="309"/>
      <c r="H22" s="309">
        <v>50000</v>
      </c>
      <c r="I22" s="310">
        <v>3</v>
      </c>
      <c r="J22" s="312"/>
      <c r="K22" s="228"/>
      <c r="L22" s="228"/>
      <c r="M22" s="228"/>
      <c r="N22" s="228"/>
      <c r="O22" s="228"/>
    </row>
    <row r="23" spans="1:15" s="305" customFormat="1" ht="17.25" customHeight="1" x14ac:dyDescent="0.25">
      <c r="A23" s="306"/>
      <c r="B23" s="691"/>
      <c r="C23" s="307"/>
      <c r="D23" s="308" t="s">
        <v>60</v>
      </c>
      <c r="E23" s="309">
        <v>3050000</v>
      </c>
      <c r="F23" s="309">
        <v>3000000</v>
      </c>
      <c r="G23" s="309"/>
      <c r="H23" s="309">
        <v>50000</v>
      </c>
      <c r="I23" s="310">
        <v>1</v>
      </c>
      <c r="J23" s="312"/>
      <c r="K23" s="228"/>
      <c r="L23" s="228"/>
      <c r="M23" s="228"/>
      <c r="N23" s="228"/>
      <c r="O23" s="228"/>
    </row>
    <row r="24" spans="1:15" s="305" customFormat="1" ht="17.25" customHeight="1" x14ac:dyDescent="0.25">
      <c r="A24" s="306"/>
      <c r="B24" s="691"/>
      <c r="C24" s="307"/>
      <c r="D24" s="308" t="s">
        <v>61</v>
      </c>
      <c r="E24" s="309">
        <v>3700000</v>
      </c>
      <c r="F24" s="309">
        <v>3650000</v>
      </c>
      <c r="G24" s="309"/>
      <c r="H24" s="309">
        <v>50000</v>
      </c>
      <c r="I24" s="310">
        <v>1</v>
      </c>
      <c r="J24" s="312"/>
      <c r="K24" s="228"/>
      <c r="L24" s="228"/>
      <c r="M24" s="228"/>
      <c r="N24" s="228"/>
      <c r="O24" s="228"/>
    </row>
    <row r="25" spans="1:15" s="305" customFormat="1" ht="17.25" customHeight="1" x14ac:dyDescent="0.25">
      <c r="A25" s="306"/>
      <c r="B25" s="692"/>
      <c r="C25" s="307"/>
      <c r="D25" s="308" t="s">
        <v>82</v>
      </c>
      <c r="E25" s="309">
        <v>830000</v>
      </c>
      <c r="F25" s="309">
        <v>780000</v>
      </c>
      <c r="G25" s="309"/>
      <c r="H25" s="309">
        <v>50000</v>
      </c>
      <c r="I25" s="310">
        <v>1</v>
      </c>
      <c r="J25" s="312"/>
      <c r="K25" s="228"/>
      <c r="L25" s="228"/>
      <c r="M25" s="228"/>
      <c r="N25" s="228"/>
      <c r="O25" s="228"/>
    </row>
    <row r="26" spans="1:15" s="289" customFormat="1" ht="17.25" customHeight="1" x14ac:dyDescent="0.25">
      <c r="A26" s="18"/>
      <c r="B26" s="298" t="s">
        <v>64</v>
      </c>
      <c r="C26" s="298" t="s">
        <v>34</v>
      </c>
      <c r="D26" s="302" t="s">
        <v>65</v>
      </c>
      <c r="E26" s="300">
        <v>10500000</v>
      </c>
      <c r="F26" s="300">
        <v>10000000</v>
      </c>
      <c r="G26" s="300"/>
      <c r="H26" s="304">
        <v>500000</v>
      </c>
      <c r="I26" s="301">
        <v>1</v>
      </c>
      <c r="K26" s="228"/>
      <c r="L26" s="228"/>
      <c r="M26" s="228"/>
      <c r="N26" s="228"/>
      <c r="O26" s="228"/>
    </row>
    <row r="27" spans="1:15" ht="17.25" customHeight="1" x14ac:dyDescent="0.25">
      <c r="A27" s="16"/>
      <c r="B27" s="302" t="s">
        <v>37</v>
      </c>
      <c r="C27" s="298" t="s">
        <v>84</v>
      </c>
      <c r="D27" s="302" t="s">
        <v>37</v>
      </c>
      <c r="E27" s="300">
        <v>4350000</v>
      </c>
      <c r="F27" s="300">
        <v>4200000</v>
      </c>
      <c r="G27" s="300"/>
      <c r="H27" s="304">
        <v>150000</v>
      </c>
      <c r="I27" s="301"/>
      <c r="J27" s="289"/>
    </row>
    <row r="28" spans="1:15" ht="17.25" customHeight="1" x14ac:dyDescent="0.25">
      <c r="A28" s="16"/>
      <c r="B28" s="302" t="s">
        <v>9</v>
      </c>
      <c r="C28" s="298" t="s">
        <v>85</v>
      </c>
      <c r="D28" s="302" t="s">
        <v>9</v>
      </c>
      <c r="E28" s="300">
        <v>300000</v>
      </c>
      <c r="F28" s="300">
        <v>300000</v>
      </c>
      <c r="G28" s="300"/>
      <c r="H28" s="304"/>
      <c r="I28" s="301"/>
      <c r="J28" s="289"/>
    </row>
    <row r="29" spans="1:15" ht="17.25" customHeight="1" x14ac:dyDescent="0.25">
      <c r="A29" s="16"/>
      <c r="B29" s="302" t="s">
        <v>38</v>
      </c>
      <c r="C29" s="298" t="s">
        <v>86</v>
      </c>
      <c r="D29" s="302" t="s">
        <v>38</v>
      </c>
      <c r="E29" s="300">
        <v>600000</v>
      </c>
      <c r="F29" s="300">
        <v>600000</v>
      </c>
      <c r="G29" s="300"/>
      <c r="H29" s="304"/>
      <c r="I29" s="301"/>
      <c r="J29" s="289"/>
    </row>
    <row r="30" spans="1:15" ht="17.25" customHeight="1" x14ac:dyDescent="0.25">
      <c r="A30" s="16"/>
      <c r="B30" s="302" t="s">
        <v>18</v>
      </c>
      <c r="C30" s="298" t="s">
        <v>87</v>
      </c>
      <c r="D30" s="302" t="s">
        <v>18</v>
      </c>
      <c r="E30" s="300">
        <v>500000</v>
      </c>
      <c r="F30" s="300">
        <v>500000</v>
      </c>
      <c r="G30" s="300"/>
      <c r="H30" s="304"/>
      <c r="I30" s="301"/>
      <c r="J30" s="289"/>
    </row>
    <row r="31" spans="1:15" ht="17.25" customHeight="1" x14ac:dyDescent="0.25">
      <c r="A31" s="16"/>
      <c r="B31" s="302"/>
      <c r="C31" s="298" t="s">
        <v>17</v>
      </c>
      <c r="D31" s="302" t="s">
        <v>17</v>
      </c>
      <c r="E31" s="300">
        <v>48000000</v>
      </c>
      <c r="F31" s="300">
        <v>42000000</v>
      </c>
      <c r="G31" s="300">
        <v>4500000</v>
      </c>
      <c r="H31" s="300">
        <v>1500000</v>
      </c>
      <c r="I31" s="301"/>
      <c r="J31" s="289"/>
    </row>
    <row r="32" spans="1:15" ht="17.25" customHeight="1" x14ac:dyDescent="0.25">
      <c r="B32" s="247"/>
      <c r="C32" s="247"/>
      <c r="D32" s="247"/>
      <c r="E32" s="247"/>
      <c r="F32" s="247"/>
      <c r="G32" s="247"/>
      <c r="H32" s="247"/>
    </row>
    <row r="33" spans="1:21" ht="17.25" customHeight="1" x14ac:dyDescent="0.25">
      <c r="C33" s="247"/>
      <c r="D33" s="313"/>
      <c r="E33" s="314" t="s">
        <v>17</v>
      </c>
      <c r="F33" s="314" t="s">
        <v>71</v>
      </c>
      <c r="G33" s="314" t="s">
        <v>70</v>
      </c>
      <c r="H33" s="314" t="s">
        <v>74</v>
      </c>
    </row>
    <row r="34" spans="1:21" ht="17.25" customHeight="1" x14ac:dyDescent="0.25">
      <c r="C34" s="315"/>
      <c r="D34" s="316" t="s">
        <v>20</v>
      </c>
      <c r="E34" s="317">
        <v>5300000</v>
      </c>
      <c r="F34" s="317">
        <v>2300000</v>
      </c>
      <c r="G34" s="317">
        <v>2400000</v>
      </c>
      <c r="H34" s="317">
        <v>600000</v>
      </c>
    </row>
    <row r="35" spans="1:21" ht="17.25" customHeight="1" x14ac:dyDescent="0.25">
      <c r="C35" s="247"/>
      <c r="D35" s="318" t="s">
        <v>21</v>
      </c>
      <c r="E35" s="319">
        <v>26450000</v>
      </c>
      <c r="F35" s="319">
        <v>24100000</v>
      </c>
      <c r="G35" s="319">
        <v>2100000</v>
      </c>
      <c r="H35" s="319">
        <v>250000</v>
      </c>
    </row>
    <row r="36" spans="1:21" ht="17.25" customHeight="1" x14ac:dyDescent="0.25">
      <c r="C36" s="247"/>
      <c r="D36" s="316" t="s">
        <v>64</v>
      </c>
      <c r="E36" s="317">
        <v>10500000</v>
      </c>
      <c r="F36" s="317">
        <v>10000000</v>
      </c>
      <c r="G36" s="317">
        <v>0</v>
      </c>
      <c r="H36" s="317">
        <v>500000</v>
      </c>
    </row>
    <row r="37" spans="1:21" ht="17.25" customHeight="1" x14ac:dyDescent="0.25">
      <c r="C37" s="247"/>
      <c r="D37" s="318" t="s">
        <v>37</v>
      </c>
      <c r="E37" s="319">
        <v>4350000</v>
      </c>
      <c r="F37" s="319">
        <v>4200000</v>
      </c>
      <c r="G37" s="319">
        <v>0</v>
      </c>
      <c r="H37" s="319">
        <v>150000</v>
      </c>
    </row>
    <row r="38" spans="1:21" ht="17.25" customHeight="1" x14ac:dyDescent="0.25">
      <c r="C38" s="247"/>
      <c r="D38" s="316" t="s">
        <v>9</v>
      </c>
      <c r="E38" s="317">
        <v>300000</v>
      </c>
      <c r="F38" s="317">
        <v>300000</v>
      </c>
      <c r="G38" s="317">
        <v>0</v>
      </c>
      <c r="H38" s="317">
        <v>0</v>
      </c>
    </row>
    <row r="39" spans="1:21" ht="17.25" customHeight="1" x14ac:dyDescent="0.25">
      <c r="C39" s="247"/>
      <c r="D39" s="318" t="s">
        <v>38</v>
      </c>
      <c r="E39" s="319">
        <v>600000</v>
      </c>
      <c r="F39" s="319">
        <v>600000</v>
      </c>
      <c r="G39" s="319">
        <v>0</v>
      </c>
      <c r="H39" s="319">
        <v>0</v>
      </c>
    </row>
    <row r="40" spans="1:21" ht="17.25" customHeight="1" x14ac:dyDescent="0.25">
      <c r="C40" s="247"/>
      <c r="D40" s="316" t="s">
        <v>18</v>
      </c>
      <c r="E40" s="317">
        <v>500000</v>
      </c>
      <c r="F40" s="317">
        <v>500000</v>
      </c>
      <c r="G40" s="317">
        <v>0</v>
      </c>
      <c r="H40" s="317">
        <v>0</v>
      </c>
      <c r="L40" s="289"/>
      <c r="M40" s="289"/>
    </row>
    <row r="41" spans="1:21" ht="17.25" customHeight="1" x14ac:dyDescent="0.25">
      <c r="C41" s="247"/>
      <c r="D41" s="318" t="s">
        <v>17</v>
      </c>
      <c r="E41" s="320">
        <v>48000000</v>
      </c>
      <c r="F41" s="320">
        <v>42000000</v>
      </c>
      <c r="G41" s="320">
        <v>4500000</v>
      </c>
      <c r="H41" s="320">
        <v>1500000</v>
      </c>
      <c r="L41" s="289"/>
      <c r="M41" s="289"/>
    </row>
    <row r="42" spans="1:21" ht="17.25" customHeight="1" x14ac:dyDescent="0.25">
      <c r="C42" s="247"/>
      <c r="F42" s="321"/>
      <c r="G42" s="321"/>
      <c r="H42" s="247"/>
      <c r="L42" s="289"/>
      <c r="M42" s="289"/>
    </row>
    <row r="43" spans="1:21" ht="17.25" customHeight="1" x14ac:dyDescent="0.25">
      <c r="L43" s="289"/>
      <c r="M43" s="289"/>
    </row>
    <row r="44" spans="1:21" s="289" customFormat="1" ht="17.25" customHeight="1" x14ac:dyDescent="0.25">
      <c r="A44" s="228"/>
      <c r="B44" s="228"/>
      <c r="C44" s="228"/>
      <c r="D44" s="228"/>
      <c r="E44" s="228"/>
      <c r="H44" s="228"/>
      <c r="I44" s="228"/>
      <c r="J44" s="228"/>
      <c r="K44" s="313"/>
      <c r="L44" s="314" t="s">
        <v>17</v>
      </c>
      <c r="M44" s="314" t="s">
        <v>71</v>
      </c>
      <c r="N44" s="314" t="s">
        <v>70</v>
      </c>
      <c r="O44" s="228"/>
      <c r="P44" s="228"/>
      <c r="Q44" s="228"/>
      <c r="R44" s="228"/>
      <c r="S44" s="228"/>
      <c r="T44" s="228"/>
      <c r="U44" s="290"/>
    </row>
    <row r="45" spans="1:21" s="289" customFormat="1" ht="17.25" customHeight="1" x14ac:dyDescent="0.25">
      <c r="A45" s="228"/>
      <c r="B45" s="228"/>
      <c r="C45" s="228"/>
      <c r="D45" s="277" t="s">
        <v>105</v>
      </c>
      <c r="E45" s="280">
        <v>5270000</v>
      </c>
      <c r="H45" s="228"/>
      <c r="I45" s="228"/>
      <c r="J45" s="228"/>
      <c r="K45" s="316" t="s">
        <v>112</v>
      </c>
      <c r="L45" s="317">
        <v>5300000</v>
      </c>
      <c r="M45" s="317">
        <v>2300000</v>
      </c>
      <c r="N45" s="317">
        <v>2400000</v>
      </c>
      <c r="O45" s="228"/>
      <c r="P45" s="228"/>
      <c r="Q45" s="228"/>
      <c r="R45" s="228"/>
      <c r="S45" s="228"/>
      <c r="T45" s="228"/>
      <c r="U45" s="290"/>
    </row>
    <row r="46" spans="1:21" s="289" customFormat="1" ht="17.25" customHeight="1" x14ac:dyDescent="0.25">
      <c r="A46" s="228"/>
      <c r="B46" s="228"/>
      <c r="C46" s="228"/>
      <c r="D46" s="108" t="s">
        <v>7</v>
      </c>
      <c r="E46" s="272">
        <v>527000</v>
      </c>
      <c r="H46" s="228"/>
      <c r="I46" s="228"/>
      <c r="J46" s="228"/>
      <c r="K46" s="318" t="s">
        <v>114</v>
      </c>
      <c r="L46" s="319">
        <v>26450000</v>
      </c>
      <c r="M46" s="319">
        <v>24100000</v>
      </c>
      <c r="N46" s="319">
        <v>2100000</v>
      </c>
      <c r="O46" s="228"/>
      <c r="P46" s="228"/>
      <c r="Q46" s="228"/>
      <c r="R46" s="228"/>
      <c r="S46" s="228"/>
      <c r="T46" s="228"/>
      <c r="U46" s="290"/>
    </row>
    <row r="47" spans="1:21" s="289" customFormat="1" ht="17.25" customHeight="1" x14ac:dyDescent="0.25">
      <c r="A47" s="228"/>
      <c r="B47" s="228"/>
      <c r="C47" s="228"/>
      <c r="D47" s="322" t="s">
        <v>104</v>
      </c>
      <c r="E47" s="272">
        <v>4743000</v>
      </c>
      <c r="H47" s="228"/>
      <c r="I47" s="228"/>
      <c r="J47" s="228"/>
      <c r="K47" s="316" t="s">
        <v>113</v>
      </c>
      <c r="L47" s="317">
        <v>10500000</v>
      </c>
      <c r="M47" s="317">
        <v>10000000</v>
      </c>
      <c r="N47" s="317">
        <v>0</v>
      </c>
      <c r="O47" s="228"/>
      <c r="P47" s="228"/>
      <c r="Q47" s="228"/>
      <c r="R47" s="228"/>
      <c r="S47" s="228"/>
      <c r="T47" s="228"/>
      <c r="U47" s="290"/>
    </row>
    <row r="48" spans="1:21" s="289" customFormat="1" ht="17.25" customHeight="1" x14ac:dyDescent="0.25">
      <c r="A48" s="228"/>
      <c r="B48" s="228"/>
      <c r="C48" s="228"/>
      <c r="D48" s="277" t="s">
        <v>106</v>
      </c>
      <c r="E48" s="280">
        <v>19430000</v>
      </c>
      <c r="H48" s="228"/>
      <c r="I48" s="228"/>
      <c r="J48" s="228"/>
      <c r="K48" s="318" t="s">
        <v>37</v>
      </c>
      <c r="L48" s="319">
        <v>4350000</v>
      </c>
      <c r="M48" s="319">
        <v>4200000</v>
      </c>
      <c r="N48" s="319">
        <v>0</v>
      </c>
      <c r="O48" s="228"/>
      <c r="P48" s="228"/>
      <c r="Q48" s="228"/>
      <c r="R48" s="228"/>
      <c r="S48" s="228"/>
      <c r="T48" s="228"/>
      <c r="U48" s="290"/>
    </row>
    <row r="49" spans="1:24" s="289" customFormat="1" ht="17.25" customHeight="1" x14ac:dyDescent="0.25">
      <c r="A49" s="228"/>
      <c r="B49" s="228"/>
      <c r="C49" s="228"/>
      <c r="D49" s="108" t="s">
        <v>7</v>
      </c>
      <c r="E49" s="272">
        <v>1943000</v>
      </c>
      <c r="H49" s="228"/>
      <c r="I49" s="228"/>
      <c r="J49" s="228"/>
      <c r="K49" s="316" t="s">
        <v>9</v>
      </c>
      <c r="L49" s="317">
        <v>300000</v>
      </c>
      <c r="M49" s="317">
        <v>300000</v>
      </c>
      <c r="N49" s="317">
        <v>0</v>
      </c>
      <c r="O49" s="228"/>
      <c r="P49" s="228"/>
      <c r="Q49" s="228"/>
      <c r="R49" s="228"/>
      <c r="S49" s="228"/>
      <c r="T49" s="228"/>
      <c r="U49" s="290"/>
    </row>
    <row r="50" spans="1:24" s="289" customFormat="1" ht="17.25" customHeight="1" x14ac:dyDescent="0.25">
      <c r="A50" s="228"/>
      <c r="B50" s="228"/>
      <c r="C50" s="228"/>
      <c r="D50" s="322" t="s">
        <v>104</v>
      </c>
      <c r="E50" s="272">
        <v>17487000</v>
      </c>
      <c r="H50" s="228"/>
      <c r="I50" s="228"/>
      <c r="J50" s="228"/>
      <c r="K50" s="318" t="s">
        <v>38</v>
      </c>
      <c r="L50" s="319">
        <v>600000</v>
      </c>
      <c r="M50" s="319">
        <v>600000</v>
      </c>
      <c r="N50" s="319">
        <v>0</v>
      </c>
      <c r="O50" s="228"/>
      <c r="P50" s="228"/>
      <c r="Q50" s="228"/>
      <c r="R50" s="228"/>
      <c r="S50" s="228"/>
      <c r="T50" s="228"/>
      <c r="U50" s="290"/>
    </row>
    <row r="51" spans="1:24" s="289" customFormat="1" ht="17.25" customHeight="1" x14ac:dyDescent="0.25">
      <c r="A51" s="228"/>
      <c r="B51" s="228"/>
      <c r="C51" s="228"/>
      <c r="D51" s="228"/>
      <c r="E51" s="228"/>
      <c r="H51" s="228"/>
      <c r="I51" s="228"/>
      <c r="J51" s="228"/>
      <c r="K51" s="316" t="s">
        <v>18</v>
      </c>
      <c r="L51" s="317">
        <v>500000</v>
      </c>
      <c r="M51" s="317">
        <v>500000</v>
      </c>
      <c r="N51" s="317">
        <v>0</v>
      </c>
      <c r="O51" s="228"/>
      <c r="P51" s="228"/>
      <c r="Q51" s="228"/>
      <c r="R51" s="228"/>
      <c r="S51" s="228"/>
      <c r="T51" s="228"/>
      <c r="U51" s="290"/>
    </row>
    <row r="52" spans="1:24" s="289" customFormat="1" ht="17.25" customHeight="1" x14ac:dyDescent="0.25">
      <c r="A52" s="228"/>
      <c r="B52" s="228"/>
      <c r="C52" s="228"/>
      <c r="D52" s="228"/>
      <c r="E52" s="228"/>
      <c r="H52" s="228"/>
      <c r="I52" s="228"/>
      <c r="J52" s="228"/>
      <c r="K52" s="318" t="s">
        <v>17</v>
      </c>
      <c r="L52" s="320">
        <v>48000000</v>
      </c>
      <c r="M52" s="320">
        <v>42000000</v>
      </c>
      <c r="N52" s="320">
        <v>4500000</v>
      </c>
      <c r="O52" s="228"/>
      <c r="P52" s="228"/>
      <c r="Q52" s="228"/>
      <c r="R52" s="228"/>
      <c r="S52" s="228"/>
      <c r="T52" s="228"/>
      <c r="U52" s="290"/>
    </row>
    <row r="53" spans="1:24" s="289" customFormat="1" ht="17.25" customHeight="1" x14ac:dyDescent="0.25">
      <c r="A53" s="228"/>
      <c r="B53" s="228"/>
      <c r="C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90"/>
    </row>
    <row r="54" spans="1:24" s="289" customFormat="1" ht="15" x14ac:dyDescent="0.25">
      <c r="A54" s="228"/>
      <c r="B54" s="228"/>
      <c r="C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94" t="s">
        <v>3</v>
      </c>
      <c r="U54" s="294"/>
      <c r="V54" s="295" t="s">
        <v>8</v>
      </c>
      <c r="W54" s="295" t="s">
        <v>17</v>
      </c>
      <c r="X54" s="295" t="s">
        <v>17</v>
      </c>
    </row>
    <row r="55" spans="1:24" s="289" customFormat="1" ht="15" x14ac:dyDescent="0.25">
      <c r="A55" s="228"/>
      <c r="B55" s="228"/>
      <c r="C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323" t="s">
        <v>20</v>
      </c>
      <c r="U55" s="324">
        <v>1</v>
      </c>
      <c r="V55" s="325" t="s">
        <v>75</v>
      </c>
      <c r="W55" s="326">
        <v>800000</v>
      </c>
      <c r="X55" s="327">
        <v>4</v>
      </c>
    </row>
    <row r="56" spans="1:24" s="289" customFormat="1" ht="30" x14ac:dyDescent="0.25">
      <c r="A56" s="228"/>
      <c r="B56" s="228"/>
      <c r="C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328"/>
      <c r="U56" s="329">
        <v>2</v>
      </c>
      <c r="V56" s="330" t="s">
        <v>76</v>
      </c>
      <c r="W56" s="331">
        <v>300000</v>
      </c>
      <c r="X56" s="332">
        <v>1</v>
      </c>
    </row>
    <row r="57" spans="1:24" s="289" customFormat="1" ht="30" x14ac:dyDescent="0.25">
      <c r="A57" s="228"/>
      <c r="B57" s="228"/>
      <c r="C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328"/>
      <c r="U57" s="324">
        <v>3</v>
      </c>
      <c r="V57" s="333" t="s">
        <v>67</v>
      </c>
      <c r="W57" s="326">
        <v>3250000</v>
      </c>
      <c r="X57" s="324">
        <v>2</v>
      </c>
    </row>
    <row r="58" spans="1:24" s="289" customFormat="1" ht="15" x14ac:dyDescent="0.25">
      <c r="A58" s="228"/>
      <c r="B58" s="228"/>
      <c r="C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328"/>
      <c r="U58" s="334"/>
      <c r="V58" s="335" t="s">
        <v>72</v>
      </c>
      <c r="W58" s="336">
        <v>2500000</v>
      </c>
      <c r="X58" s="337">
        <v>1</v>
      </c>
    </row>
    <row r="59" spans="1:24" ht="15" x14ac:dyDescent="0.25">
      <c r="T59" s="328"/>
      <c r="U59" s="334"/>
      <c r="V59" s="335" t="s">
        <v>73</v>
      </c>
      <c r="W59" s="336">
        <v>750000</v>
      </c>
      <c r="X59" s="337">
        <v>1</v>
      </c>
    </row>
    <row r="60" spans="1:24" ht="30" x14ac:dyDescent="0.25">
      <c r="T60" s="328"/>
      <c r="U60" s="324">
        <v>4</v>
      </c>
      <c r="V60" s="325" t="s">
        <v>77</v>
      </c>
      <c r="W60" s="326">
        <v>300000</v>
      </c>
      <c r="X60" s="327">
        <v>1</v>
      </c>
    </row>
    <row r="61" spans="1:24" ht="30" x14ac:dyDescent="0.25">
      <c r="T61" s="328"/>
      <c r="U61" s="329">
        <v>5</v>
      </c>
      <c r="V61" s="330" t="s">
        <v>78</v>
      </c>
      <c r="W61" s="331">
        <v>50000</v>
      </c>
      <c r="X61" s="332">
        <v>1</v>
      </c>
    </row>
    <row r="62" spans="1:24" ht="30" x14ac:dyDescent="0.25">
      <c r="T62" s="328"/>
      <c r="U62" s="324">
        <v>6</v>
      </c>
      <c r="V62" s="325" t="s">
        <v>99</v>
      </c>
      <c r="W62" s="326">
        <v>150000</v>
      </c>
      <c r="X62" s="327">
        <v>1</v>
      </c>
    </row>
    <row r="63" spans="1:24" ht="15" x14ac:dyDescent="0.25">
      <c r="T63" s="338"/>
      <c r="U63" s="329">
        <v>7</v>
      </c>
      <c r="V63" s="330" t="s">
        <v>83</v>
      </c>
      <c r="W63" s="331">
        <v>450000</v>
      </c>
      <c r="X63" s="332">
        <v>3</v>
      </c>
    </row>
    <row r="64" spans="1:24" ht="15" x14ac:dyDescent="0.25">
      <c r="T64" s="323" t="s">
        <v>21</v>
      </c>
      <c r="U64" s="324">
        <v>8</v>
      </c>
      <c r="V64" s="325" t="s">
        <v>79</v>
      </c>
      <c r="W64" s="326">
        <v>500000</v>
      </c>
      <c r="X64" s="327">
        <v>3</v>
      </c>
    </row>
    <row r="65" spans="20:24" ht="15" x14ac:dyDescent="0.25">
      <c r="T65" s="328"/>
      <c r="U65" s="329">
        <v>9</v>
      </c>
      <c r="V65" s="330" t="s">
        <v>80</v>
      </c>
      <c r="W65" s="331">
        <v>500000</v>
      </c>
      <c r="X65" s="332">
        <v>3</v>
      </c>
    </row>
    <row r="66" spans="20:24" ht="15" x14ac:dyDescent="0.25">
      <c r="T66" s="328"/>
      <c r="U66" s="324">
        <v>10</v>
      </c>
      <c r="V66" s="325" t="s">
        <v>81</v>
      </c>
      <c r="W66" s="326">
        <v>500000</v>
      </c>
      <c r="X66" s="327">
        <v>3</v>
      </c>
    </row>
    <row r="67" spans="20:24" ht="15" x14ac:dyDescent="0.25">
      <c r="T67" s="328"/>
      <c r="U67" s="329">
        <v>11</v>
      </c>
      <c r="V67" s="330" t="s">
        <v>63</v>
      </c>
      <c r="W67" s="331">
        <v>5270000</v>
      </c>
      <c r="X67" s="332">
        <v>571</v>
      </c>
    </row>
    <row r="68" spans="20:24" ht="15" x14ac:dyDescent="0.25">
      <c r="T68" s="328"/>
      <c r="U68" s="324">
        <v>12</v>
      </c>
      <c r="V68" s="325" t="s">
        <v>62</v>
      </c>
      <c r="W68" s="326">
        <v>19680000</v>
      </c>
      <c r="X68" s="327">
        <v>7</v>
      </c>
    </row>
    <row r="69" spans="20:24" ht="30" x14ac:dyDescent="0.25">
      <c r="T69" s="339" t="s">
        <v>64</v>
      </c>
      <c r="U69" s="329">
        <v>13</v>
      </c>
      <c r="V69" s="330" t="s">
        <v>65</v>
      </c>
      <c r="W69" s="331">
        <v>10500000</v>
      </c>
      <c r="X69" s="332">
        <v>1</v>
      </c>
    </row>
    <row r="70" spans="20:24" ht="36.75" customHeight="1" x14ac:dyDescent="0.25"/>
  </sheetData>
  <mergeCells count="3">
    <mergeCell ref="F1:H1"/>
    <mergeCell ref="B3:B11"/>
    <mergeCell ref="B12:B25"/>
  </mergeCells>
  <pageMargins left="0.2" right="0.23" top="0.5" bottom="0.5" header="0.05" footer="0.0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8"/>
  <sheetViews>
    <sheetView workbookViewId="0">
      <selection activeCell="B14" sqref="B14"/>
    </sheetView>
  </sheetViews>
  <sheetFormatPr defaultColWidth="8.85546875" defaultRowHeight="15" x14ac:dyDescent="0.25"/>
  <cols>
    <col min="2" max="2" width="50" customWidth="1"/>
    <col min="3" max="3" width="9.140625" customWidth="1"/>
    <col min="4" max="4" width="12.7109375" customWidth="1"/>
  </cols>
  <sheetData>
    <row r="2" spans="2:4" x14ac:dyDescent="0.25">
      <c r="B2" s="696" t="s">
        <v>139</v>
      </c>
      <c r="C2" s="696"/>
      <c r="D2" s="696"/>
    </row>
    <row r="3" spans="2:4" x14ac:dyDescent="0.25">
      <c r="B3" s="693" t="s">
        <v>119</v>
      </c>
      <c r="C3" s="694"/>
      <c r="D3" s="695"/>
    </row>
    <row r="4" spans="2:4" x14ac:dyDescent="0.25">
      <c r="B4" s="107"/>
      <c r="C4" s="107"/>
      <c r="D4" s="107"/>
    </row>
    <row r="5" spans="2:4" x14ac:dyDescent="0.2">
      <c r="B5" s="340"/>
      <c r="C5" s="341" t="s">
        <v>120</v>
      </c>
      <c r="D5" s="342" t="s">
        <v>121</v>
      </c>
    </row>
    <row r="6" spans="2:4" x14ac:dyDescent="0.25">
      <c r="B6" s="343" t="s">
        <v>122</v>
      </c>
      <c r="C6" s="344" t="s">
        <v>123</v>
      </c>
      <c r="D6" s="345">
        <v>55000</v>
      </c>
    </row>
    <row r="7" spans="2:4" x14ac:dyDescent="0.25">
      <c r="B7" s="343" t="s">
        <v>124</v>
      </c>
      <c r="C7" s="344" t="s">
        <v>123</v>
      </c>
      <c r="D7" s="345">
        <v>35000</v>
      </c>
    </row>
    <row r="8" spans="2:4" x14ac:dyDescent="0.25">
      <c r="B8" s="343" t="s">
        <v>125</v>
      </c>
      <c r="C8" s="344" t="s">
        <v>126</v>
      </c>
      <c r="D8" s="345">
        <v>85000</v>
      </c>
    </row>
    <row r="9" spans="2:4" x14ac:dyDescent="0.25">
      <c r="B9" s="343" t="s">
        <v>127</v>
      </c>
      <c r="C9" s="344" t="s">
        <v>128</v>
      </c>
      <c r="D9" s="345">
        <v>55000</v>
      </c>
    </row>
    <row r="10" spans="2:4" x14ac:dyDescent="0.25">
      <c r="B10" s="343" t="s">
        <v>129</v>
      </c>
      <c r="C10" s="344" t="s">
        <v>128</v>
      </c>
      <c r="D10" s="345">
        <v>35000</v>
      </c>
    </row>
    <row r="11" spans="2:4" x14ac:dyDescent="0.25">
      <c r="B11" s="343" t="s">
        <v>130</v>
      </c>
      <c r="C11" s="344" t="s">
        <v>131</v>
      </c>
      <c r="D11" s="345">
        <v>30000</v>
      </c>
    </row>
    <row r="12" spans="2:4" x14ac:dyDescent="0.25">
      <c r="B12" s="343" t="s">
        <v>132</v>
      </c>
      <c r="C12" s="344" t="s">
        <v>133</v>
      </c>
      <c r="D12" s="345">
        <v>55000</v>
      </c>
    </row>
    <row r="13" spans="2:4" x14ac:dyDescent="0.25">
      <c r="B13" s="343" t="s">
        <v>134</v>
      </c>
      <c r="C13" s="344" t="s">
        <v>133</v>
      </c>
      <c r="D13" s="345">
        <v>50000</v>
      </c>
    </row>
    <row r="14" spans="2:4" x14ac:dyDescent="0.25">
      <c r="B14" s="343" t="s">
        <v>135</v>
      </c>
      <c r="C14" s="344" t="s">
        <v>136</v>
      </c>
      <c r="D14" s="345">
        <v>25000</v>
      </c>
    </row>
    <row r="15" spans="2:4" x14ac:dyDescent="0.25">
      <c r="B15" s="343" t="s">
        <v>137</v>
      </c>
      <c r="C15" s="344" t="s">
        <v>136</v>
      </c>
      <c r="D15" s="345">
        <v>100000</v>
      </c>
    </row>
    <row r="16" spans="2:4" ht="30" x14ac:dyDescent="0.25">
      <c r="B16" s="346" t="s">
        <v>138</v>
      </c>
      <c r="C16" s="344" t="s">
        <v>136</v>
      </c>
      <c r="D16" s="347">
        <v>75000</v>
      </c>
    </row>
    <row r="17" spans="2:4" x14ac:dyDescent="0.25">
      <c r="B17" s="348"/>
      <c r="C17" s="348"/>
      <c r="D17" s="349"/>
    </row>
    <row r="18" spans="2:4" ht="15.75" x14ac:dyDescent="0.25">
      <c r="B18" s="350" t="s">
        <v>1</v>
      </c>
      <c r="C18" s="351"/>
      <c r="D18" s="352">
        <f>SUM(D6:D16)</f>
        <v>600000</v>
      </c>
    </row>
  </sheetData>
  <mergeCells count="2">
    <mergeCell ref="B3:D3"/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4"/>
  <sheetViews>
    <sheetView workbookViewId="0">
      <selection activeCell="H4" sqref="H4"/>
    </sheetView>
  </sheetViews>
  <sheetFormatPr defaultColWidth="8.85546875" defaultRowHeight="15" x14ac:dyDescent="0.25"/>
  <cols>
    <col min="3" max="3" width="31.85546875" customWidth="1"/>
    <col min="4" max="4" width="3.28515625" customWidth="1"/>
    <col min="5" max="5" width="7.28515625" style="228" customWidth="1"/>
    <col min="6" max="6" width="12.28515625" customWidth="1"/>
  </cols>
  <sheetData>
    <row r="2" spans="3:8" x14ac:dyDescent="0.25">
      <c r="C2" s="108"/>
      <c r="D2" s="696" t="s">
        <v>156</v>
      </c>
      <c r="E2" s="696"/>
      <c r="F2" s="365" t="s">
        <v>100</v>
      </c>
      <c r="G2" s="365" t="s">
        <v>17</v>
      </c>
    </row>
    <row r="3" spans="3:8" x14ac:dyDescent="0.25">
      <c r="C3" s="702" t="s">
        <v>157</v>
      </c>
      <c r="D3" s="703"/>
      <c r="E3" s="703"/>
      <c r="F3" s="703"/>
      <c r="G3" s="704"/>
    </row>
    <row r="4" spans="3:8" s="228" customFormat="1" x14ac:dyDescent="0.25">
      <c r="C4" s="366" t="s">
        <v>142</v>
      </c>
      <c r="D4" s="272">
        <v>1</v>
      </c>
      <c r="E4" s="272">
        <f>5*13</f>
        <v>65</v>
      </c>
      <c r="F4" s="272">
        <v>5000</v>
      </c>
      <c r="G4" s="272">
        <f>D4*E4*F4</f>
        <v>325000</v>
      </c>
    </row>
    <row r="5" spans="3:8" s="228" customFormat="1" x14ac:dyDescent="0.25">
      <c r="C5" s="366" t="s">
        <v>143</v>
      </c>
      <c r="D5" s="272">
        <v>1</v>
      </c>
      <c r="E5" s="272">
        <f t="shared" ref="E5:E18" si="0">5*13</f>
        <v>65</v>
      </c>
      <c r="F5" s="272">
        <v>3500</v>
      </c>
      <c r="G5" s="272">
        <f t="shared" ref="G5:G18" si="1">D5*E5*F5</f>
        <v>227500</v>
      </c>
    </row>
    <row r="6" spans="3:8" s="228" customFormat="1" x14ac:dyDescent="0.25">
      <c r="C6" s="366" t="s">
        <v>144</v>
      </c>
      <c r="D6" s="272">
        <v>1</v>
      </c>
      <c r="E6" s="272">
        <f t="shared" si="0"/>
        <v>65</v>
      </c>
      <c r="F6" s="272">
        <v>3500</v>
      </c>
      <c r="G6" s="272">
        <f t="shared" si="1"/>
        <v>227500</v>
      </c>
      <c r="H6" s="247"/>
    </row>
    <row r="7" spans="3:8" s="228" customFormat="1" x14ac:dyDescent="0.25">
      <c r="C7" s="366" t="s">
        <v>109</v>
      </c>
      <c r="D7" s="272">
        <v>1</v>
      </c>
      <c r="E7" s="272">
        <f t="shared" si="0"/>
        <v>65</v>
      </c>
      <c r="F7" s="272">
        <v>2000</v>
      </c>
      <c r="G7" s="272">
        <f t="shared" si="1"/>
        <v>130000</v>
      </c>
    </row>
    <row r="8" spans="3:8" s="228" customFormat="1" x14ac:dyDescent="0.25">
      <c r="C8" s="366" t="s">
        <v>145</v>
      </c>
      <c r="D8" s="272">
        <v>1</v>
      </c>
      <c r="E8" s="272">
        <f t="shared" si="0"/>
        <v>65</v>
      </c>
      <c r="F8" s="272">
        <v>1500</v>
      </c>
      <c r="G8" s="272">
        <f t="shared" si="1"/>
        <v>97500</v>
      </c>
    </row>
    <row r="9" spans="3:8" s="228" customFormat="1" x14ac:dyDescent="0.25">
      <c r="C9" s="366" t="s">
        <v>146</v>
      </c>
      <c r="D9" s="272">
        <v>1</v>
      </c>
      <c r="E9" s="272">
        <f t="shared" si="0"/>
        <v>65</v>
      </c>
      <c r="F9" s="272">
        <v>1500</v>
      </c>
      <c r="G9" s="272">
        <f t="shared" si="1"/>
        <v>97500</v>
      </c>
    </row>
    <row r="10" spans="3:8" s="228" customFormat="1" x14ac:dyDescent="0.25">
      <c r="C10" s="366" t="s">
        <v>147</v>
      </c>
      <c r="D10" s="272">
        <v>1</v>
      </c>
      <c r="E10" s="272">
        <f t="shared" si="0"/>
        <v>65</v>
      </c>
      <c r="F10" s="272">
        <v>1500</v>
      </c>
      <c r="G10" s="272">
        <f t="shared" si="1"/>
        <v>97500</v>
      </c>
    </row>
    <row r="11" spans="3:8" s="228" customFormat="1" x14ac:dyDescent="0.25">
      <c r="C11" s="366" t="s">
        <v>148</v>
      </c>
      <c r="D11" s="272">
        <v>1</v>
      </c>
      <c r="E11" s="272">
        <f t="shared" si="0"/>
        <v>65</v>
      </c>
      <c r="F11" s="272">
        <v>4000</v>
      </c>
      <c r="G11" s="272">
        <f t="shared" si="1"/>
        <v>260000</v>
      </c>
    </row>
    <row r="12" spans="3:8" s="228" customFormat="1" x14ac:dyDescent="0.25">
      <c r="C12" s="366" t="s">
        <v>149</v>
      </c>
      <c r="D12" s="272">
        <v>1</v>
      </c>
      <c r="E12" s="272">
        <f t="shared" si="0"/>
        <v>65</v>
      </c>
      <c r="F12" s="272">
        <v>2500</v>
      </c>
      <c r="G12" s="272">
        <f t="shared" si="1"/>
        <v>162500</v>
      </c>
    </row>
    <row r="13" spans="3:8" s="228" customFormat="1" x14ac:dyDescent="0.25">
      <c r="C13" s="366" t="s">
        <v>150</v>
      </c>
      <c r="D13" s="272">
        <v>1</v>
      </c>
      <c r="E13" s="272">
        <f t="shared" si="0"/>
        <v>65</v>
      </c>
      <c r="F13" s="272">
        <v>4000</v>
      </c>
      <c r="G13" s="272">
        <f t="shared" si="1"/>
        <v>260000</v>
      </c>
    </row>
    <row r="14" spans="3:8" s="228" customFormat="1" x14ac:dyDescent="0.25">
      <c r="C14" s="366" t="s">
        <v>151</v>
      </c>
      <c r="D14" s="272">
        <v>1</v>
      </c>
      <c r="E14" s="272">
        <f t="shared" si="0"/>
        <v>65</v>
      </c>
      <c r="F14" s="272">
        <v>3500</v>
      </c>
      <c r="G14" s="272">
        <f t="shared" si="1"/>
        <v>227500</v>
      </c>
    </row>
    <row r="15" spans="3:8" s="228" customFormat="1" x14ac:dyDescent="0.25">
      <c r="C15" s="366" t="s">
        <v>152</v>
      </c>
      <c r="D15" s="272">
        <v>1</v>
      </c>
      <c r="E15" s="272">
        <f t="shared" si="0"/>
        <v>65</v>
      </c>
      <c r="F15" s="272">
        <v>4000</v>
      </c>
      <c r="G15" s="272">
        <f t="shared" si="1"/>
        <v>260000</v>
      </c>
    </row>
    <row r="16" spans="3:8" s="228" customFormat="1" x14ac:dyDescent="0.25">
      <c r="C16" s="366" t="s">
        <v>153</v>
      </c>
      <c r="D16" s="272">
        <v>1</v>
      </c>
      <c r="E16" s="272">
        <f t="shared" si="0"/>
        <v>65</v>
      </c>
      <c r="F16" s="272">
        <v>3500</v>
      </c>
      <c r="G16" s="272">
        <f t="shared" si="1"/>
        <v>227500</v>
      </c>
    </row>
    <row r="17" spans="3:7" s="228" customFormat="1" x14ac:dyDescent="0.25">
      <c r="C17" s="366" t="s">
        <v>154</v>
      </c>
      <c r="D17" s="272">
        <v>8</v>
      </c>
      <c r="E17" s="272">
        <f t="shared" si="0"/>
        <v>65</v>
      </c>
      <c r="F17" s="272">
        <v>1500</v>
      </c>
      <c r="G17" s="272">
        <f t="shared" si="1"/>
        <v>780000</v>
      </c>
    </row>
    <row r="18" spans="3:7" s="228" customFormat="1" x14ac:dyDescent="0.25">
      <c r="C18" s="366" t="s">
        <v>155</v>
      </c>
      <c r="D18" s="272">
        <v>3</v>
      </c>
      <c r="E18" s="272">
        <f t="shared" si="0"/>
        <v>65</v>
      </c>
      <c r="F18" s="272">
        <v>1500</v>
      </c>
      <c r="G18" s="272">
        <f t="shared" si="1"/>
        <v>292500</v>
      </c>
    </row>
    <row r="19" spans="3:7" x14ac:dyDescent="0.25">
      <c r="C19" s="280" t="s">
        <v>140</v>
      </c>
      <c r="D19" s="697">
        <v>3</v>
      </c>
      <c r="E19" s="698"/>
      <c r="F19" s="272">
        <v>40000</v>
      </c>
      <c r="G19" s="272">
        <f>D19*F19</f>
        <v>120000</v>
      </c>
    </row>
    <row r="20" spans="3:7" x14ac:dyDescent="0.25">
      <c r="C20" s="280" t="s">
        <v>141</v>
      </c>
      <c r="D20" s="697">
        <v>5</v>
      </c>
      <c r="E20" s="698"/>
      <c r="F20" s="272">
        <v>4000</v>
      </c>
      <c r="G20" s="272">
        <f>D20*F20</f>
        <v>20000</v>
      </c>
    </row>
    <row r="21" spans="3:7" x14ac:dyDescent="0.25">
      <c r="C21" s="280" t="s">
        <v>158</v>
      </c>
      <c r="D21" s="697">
        <v>1</v>
      </c>
      <c r="E21" s="698"/>
      <c r="F21" s="272">
        <v>150000</v>
      </c>
      <c r="G21" s="272">
        <f>D21*F21</f>
        <v>150000</v>
      </c>
    </row>
    <row r="22" spans="3:7" x14ac:dyDescent="0.25">
      <c r="C22" s="280" t="s">
        <v>90</v>
      </c>
      <c r="D22" s="697">
        <v>1</v>
      </c>
      <c r="E22" s="698"/>
      <c r="F22" s="272">
        <v>200000</v>
      </c>
      <c r="G22" s="272">
        <f>D22*F22</f>
        <v>200000</v>
      </c>
    </row>
    <row r="23" spans="3:7" x14ac:dyDescent="0.25">
      <c r="C23" s="280" t="s">
        <v>159</v>
      </c>
      <c r="D23" s="697">
        <v>1</v>
      </c>
      <c r="E23" s="698"/>
      <c r="F23" s="272">
        <f>5*12*3000+7500</f>
        <v>187500</v>
      </c>
      <c r="G23" s="272">
        <f>D23*F23</f>
        <v>187500</v>
      </c>
    </row>
    <row r="24" spans="3:7" x14ac:dyDescent="0.25">
      <c r="C24" s="699" t="s">
        <v>17</v>
      </c>
      <c r="D24" s="700"/>
      <c r="E24" s="700"/>
      <c r="F24" s="701"/>
      <c r="G24" s="280">
        <f>SUM(G4:G23)</f>
        <v>4350000</v>
      </c>
    </row>
  </sheetData>
  <mergeCells count="8">
    <mergeCell ref="D2:E2"/>
    <mergeCell ref="D19:E19"/>
    <mergeCell ref="C24:F24"/>
    <mergeCell ref="D20:E20"/>
    <mergeCell ref="D21:E21"/>
    <mergeCell ref="D22:E22"/>
    <mergeCell ref="D23:E23"/>
    <mergeCell ref="C3:G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K18"/>
  <sheetViews>
    <sheetView topLeftCell="B6" zoomScale="130" workbookViewId="0">
      <selection activeCell="D14" sqref="D14"/>
    </sheetView>
  </sheetViews>
  <sheetFormatPr defaultColWidth="8.85546875" defaultRowHeight="15" x14ac:dyDescent="0.25"/>
  <cols>
    <col min="3" max="3" width="45.28515625" customWidth="1"/>
    <col min="4" max="4" width="25.85546875" customWidth="1"/>
    <col min="9" max="9" width="15.28515625" customWidth="1"/>
  </cols>
  <sheetData>
    <row r="8" spans="3:11" ht="15.75" x14ac:dyDescent="0.25">
      <c r="C8" s="367" t="s">
        <v>186</v>
      </c>
      <c r="D8" s="368">
        <v>9000000</v>
      </c>
    </row>
    <row r="9" spans="3:11" ht="15.75" x14ac:dyDescent="0.25">
      <c r="C9" s="369" t="s">
        <v>187</v>
      </c>
      <c r="D9" s="370">
        <f>D8*0.08</f>
        <v>720000</v>
      </c>
      <c r="E9" s="371"/>
      <c r="H9" s="228"/>
      <c r="I9" s="228"/>
      <c r="J9" s="228"/>
    </row>
    <row r="10" spans="3:11" ht="15.75" x14ac:dyDescent="0.25">
      <c r="C10" s="369" t="s">
        <v>188</v>
      </c>
      <c r="D10" s="370">
        <v>80000</v>
      </c>
      <c r="H10" s="228"/>
      <c r="I10" s="228"/>
      <c r="J10" s="228"/>
      <c r="K10" s="228"/>
    </row>
    <row r="11" spans="3:11" s="228" customFormat="1" ht="15.75" x14ac:dyDescent="0.25">
      <c r="C11" s="369" t="s">
        <v>198</v>
      </c>
      <c r="D11" s="370">
        <v>60000</v>
      </c>
    </row>
    <row r="12" spans="3:11" ht="15.75" x14ac:dyDescent="0.25">
      <c r="C12" s="369" t="s">
        <v>117</v>
      </c>
      <c r="D12" s="370">
        <v>250000</v>
      </c>
      <c r="H12" s="228"/>
      <c r="I12" s="228"/>
      <c r="J12" s="228"/>
      <c r="K12" s="228"/>
    </row>
    <row r="13" spans="3:11" ht="15.75" x14ac:dyDescent="0.25">
      <c r="C13" s="369" t="s">
        <v>118</v>
      </c>
      <c r="D13" s="370">
        <v>100000</v>
      </c>
      <c r="H13" s="228"/>
      <c r="I13" s="228"/>
      <c r="J13" s="228"/>
      <c r="K13" s="228"/>
    </row>
    <row r="14" spans="3:11" s="228" customFormat="1" ht="15.75" x14ac:dyDescent="0.25">
      <c r="C14" s="369" t="s">
        <v>173</v>
      </c>
      <c r="D14" s="370">
        <v>500000</v>
      </c>
    </row>
    <row r="15" spans="3:11" ht="15.75" x14ac:dyDescent="0.25">
      <c r="C15" s="372" t="s">
        <v>17</v>
      </c>
      <c r="D15" s="373">
        <f>SUM(D8:D14)</f>
        <v>10710000</v>
      </c>
      <c r="H15" s="228"/>
      <c r="I15" s="228"/>
      <c r="J15" s="228"/>
    </row>
    <row r="16" spans="3:11" x14ac:dyDescent="0.25">
      <c r="H16" s="228"/>
      <c r="I16" s="228"/>
      <c r="J16" s="228"/>
    </row>
    <row r="17" spans="8:10" x14ac:dyDescent="0.25">
      <c r="H17" s="228"/>
      <c r="I17" s="228"/>
      <c r="J17" s="228"/>
    </row>
    <row r="18" spans="8:10" x14ac:dyDescent="0.25">
      <c r="H18" s="228"/>
      <c r="I18" s="228"/>
      <c r="J18" s="2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V34"/>
  <sheetViews>
    <sheetView topLeftCell="A3" zoomScale="125" zoomScaleNormal="125" zoomScalePageLayoutView="125" workbookViewId="0">
      <selection activeCell="B10" sqref="B10"/>
    </sheetView>
  </sheetViews>
  <sheetFormatPr defaultColWidth="8.85546875" defaultRowHeight="15" x14ac:dyDescent="0.25"/>
  <cols>
    <col min="1" max="1" width="2.28515625" style="228" customWidth="1"/>
    <col min="2" max="2" width="34" style="21" customWidth="1"/>
    <col min="3" max="22" width="3.7109375" style="228" customWidth="1"/>
    <col min="23" max="23" width="25.7109375" style="228" customWidth="1"/>
    <col min="24" max="24" width="13.28515625" style="228" customWidth="1"/>
    <col min="25" max="25" width="36" style="228" customWidth="1"/>
    <col min="26" max="256" width="8.85546875" style="228" customWidth="1"/>
  </cols>
  <sheetData>
    <row r="3" spans="2:25" x14ac:dyDescent="0.25">
      <c r="B3" s="710" t="s">
        <v>219</v>
      </c>
      <c r="C3" s="707">
        <v>2016</v>
      </c>
      <c r="D3" s="708"/>
      <c r="E3" s="708"/>
      <c r="F3" s="709"/>
      <c r="G3" s="707">
        <v>2017</v>
      </c>
      <c r="H3" s="708"/>
      <c r="I3" s="708"/>
      <c r="J3" s="709"/>
      <c r="K3" s="707">
        <v>2018</v>
      </c>
      <c r="L3" s="708"/>
      <c r="M3" s="708"/>
      <c r="N3" s="709"/>
      <c r="O3" s="707">
        <v>2019</v>
      </c>
      <c r="P3" s="708"/>
      <c r="Q3" s="708"/>
      <c r="R3" s="709"/>
      <c r="S3" s="707">
        <v>2020</v>
      </c>
      <c r="T3" s="708"/>
      <c r="U3" s="708"/>
      <c r="V3" s="709"/>
      <c r="W3" s="705" t="s">
        <v>94</v>
      </c>
      <c r="X3" s="705" t="s">
        <v>220</v>
      </c>
      <c r="Y3" s="705" t="s">
        <v>221</v>
      </c>
    </row>
    <row r="4" spans="2:25" x14ac:dyDescent="0.25">
      <c r="B4" s="711"/>
      <c r="C4" s="353">
        <v>1</v>
      </c>
      <c r="D4" s="353">
        <v>2</v>
      </c>
      <c r="E4" s="353">
        <v>3</v>
      </c>
      <c r="F4" s="353">
        <v>4</v>
      </c>
      <c r="G4" s="353">
        <v>1</v>
      </c>
      <c r="H4" s="353">
        <v>2</v>
      </c>
      <c r="I4" s="353">
        <v>3</v>
      </c>
      <c r="J4" s="353">
        <v>4</v>
      </c>
      <c r="K4" s="353">
        <v>1</v>
      </c>
      <c r="L4" s="353">
        <v>2</v>
      </c>
      <c r="M4" s="353">
        <v>3</v>
      </c>
      <c r="N4" s="353">
        <v>4</v>
      </c>
      <c r="O4" s="353">
        <v>1</v>
      </c>
      <c r="P4" s="353">
        <v>2</v>
      </c>
      <c r="Q4" s="353">
        <v>3</v>
      </c>
      <c r="R4" s="353">
        <v>4</v>
      </c>
      <c r="S4" s="353">
        <v>1</v>
      </c>
      <c r="T4" s="353">
        <v>2</v>
      </c>
      <c r="U4" s="353">
        <v>3</v>
      </c>
      <c r="V4" s="353">
        <v>4</v>
      </c>
      <c r="W4" s="706"/>
      <c r="X4" s="706"/>
      <c r="Y4" s="706"/>
    </row>
    <row r="5" spans="2:25" ht="25.5" x14ac:dyDescent="0.25">
      <c r="B5" s="354" t="s">
        <v>222</v>
      </c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6" t="s">
        <v>309</v>
      </c>
      <c r="X5" s="357">
        <v>300000</v>
      </c>
      <c r="Y5" s="358" t="s">
        <v>223</v>
      </c>
    </row>
    <row r="6" spans="2:25" ht="25.5" x14ac:dyDescent="0.25">
      <c r="B6" s="359" t="s">
        <v>224</v>
      </c>
      <c r="C6" s="360"/>
      <c r="D6" s="360"/>
      <c r="E6" s="361"/>
      <c r="F6" s="360"/>
      <c r="G6" s="360"/>
      <c r="H6" s="360"/>
      <c r="I6" s="360"/>
      <c r="J6" s="360"/>
      <c r="K6" s="360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 t="s">
        <v>225</v>
      </c>
      <c r="X6" s="357">
        <v>55000</v>
      </c>
      <c r="Y6" s="360" t="s">
        <v>226</v>
      </c>
    </row>
    <row r="7" spans="2:25" ht="25.5" x14ac:dyDescent="0.25">
      <c r="B7" s="362" t="s">
        <v>227</v>
      </c>
      <c r="C7" s="360"/>
      <c r="D7" s="360"/>
      <c r="E7" s="361"/>
      <c r="F7" s="361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 t="s">
        <v>228</v>
      </c>
      <c r="X7" s="357">
        <v>35000</v>
      </c>
      <c r="Y7" s="360" t="s">
        <v>226</v>
      </c>
    </row>
    <row r="8" spans="2:25" x14ac:dyDescent="0.25">
      <c r="B8" s="359" t="s">
        <v>229</v>
      </c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55"/>
      <c r="O8" s="360"/>
      <c r="P8" s="360"/>
      <c r="Q8" s="360"/>
      <c r="R8" s="360"/>
      <c r="S8" s="360"/>
      <c r="T8" s="360"/>
      <c r="U8" s="360"/>
      <c r="V8" s="360"/>
      <c r="W8" s="360" t="s">
        <v>115</v>
      </c>
      <c r="X8" s="357">
        <v>85000</v>
      </c>
      <c r="Y8" s="358" t="s">
        <v>311</v>
      </c>
    </row>
    <row r="9" spans="2:25" ht="25.5" x14ac:dyDescent="0.25">
      <c r="B9" s="359" t="s">
        <v>230</v>
      </c>
      <c r="C9" s="360"/>
      <c r="D9" s="360"/>
      <c r="E9" s="360"/>
      <c r="F9" s="360"/>
      <c r="G9" s="360"/>
      <c r="H9" s="360"/>
      <c r="I9" s="360"/>
      <c r="J9" s="360"/>
      <c r="K9" s="360"/>
      <c r="L9" s="360"/>
      <c r="M9" s="360"/>
      <c r="N9" s="360"/>
      <c r="O9" s="360"/>
      <c r="P9" s="360"/>
      <c r="Q9" s="361"/>
      <c r="R9" s="360"/>
      <c r="S9" s="360"/>
      <c r="T9" s="360"/>
      <c r="U9" s="360"/>
      <c r="V9" s="360"/>
      <c r="W9" s="356" t="s">
        <v>225</v>
      </c>
      <c r="X9" s="357">
        <v>55000</v>
      </c>
      <c r="Y9" s="360" t="s">
        <v>226</v>
      </c>
    </row>
    <row r="10" spans="2:25" ht="25.5" x14ac:dyDescent="0.25">
      <c r="B10" s="362" t="s">
        <v>231</v>
      </c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1"/>
      <c r="R10" s="361"/>
      <c r="S10" s="360"/>
      <c r="T10" s="360"/>
      <c r="U10" s="360"/>
      <c r="V10" s="360"/>
      <c r="W10" s="356" t="s">
        <v>228</v>
      </c>
      <c r="X10" s="357">
        <v>35000</v>
      </c>
      <c r="Y10" s="360" t="s">
        <v>226</v>
      </c>
    </row>
    <row r="11" spans="2:25" x14ac:dyDescent="0.25">
      <c r="B11" s="359" t="s">
        <v>232</v>
      </c>
      <c r="C11" s="360"/>
      <c r="D11" s="363"/>
      <c r="E11" s="363"/>
      <c r="F11" s="363"/>
      <c r="G11" s="363"/>
      <c r="H11" s="363"/>
      <c r="I11" s="363"/>
      <c r="J11" s="363"/>
      <c r="K11" s="363"/>
      <c r="L11" s="427" t="s">
        <v>389</v>
      </c>
      <c r="M11" s="363"/>
      <c r="N11" s="363"/>
      <c r="O11" s="363"/>
      <c r="P11" s="363"/>
      <c r="Q11" s="363"/>
      <c r="R11" s="364"/>
      <c r="S11" s="363"/>
      <c r="T11" s="363"/>
      <c r="U11" s="360"/>
      <c r="V11" s="363"/>
      <c r="W11" s="356" t="s">
        <v>115</v>
      </c>
      <c r="X11" s="357">
        <v>30000</v>
      </c>
      <c r="Y11" s="358" t="s">
        <v>233</v>
      </c>
    </row>
    <row r="12" spans="2:25" ht="25.5" x14ac:dyDescent="0.25">
      <c r="B12" s="359" t="s">
        <v>234</v>
      </c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1"/>
      <c r="V12" s="360"/>
      <c r="W12" s="360" t="s">
        <v>225</v>
      </c>
      <c r="X12" s="357">
        <v>55000</v>
      </c>
      <c r="Y12" s="360" t="s">
        <v>226</v>
      </c>
    </row>
    <row r="13" spans="2:25" ht="25.5" x14ac:dyDescent="0.25">
      <c r="B13" s="362" t="s">
        <v>235</v>
      </c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1"/>
      <c r="V13" s="361"/>
      <c r="W13" s="356" t="s">
        <v>228</v>
      </c>
      <c r="X13" s="357">
        <v>50000</v>
      </c>
      <c r="Y13" s="360" t="s">
        <v>226</v>
      </c>
    </row>
    <row r="14" spans="2:25" ht="63.75" x14ac:dyDescent="0.25">
      <c r="B14" s="359" t="s">
        <v>236</v>
      </c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1"/>
      <c r="V14" s="361"/>
      <c r="W14" s="356" t="s">
        <v>225</v>
      </c>
      <c r="X14" s="357">
        <v>75000</v>
      </c>
      <c r="Y14" s="360" t="s">
        <v>226</v>
      </c>
    </row>
    <row r="15" spans="2:25" x14ac:dyDescent="0.25">
      <c r="B15" s="359" t="s">
        <v>237</v>
      </c>
      <c r="C15" s="363"/>
      <c r="D15" s="363"/>
      <c r="E15" s="363"/>
      <c r="F15" s="363"/>
      <c r="G15" s="363"/>
      <c r="H15" s="363"/>
      <c r="I15" s="363"/>
      <c r="J15" s="363"/>
      <c r="K15" s="363"/>
      <c r="L15" s="363"/>
      <c r="M15" s="363"/>
      <c r="N15" s="363"/>
      <c r="O15" s="363"/>
      <c r="P15" s="363"/>
      <c r="Q15" s="363"/>
      <c r="R15" s="363"/>
      <c r="S15" s="363"/>
      <c r="T15" s="363"/>
      <c r="U15" s="360"/>
      <c r="V15" s="355"/>
      <c r="W15" s="356" t="s">
        <v>115</v>
      </c>
      <c r="X15" s="357">
        <v>25000</v>
      </c>
      <c r="Y15" s="360" t="s">
        <v>233</v>
      </c>
    </row>
    <row r="16" spans="2:25" x14ac:dyDescent="0.25">
      <c r="B16" s="359" t="s">
        <v>238</v>
      </c>
      <c r="C16" s="360"/>
      <c r="D16" s="360"/>
      <c r="E16" s="360"/>
      <c r="F16" s="360"/>
      <c r="G16" s="360"/>
      <c r="H16" s="360"/>
      <c r="I16" s="360"/>
      <c r="J16" s="360"/>
      <c r="K16" s="360"/>
      <c r="L16" s="360"/>
      <c r="M16" s="360"/>
      <c r="N16" s="360"/>
      <c r="O16" s="360"/>
      <c r="P16" s="360"/>
      <c r="Q16" s="360"/>
      <c r="R16" s="360"/>
      <c r="S16" s="360"/>
      <c r="T16" s="360"/>
      <c r="U16" s="360"/>
      <c r="V16" s="355"/>
      <c r="W16" s="360" t="s">
        <v>115</v>
      </c>
      <c r="X16" s="357">
        <v>100000</v>
      </c>
      <c r="Y16" s="358" t="s">
        <v>310</v>
      </c>
    </row>
    <row r="17" spans="2:27" x14ac:dyDescent="0.25">
      <c r="X17" s="247">
        <f>SUM(X5:X16)</f>
        <v>900000</v>
      </c>
    </row>
    <row r="20" spans="2:27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2:27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2:27" x14ac:dyDescent="0.25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2:27" x14ac:dyDescent="0.25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2:27" x14ac:dyDescent="0.25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2:27" x14ac:dyDescent="0.25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2:27" x14ac:dyDescent="0.25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2:27" x14ac:dyDescent="0.25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2:27" x14ac:dyDescent="0.25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2:27" x14ac:dyDescent="0.25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2:27" x14ac:dyDescent="0.25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2:27" x14ac:dyDescent="0.25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2:27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2:27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2:27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</row>
  </sheetData>
  <mergeCells count="9">
    <mergeCell ref="X3:X4"/>
    <mergeCell ref="Y3:Y4"/>
    <mergeCell ref="O3:R3"/>
    <mergeCell ref="S3:V3"/>
    <mergeCell ref="B3:B4"/>
    <mergeCell ref="C3:F3"/>
    <mergeCell ref="G3:J3"/>
    <mergeCell ref="K3:N3"/>
    <mergeCell ref="W3:W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workbookViewId="0">
      <selection activeCell="I66" sqref="I66"/>
    </sheetView>
  </sheetViews>
  <sheetFormatPr defaultColWidth="11.42578125" defaultRowHeight="15" x14ac:dyDescent="0.25"/>
  <cols>
    <col min="3" max="3" width="24.140625" bestFit="1" customWidth="1"/>
    <col min="4" max="5" width="13.42578125" customWidth="1"/>
    <col min="7" max="7" width="12" customWidth="1"/>
    <col min="8" max="8" width="15.7109375" bestFit="1" customWidth="1"/>
    <col min="9" max="9" width="13.140625" bestFit="1" customWidth="1"/>
  </cols>
  <sheetData>
    <row r="1" spans="1:10" x14ac:dyDescent="0.25">
      <c r="A1" t="s">
        <v>376</v>
      </c>
    </row>
    <row r="3" spans="1:10" ht="15.75" x14ac:dyDescent="0.25">
      <c r="C3" s="472" t="s">
        <v>478</v>
      </c>
      <c r="D3" s="472" t="s">
        <v>251</v>
      </c>
      <c r="E3" s="472" t="s">
        <v>462</v>
      </c>
      <c r="F3" s="475" t="s">
        <v>466</v>
      </c>
      <c r="G3" s="472" t="s">
        <v>472</v>
      </c>
      <c r="H3" s="472" t="s">
        <v>473</v>
      </c>
      <c r="I3" s="472" t="s">
        <v>474</v>
      </c>
    </row>
    <row r="4" spans="1:10" ht="15.75" x14ac:dyDescent="0.25">
      <c r="C4" s="472"/>
      <c r="D4" s="472"/>
      <c r="E4" s="472"/>
      <c r="F4" s="475"/>
      <c r="G4" s="472"/>
      <c r="H4" s="472"/>
      <c r="I4" s="472"/>
    </row>
    <row r="5" spans="1:10" ht="15.75" x14ac:dyDescent="0.25">
      <c r="B5" s="449" t="s">
        <v>479</v>
      </c>
      <c r="C5" s="477" t="s">
        <v>477</v>
      </c>
      <c r="D5" s="382" t="s">
        <v>475</v>
      </c>
      <c r="E5" s="478"/>
      <c r="F5" s="487">
        <f>F25*2</f>
        <v>360</v>
      </c>
      <c r="G5" s="382">
        <v>6850</v>
      </c>
      <c r="H5" s="477">
        <f t="shared" ref="H5:H12" si="0">F5*G5</f>
        <v>2466000</v>
      </c>
      <c r="I5" s="480">
        <f t="shared" ref="I5:I13" si="1">H5/75</f>
        <v>32880</v>
      </c>
    </row>
    <row r="6" spans="1:10" ht="15.75" x14ac:dyDescent="0.25">
      <c r="C6" s="477"/>
      <c r="D6" s="382" t="s">
        <v>460</v>
      </c>
      <c r="E6" s="478"/>
      <c r="F6" s="487">
        <f t="shared" ref="F6:F12" si="2">F26*2</f>
        <v>400</v>
      </c>
      <c r="G6" s="382">
        <v>4400</v>
      </c>
      <c r="H6" s="477">
        <f t="shared" si="0"/>
        <v>1760000</v>
      </c>
      <c r="I6" s="480">
        <f t="shared" si="1"/>
        <v>23466.666666666668</v>
      </c>
    </row>
    <row r="7" spans="1:10" ht="15.75" x14ac:dyDescent="0.25">
      <c r="C7" s="477"/>
      <c r="D7" s="382" t="s">
        <v>454</v>
      </c>
      <c r="E7" s="478"/>
      <c r="F7" s="487">
        <f t="shared" si="2"/>
        <v>410</v>
      </c>
      <c r="G7" s="382">
        <v>5600</v>
      </c>
      <c r="H7" s="477">
        <f t="shared" si="0"/>
        <v>2296000</v>
      </c>
      <c r="I7" s="480">
        <f t="shared" si="1"/>
        <v>30613.333333333332</v>
      </c>
    </row>
    <row r="8" spans="1:10" ht="15.75" x14ac:dyDescent="0.25">
      <c r="C8" s="477"/>
      <c r="D8" s="382" t="s">
        <v>455</v>
      </c>
      <c r="E8" s="478"/>
      <c r="F8" s="487">
        <f t="shared" si="2"/>
        <v>280</v>
      </c>
      <c r="G8" s="382"/>
      <c r="H8" s="477">
        <f t="shared" si="0"/>
        <v>0</v>
      </c>
      <c r="I8" s="480">
        <f t="shared" si="1"/>
        <v>0</v>
      </c>
    </row>
    <row r="9" spans="1:10" ht="15.75" x14ac:dyDescent="0.25">
      <c r="C9" s="477"/>
      <c r="D9" s="382" t="s">
        <v>456</v>
      </c>
      <c r="E9" s="478"/>
      <c r="F9" s="487">
        <f t="shared" si="2"/>
        <v>320</v>
      </c>
      <c r="G9" s="382">
        <v>4300</v>
      </c>
      <c r="H9" s="477">
        <f t="shared" si="0"/>
        <v>1376000</v>
      </c>
      <c r="I9" s="480">
        <f t="shared" si="1"/>
        <v>18346.666666666668</v>
      </c>
    </row>
    <row r="10" spans="1:10" ht="15.75" x14ac:dyDescent="0.25">
      <c r="C10" s="477"/>
      <c r="D10" s="382" t="s">
        <v>457</v>
      </c>
      <c r="E10" s="478"/>
      <c r="F10" s="487">
        <f t="shared" si="2"/>
        <v>90</v>
      </c>
      <c r="G10" s="382"/>
      <c r="H10" s="477">
        <f t="shared" si="0"/>
        <v>0</v>
      </c>
      <c r="I10" s="480">
        <f t="shared" si="1"/>
        <v>0</v>
      </c>
    </row>
    <row r="11" spans="1:10" ht="15.75" x14ac:dyDescent="0.25">
      <c r="C11" s="477"/>
      <c r="D11" s="382" t="s">
        <v>458</v>
      </c>
      <c r="E11" s="478"/>
      <c r="F11" s="487">
        <f t="shared" si="2"/>
        <v>10</v>
      </c>
      <c r="G11" s="382">
        <v>500</v>
      </c>
      <c r="H11" s="477">
        <f t="shared" si="0"/>
        <v>5000</v>
      </c>
      <c r="I11" s="480">
        <f t="shared" si="1"/>
        <v>66.666666666666671</v>
      </c>
    </row>
    <row r="12" spans="1:10" ht="15.75" x14ac:dyDescent="0.25">
      <c r="C12" s="477"/>
      <c r="D12" s="382" t="s">
        <v>459</v>
      </c>
      <c r="E12" s="478"/>
      <c r="F12" s="479">
        <f t="shared" si="2"/>
        <v>0</v>
      </c>
      <c r="G12" s="382">
        <v>220</v>
      </c>
      <c r="H12" s="477">
        <f t="shared" si="0"/>
        <v>0</v>
      </c>
      <c r="I12" s="480">
        <f t="shared" si="1"/>
        <v>0</v>
      </c>
    </row>
    <row r="13" spans="1:10" ht="15.75" x14ac:dyDescent="0.25">
      <c r="C13" s="446"/>
      <c r="E13" s="472"/>
      <c r="F13" s="475"/>
      <c r="G13" s="472"/>
      <c r="H13" s="486">
        <f>SUM(H5:H12)</f>
        <v>7903000</v>
      </c>
      <c r="I13" s="485">
        <f t="shared" si="1"/>
        <v>105373.33333333333</v>
      </c>
    </row>
    <row r="14" spans="1:10" ht="15.75" x14ac:dyDescent="0.25">
      <c r="C14" s="446"/>
      <c r="E14" s="472"/>
      <c r="F14" s="475"/>
      <c r="G14" s="472"/>
      <c r="H14" s="472"/>
      <c r="I14" s="472"/>
    </row>
    <row r="15" spans="1:10" ht="15.75" x14ac:dyDescent="0.25">
      <c r="B15" s="449" t="s">
        <v>480</v>
      </c>
      <c r="C15" s="477" t="s">
        <v>468</v>
      </c>
      <c r="D15" s="382" t="s">
        <v>475</v>
      </c>
      <c r="E15" s="382" t="s">
        <v>465</v>
      </c>
      <c r="F15" s="382">
        <f>20+16</f>
        <v>36</v>
      </c>
      <c r="G15" s="382">
        <v>6850</v>
      </c>
      <c r="H15" s="481">
        <f t="shared" ref="H15:H22" si="3">F15*G15</f>
        <v>246600</v>
      </c>
      <c r="I15" s="480">
        <f>H15/75</f>
        <v>3288</v>
      </c>
      <c r="J15" s="473"/>
    </row>
    <row r="16" spans="1:10" ht="15.75" x14ac:dyDescent="0.25">
      <c r="C16" s="477"/>
      <c r="D16" s="382" t="s">
        <v>460</v>
      </c>
      <c r="E16" s="382" t="s">
        <v>465</v>
      </c>
      <c r="F16" s="382">
        <f>22+18</f>
        <v>40</v>
      </c>
      <c r="G16" s="382">
        <v>4400</v>
      </c>
      <c r="H16" s="481">
        <f t="shared" si="3"/>
        <v>176000</v>
      </c>
      <c r="I16" s="480">
        <f t="shared" ref="I16:I62" si="4">H16/75</f>
        <v>2346.6666666666665</v>
      </c>
      <c r="J16" s="473"/>
    </row>
    <row r="17" spans="2:10" ht="15.75" x14ac:dyDescent="0.25">
      <c r="C17" s="477"/>
      <c r="D17" s="382" t="s">
        <v>454</v>
      </c>
      <c r="E17" s="382" t="s">
        <v>465</v>
      </c>
      <c r="F17" s="382">
        <f>22+19</f>
        <v>41</v>
      </c>
      <c r="G17" s="382">
        <v>5600</v>
      </c>
      <c r="H17" s="481">
        <f t="shared" si="3"/>
        <v>229600</v>
      </c>
      <c r="I17" s="480">
        <f t="shared" si="4"/>
        <v>3061.3333333333335</v>
      </c>
      <c r="J17" s="473"/>
    </row>
    <row r="18" spans="2:10" ht="15.75" x14ac:dyDescent="0.25">
      <c r="C18" s="477"/>
      <c r="D18" s="382" t="s">
        <v>455</v>
      </c>
      <c r="E18" s="382" t="s">
        <v>465</v>
      </c>
      <c r="F18" s="382">
        <f>15+13</f>
        <v>28</v>
      </c>
      <c r="G18" s="382"/>
      <c r="H18" s="481">
        <f t="shared" si="3"/>
        <v>0</v>
      </c>
      <c r="I18" s="480">
        <f t="shared" si="4"/>
        <v>0</v>
      </c>
      <c r="J18" s="473"/>
    </row>
    <row r="19" spans="2:10" ht="15.75" x14ac:dyDescent="0.25">
      <c r="C19" s="477"/>
      <c r="D19" s="382" t="s">
        <v>456</v>
      </c>
      <c r="E19" s="382" t="s">
        <v>465</v>
      </c>
      <c r="F19" s="382">
        <f>18+14</f>
        <v>32</v>
      </c>
      <c r="G19" s="382">
        <v>4300</v>
      </c>
      <c r="H19" s="481">
        <f t="shared" si="3"/>
        <v>137600</v>
      </c>
      <c r="I19" s="480">
        <f t="shared" si="4"/>
        <v>1834.6666666666667</v>
      </c>
      <c r="J19" s="473"/>
    </row>
    <row r="20" spans="2:10" ht="15.75" x14ac:dyDescent="0.25">
      <c r="C20" s="477"/>
      <c r="D20" s="382" t="s">
        <v>457</v>
      </c>
      <c r="E20" s="382" t="s">
        <v>465</v>
      </c>
      <c r="F20" s="382">
        <f>5+4</f>
        <v>9</v>
      </c>
      <c r="G20" s="382"/>
      <c r="H20" s="481">
        <f t="shared" si="3"/>
        <v>0</v>
      </c>
      <c r="I20" s="480">
        <f t="shared" si="4"/>
        <v>0</v>
      </c>
      <c r="J20" s="473"/>
    </row>
    <row r="21" spans="2:10" ht="15.75" x14ac:dyDescent="0.25">
      <c r="C21" s="477"/>
      <c r="D21" s="382" t="s">
        <v>458</v>
      </c>
      <c r="E21" s="382" t="s">
        <v>463</v>
      </c>
      <c r="F21" s="382">
        <v>1</v>
      </c>
      <c r="G21" s="382">
        <v>500</v>
      </c>
      <c r="H21" s="481">
        <f t="shared" si="3"/>
        <v>500</v>
      </c>
      <c r="I21" s="480">
        <f t="shared" si="4"/>
        <v>6.666666666666667</v>
      </c>
      <c r="J21" s="473"/>
    </row>
    <row r="22" spans="2:10" x14ac:dyDescent="0.25">
      <c r="C22" s="482"/>
      <c r="D22" s="382" t="s">
        <v>459</v>
      </c>
      <c r="E22" s="382" t="s">
        <v>464</v>
      </c>
      <c r="F22" s="382"/>
      <c r="G22" s="382">
        <v>220</v>
      </c>
      <c r="H22" s="481">
        <f t="shared" si="3"/>
        <v>0</v>
      </c>
      <c r="I22" s="480">
        <f t="shared" si="4"/>
        <v>0</v>
      </c>
    </row>
    <row r="23" spans="2:10" ht="15.75" x14ac:dyDescent="0.25">
      <c r="C23" s="451"/>
      <c r="H23" s="486">
        <f>SUM(H15:H22)</f>
        <v>790300</v>
      </c>
      <c r="I23" s="485">
        <f t="shared" si="4"/>
        <v>10537.333333333334</v>
      </c>
      <c r="J23" s="473"/>
    </row>
    <row r="24" spans="2:10" ht="15.75" x14ac:dyDescent="0.25">
      <c r="C24" s="451"/>
      <c r="J24" s="473"/>
    </row>
    <row r="25" spans="2:10" ht="15.75" x14ac:dyDescent="0.25">
      <c r="B25" s="449" t="s">
        <v>481</v>
      </c>
      <c r="C25" s="477" t="s">
        <v>467</v>
      </c>
      <c r="D25" s="382" t="s">
        <v>461</v>
      </c>
      <c r="E25" s="382" t="s">
        <v>465</v>
      </c>
      <c r="F25" s="382">
        <f>F15*5</f>
        <v>180</v>
      </c>
      <c r="G25" s="382">
        <v>6850</v>
      </c>
      <c r="H25" s="483">
        <f t="shared" ref="H25:H32" si="5">F25*G25</f>
        <v>1233000</v>
      </c>
      <c r="I25" s="480">
        <f t="shared" si="4"/>
        <v>16440</v>
      </c>
      <c r="J25" s="473"/>
    </row>
    <row r="26" spans="2:10" ht="15.75" x14ac:dyDescent="0.25">
      <c r="C26" s="477"/>
      <c r="D26" s="382" t="s">
        <v>460</v>
      </c>
      <c r="E26" s="382" t="s">
        <v>465</v>
      </c>
      <c r="F26" s="382">
        <f t="shared" ref="F26:F32" si="6">F16*5</f>
        <v>200</v>
      </c>
      <c r="G26" s="382">
        <v>4400</v>
      </c>
      <c r="H26" s="483">
        <f t="shared" si="5"/>
        <v>880000</v>
      </c>
      <c r="I26" s="480">
        <f t="shared" si="4"/>
        <v>11733.333333333334</v>
      </c>
      <c r="J26" s="473"/>
    </row>
    <row r="27" spans="2:10" ht="15.75" x14ac:dyDescent="0.25">
      <c r="C27" s="477"/>
      <c r="D27" s="382" t="s">
        <v>454</v>
      </c>
      <c r="E27" s="382" t="s">
        <v>465</v>
      </c>
      <c r="F27" s="382">
        <f t="shared" si="6"/>
        <v>205</v>
      </c>
      <c r="G27" s="382">
        <v>5600</v>
      </c>
      <c r="H27" s="483">
        <f t="shared" si="5"/>
        <v>1148000</v>
      </c>
      <c r="I27" s="480">
        <f t="shared" si="4"/>
        <v>15306.666666666666</v>
      </c>
      <c r="J27" s="473"/>
    </row>
    <row r="28" spans="2:10" ht="15.75" x14ac:dyDescent="0.25">
      <c r="C28" s="477"/>
      <c r="D28" s="382" t="s">
        <v>455</v>
      </c>
      <c r="E28" s="382" t="s">
        <v>465</v>
      </c>
      <c r="F28" s="382">
        <f t="shared" si="6"/>
        <v>140</v>
      </c>
      <c r="G28" s="382"/>
      <c r="H28" s="483">
        <f t="shared" si="5"/>
        <v>0</v>
      </c>
      <c r="I28" s="480">
        <f t="shared" si="4"/>
        <v>0</v>
      </c>
      <c r="J28" s="473"/>
    </row>
    <row r="29" spans="2:10" ht="15.75" x14ac:dyDescent="0.25">
      <c r="C29" s="477"/>
      <c r="D29" s="382" t="s">
        <v>456</v>
      </c>
      <c r="E29" s="382" t="s">
        <v>465</v>
      </c>
      <c r="F29" s="382">
        <f t="shared" si="6"/>
        <v>160</v>
      </c>
      <c r="G29" s="382">
        <v>4300</v>
      </c>
      <c r="H29" s="483">
        <f t="shared" si="5"/>
        <v>688000</v>
      </c>
      <c r="I29" s="480">
        <f t="shared" si="4"/>
        <v>9173.3333333333339</v>
      </c>
      <c r="J29" s="473"/>
    </row>
    <row r="30" spans="2:10" ht="15.75" x14ac:dyDescent="0.25">
      <c r="C30" s="477"/>
      <c r="D30" s="382" t="s">
        <v>457</v>
      </c>
      <c r="E30" s="382" t="s">
        <v>465</v>
      </c>
      <c r="F30" s="382">
        <f t="shared" si="6"/>
        <v>45</v>
      </c>
      <c r="G30" s="382"/>
      <c r="H30" s="483">
        <f t="shared" si="5"/>
        <v>0</v>
      </c>
      <c r="I30" s="480">
        <f t="shared" si="4"/>
        <v>0</v>
      </c>
      <c r="J30" s="473"/>
    </row>
    <row r="31" spans="2:10" ht="15.75" x14ac:dyDescent="0.25">
      <c r="C31" s="477"/>
      <c r="D31" s="382" t="s">
        <v>458</v>
      </c>
      <c r="E31" s="382" t="s">
        <v>463</v>
      </c>
      <c r="F31" s="382">
        <f t="shared" si="6"/>
        <v>5</v>
      </c>
      <c r="G31" s="382">
        <v>500</v>
      </c>
      <c r="H31" s="483">
        <f t="shared" si="5"/>
        <v>2500</v>
      </c>
      <c r="I31" s="480">
        <f t="shared" si="4"/>
        <v>33.333333333333336</v>
      </c>
      <c r="J31" s="473"/>
    </row>
    <row r="32" spans="2:10" x14ac:dyDescent="0.25">
      <c r="C32" s="482"/>
      <c r="D32" s="382" t="s">
        <v>459</v>
      </c>
      <c r="E32" s="382" t="s">
        <v>464</v>
      </c>
      <c r="F32" s="382">
        <f t="shared" si="6"/>
        <v>0</v>
      </c>
      <c r="G32" s="382">
        <v>220</v>
      </c>
      <c r="H32" s="483">
        <f t="shared" si="5"/>
        <v>0</v>
      </c>
      <c r="I32" s="480">
        <f t="shared" si="4"/>
        <v>0</v>
      </c>
    </row>
    <row r="33" spans="2:10" ht="15.75" x14ac:dyDescent="0.25">
      <c r="C33" s="451"/>
      <c r="H33" s="486">
        <f>SUM(H25:H32)</f>
        <v>3951500</v>
      </c>
      <c r="I33" s="485">
        <f t="shared" si="4"/>
        <v>52686.666666666664</v>
      </c>
      <c r="J33" s="473"/>
    </row>
    <row r="34" spans="2:10" ht="15.75" x14ac:dyDescent="0.25">
      <c r="C34" s="451"/>
      <c r="J34" s="473"/>
    </row>
    <row r="35" spans="2:10" ht="15.75" x14ac:dyDescent="0.25">
      <c r="B35" s="449" t="s">
        <v>482</v>
      </c>
      <c r="C35" s="477" t="s">
        <v>469</v>
      </c>
      <c r="D35" s="382" t="s">
        <v>461</v>
      </c>
      <c r="E35" s="382" t="s">
        <v>465</v>
      </c>
      <c r="F35" s="382">
        <v>1250</v>
      </c>
      <c r="G35" s="382">
        <v>6850</v>
      </c>
      <c r="H35" s="484">
        <f t="shared" ref="H35:H42" si="7">F35*G35</f>
        <v>8562500</v>
      </c>
      <c r="I35" s="480">
        <f t="shared" si="4"/>
        <v>114166.66666666667</v>
      </c>
    </row>
    <row r="36" spans="2:10" ht="15.75" x14ac:dyDescent="0.25">
      <c r="B36" s="449"/>
      <c r="C36" s="477"/>
      <c r="D36" s="382" t="s">
        <v>460</v>
      </c>
      <c r="E36" s="382" t="s">
        <v>465</v>
      </c>
      <c r="F36" s="382">
        <v>2200</v>
      </c>
      <c r="G36" s="382">
        <v>4400</v>
      </c>
      <c r="H36" s="484">
        <f t="shared" si="7"/>
        <v>9680000</v>
      </c>
      <c r="I36" s="480">
        <f t="shared" si="4"/>
        <v>129066.66666666667</v>
      </c>
      <c r="J36" s="473"/>
    </row>
    <row r="37" spans="2:10" ht="15.75" x14ac:dyDescent="0.25">
      <c r="B37" s="449"/>
      <c r="C37" s="477"/>
      <c r="D37" s="382" t="s">
        <v>454</v>
      </c>
      <c r="E37" s="382" t="s">
        <v>465</v>
      </c>
      <c r="F37" s="382">
        <v>1000</v>
      </c>
      <c r="G37" s="382">
        <v>5600</v>
      </c>
      <c r="H37" s="484">
        <f t="shared" si="7"/>
        <v>5600000</v>
      </c>
      <c r="I37" s="480">
        <f t="shared" si="4"/>
        <v>74666.666666666672</v>
      </c>
      <c r="J37" s="473"/>
    </row>
    <row r="38" spans="2:10" ht="15.75" x14ac:dyDescent="0.25">
      <c r="B38" s="449"/>
      <c r="C38" s="477"/>
      <c r="D38" s="382" t="s">
        <v>455</v>
      </c>
      <c r="E38" s="382" t="s">
        <v>465</v>
      </c>
      <c r="F38" s="382"/>
      <c r="G38" s="382"/>
      <c r="H38" s="484">
        <f t="shared" si="7"/>
        <v>0</v>
      </c>
      <c r="I38" s="480">
        <f t="shared" si="4"/>
        <v>0</v>
      </c>
      <c r="J38" s="473"/>
    </row>
    <row r="39" spans="2:10" ht="15.75" x14ac:dyDescent="0.25">
      <c r="B39" s="449"/>
      <c r="C39" s="477"/>
      <c r="D39" s="382" t="s">
        <v>456</v>
      </c>
      <c r="E39" s="382" t="s">
        <v>465</v>
      </c>
      <c r="F39" s="382">
        <v>1000</v>
      </c>
      <c r="G39" s="382">
        <v>4300</v>
      </c>
      <c r="H39" s="484">
        <f t="shared" si="7"/>
        <v>4300000</v>
      </c>
      <c r="I39" s="480">
        <f t="shared" si="4"/>
        <v>57333.333333333336</v>
      </c>
      <c r="J39" s="473"/>
    </row>
    <row r="40" spans="2:10" ht="15.75" x14ac:dyDescent="0.25">
      <c r="B40" s="449"/>
      <c r="C40" s="477"/>
      <c r="D40" s="382" t="s">
        <v>457</v>
      </c>
      <c r="E40" s="382" t="s">
        <v>465</v>
      </c>
      <c r="F40" s="382"/>
      <c r="G40" s="382"/>
      <c r="H40" s="484">
        <f t="shared" si="7"/>
        <v>0</v>
      </c>
      <c r="I40" s="480">
        <f t="shared" si="4"/>
        <v>0</v>
      </c>
      <c r="J40" s="473"/>
    </row>
    <row r="41" spans="2:10" ht="15.75" x14ac:dyDescent="0.25">
      <c r="B41" s="449"/>
      <c r="C41" s="477"/>
      <c r="D41" s="382" t="s">
        <v>458</v>
      </c>
      <c r="E41" s="382" t="s">
        <v>463</v>
      </c>
      <c r="F41" s="382"/>
      <c r="G41" s="382">
        <v>500</v>
      </c>
      <c r="H41" s="484">
        <f t="shared" si="7"/>
        <v>0</v>
      </c>
      <c r="I41" s="480">
        <f t="shared" si="4"/>
        <v>0</v>
      </c>
      <c r="J41" s="473"/>
    </row>
    <row r="42" spans="2:10" ht="15.75" x14ac:dyDescent="0.25">
      <c r="B42" s="449"/>
      <c r="C42" s="477"/>
      <c r="D42" s="382" t="s">
        <v>459</v>
      </c>
      <c r="E42" s="382" t="s">
        <v>464</v>
      </c>
      <c r="F42" s="382"/>
      <c r="G42" s="382">
        <v>220</v>
      </c>
      <c r="H42" s="484">
        <f t="shared" si="7"/>
        <v>0</v>
      </c>
      <c r="I42" s="480">
        <f t="shared" si="4"/>
        <v>0</v>
      </c>
      <c r="J42" s="473"/>
    </row>
    <row r="43" spans="2:10" ht="15.75" x14ac:dyDescent="0.25">
      <c r="B43" s="449"/>
      <c r="C43" s="446"/>
      <c r="H43" s="486">
        <f>SUM(H35:H42)</f>
        <v>28142500</v>
      </c>
      <c r="I43" s="485">
        <f t="shared" si="4"/>
        <v>375233.33333333331</v>
      </c>
      <c r="J43" s="473"/>
    </row>
    <row r="44" spans="2:10" ht="15.75" x14ac:dyDescent="0.25">
      <c r="B44" s="449"/>
      <c r="C44" s="446"/>
      <c r="J44" s="473"/>
    </row>
    <row r="45" spans="2:10" ht="15.75" x14ac:dyDescent="0.25">
      <c r="B45" s="449" t="s">
        <v>483</v>
      </c>
      <c r="C45" s="477" t="s">
        <v>470</v>
      </c>
      <c r="D45" s="382" t="s">
        <v>461</v>
      </c>
      <c r="E45" s="382" t="s">
        <v>465</v>
      </c>
      <c r="F45" s="382">
        <v>1400</v>
      </c>
      <c r="G45" s="382">
        <v>6850</v>
      </c>
      <c r="H45" s="382">
        <f t="shared" ref="H45:H52" si="8">F45*G45</f>
        <v>9590000</v>
      </c>
      <c r="I45" s="480">
        <f t="shared" si="4"/>
        <v>127866.66666666667</v>
      </c>
    </row>
    <row r="46" spans="2:10" ht="15.75" x14ac:dyDescent="0.25">
      <c r="B46" s="449"/>
      <c r="C46" s="477"/>
      <c r="D46" s="382" t="s">
        <v>460</v>
      </c>
      <c r="E46" s="382" t="s">
        <v>465</v>
      </c>
      <c r="F46" s="382"/>
      <c r="G46" s="382">
        <v>4400</v>
      </c>
      <c r="H46" s="382">
        <f t="shared" si="8"/>
        <v>0</v>
      </c>
      <c r="I46" s="480">
        <f t="shared" si="4"/>
        <v>0</v>
      </c>
      <c r="J46" s="473"/>
    </row>
    <row r="47" spans="2:10" ht="15.75" x14ac:dyDescent="0.25">
      <c r="B47" s="449"/>
      <c r="C47" s="477"/>
      <c r="D47" s="382" t="s">
        <v>454</v>
      </c>
      <c r="E47" s="382" t="s">
        <v>465</v>
      </c>
      <c r="F47" s="382">
        <v>800</v>
      </c>
      <c r="G47" s="382">
        <v>5600</v>
      </c>
      <c r="H47" s="382">
        <f t="shared" si="8"/>
        <v>4480000</v>
      </c>
      <c r="I47" s="480">
        <f t="shared" si="4"/>
        <v>59733.333333333336</v>
      </c>
      <c r="J47" s="473"/>
    </row>
    <row r="48" spans="2:10" ht="15.75" x14ac:dyDescent="0.25">
      <c r="B48" s="449"/>
      <c r="C48" s="477"/>
      <c r="D48" s="382" t="s">
        <v>455</v>
      </c>
      <c r="E48" s="382" t="s">
        <v>465</v>
      </c>
      <c r="F48" s="382"/>
      <c r="G48" s="382"/>
      <c r="H48" s="382">
        <f t="shared" si="8"/>
        <v>0</v>
      </c>
      <c r="I48" s="480">
        <f t="shared" si="4"/>
        <v>0</v>
      </c>
      <c r="J48" s="473"/>
    </row>
    <row r="49" spans="2:10" ht="15.75" x14ac:dyDescent="0.25">
      <c r="B49" s="449"/>
      <c r="C49" s="477"/>
      <c r="D49" s="382" t="s">
        <v>456</v>
      </c>
      <c r="E49" s="382" t="s">
        <v>465</v>
      </c>
      <c r="F49" s="382">
        <v>4000</v>
      </c>
      <c r="G49" s="382">
        <v>4300</v>
      </c>
      <c r="H49" s="382">
        <f t="shared" si="8"/>
        <v>17200000</v>
      </c>
      <c r="I49" s="480">
        <f t="shared" si="4"/>
        <v>229333.33333333334</v>
      </c>
      <c r="J49" s="473"/>
    </row>
    <row r="50" spans="2:10" ht="15.75" x14ac:dyDescent="0.25">
      <c r="B50" s="449"/>
      <c r="C50" s="477"/>
      <c r="D50" s="382" t="s">
        <v>457</v>
      </c>
      <c r="E50" s="382" t="s">
        <v>465</v>
      </c>
      <c r="F50" s="382"/>
      <c r="G50" s="382"/>
      <c r="H50" s="382">
        <f t="shared" si="8"/>
        <v>0</v>
      </c>
      <c r="I50" s="480">
        <f t="shared" si="4"/>
        <v>0</v>
      </c>
      <c r="J50" s="473"/>
    </row>
    <row r="51" spans="2:10" ht="15.75" x14ac:dyDescent="0.25">
      <c r="B51" s="449"/>
      <c r="C51" s="477"/>
      <c r="D51" s="382" t="s">
        <v>458</v>
      </c>
      <c r="E51" s="382" t="s">
        <v>463</v>
      </c>
      <c r="F51" s="382">
        <v>3</v>
      </c>
      <c r="G51" s="382">
        <v>500</v>
      </c>
      <c r="H51" s="382">
        <f t="shared" si="8"/>
        <v>1500</v>
      </c>
      <c r="I51" s="480">
        <f t="shared" si="4"/>
        <v>20</v>
      </c>
      <c r="J51" s="473"/>
    </row>
    <row r="52" spans="2:10" x14ac:dyDescent="0.25">
      <c r="B52" s="449"/>
      <c r="C52" s="482"/>
      <c r="D52" s="382" t="s">
        <v>459</v>
      </c>
      <c r="E52" s="382" t="s">
        <v>464</v>
      </c>
      <c r="F52" s="382"/>
      <c r="G52" s="382">
        <v>220</v>
      </c>
      <c r="H52" s="382">
        <f t="shared" si="8"/>
        <v>0</v>
      </c>
      <c r="I52" s="480">
        <f t="shared" si="4"/>
        <v>0</v>
      </c>
    </row>
    <row r="53" spans="2:10" ht="15.75" x14ac:dyDescent="0.25">
      <c r="B53" s="449"/>
      <c r="C53" s="451"/>
      <c r="H53" s="486">
        <f>SUM(H45:H52)</f>
        <v>31271500</v>
      </c>
      <c r="I53" s="485">
        <f t="shared" si="4"/>
        <v>416953.33333333331</v>
      </c>
      <c r="J53" s="473"/>
    </row>
    <row r="54" spans="2:10" ht="15.75" x14ac:dyDescent="0.25">
      <c r="B54" s="449"/>
      <c r="C54" s="451"/>
      <c r="F54" t="s">
        <v>476</v>
      </c>
      <c r="J54" s="473"/>
    </row>
    <row r="55" spans="2:10" ht="15.75" x14ac:dyDescent="0.25">
      <c r="B55" s="449" t="s">
        <v>484</v>
      </c>
      <c r="C55" s="477" t="s">
        <v>471</v>
      </c>
      <c r="D55" s="382" t="s">
        <v>461</v>
      </c>
      <c r="E55" s="382" t="s">
        <v>465</v>
      </c>
      <c r="F55" s="382">
        <v>451</v>
      </c>
      <c r="G55" s="382">
        <v>6850</v>
      </c>
      <c r="H55" s="481">
        <f t="shared" ref="H55:H62" si="9">F55*G55</f>
        <v>3089350</v>
      </c>
      <c r="I55" s="480">
        <f t="shared" si="4"/>
        <v>41191.333333333336</v>
      </c>
    </row>
    <row r="56" spans="2:10" ht="15.75" x14ac:dyDescent="0.25">
      <c r="B56" s="449"/>
      <c r="C56" s="477"/>
      <c r="D56" s="382" t="s">
        <v>460</v>
      </c>
      <c r="E56" s="382" t="s">
        <v>465</v>
      </c>
      <c r="F56" s="382">
        <v>2705</v>
      </c>
      <c r="G56" s="382">
        <v>4400</v>
      </c>
      <c r="H56" s="481">
        <f t="shared" si="9"/>
        <v>11902000</v>
      </c>
      <c r="I56" s="480">
        <f t="shared" si="4"/>
        <v>158693.33333333334</v>
      </c>
      <c r="J56" s="473"/>
    </row>
    <row r="57" spans="2:10" ht="15.75" x14ac:dyDescent="0.25">
      <c r="C57" s="477"/>
      <c r="D57" s="382" t="s">
        <v>454</v>
      </c>
      <c r="E57" s="382" t="s">
        <v>465</v>
      </c>
      <c r="F57" s="382"/>
      <c r="G57" s="382">
        <v>5600</v>
      </c>
      <c r="H57" s="481">
        <f t="shared" si="9"/>
        <v>0</v>
      </c>
      <c r="I57" s="480">
        <f t="shared" si="4"/>
        <v>0</v>
      </c>
      <c r="J57" s="473"/>
    </row>
    <row r="58" spans="2:10" ht="15.75" x14ac:dyDescent="0.25">
      <c r="C58" s="477"/>
      <c r="D58" s="382" t="s">
        <v>455</v>
      </c>
      <c r="E58" s="382" t="s">
        <v>465</v>
      </c>
      <c r="F58" s="382"/>
      <c r="G58" s="382"/>
      <c r="H58" s="481">
        <f t="shared" si="9"/>
        <v>0</v>
      </c>
      <c r="I58" s="480">
        <f t="shared" si="4"/>
        <v>0</v>
      </c>
      <c r="J58" s="473"/>
    </row>
    <row r="59" spans="2:10" ht="15.75" x14ac:dyDescent="0.25">
      <c r="C59" s="477"/>
      <c r="D59" s="382" t="s">
        <v>456</v>
      </c>
      <c r="E59" s="382" t="s">
        <v>465</v>
      </c>
      <c r="F59" s="382"/>
      <c r="G59" s="382">
        <v>4300</v>
      </c>
      <c r="H59" s="481">
        <f t="shared" si="9"/>
        <v>0</v>
      </c>
      <c r="I59" s="480">
        <f t="shared" si="4"/>
        <v>0</v>
      </c>
      <c r="J59" s="473"/>
    </row>
    <row r="60" spans="2:10" ht="15.75" x14ac:dyDescent="0.25">
      <c r="C60" s="477"/>
      <c r="D60" s="382" t="s">
        <v>457</v>
      </c>
      <c r="E60" s="382" t="s">
        <v>465</v>
      </c>
      <c r="F60" s="382"/>
      <c r="G60" s="382"/>
      <c r="H60" s="481">
        <f t="shared" si="9"/>
        <v>0</v>
      </c>
      <c r="I60" s="480">
        <f t="shared" si="4"/>
        <v>0</v>
      </c>
      <c r="J60" s="473"/>
    </row>
    <row r="61" spans="2:10" ht="15.75" x14ac:dyDescent="0.25">
      <c r="C61" s="477"/>
      <c r="D61" s="382" t="s">
        <v>458</v>
      </c>
      <c r="E61" s="382" t="s">
        <v>463</v>
      </c>
      <c r="F61" s="382">
        <v>7.5</v>
      </c>
      <c r="G61" s="382">
        <v>500</v>
      </c>
      <c r="H61" s="481">
        <f t="shared" si="9"/>
        <v>3750</v>
      </c>
      <c r="I61" s="480">
        <f t="shared" si="4"/>
        <v>50</v>
      </c>
      <c r="J61" s="473"/>
    </row>
    <row r="62" spans="2:10" ht="15.75" x14ac:dyDescent="0.25">
      <c r="C62" s="477"/>
      <c r="D62" s="382" t="s">
        <v>459</v>
      </c>
      <c r="E62" s="382" t="s">
        <v>464</v>
      </c>
      <c r="F62" s="382"/>
      <c r="G62" s="382">
        <v>220</v>
      </c>
      <c r="H62" s="481">
        <f t="shared" si="9"/>
        <v>0</v>
      </c>
      <c r="I62" s="480">
        <f t="shared" si="4"/>
        <v>0</v>
      </c>
      <c r="J62" s="473"/>
    </row>
    <row r="63" spans="2:10" ht="15.75" x14ac:dyDescent="0.25">
      <c r="C63" s="446"/>
      <c r="H63" s="486">
        <f>SUM(H55:H62)</f>
        <v>14995100</v>
      </c>
      <c r="I63" s="485">
        <f>SUM(I55:I62)</f>
        <v>199934.66666666669</v>
      </c>
      <c r="J63" s="473"/>
    </row>
    <row r="64" spans="2:10" ht="15.75" x14ac:dyDescent="0.25">
      <c r="C64" s="446"/>
      <c r="H64" s="476">
        <f>H63/75</f>
        <v>199934.66666666666</v>
      </c>
      <c r="J64" s="473"/>
    </row>
    <row r="65" spans="2:10" ht="15.75" x14ac:dyDescent="0.25">
      <c r="C65" s="446" t="s">
        <v>453</v>
      </c>
    </row>
    <row r="66" spans="2:10" ht="15.75" x14ac:dyDescent="0.25">
      <c r="C66" s="472" t="s">
        <v>485</v>
      </c>
      <c r="I66" s="488">
        <f>I43+I53+I63</f>
        <v>992121.33333333326</v>
      </c>
      <c r="J66" s="474"/>
    </row>
    <row r="72" spans="2:10" x14ac:dyDescent="0.25">
      <c r="B72" s="451"/>
      <c r="E72" t="s">
        <v>476</v>
      </c>
    </row>
    <row r="73" spans="2:10" ht="15.75" x14ac:dyDescent="0.25">
      <c r="B73" s="477" t="s">
        <v>471</v>
      </c>
      <c r="C73" s="382" t="s">
        <v>461</v>
      </c>
      <c r="D73" s="382" t="s">
        <v>465</v>
      </c>
      <c r="E73" s="382">
        <v>800</v>
      </c>
    </row>
    <row r="74" spans="2:10" ht="15.75" x14ac:dyDescent="0.25">
      <c r="B74" s="477"/>
      <c r="C74" s="382" t="s">
        <v>460</v>
      </c>
      <c r="D74" s="382" t="s">
        <v>465</v>
      </c>
      <c r="E74" s="382">
        <v>730</v>
      </c>
    </row>
    <row r="75" spans="2:10" ht="15.75" x14ac:dyDescent="0.25">
      <c r="B75" s="477"/>
      <c r="C75" s="382" t="s">
        <v>454</v>
      </c>
      <c r="D75" s="382" t="s">
        <v>465</v>
      </c>
      <c r="E75" s="382"/>
    </row>
    <row r="76" spans="2:10" ht="15.75" x14ac:dyDescent="0.25">
      <c r="B76" s="477"/>
      <c r="C76" s="382" t="s">
        <v>455</v>
      </c>
      <c r="D76" s="382" t="s">
        <v>465</v>
      </c>
      <c r="E76" s="382"/>
    </row>
    <row r="77" spans="2:10" ht="15.75" x14ac:dyDescent="0.25">
      <c r="B77" s="477"/>
      <c r="C77" s="382" t="s">
        <v>456</v>
      </c>
      <c r="D77" s="382" t="s">
        <v>465</v>
      </c>
      <c r="E77" s="382">
        <v>392</v>
      </c>
    </row>
    <row r="78" spans="2:10" ht="15.75" x14ac:dyDescent="0.25">
      <c r="B78" s="477"/>
      <c r="C78" s="382" t="s">
        <v>457</v>
      </c>
      <c r="D78" s="382" t="s">
        <v>465</v>
      </c>
      <c r="E78" s="382">
        <v>230</v>
      </c>
    </row>
    <row r="79" spans="2:10" ht="15.75" x14ac:dyDescent="0.25">
      <c r="B79" s="477"/>
      <c r="C79" s="382" t="s">
        <v>458</v>
      </c>
      <c r="D79" s="382" t="s">
        <v>463</v>
      </c>
      <c r="E79" s="382">
        <v>1</v>
      </c>
    </row>
    <row r="80" spans="2:10" ht="15.75" x14ac:dyDescent="0.25">
      <c r="B80" s="477"/>
      <c r="C80" s="382" t="s">
        <v>459</v>
      </c>
      <c r="D80" s="382" t="s">
        <v>464</v>
      </c>
      <c r="E80" s="38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IV22"/>
  <sheetViews>
    <sheetView workbookViewId="0">
      <selection activeCell="G9" sqref="G9:G10"/>
    </sheetView>
  </sheetViews>
  <sheetFormatPr defaultColWidth="8.85546875" defaultRowHeight="20.25" customHeight="1" x14ac:dyDescent="0.25"/>
  <cols>
    <col min="1" max="1" width="36.28515625" style="1" customWidth="1"/>
    <col min="2" max="2" width="26.140625" style="1" customWidth="1"/>
    <col min="3" max="3" width="8" style="1" customWidth="1"/>
    <col min="4" max="4" width="13.7109375" style="1" customWidth="1"/>
    <col min="5" max="5" width="9.140625" style="1" customWidth="1"/>
    <col min="6" max="6" width="7.140625" style="2" customWidth="1"/>
    <col min="7" max="11" width="6.140625" style="1" customWidth="1"/>
    <col min="12" max="12" width="12.28515625" style="1" customWidth="1"/>
    <col min="13" max="256" width="8.85546875" style="1" customWidth="1"/>
  </cols>
  <sheetData>
    <row r="1" spans="1:12" s="21" customFormat="1" ht="30.75" customHeight="1" x14ac:dyDescent="0.25">
      <c r="A1" s="22"/>
      <c r="B1" s="22"/>
      <c r="C1" s="23"/>
      <c r="D1" s="23"/>
      <c r="E1" s="23"/>
      <c r="F1" s="22"/>
      <c r="G1" s="603" t="s">
        <v>10</v>
      </c>
      <c r="H1" s="604"/>
      <c r="I1" s="604"/>
      <c r="J1" s="604"/>
      <c r="K1" s="604"/>
      <c r="L1" s="604"/>
    </row>
    <row r="2" spans="1:12" s="24" customFormat="1" ht="30.75" customHeight="1" x14ac:dyDescent="0.25">
      <c r="A2" s="8" t="s">
        <v>15</v>
      </c>
      <c r="B2" s="8" t="s">
        <v>12</v>
      </c>
      <c r="C2" s="25" t="s">
        <v>4</v>
      </c>
      <c r="D2" s="25" t="s">
        <v>0</v>
      </c>
      <c r="E2" s="26" t="s">
        <v>13</v>
      </c>
      <c r="F2" s="27" t="s">
        <v>19</v>
      </c>
      <c r="G2" s="28">
        <v>2104</v>
      </c>
      <c r="H2" s="28">
        <v>2104</v>
      </c>
      <c r="I2" s="28">
        <v>2015</v>
      </c>
      <c r="J2" s="28">
        <v>2016</v>
      </c>
      <c r="K2" s="28">
        <v>2017</v>
      </c>
      <c r="L2" s="29" t="s">
        <v>14</v>
      </c>
    </row>
    <row r="3" spans="1:12" s="30" customFormat="1" ht="30.75" customHeight="1" x14ac:dyDescent="0.25">
      <c r="A3" s="13"/>
      <c r="B3" s="13"/>
      <c r="C3" s="31"/>
      <c r="D3" s="32"/>
      <c r="E3" s="33"/>
      <c r="F3" s="34"/>
      <c r="G3" s="33"/>
      <c r="H3" s="33"/>
      <c r="I3" s="33"/>
      <c r="J3" s="33"/>
      <c r="K3" s="33"/>
      <c r="L3" s="33"/>
    </row>
    <row r="4" spans="1:12" s="30" customFormat="1" ht="30.75" customHeight="1" x14ac:dyDescent="0.25">
      <c r="A4" s="13"/>
      <c r="B4" s="13"/>
      <c r="C4" s="35"/>
      <c r="D4" s="32"/>
      <c r="E4" s="34"/>
      <c r="F4" s="34"/>
      <c r="G4" s="34"/>
      <c r="H4" s="34"/>
      <c r="I4" s="34"/>
      <c r="J4" s="34"/>
      <c r="K4" s="34"/>
      <c r="L4" s="34"/>
    </row>
    <row r="5" spans="1:12" s="30" customFormat="1" ht="30.75" customHeight="1" x14ac:dyDescent="0.25">
      <c r="A5" s="13"/>
      <c r="B5" s="13"/>
      <c r="C5" s="31"/>
      <c r="D5" s="32"/>
      <c r="E5" s="33"/>
      <c r="F5" s="34"/>
      <c r="G5" s="33"/>
      <c r="H5" s="33"/>
      <c r="I5" s="33"/>
      <c r="J5" s="33"/>
      <c r="K5" s="33"/>
      <c r="L5" s="33"/>
    </row>
    <row r="6" spans="1:12" s="30" customFormat="1" ht="30.75" customHeight="1" x14ac:dyDescent="0.25">
      <c r="A6" s="13"/>
      <c r="B6" s="13"/>
      <c r="C6" s="35"/>
      <c r="D6" s="32"/>
      <c r="E6" s="34"/>
      <c r="F6" s="34"/>
      <c r="G6" s="34"/>
      <c r="H6" s="34"/>
      <c r="I6" s="34"/>
      <c r="J6" s="34"/>
      <c r="K6" s="34"/>
      <c r="L6" s="34"/>
    </row>
    <row r="7" spans="1:12" s="30" customFormat="1" ht="30.75" customHeight="1" x14ac:dyDescent="0.25">
      <c r="A7" s="13"/>
      <c r="B7" s="13"/>
      <c r="C7" s="31"/>
      <c r="D7" s="32"/>
      <c r="E7" s="33"/>
      <c r="F7" s="34"/>
      <c r="G7" s="33"/>
      <c r="H7" s="33"/>
      <c r="I7" s="33"/>
      <c r="J7" s="33"/>
      <c r="K7" s="33"/>
      <c r="L7" s="33"/>
    </row>
    <row r="8" spans="1:12" s="30" customFormat="1" ht="30.75" customHeight="1" x14ac:dyDescent="0.25">
      <c r="A8" s="13"/>
      <c r="B8" s="13"/>
      <c r="C8" s="35"/>
      <c r="D8" s="32"/>
      <c r="E8" s="34"/>
      <c r="F8" s="36"/>
      <c r="G8" s="34"/>
      <c r="H8" s="34"/>
      <c r="I8" s="34"/>
      <c r="J8" s="34"/>
      <c r="K8" s="34"/>
      <c r="L8" s="34"/>
    </row>
    <row r="9" spans="1:12" s="30" customFormat="1" ht="30.75" customHeight="1" x14ac:dyDescent="0.25">
      <c r="A9" s="13"/>
      <c r="B9" s="13"/>
      <c r="C9" s="31"/>
      <c r="D9" s="32"/>
      <c r="E9" s="33"/>
      <c r="F9" s="34"/>
      <c r="G9" s="33"/>
      <c r="H9" s="33"/>
      <c r="I9" s="33"/>
      <c r="J9" s="33"/>
      <c r="K9" s="33"/>
      <c r="L9" s="33"/>
    </row>
    <row r="10" spans="1:12" s="30" customFormat="1" ht="30.75" customHeight="1" x14ac:dyDescent="0.25">
      <c r="A10" s="13"/>
      <c r="B10" s="13"/>
      <c r="C10" s="35"/>
      <c r="D10" s="32"/>
      <c r="E10" s="34"/>
      <c r="F10" s="36"/>
      <c r="G10" s="34"/>
      <c r="H10" s="34"/>
      <c r="I10" s="34"/>
      <c r="J10" s="34"/>
      <c r="K10" s="34"/>
      <c r="L10" s="34"/>
    </row>
    <row r="11" spans="1:12" s="30" customFormat="1" ht="30.75" customHeight="1" x14ac:dyDescent="0.25">
      <c r="A11" s="13"/>
      <c r="B11" s="13"/>
      <c r="C11" s="31"/>
      <c r="D11" s="32"/>
      <c r="E11" s="33"/>
      <c r="F11" s="34"/>
      <c r="G11" s="33"/>
      <c r="H11" s="33"/>
      <c r="I11" s="33"/>
      <c r="J11" s="33"/>
      <c r="K11" s="33"/>
      <c r="L11" s="33"/>
    </row>
    <row r="12" spans="1:12" s="30" customFormat="1" ht="30.75" customHeight="1" x14ac:dyDescent="0.25">
      <c r="A12" s="13"/>
      <c r="B12" s="13"/>
      <c r="C12" s="35"/>
      <c r="D12" s="32"/>
      <c r="E12" s="34"/>
      <c r="F12" s="36"/>
      <c r="G12" s="34"/>
      <c r="H12" s="34"/>
      <c r="I12" s="34"/>
      <c r="J12" s="34"/>
      <c r="K12" s="34"/>
      <c r="L12" s="34"/>
    </row>
    <row r="13" spans="1:12" s="30" customFormat="1" ht="30.75" customHeight="1" x14ac:dyDescent="0.25">
      <c r="A13" s="13"/>
      <c r="B13" s="13"/>
      <c r="C13" s="31"/>
      <c r="D13" s="32"/>
      <c r="E13" s="33"/>
      <c r="F13" s="34"/>
      <c r="G13" s="33"/>
      <c r="H13" s="33"/>
      <c r="I13" s="33"/>
      <c r="J13" s="33"/>
      <c r="K13" s="33"/>
      <c r="L13" s="33"/>
    </row>
    <row r="14" spans="1:12" s="30" customFormat="1" ht="30.75" customHeight="1" x14ac:dyDescent="0.25">
      <c r="A14" s="13"/>
      <c r="B14" s="13"/>
      <c r="C14" s="35"/>
      <c r="D14" s="32"/>
      <c r="E14" s="34"/>
      <c r="F14" s="36"/>
      <c r="G14" s="34"/>
      <c r="H14" s="34"/>
      <c r="I14" s="34"/>
      <c r="J14" s="34"/>
      <c r="K14" s="34"/>
      <c r="L14" s="34"/>
    </row>
    <row r="15" spans="1:12" s="30" customFormat="1" ht="30.75" customHeight="1" x14ac:dyDescent="0.25">
      <c r="A15" s="13"/>
      <c r="B15" s="13"/>
      <c r="C15" s="31"/>
      <c r="D15" s="32"/>
      <c r="E15" s="33"/>
      <c r="F15" s="34"/>
      <c r="G15" s="33"/>
      <c r="H15" s="33"/>
      <c r="I15" s="33"/>
      <c r="J15" s="33"/>
      <c r="K15" s="33"/>
      <c r="L15" s="33"/>
    </row>
    <row r="16" spans="1:12" s="30" customFormat="1" ht="30.75" customHeight="1" x14ac:dyDescent="0.25">
      <c r="A16" s="13"/>
      <c r="B16" s="13"/>
      <c r="C16" s="35"/>
      <c r="D16" s="32"/>
      <c r="E16" s="34"/>
      <c r="F16" s="36"/>
      <c r="G16" s="34"/>
      <c r="H16" s="34"/>
      <c r="I16" s="34"/>
      <c r="J16" s="34"/>
      <c r="K16" s="34"/>
      <c r="L16" s="34"/>
    </row>
    <row r="17" spans="1:12" s="21" customFormat="1" ht="30.75" customHeight="1" x14ac:dyDescent="0.25">
      <c r="A17" s="13"/>
      <c r="B17" s="13"/>
      <c r="C17" s="31"/>
      <c r="D17" s="32"/>
      <c r="E17" s="33"/>
      <c r="F17" s="34"/>
      <c r="G17" s="33"/>
      <c r="H17" s="33"/>
      <c r="I17" s="33"/>
      <c r="J17" s="33"/>
      <c r="K17" s="33"/>
      <c r="L17" s="33"/>
    </row>
    <row r="18" spans="1:12" s="21" customFormat="1" ht="30.75" customHeight="1" x14ac:dyDescent="0.25">
      <c r="A18" s="13"/>
      <c r="B18" s="13"/>
      <c r="C18" s="35"/>
      <c r="D18" s="32"/>
      <c r="E18" s="34"/>
      <c r="F18" s="36"/>
      <c r="G18" s="34"/>
      <c r="H18" s="34"/>
      <c r="I18" s="34"/>
      <c r="J18" s="34"/>
      <c r="K18" s="34"/>
      <c r="L18" s="34"/>
    </row>
    <row r="22" spans="1:12" ht="20.25" customHeight="1" x14ac:dyDescent="0.25">
      <c r="A22" s="2"/>
    </row>
  </sheetData>
  <autoFilter ref="A2:M18"/>
  <mergeCells count="1">
    <mergeCell ref="G1:L1"/>
  </mergeCells>
  <conditionalFormatting sqref="C3:C18">
    <cfRule type="containsText" dxfId="1" priority="1" operator="containsText" text="réalisé">
      <formula>NOT(ISERROR(SEARCH("réalisé",A1)))</formula>
    </cfRule>
    <cfRule type="containsText" dxfId="0" priority="2" operator="containsText" text="prévu">
      <formula>NOT(ISERROR(SEARCH("prévu",A1)))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568FD4"/>
    <pageSetUpPr fitToPage="1"/>
  </sheetPr>
  <dimension ref="A1:IT179"/>
  <sheetViews>
    <sheetView zoomScale="125" zoomScaleNormal="125" zoomScalePageLayoutView="125" workbookViewId="0">
      <pane xSplit="10" ySplit="3" topLeftCell="AA20" activePane="bottomRight" state="frozen"/>
      <selection pane="topRight" activeCell="K1" sqref="K1"/>
      <selection pane="bottomLeft" activeCell="A4" sqref="A4"/>
      <selection pane="bottomRight" activeCell="I11" sqref="I11:J11"/>
    </sheetView>
  </sheetViews>
  <sheetFormatPr defaultColWidth="9" defaultRowHeight="15" x14ac:dyDescent="0.2"/>
  <cols>
    <col min="1" max="1" width="3.85546875" style="37" customWidth="1"/>
    <col min="2" max="2" width="11.85546875" style="37" hidden="1" customWidth="1"/>
    <col min="3" max="3" width="10" style="37" customWidth="1"/>
    <col min="4" max="4" width="60.140625" style="38" customWidth="1"/>
    <col min="5" max="5" width="7.140625" style="38" hidden="1" customWidth="1"/>
    <col min="6" max="6" width="9.140625" style="39" hidden="1" customWidth="1"/>
    <col min="7" max="7" width="14.28515625" style="39" hidden="1" customWidth="1"/>
    <col min="8" max="9" width="12.7109375" style="39" customWidth="1"/>
    <col min="10" max="10" width="11" style="39" customWidth="1"/>
    <col min="11" max="11" width="12.140625" style="37" customWidth="1"/>
    <col min="12" max="12" width="12" style="37" customWidth="1"/>
    <col min="13" max="13" width="11" style="37" customWidth="1"/>
    <col min="14" max="14" width="13.42578125" style="37" customWidth="1"/>
    <col min="15" max="15" width="12.140625" style="37" bestFit="1" customWidth="1"/>
    <col min="16" max="16" width="12.85546875" style="37" customWidth="1"/>
    <col min="17" max="18" width="11" style="37" customWidth="1"/>
    <col min="19" max="19" width="12.7109375" style="37" customWidth="1"/>
    <col min="20" max="22" width="11.85546875" style="37" customWidth="1"/>
    <col min="23" max="23" width="14.28515625" customWidth="1"/>
    <col min="24" max="24" width="9.140625" customWidth="1"/>
    <col min="25" max="25" width="11.85546875" customWidth="1"/>
    <col min="26" max="26" width="13.42578125" customWidth="1"/>
    <col min="27" max="27" width="9.140625" customWidth="1"/>
    <col min="28" max="28" width="13.140625" customWidth="1"/>
    <col min="29" max="29" width="13.7109375" customWidth="1"/>
    <col min="30" max="30" width="10.85546875" style="43" bestFit="1" customWidth="1"/>
    <col min="31" max="38" width="9.140625" style="43" customWidth="1"/>
    <col min="39" max="254" width="9.140625" style="37" customWidth="1"/>
  </cols>
  <sheetData>
    <row r="1" spans="2:38" ht="15.75" x14ac:dyDescent="0.25">
      <c r="D1" s="40"/>
      <c r="E1" s="40"/>
      <c r="F1" s="41"/>
      <c r="G1" s="421"/>
      <c r="H1" s="42"/>
      <c r="I1" s="42"/>
      <c r="J1" s="42"/>
      <c r="L1" s="423"/>
      <c r="N1" s="397"/>
      <c r="P1" s="397"/>
      <c r="S1" s="443"/>
      <c r="T1" s="443"/>
      <c r="U1" s="443"/>
    </row>
    <row r="2" spans="2:38" x14ac:dyDescent="0.25">
      <c r="D2" s="422" t="e">
        <f>#REF!+K117</f>
        <v>#REF!</v>
      </c>
      <c r="S2" s="444"/>
      <c r="T2" s="445"/>
      <c r="U2" s="445"/>
    </row>
    <row r="3" spans="2:38" s="44" customFormat="1" ht="25.5" x14ac:dyDescent="0.2">
      <c r="B3" s="45" t="s">
        <v>3</v>
      </c>
      <c r="C3" s="46" t="s">
        <v>92</v>
      </c>
      <c r="D3" s="47" t="s">
        <v>93</v>
      </c>
      <c r="E3" s="46" t="s">
        <v>94</v>
      </c>
      <c r="F3" s="47" t="s">
        <v>0</v>
      </c>
      <c r="G3" s="48" t="s">
        <v>95</v>
      </c>
      <c r="H3" s="48" t="s">
        <v>449</v>
      </c>
      <c r="I3" s="48" t="s">
        <v>390</v>
      </c>
      <c r="J3" s="48" t="s">
        <v>391</v>
      </c>
      <c r="K3" s="49" t="s">
        <v>437</v>
      </c>
      <c r="L3" s="49" t="s">
        <v>438</v>
      </c>
      <c r="M3" s="49" t="s">
        <v>439</v>
      </c>
      <c r="N3" s="49" t="s">
        <v>440</v>
      </c>
      <c r="O3" s="49" t="s">
        <v>441</v>
      </c>
      <c r="P3" s="49" t="s">
        <v>442</v>
      </c>
      <c r="Q3" s="49" t="s">
        <v>443</v>
      </c>
      <c r="R3" s="49" t="s">
        <v>444</v>
      </c>
      <c r="S3" s="49" t="s">
        <v>445</v>
      </c>
      <c r="T3" s="50" t="s">
        <v>446</v>
      </c>
      <c r="U3" s="50" t="s">
        <v>447</v>
      </c>
      <c r="V3" s="49" t="s">
        <v>448</v>
      </c>
      <c r="W3"/>
      <c r="X3"/>
      <c r="Y3"/>
      <c r="Z3"/>
      <c r="AA3"/>
      <c r="AB3"/>
      <c r="AC3"/>
      <c r="AD3" s="43"/>
      <c r="AE3" s="43"/>
      <c r="AF3" s="43"/>
      <c r="AG3" s="43"/>
      <c r="AH3" s="43"/>
      <c r="AI3" s="43"/>
      <c r="AJ3" s="43"/>
      <c r="AK3" s="43"/>
      <c r="AL3" s="43"/>
    </row>
    <row r="4" spans="2:38" ht="18.75" x14ac:dyDescent="0.3">
      <c r="B4" s="51" t="s">
        <v>20</v>
      </c>
      <c r="C4" s="52"/>
      <c r="D4" s="52"/>
      <c r="E4" s="52"/>
      <c r="F4" s="53" t="s">
        <v>96</v>
      </c>
      <c r="G4" s="396">
        <f>G13</f>
        <v>3291000</v>
      </c>
      <c r="H4" s="396">
        <f t="shared" ref="H4:H9" si="0">I4+J4</f>
        <v>729990.80370667402</v>
      </c>
      <c r="I4" s="396">
        <f t="shared" ref="I4:V4" si="1">I13</f>
        <v>314480.7533333333</v>
      </c>
      <c r="J4" s="489">
        <f t="shared" si="1"/>
        <v>415510.05037334072</v>
      </c>
      <c r="K4" s="55">
        <f t="shared" si="1"/>
        <v>35071.100333333336</v>
      </c>
      <c r="L4" s="55">
        <f t="shared" si="1"/>
        <v>58255.503395280233</v>
      </c>
      <c r="M4" s="55">
        <f t="shared" si="1"/>
        <v>58255.503395280233</v>
      </c>
      <c r="N4" s="55">
        <f t="shared" si="1"/>
        <v>130255.50339528023</v>
      </c>
      <c r="O4" s="55">
        <f t="shared" si="1"/>
        <v>5686.4880208333334</v>
      </c>
      <c r="P4" s="55">
        <f t="shared" si="1"/>
        <v>65219.20102083333</v>
      </c>
      <c r="Q4" s="55">
        <f t="shared" si="1"/>
        <v>102769.20102083334</v>
      </c>
      <c r="R4" s="55">
        <f t="shared" si="1"/>
        <v>30686.488020833334</v>
      </c>
      <c r="S4" s="55">
        <f t="shared" si="1"/>
        <v>120686.48802083333</v>
      </c>
      <c r="T4" s="55">
        <f t="shared" si="1"/>
        <v>57686.488020833334</v>
      </c>
      <c r="U4" s="55">
        <f t="shared" si="1"/>
        <v>30686.488020833334</v>
      </c>
      <c r="V4" s="55">
        <f t="shared" si="1"/>
        <v>34732.351041666669</v>
      </c>
    </row>
    <row r="5" spans="2:38" ht="18.75" x14ac:dyDescent="0.3">
      <c r="B5" s="51" t="s">
        <v>21</v>
      </c>
      <c r="C5" s="52"/>
      <c r="D5" s="52"/>
      <c r="E5" s="52"/>
      <c r="F5" s="53" t="s">
        <v>96</v>
      </c>
      <c r="G5" s="396">
        <f>G54+G63+G75+G85+G119+G121</f>
        <v>25299000</v>
      </c>
      <c r="H5" s="396">
        <f t="shared" si="0"/>
        <v>9996046.0300019868</v>
      </c>
      <c r="I5" s="396">
        <f>I52</f>
        <v>8999851.9987980779</v>
      </c>
      <c r="J5" s="396">
        <f>J52</f>
        <v>996194.03120390873</v>
      </c>
      <c r="K5" s="55">
        <f t="shared" ref="K5:V5" si="2">K52</f>
        <v>1602601.9970594319</v>
      </c>
      <c r="L5" s="55">
        <f t="shared" si="2"/>
        <v>318878.39961600082</v>
      </c>
      <c r="M5" s="55">
        <f t="shared" si="2"/>
        <v>624711.7329493342</v>
      </c>
      <c r="N5" s="55">
        <f t="shared" si="2"/>
        <v>296151.7329493342</v>
      </c>
      <c r="O5" s="55">
        <f t="shared" si="2"/>
        <v>2153670.3433894231</v>
      </c>
      <c r="P5" s="55">
        <f t="shared" si="2"/>
        <v>653383.8433894231</v>
      </c>
      <c r="Q5" s="55">
        <f t="shared" si="2"/>
        <v>1727022.3970470538</v>
      </c>
      <c r="R5" s="55">
        <f t="shared" si="2"/>
        <v>409538.65883687948</v>
      </c>
      <c r="S5" s="55">
        <f t="shared" si="2"/>
        <v>409539.65883687948</v>
      </c>
      <c r="T5" s="55">
        <f t="shared" si="2"/>
        <v>375466.65883687948</v>
      </c>
      <c r="U5" s="55">
        <f t="shared" si="2"/>
        <v>29279.843389423077</v>
      </c>
      <c r="V5" s="55">
        <f t="shared" si="2"/>
        <v>1395800.763701923</v>
      </c>
    </row>
    <row r="6" spans="2:38" ht="18.75" x14ac:dyDescent="0.3">
      <c r="B6" s="51" t="s">
        <v>64</v>
      </c>
      <c r="C6" s="52"/>
      <c r="D6" s="52"/>
      <c r="E6" s="52"/>
      <c r="F6" s="53" t="s">
        <v>96</v>
      </c>
      <c r="G6" s="396">
        <f>G122</f>
        <v>13000000</v>
      </c>
      <c r="H6" s="396">
        <f t="shared" si="0"/>
        <v>6220000</v>
      </c>
      <c r="I6" s="396">
        <f>I122</f>
        <v>6220000</v>
      </c>
      <c r="J6" s="396">
        <f>J122</f>
        <v>0</v>
      </c>
      <c r="K6" s="55">
        <f t="shared" ref="K6:V6" si="3">K122</f>
        <v>550000</v>
      </c>
      <c r="L6" s="55">
        <f t="shared" si="3"/>
        <v>500000</v>
      </c>
      <c r="M6" s="55">
        <f t="shared" si="3"/>
        <v>520000</v>
      </c>
      <c r="N6" s="55">
        <f t="shared" si="3"/>
        <v>500000</v>
      </c>
      <c r="O6" s="55">
        <f t="shared" si="3"/>
        <v>500000</v>
      </c>
      <c r="P6" s="55">
        <f t="shared" si="3"/>
        <v>550000</v>
      </c>
      <c r="Q6" s="55">
        <f t="shared" si="3"/>
        <v>500000</v>
      </c>
      <c r="R6" s="55">
        <f t="shared" si="3"/>
        <v>500000</v>
      </c>
      <c r="S6" s="55">
        <f t="shared" si="3"/>
        <v>550000</v>
      </c>
      <c r="T6" s="55">
        <f t="shared" si="3"/>
        <v>500000</v>
      </c>
      <c r="U6" s="55">
        <f t="shared" si="3"/>
        <v>500000</v>
      </c>
      <c r="V6" s="55">
        <f t="shared" si="3"/>
        <v>550000</v>
      </c>
    </row>
    <row r="7" spans="2:38" ht="18.75" x14ac:dyDescent="0.3">
      <c r="B7" s="51" t="s">
        <v>37</v>
      </c>
      <c r="C7" s="52"/>
      <c r="D7" s="52"/>
      <c r="E7" s="52"/>
      <c r="F7" s="53" t="s">
        <v>96</v>
      </c>
      <c r="G7" s="396">
        <f>G134</f>
        <v>4200000</v>
      </c>
      <c r="H7" s="396">
        <f t="shared" si="0"/>
        <v>511769.66634424601</v>
      </c>
      <c r="I7" s="396">
        <f>I134</f>
        <v>511769.66634424601</v>
      </c>
      <c r="J7" s="396">
        <f>J134</f>
        <v>0</v>
      </c>
      <c r="K7" s="55">
        <f t="shared" ref="K7:V7" si="4">K134</f>
        <v>38817.666641865078</v>
      </c>
      <c r="L7" s="55">
        <f t="shared" si="4"/>
        <v>42617.666641865078</v>
      </c>
      <c r="M7" s="55">
        <f t="shared" si="4"/>
        <v>38617.666641865078</v>
      </c>
      <c r="N7" s="55">
        <f t="shared" si="4"/>
        <v>45572.666641865078</v>
      </c>
      <c r="O7" s="55">
        <f t="shared" si="4"/>
        <v>38617.666641865078</v>
      </c>
      <c r="P7" s="55">
        <f t="shared" si="4"/>
        <v>38617.666641865078</v>
      </c>
      <c r="Q7" s="55">
        <f t="shared" si="4"/>
        <v>38617.666641865078</v>
      </c>
      <c r="R7" s="55">
        <f t="shared" si="4"/>
        <v>43572.666641865078</v>
      </c>
      <c r="S7" s="55">
        <f t="shared" si="4"/>
        <v>38617.666641865078</v>
      </c>
      <c r="T7" s="55">
        <f t="shared" si="4"/>
        <v>38617.666641865078</v>
      </c>
      <c r="U7" s="55">
        <f t="shared" si="4"/>
        <v>38617.666641865078</v>
      </c>
      <c r="V7" s="55">
        <f t="shared" si="4"/>
        <v>70865.333283730157</v>
      </c>
    </row>
    <row r="8" spans="2:38" ht="18.75" x14ac:dyDescent="0.3">
      <c r="B8" s="51" t="s">
        <v>9</v>
      </c>
      <c r="C8" s="52"/>
      <c r="D8" s="52"/>
      <c r="E8" s="52"/>
      <c r="F8" s="53" t="s">
        <v>96</v>
      </c>
      <c r="G8" s="396">
        <f>G169</f>
        <v>250000</v>
      </c>
      <c r="H8" s="396">
        <f t="shared" si="0"/>
        <v>78974.489795918373</v>
      </c>
      <c r="I8" s="396">
        <f>I169</f>
        <v>78974.489795918373</v>
      </c>
      <c r="J8" s="396">
        <f>J169</f>
        <v>0</v>
      </c>
      <c r="K8" s="55">
        <f t="shared" ref="K8:V8" si="5">K169</f>
        <v>40959.183673469386</v>
      </c>
      <c r="L8" s="55">
        <f t="shared" si="5"/>
        <v>0</v>
      </c>
      <c r="M8" s="55">
        <f t="shared" si="5"/>
        <v>0</v>
      </c>
      <c r="N8" s="55">
        <f t="shared" si="5"/>
        <v>0</v>
      </c>
      <c r="O8" s="55">
        <f t="shared" si="5"/>
        <v>0</v>
      </c>
      <c r="P8" s="55">
        <f t="shared" si="5"/>
        <v>0</v>
      </c>
      <c r="Q8" s="55">
        <f t="shared" si="5"/>
        <v>0</v>
      </c>
      <c r="R8" s="55">
        <f t="shared" si="5"/>
        <v>0</v>
      </c>
      <c r="S8" s="55">
        <f t="shared" si="5"/>
        <v>0</v>
      </c>
      <c r="T8" s="55">
        <f t="shared" si="5"/>
        <v>38015.306122448979</v>
      </c>
      <c r="U8" s="55">
        <f t="shared" si="5"/>
        <v>0</v>
      </c>
      <c r="V8" s="55">
        <f t="shared" si="5"/>
        <v>0</v>
      </c>
    </row>
    <row r="9" spans="2:38" ht="18.75" x14ac:dyDescent="0.3">
      <c r="B9" s="51" t="s">
        <v>38</v>
      </c>
      <c r="C9" s="52"/>
      <c r="D9" s="52"/>
      <c r="E9" s="52"/>
      <c r="F9" s="53" t="s">
        <v>96</v>
      </c>
      <c r="G9" s="396">
        <f>G171</f>
        <v>460000</v>
      </c>
      <c r="H9" s="396">
        <f t="shared" si="0"/>
        <v>134254.81319469027</v>
      </c>
      <c r="I9" s="396">
        <f>I171</f>
        <v>134254.81319469027</v>
      </c>
      <c r="J9" s="396">
        <f>J171</f>
        <v>0</v>
      </c>
      <c r="K9" s="55">
        <f t="shared" ref="K9:V9" si="6">K171</f>
        <v>20498.830938053099</v>
      </c>
      <c r="L9" s="55">
        <f t="shared" si="6"/>
        <v>8721.8889380530982</v>
      </c>
      <c r="M9" s="55">
        <f t="shared" si="6"/>
        <v>3191.2389380530976</v>
      </c>
      <c r="N9" s="55">
        <f t="shared" si="6"/>
        <v>33121.703938053099</v>
      </c>
      <c r="O9" s="55">
        <f t="shared" si="6"/>
        <v>3191.2389380530976</v>
      </c>
      <c r="P9" s="55">
        <f t="shared" si="6"/>
        <v>3191.2389380530976</v>
      </c>
      <c r="Q9" s="55">
        <f t="shared" si="6"/>
        <v>17691.238938053099</v>
      </c>
      <c r="R9" s="55">
        <f t="shared" si="6"/>
        <v>3191.2389380530976</v>
      </c>
      <c r="S9" s="55">
        <f t="shared" si="6"/>
        <v>3191.2389380530976</v>
      </c>
      <c r="T9" s="55">
        <f t="shared" si="6"/>
        <v>3191.2389380530976</v>
      </c>
      <c r="U9" s="55">
        <f t="shared" si="6"/>
        <v>28691.238938053099</v>
      </c>
      <c r="V9" s="55">
        <f t="shared" si="6"/>
        <v>6382.4778761061953</v>
      </c>
    </row>
    <row r="10" spans="2:38" ht="18.75" x14ac:dyDescent="0.3">
      <c r="B10" s="51" t="s">
        <v>18</v>
      </c>
      <c r="C10" s="52"/>
      <c r="D10" s="52"/>
      <c r="E10" s="52"/>
      <c r="F10" s="53" t="s">
        <v>96</v>
      </c>
      <c r="G10" s="396"/>
      <c r="H10" s="396"/>
      <c r="I10" s="396"/>
      <c r="J10" s="396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2:38" s="58" customFormat="1" ht="15.75" x14ac:dyDescent="0.25">
      <c r="B11" s="59"/>
      <c r="C11" s="60"/>
      <c r="D11" s="61"/>
      <c r="E11" s="61"/>
      <c r="F11" s="389" t="s">
        <v>1</v>
      </c>
      <c r="G11" s="390">
        <f>SUM(G4:G10)</f>
        <v>46500000</v>
      </c>
      <c r="H11" s="390">
        <f>H4+H5+H6+H7+H8+H9</f>
        <v>17671035.803043514</v>
      </c>
      <c r="I11" s="390">
        <f>I4+I5+I6+I7+I8+I9</f>
        <v>16259331.721466266</v>
      </c>
      <c r="J11" s="390">
        <f>J4+J5</f>
        <v>1411704.0815772493</v>
      </c>
      <c r="K11" s="391">
        <f t="shared" ref="K11:V11" si="7">SUM(K4:K10)</f>
        <v>2287948.7786461525</v>
      </c>
      <c r="L11" s="391">
        <f t="shared" si="7"/>
        <v>928473.45859119913</v>
      </c>
      <c r="M11" s="391">
        <f t="shared" si="7"/>
        <v>1244776.1419245328</v>
      </c>
      <c r="N11" s="391">
        <f t="shared" si="7"/>
        <v>1005101.6069245326</v>
      </c>
      <c r="O11" s="391">
        <f t="shared" si="7"/>
        <v>2701165.7369901743</v>
      </c>
      <c r="P11" s="391">
        <f t="shared" si="7"/>
        <v>1310411.9499901747</v>
      </c>
      <c r="Q11" s="391">
        <f t="shared" si="7"/>
        <v>2386100.5036478052</v>
      </c>
      <c r="R11" s="391">
        <f t="shared" si="7"/>
        <v>986989.05243763106</v>
      </c>
      <c r="S11" s="391">
        <f t="shared" si="7"/>
        <v>1122035.0524376312</v>
      </c>
      <c r="T11" s="391">
        <f t="shared" si="7"/>
        <v>1012977.3585600801</v>
      </c>
      <c r="U11" s="391">
        <f t="shared" si="7"/>
        <v>627275.23699017463</v>
      </c>
      <c r="V11" s="391">
        <f t="shared" si="7"/>
        <v>2057780.925903426</v>
      </c>
      <c r="W11"/>
      <c r="X11"/>
      <c r="Y11"/>
      <c r="Z11"/>
      <c r="AA11"/>
      <c r="AB11"/>
      <c r="AC11"/>
      <c r="AD11" s="43"/>
      <c r="AE11" s="43"/>
      <c r="AF11" s="43"/>
      <c r="AG11" s="43"/>
      <c r="AH11" s="43"/>
      <c r="AI11" s="43"/>
      <c r="AJ11" s="43"/>
      <c r="AK11" s="43"/>
      <c r="AL11" s="43"/>
    </row>
    <row r="12" spans="2:38" s="58" customFormat="1" x14ac:dyDescent="0.2">
      <c r="B12" s="59"/>
      <c r="C12" s="61"/>
      <c r="D12" s="61"/>
      <c r="E12" s="61"/>
      <c r="F12" s="62"/>
      <c r="G12" s="64"/>
      <c r="H12" s="64"/>
      <c r="I12" s="64"/>
      <c r="J12" s="64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/>
      <c r="X12"/>
      <c r="Y12"/>
      <c r="Z12"/>
      <c r="AA12"/>
      <c r="AB12"/>
      <c r="AC12"/>
      <c r="AD12" s="43"/>
      <c r="AE12" s="43"/>
      <c r="AF12" s="43"/>
      <c r="AG12" s="43"/>
      <c r="AH12" s="43"/>
      <c r="AI12" s="43"/>
      <c r="AJ12" s="43"/>
      <c r="AK12" s="43"/>
      <c r="AL12" s="43"/>
    </row>
    <row r="13" spans="2:38" s="65" customFormat="1" ht="18.75" x14ac:dyDescent="0.3">
      <c r="B13" s="51" t="str">
        <f>B4</f>
        <v>Composante 1</v>
      </c>
      <c r="C13" s="66"/>
      <c r="D13" s="66"/>
      <c r="E13" s="66"/>
      <c r="F13" s="66"/>
      <c r="G13" s="396">
        <f>+G15+G19+G23+G38+G43+G46+G49</f>
        <v>3291000</v>
      </c>
      <c r="H13" s="396">
        <f>I13+J13</f>
        <v>729990.80370667402</v>
      </c>
      <c r="I13" s="396">
        <f>I15+I19+I24+I33+I38+I43+I46+I49</f>
        <v>314480.7533333333</v>
      </c>
      <c r="J13" s="396">
        <f>J15+J19+J24+J33+J38+J43+J46+J49</f>
        <v>415510.05037334072</v>
      </c>
      <c r="K13" s="396">
        <f t="shared" ref="K13:V13" si="8">K15+K19+K23+K38+K43+K46+K49</f>
        <v>35071.100333333336</v>
      </c>
      <c r="L13" s="396">
        <f t="shared" si="8"/>
        <v>58255.503395280233</v>
      </c>
      <c r="M13" s="396">
        <f t="shared" si="8"/>
        <v>58255.503395280233</v>
      </c>
      <c r="N13" s="396">
        <f t="shared" si="8"/>
        <v>130255.50339528023</v>
      </c>
      <c r="O13" s="396">
        <f t="shared" si="8"/>
        <v>5686.4880208333334</v>
      </c>
      <c r="P13" s="396">
        <f t="shared" si="8"/>
        <v>65219.20102083333</v>
      </c>
      <c r="Q13" s="396">
        <f t="shared" si="8"/>
        <v>102769.20102083334</v>
      </c>
      <c r="R13" s="396">
        <f t="shared" si="8"/>
        <v>30686.488020833334</v>
      </c>
      <c r="S13" s="396">
        <f t="shared" si="8"/>
        <v>120686.48802083333</v>
      </c>
      <c r="T13" s="396">
        <f t="shared" si="8"/>
        <v>57686.488020833334</v>
      </c>
      <c r="U13" s="396">
        <f t="shared" si="8"/>
        <v>30686.488020833334</v>
      </c>
      <c r="V13" s="396">
        <f t="shared" si="8"/>
        <v>34732.351041666669</v>
      </c>
      <c r="W13"/>
      <c r="X13"/>
      <c r="Y13"/>
      <c r="Z13"/>
      <c r="AA13"/>
      <c r="AB13"/>
      <c r="AC13"/>
      <c r="AD13" s="43"/>
      <c r="AE13" s="43"/>
      <c r="AF13" s="43"/>
      <c r="AG13" s="43"/>
      <c r="AH13" s="43"/>
      <c r="AI13" s="43"/>
      <c r="AJ13" s="43"/>
      <c r="AK13" s="43"/>
      <c r="AL13" s="43"/>
    </row>
    <row r="14" spans="2:38" s="67" customFormat="1" ht="15" customHeight="1" x14ac:dyDescent="0.2">
      <c r="B14" s="68" t="s">
        <v>184</v>
      </c>
      <c r="C14" s="69">
        <v>1</v>
      </c>
      <c r="D14" s="70" t="s">
        <v>75</v>
      </c>
      <c r="E14" s="71"/>
      <c r="F14" s="72" t="s">
        <v>178</v>
      </c>
      <c r="G14" s="54">
        <v>4</v>
      </c>
      <c r="H14" s="54">
        <f>SUM(K14:V14)</f>
        <v>0</v>
      </c>
      <c r="I14" s="54">
        <f>H14</f>
        <v>0</v>
      </c>
      <c r="J14" s="54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/>
      <c r="X14"/>
      <c r="Y14"/>
      <c r="Z14"/>
      <c r="AA14"/>
      <c r="AB14"/>
      <c r="AC14"/>
      <c r="AD14" s="43"/>
      <c r="AE14" s="43"/>
      <c r="AF14" s="43"/>
      <c r="AG14" s="43"/>
      <c r="AH14" s="43"/>
      <c r="AI14" s="43"/>
      <c r="AJ14" s="43"/>
      <c r="AK14" s="43"/>
      <c r="AL14" s="43"/>
    </row>
    <row r="15" spans="2:38" s="74" customFormat="1" ht="15.75" x14ac:dyDescent="0.25">
      <c r="B15" s="75" t="s">
        <v>185</v>
      </c>
      <c r="C15" s="76">
        <v>1</v>
      </c>
      <c r="D15" s="77" t="str">
        <f>D14</f>
        <v>Modèles d'analyses de risques climatiques développés</v>
      </c>
      <c r="E15" s="78"/>
      <c r="F15" s="79" t="s">
        <v>96</v>
      </c>
      <c r="G15" s="395"/>
      <c r="H15" s="395"/>
      <c r="I15" s="395">
        <f>SUM(I16:I17)</f>
        <v>0</v>
      </c>
      <c r="J15" s="395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/>
      <c r="X15"/>
      <c r="Y15"/>
      <c r="Z15"/>
      <c r="AA15"/>
      <c r="AB15"/>
      <c r="AC15"/>
      <c r="AD15" s="43"/>
      <c r="AE15" s="43"/>
      <c r="AF15" s="43"/>
      <c r="AG15" s="43"/>
      <c r="AH15" s="43"/>
      <c r="AI15" s="43"/>
      <c r="AJ15" s="43"/>
      <c r="AK15" s="43"/>
      <c r="AL15" s="43"/>
    </row>
    <row r="16" spans="2:38" s="81" customFormat="1" ht="13.5" customHeight="1" x14ac:dyDescent="0.2">
      <c r="B16" s="75"/>
      <c r="C16" s="82"/>
      <c r="D16" s="91" t="s">
        <v>160</v>
      </c>
      <c r="E16" s="82"/>
      <c r="F16" s="83"/>
      <c r="G16" s="54"/>
      <c r="H16" s="54"/>
      <c r="I16" s="54">
        <f>SUM(K16:V16)</f>
        <v>0</v>
      </c>
      <c r="J16" s="54"/>
      <c r="K16" s="397"/>
      <c r="L16" s="382"/>
      <c r="M16" s="382"/>
      <c r="N16" s="382"/>
      <c r="O16" s="382"/>
      <c r="P16" s="382"/>
      <c r="Q16" s="382"/>
      <c r="R16" s="382"/>
      <c r="S16" s="382"/>
      <c r="T16" s="382"/>
      <c r="U16" s="382"/>
      <c r="V16" s="382"/>
      <c r="W16"/>
      <c r="X16"/>
      <c r="Y16"/>
      <c r="Z16"/>
      <c r="AA16"/>
      <c r="AB16"/>
      <c r="AC16"/>
      <c r="AD16" s="43"/>
      <c r="AE16" s="43"/>
      <c r="AF16" s="43"/>
      <c r="AG16" s="43"/>
      <c r="AH16" s="43"/>
      <c r="AI16" s="43"/>
      <c r="AJ16" s="43"/>
      <c r="AK16" s="43"/>
      <c r="AL16" s="43"/>
    </row>
    <row r="17" spans="2:38" s="81" customFormat="1" ht="13.5" customHeight="1" x14ac:dyDescent="0.2">
      <c r="B17" s="75"/>
      <c r="C17" s="82"/>
      <c r="D17" s="91" t="s">
        <v>98</v>
      </c>
      <c r="E17" s="82"/>
      <c r="F17" s="83"/>
      <c r="G17" s="54"/>
      <c r="H17" s="54"/>
      <c r="I17" s="54">
        <f>SUM(K17:V17)</f>
        <v>0</v>
      </c>
      <c r="J17" s="54"/>
      <c r="K17" s="413"/>
      <c r="L17" s="413"/>
      <c r="M17" s="413"/>
      <c r="N17" s="413"/>
      <c r="O17" s="469"/>
      <c r="P17" s="413"/>
      <c r="Q17" s="413"/>
      <c r="R17" s="413"/>
      <c r="S17" s="413"/>
      <c r="T17" s="413"/>
      <c r="U17" s="413"/>
      <c r="V17" s="413"/>
      <c r="W17"/>
      <c r="X17"/>
      <c r="Y17"/>
      <c r="Z17"/>
      <c r="AA17"/>
      <c r="AB17"/>
      <c r="AC17"/>
      <c r="AD17" s="43"/>
      <c r="AE17" s="43"/>
      <c r="AF17" s="43"/>
      <c r="AG17" s="43"/>
      <c r="AH17" s="43"/>
      <c r="AI17" s="43"/>
      <c r="AJ17" s="43"/>
      <c r="AK17" s="43"/>
      <c r="AL17" s="43"/>
    </row>
    <row r="18" spans="2:38" ht="25.5" x14ac:dyDescent="0.2">
      <c r="B18" s="75" t="s">
        <v>184</v>
      </c>
      <c r="C18" s="76">
        <v>2</v>
      </c>
      <c r="D18" s="77" t="s">
        <v>76</v>
      </c>
      <c r="E18" s="78"/>
      <c r="F18" s="79" t="s">
        <v>179</v>
      </c>
      <c r="G18" s="54">
        <v>1</v>
      </c>
      <c r="H18" s="54">
        <f>SUM(K18:V18)</f>
        <v>0</v>
      </c>
      <c r="I18" s="54"/>
      <c r="J18" s="54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</row>
    <row r="19" spans="2:38" ht="26.25" x14ac:dyDescent="0.25">
      <c r="B19" s="75" t="s">
        <v>185</v>
      </c>
      <c r="C19" s="76">
        <v>2</v>
      </c>
      <c r="D19" s="77" t="str">
        <f>D18</f>
        <v>Système  d'information sur les risques climatiques en agriculture développé</v>
      </c>
      <c r="E19" s="78"/>
      <c r="F19" s="79" t="s">
        <v>96</v>
      </c>
      <c r="G19" s="54"/>
      <c r="H19" s="395"/>
      <c r="I19" s="54">
        <f>SUM(I20:I21)</f>
        <v>0</v>
      </c>
      <c r="J19" s="54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</row>
    <row r="20" spans="2:38" x14ac:dyDescent="0.2">
      <c r="B20" s="75"/>
      <c r="C20" s="82"/>
      <c r="D20" s="91" t="s">
        <v>164</v>
      </c>
      <c r="E20" s="82"/>
      <c r="F20" s="83"/>
      <c r="G20" s="54"/>
      <c r="H20" s="54"/>
      <c r="I20" s="54">
        <f>SUM(K20:V20)</f>
        <v>0</v>
      </c>
      <c r="J20" s="54"/>
      <c r="K20" s="397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</row>
    <row r="21" spans="2:38" x14ac:dyDescent="0.2">
      <c r="B21" s="75"/>
      <c r="C21" s="82"/>
      <c r="D21" s="91" t="s">
        <v>98</v>
      </c>
      <c r="E21" s="82"/>
      <c r="F21" s="83"/>
      <c r="G21" s="54"/>
      <c r="H21" s="54"/>
      <c r="I21" s="54">
        <f>SUM(K21:V21)</f>
        <v>0</v>
      </c>
      <c r="J21" s="54"/>
      <c r="K21" s="388"/>
      <c r="L21" s="388"/>
      <c r="M21" s="388"/>
      <c r="N21" s="458"/>
      <c r="O21" s="459"/>
      <c r="P21" s="388"/>
      <c r="Q21" s="388"/>
      <c r="R21" s="388"/>
      <c r="S21" s="388"/>
      <c r="T21" s="388"/>
      <c r="U21" s="388"/>
      <c r="V21" s="388"/>
    </row>
    <row r="22" spans="2:38" ht="28.5" customHeight="1" x14ac:dyDescent="0.2">
      <c r="B22" s="75" t="s">
        <v>184</v>
      </c>
      <c r="C22" s="76">
        <v>3</v>
      </c>
      <c r="D22" s="77" t="s">
        <v>327</v>
      </c>
      <c r="E22" s="78"/>
      <c r="F22" s="79" t="s">
        <v>180</v>
      </c>
      <c r="G22" s="54">
        <v>3</v>
      </c>
      <c r="H22" s="54">
        <v>1</v>
      </c>
      <c r="I22" s="54">
        <f>H22</f>
        <v>1</v>
      </c>
      <c r="J22" s="54"/>
      <c r="K22" s="80"/>
      <c r="L22" s="80"/>
      <c r="M22" s="80"/>
      <c r="N22" s="80">
        <v>1</v>
      </c>
      <c r="O22" s="80"/>
      <c r="P22" s="80"/>
      <c r="Q22" s="80"/>
      <c r="R22" s="80"/>
      <c r="S22" s="80"/>
      <c r="T22" s="80"/>
      <c r="U22" s="80"/>
      <c r="V22" s="80"/>
    </row>
    <row r="23" spans="2:38" ht="25.5" x14ac:dyDescent="0.2">
      <c r="B23" s="75" t="s">
        <v>185</v>
      </c>
      <c r="C23" s="76">
        <v>3</v>
      </c>
      <c r="D23" s="77" t="str">
        <f>D22</f>
        <v>Programme de recherche&amp;formation agricole/resilience CC/dynamique BV mis en oeuvre</v>
      </c>
      <c r="E23" s="78"/>
      <c r="F23" s="79" t="s">
        <v>96</v>
      </c>
      <c r="G23" s="54">
        <f>479000+2250000</f>
        <v>2729000</v>
      </c>
      <c r="H23" s="54">
        <f t="shared" ref="H23:V23" si="9">H24+H33</f>
        <v>161439.38370667404</v>
      </c>
      <c r="I23" s="54">
        <f t="shared" si="9"/>
        <v>30929.333333333332</v>
      </c>
      <c r="J23" s="54">
        <f t="shared" si="9"/>
        <v>265510.05037334072</v>
      </c>
      <c r="K23" s="80">
        <f t="shared" si="9"/>
        <v>8715.9583333333321</v>
      </c>
      <c r="L23" s="80">
        <f t="shared" si="9"/>
        <v>5545.2193952802363</v>
      </c>
      <c r="M23" s="80">
        <f t="shared" si="9"/>
        <v>5545.2193952802363</v>
      </c>
      <c r="N23" s="80">
        <f t="shared" si="9"/>
        <v>77545.219395280234</v>
      </c>
      <c r="O23" s="80">
        <f t="shared" si="9"/>
        <v>5686.4880208333334</v>
      </c>
      <c r="P23" s="80">
        <f t="shared" si="9"/>
        <v>5686.4880208333334</v>
      </c>
      <c r="Q23" s="80">
        <f t="shared" si="9"/>
        <v>38236.488020833334</v>
      </c>
      <c r="R23" s="80">
        <f t="shared" si="9"/>
        <v>5686.4880208333334</v>
      </c>
      <c r="S23" s="80">
        <f t="shared" si="9"/>
        <v>95686.488020833334</v>
      </c>
      <c r="T23" s="80">
        <f t="shared" si="9"/>
        <v>32686.488020833331</v>
      </c>
      <c r="U23" s="80">
        <f t="shared" si="9"/>
        <v>5686.4880208333334</v>
      </c>
      <c r="V23" s="80">
        <f t="shared" si="9"/>
        <v>9732.3510416666668</v>
      </c>
    </row>
    <row r="24" spans="2:38" s="81" customFormat="1" x14ac:dyDescent="0.2">
      <c r="B24" s="75"/>
      <c r="C24" s="82"/>
      <c r="D24" s="88" t="s">
        <v>166</v>
      </c>
      <c r="E24" s="87"/>
      <c r="F24" s="89"/>
      <c r="G24" s="54">
        <v>2150000</v>
      </c>
      <c r="H24" s="54">
        <f t="shared" ref="H24:V24" si="10">SUM(H25:H30)</f>
        <v>130510.05037334071</v>
      </c>
      <c r="I24" s="54">
        <f t="shared" si="10"/>
        <v>0</v>
      </c>
      <c r="J24" s="54">
        <f t="shared" si="10"/>
        <v>265510.05037334072</v>
      </c>
      <c r="K24" s="90">
        <f t="shared" si="10"/>
        <v>1640.625</v>
      </c>
      <c r="L24" s="90">
        <f t="shared" si="10"/>
        <v>4019.8860619469028</v>
      </c>
      <c r="M24" s="90">
        <f t="shared" si="10"/>
        <v>4019.8860619469028</v>
      </c>
      <c r="N24" s="90">
        <f t="shared" si="10"/>
        <v>76019.886061946905</v>
      </c>
      <c r="O24" s="90">
        <f t="shared" si="10"/>
        <v>4161.1546875000004</v>
      </c>
      <c r="P24" s="90">
        <f t="shared" si="10"/>
        <v>4161.1546875000004</v>
      </c>
      <c r="Q24" s="90">
        <f t="shared" si="10"/>
        <v>31161.154687499999</v>
      </c>
      <c r="R24" s="90">
        <f t="shared" si="10"/>
        <v>4161.1546875000004</v>
      </c>
      <c r="S24" s="90">
        <f t="shared" si="10"/>
        <v>94161.154687500006</v>
      </c>
      <c r="T24" s="90">
        <f t="shared" si="10"/>
        <v>31161.154687499999</v>
      </c>
      <c r="U24" s="90">
        <f t="shared" si="10"/>
        <v>4161.1546875000004</v>
      </c>
      <c r="V24" s="90">
        <f t="shared" si="10"/>
        <v>6681.6843749999998</v>
      </c>
      <c r="W24"/>
      <c r="X24"/>
      <c r="Y24"/>
      <c r="Z24"/>
      <c r="AA24"/>
      <c r="AB24"/>
      <c r="AC24"/>
      <c r="AD24" s="43"/>
      <c r="AE24" s="43"/>
      <c r="AF24" s="43"/>
      <c r="AG24" s="43"/>
      <c r="AH24" s="43"/>
      <c r="AI24" s="43"/>
      <c r="AJ24" s="43"/>
      <c r="AK24" s="43"/>
      <c r="AL24" s="43"/>
    </row>
    <row r="25" spans="2:38" s="81" customFormat="1" ht="15.95" customHeight="1" x14ac:dyDescent="0.2">
      <c r="B25" s="75"/>
      <c r="C25" s="82"/>
      <c r="D25" s="91" t="s">
        <v>427</v>
      </c>
      <c r="E25" s="82"/>
      <c r="F25" s="83"/>
      <c r="G25" s="54"/>
      <c r="H25" s="54">
        <f>SUM(K25:V25)</f>
        <v>0</v>
      </c>
      <c r="I25" s="54"/>
      <c r="J25" s="54">
        <f t="shared" ref="J25:J30" si="11">SUM(K25:V25)</f>
        <v>0</v>
      </c>
      <c r="K25" s="463"/>
      <c r="L25" s="464"/>
      <c r="M25" s="464"/>
      <c r="N25" s="464"/>
      <c r="O25" s="464"/>
      <c r="P25" s="464"/>
      <c r="Q25" s="464"/>
      <c r="R25" s="464"/>
      <c r="S25" s="464"/>
      <c r="T25" s="464"/>
      <c r="U25" s="464"/>
      <c r="V25" s="464"/>
      <c r="W25"/>
      <c r="X25"/>
      <c r="Y25"/>
      <c r="Z25"/>
      <c r="AA25"/>
      <c r="AB25"/>
      <c r="AC25"/>
      <c r="AD25" s="43"/>
      <c r="AE25" s="43"/>
      <c r="AF25" s="43"/>
      <c r="AG25" s="43"/>
      <c r="AH25"/>
      <c r="AI25"/>
      <c r="AJ25" s="43"/>
      <c r="AK25" s="43"/>
      <c r="AL25" s="43"/>
    </row>
    <row r="26" spans="2:38" s="81" customFormat="1" ht="15.95" customHeight="1" x14ac:dyDescent="0.2">
      <c r="B26" s="75"/>
      <c r="C26" s="82"/>
      <c r="D26" s="91" t="s">
        <v>429</v>
      </c>
      <c r="E26" s="82"/>
      <c r="F26" s="83"/>
      <c r="G26" s="54"/>
      <c r="H26" s="54"/>
      <c r="I26" s="54"/>
      <c r="J26" s="54">
        <f t="shared" si="11"/>
        <v>0</v>
      </c>
      <c r="K26" s="465"/>
      <c r="L26" s="466"/>
      <c r="M26" s="466"/>
      <c r="N26" s="466"/>
      <c r="O26" s="466"/>
      <c r="P26" s="466"/>
      <c r="Q26" s="466"/>
      <c r="R26" s="466"/>
      <c r="S26" s="466"/>
      <c r="T26" s="466"/>
      <c r="U26" s="466"/>
      <c r="V26" s="466"/>
      <c r="W26"/>
      <c r="X26"/>
      <c r="Y26"/>
      <c r="Z26"/>
      <c r="AA26"/>
      <c r="AB26"/>
      <c r="AC26"/>
      <c r="AD26" s="43"/>
      <c r="AE26" s="43"/>
      <c r="AF26" s="43"/>
      <c r="AG26" s="43"/>
      <c r="AH26"/>
      <c r="AI26"/>
      <c r="AJ26" s="43"/>
      <c r="AK26" s="43"/>
      <c r="AL26" s="43"/>
    </row>
    <row r="27" spans="2:38" s="81" customFormat="1" ht="17.100000000000001" customHeight="1" x14ac:dyDescent="0.2">
      <c r="B27" s="75"/>
      <c r="C27" s="82"/>
      <c r="D27" s="91" t="s">
        <v>428</v>
      </c>
      <c r="E27" s="82"/>
      <c r="F27" s="83" t="s">
        <v>292</v>
      </c>
      <c r="G27" s="54"/>
      <c r="H27" s="54">
        <f>SUM(K27:V27)</f>
        <v>81000</v>
      </c>
      <c r="I27" s="54"/>
      <c r="J27" s="54">
        <f t="shared" si="11"/>
        <v>81000</v>
      </c>
      <c r="K27" s="60"/>
      <c r="L27" s="381"/>
      <c r="M27" s="381"/>
      <c r="N27" s="388">
        <f>900000*0.03</f>
        <v>27000</v>
      </c>
      <c r="O27" s="388"/>
      <c r="P27" s="388"/>
      <c r="Q27" s="388">
        <f>900000*0.03</f>
        <v>27000</v>
      </c>
      <c r="R27" s="388"/>
      <c r="S27" s="388"/>
      <c r="T27" s="388">
        <f>900000*0.03</f>
        <v>27000</v>
      </c>
      <c r="U27" s="388"/>
      <c r="V27" s="388"/>
      <c r="W27"/>
      <c r="X27"/>
      <c r="Y27"/>
      <c r="Z27"/>
      <c r="AA27"/>
      <c r="AB27"/>
      <c r="AC27"/>
      <c r="AD27" s="43"/>
      <c r="AE27" s="43"/>
      <c r="AF27" s="43"/>
      <c r="AG27" s="43"/>
      <c r="AH27"/>
      <c r="AI27"/>
      <c r="AJ27" s="43"/>
      <c r="AK27" s="43"/>
      <c r="AL27" s="43"/>
    </row>
    <row r="28" spans="2:38" s="81" customFormat="1" ht="17.100000000000001" customHeight="1" x14ac:dyDescent="0.2">
      <c r="B28" s="75"/>
      <c r="C28" s="82"/>
      <c r="D28" s="91" t="s">
        <v>430</v>
      </c>
      <c r="E28" s="82"/>
      <c r="F28" s="83"/>
      <c r="G28" s="54"/>
      <c r="H28" s="54"/>
      <c r="I28" s="54"/>
      <c r="J28" s="54">
        <f t="shared" si="11"/>
        <v>135000</v>
      </c>
      <c r="K28" s="60"/>
      <c r="L28" s="381"/>
      <c r="M28" s="381"/>
      <c r="N28" s="388">
        <f>900000*0.05</f>
        <v>45000</v>
      </c>
      <c r="O28" s="388"/>
      <c r="P28" s="388"/>
      <c r="Q28" s="388"/>
      <c r="R28" s="388"/>
      <c r="S28" s="388">
        <f>900000*0.1</f>
        <v>90000</v>
      </c>
      <c r="T28" s="388"/>
      <c r="U28" s="388"/>
      <c r="V28" s="388"/>
      <c r="W28"/>
      <c r="X28"/>
      <c r="Y28"/>
      <c r="Z28"/>
      <c r="AA28"/>
      <c r="AB28"/>
      <c r="AC28"/>
      <c r="AD28" s="43"/>
      <c r="AE28" s="43"/>
      <c r="AF28" s="43"/>
      <c r="AG28" s="43"/>
      <c r="AH28"/>
      <c r="AI28"/>
      <c r="AJ28" s="43"/>
      <c r="AK28" s="43"/>
      <c r="AL28" s="43"/>
    </row>
    <row r="29" spans="2:38" s="92" customFormat="1" ht="20.100000000000001" customHeight="1" x14ac:dyDescent="0.2">
      <c r="B29" s="93"/>
      <c r="C29" s="82"/>
      <c r="D29" s="95" t="s">
        <v>204</v>
      </c>
      <c r="E29" s="94"/>
      <c r="F29" s="96"/>
      <c r="G29" s="54"/>
      <c r="H29" s="54">
        <f>SUM(K29:V29)</f>
        <v>19687.5</v>
      </c>
      <c r="I29" s="54"/>
      <c r="J29" s="54">
        <f t="shared" si="11"/>
        <v>19687.5</v>
      </c>
      <c r="K29" s="98">
        <f>35000*3/64</f>
        <v>1640.625</v>
      </c>
      <c r="L29" s="98">
        <f t="shared" ref="L29:V29" si="12">35000*3/64</f>
        <v>1640.625</v>
      </c>
      <c r="M29" s="98">
        <f t="shared" si="12"/>
        <v>1640.625</v>
      </c>
      <c r="N29" s="98">
        <f t="shared" si="12"/>
        <v>1640.625</v>
      </c>
      <c r="O29" s="98">
        <f t="shared" si="12"/>
        <v>1640.625</v>
      </c>
      <c r="P29" s="98">
        <f t="shared" si="12"/>
        <v>1640.625</v>
      </c>
      <c r="Q29" s="98">
        <f t="shared" si="12"/>
        <v>1640.625</v>
      </c>
      <c r="R29" s="98">
        <f t="shared" si="12"/>
        <v>1640.625</v>
      </c>
      <c r="S29" s="98">
        <f t="shared" si="12"/>
        <v>1640.625</v>
      </c>
      <c r="T29" s="98">
        <f t="shared" si="12"/>
        <v>1640.625</v>
      </c>
      <c r="U29" s="98">
        <f t="shared" si="12"/>
        <v>1640.625</v>
      </c>
      <c r="V29" s="98">
        <f t="shared" si="12"/>
        <v>1640.625</v>
      </c>
      <c r="W29"/>
      <c r="X29"/>
      <c r="Y29"/>
      <c r="Z29"/>
      <c r="AA29"/>
      <c r="AB29"/>
      <c r="AC29"/>
      <c r="AD29" s="43"/>
      <c r="AE29" s="43"/>
      <c r="AF29" s="43"/>
      <c r="AG29" s="43"/>
      <c r="AH29"/>
      <c r="AI29"/>
      <c r="AJ29" s="43"/>
      <c r="AK29" s="43"/>
      <c r="AL29" s="43"/>
    </row>
    <row r="30" spans="2:38" s="92" customFormat="1" ht="18" customHeight="1" x14ac:dyDescent="0.2">
      <c r="B30" s="93"/>
      <c r="C30" s="82"/>
      <c r="D30" s="95" t="s">
        <v>202</v>
      </c>
      <c r="E30" s="94"/>
      <c r="F30" s="96"/>
      <c r="G30" s="54"/>
      <c r="H30" s="54">
        <f>SUM(K30:V30)</f>
        <v>29822.550373340706</v>
      </c>
      <c r="I30" s="54"/>
      <c r="J30" s="54">
        <f t="shared" si="11"/>
        <v>29822.550373340706</v>
      </c>
      <c r="K30" s="98"/>
      <c r="L30" s="98">
        <f t="shared" ref="L30:U30" si="13">L82</f>
        <v>2379.2610619469028</v>
      </c>
      <c r="M30" s="98">
        <f t="shared" si="13"/>
        <v>2379.2610619469028</v>
      </c>
      <c r="N30" s="98">
        <f t="shared" si="13"/>
        <v>2379.2610619469028</v>
      </c>
      <c r="O30" s="98">
        <f t="shared" si="13"/>
        <v>2520.5296874999999</v>
      </c>
      <c r="P30" s="98">
        <f t="shared" si="13"/>
        <v>2520.5296874999999</v>
      </c>
      <c r="Q30" s="98">
        <f t="shared" si="13"/>
        <v>2520.5296874999999</v>
      </c>
      <c r="R30" s="98">
        <f t="shared" si="13"/>
        <v>2520.5296874999999</v>
      </c>
      <c r="S30" s="98">
        <f t="shared" si="13"/>
        <v>2520.5296874999999</v>
      </c>
      <c r="T30" s="98">
        <f t="shared" si="13"/>
        <v>2520.5296874999999</v>
      </c>
      <c r="U30" s="98">
        <f t="shared" si="13"/>
        <v>2520.5296874999999</v>
      </c>
      <c r="V30" s="98">
        <f>U30*2</f>
        <v>5041.0593749999998</v>
      </c>
      <c r="W30"/>
      <c r="X30"/>
      <c r="Y30"/>
      <c r="Z30"/>
      <c r="AA30"/>
      <c r="AB30"/>
      <c r="AC30"/>
      <c r="AD30" s="43"/>
      <c r="AE30" s="43"/>
      <c r="AF30" s="43"/>
      <c r="AG30" s="43"/>
      <c r="AH30"/>
      <c r="AI30"/>
      <c r="AJ30" s="43"/>
      <c r="AK30" s="43"/>
      <c r="AL30" s="43"/>
    </row>
    <row r="31" spans="2:38" s="81" customFormat="1" ht="18" customHeight="1" x14ac:dyDescent="0.2">
      <c r="B31" s="75"/>
      <c r="C31" s="82"/>
      <c r="D31" s="99" t="s">
        <v>579</v>
      </c>
      <c r="E31" s="87"/>
      <c r="F31" s="89"/>
      <c r="G31" s="54">
        <v>1000000</v>
      </c>
      <c r="H31" s="54"/>
      <c r="I31" s="54"/>
      <c r="J31" s="54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/>
      <c r="X31"/>
      <c r="Y31"/>
      <c r="Z31"/>
      <c r="AA31"/>
      <c r="AB31"/>
      <c r="AC31"/>
      <c r="AD31" s="43"/>
      <c r="AE31" s="43"/>
      <c r="AF31" s="43"/>
      <c r="AG31" s="43"/>
      <c r="AH31"/>
      <c r="AI31"/>
      <c r="AJ31" s="43"/>
      <c r="AK31" s="43"/>
      <c r="AL31" s="43"/>
    </row>
    <row r="32" spans="2:38" s="92" customFormat="1" ht="18" customHeight="1" x14ac:dyDescent="0.2">
      <c r="B32" s="93"/>
      <c r="C32" s="82"/>
      <c r="D32" s="95"/>
      <c r="E32" s="94"/>
      <c r="F32" s="96"/>
      <c r="G32" s="54"/>
      <c r="H32" s="54"/>
      <c r="I32" s="54"/>
      <c r="J32" s="54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/>
      <c r="X32"/>
      <c r="Y32"/>
      <c r="Z32"/>
      <c r="AA32"/>
      <c r="AB32"/>
      <c r="AC32"/>
      <c r="AD32" s="43"/>
      <c r="AE32" s="43"/>
      <c r="AF32" s="43"/>
      <c r="AG32" s="43"/>
      <c r="AH32"/>
      <c r="AI32"/>
      <c r="AJ32" s="43"/>
      <c r="AK32" s="43"/>
      <c r="AL32" s="43"/>
    </row>
    <row r="33" spans="2:38" s="81" customFormat="1" ht="18" customHeight="1" x14ac:dyDescent="0.2">
      <c r="B33" s="75"/>
      <c r="C33" s="82"/>
      <c r="D33" s="99" t="s">
        <v>167</v>
      </c>
      <c r="E33" s="87"/>
      <c r="F33" s="89"/>
      <c r="G33" s="54">
        <v>479000</v>
      </c>
      <c r="H33" s="54">
        <f>H34+H35+H36</f>
        <v>30929.333333333332</v>
      </c>
      <c r="I33" s="54">
        <f>SUM(I34:I36)</f>
        <v>30929.333333333332</v>
      </c>
      <c r="J33" s="54"/>
      <c r="K33" s="100">
        <f t="shared" ref="K33:V33" si="14">SUM(K34:K36)</f>
        <v>7075.333333333333</v>
      </c>
      <c r="L33" s="100">
        <f t="shared" si="14"/>
        <v>1525.3333333333333</v>
      </c>
      <c r="M33" s="100">
        <f t="shared" si="14"/>
        <v>1525.3333333333333</v>
      </c>
      <c r="N33" s="100">
        <f t="shared" si="14"/>
        <v>1525.3333333333333</v>
      </c>
      <c r="O33" s="100">
        <f t="shared" si="14"/>
        <v>1525.3333333333333</v>
      </c>
      <c r="P33" s="100">
        <f t="shared" si="14"/>
        <v>1525.3333333333333</v>
      </c>
      <c r="Q33" s="100">
        <f t="shared" si="14"/>
        <v>7075.333333333333</v>
      </c>
      <c r="R33" s="100">
        <f t="shared" si="14"/>
        <v>1525.3333333333333</v>
      </c>
      <c r="S33" s="100">
        <f t="shared" si="14"/>
        <v>1525.3333333333333</v>
      </c>
      <c r="T33" s="100">
        <f t="shared" si="14"/>
        <v>1525.3333333333333</v>
      </c>
      <c r="U33" s="100">
        <f t="shared" si="14"/>
        <v>1525.3333333333333</v>
      </c>
      <c r="V33" s="100">
        <f t="shared" si="14"/>
        <v>3050.6666666666665</v>
      </c>
      <c r="W33"/>
      <c r="X33"/>
      <c r="Y33"/>
      <c r="Z33"/>
      <c r="AA33"/>
      <c r="AB33"/>
      <c r="AC33"/>
      <c r="AD33" s="43"/>
      <c r="AE33" s="43"/>
      <c r="AF33" s="43"/>
      <c r="AG33" s="43"/>
      <c r="AH33"/>
      <c r="AI33"/>
      <c r="AJ33" s="43"/>
      <c r="AK33" s="43"/>
      <c r="AL33" s="43"/>
    </row>
    <row r="34" spans="2:38" s="81" customFormat="1" ht="15" customHeight="1" x14ac:dyDescent="0.2">
      <c r="B34" s="75"/>
      <c r="C34" s="82"/>
      <c r="D34" s="95" t="s">
        <v>402</v>
      </c>
      <c r="E34" s="82"/>
      <c r="F34" s="83"/>
      <c r="G34" s="54"/>
      <c r="H34" s="54">
        <f>SUM(N34:V34)</f>
        <v>0</v>
      </c>
      <c r="I34" s="54">
        <f>SUM(K34:V34)</f>
        <v>0</v>
      </c>
      <c r="J34" s="54"/>
      <c r="K34" s="381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/>
      <c r="X34"/>
      <c r="Y34"/>
      <c r="Z34"/>
      <c r="AA34"/>
      <c r="AB34"/>
      <c r="AC34"/>
      <c r="AD34" s="43"/>
      <c r="AE34" s="43"/>
      <c r="AF34" s="43"/>
      <c r="AG34" s="43"/>
      <c r="AH34"/>
      <c r="AI34"/>
      <c r="AJ34" s="43"/>
      <c r="AK34" s="43"/>
      <c r="AL34" s="43"/>
    </row>
    <row r="35" spans="2:38" s="81" customFormat="1" ht="17.100000000000001" customHeight="1" x14ac:dyDescent="0.2">
      <c r="B35" s="75"/>
      <c r="C35" s="82"/>
      <c r="D35" s="95" t="s">
        <v>403</v>
      </c>
      <c r="E35" s="82"/>
      <c r="F35" s="83"/>
      <c r="G35" s="54"/>
      <c r="H35" s="54">
        <f>I35+J35</f>
        <v>30929.333333333332</v>
      </c>
      <c r="I35" s="54">
        <f>SUM(K35:V35)</f>
        <v>30929.333333333332</v>
      </c>
      <c r="J35" s="54"/>
      <c r="K35" s="398">
        <f>(57200+57200)/75+1800+2500+750+500</f>
        <v>7075.333333333333</v>
      </c>
      <c r="L35" s="60">
        <f>(57200+57200)/75</f>
        <v>1525.3333333333333</v>
      </c>
      <c r="M35" s="60">
        <f t="shared" ref="M35:U35" si="15">(57200+57200)/75</f>
        <v>1525.3333333333333</v>
      </c>
      <c r="N35" s="60">
        <f t="shared" si="15"/>
        <v>1525.3333333333333</v>
      </c>
      <c r="O35" s="60">
        <f t="shared" si="15"/>
        <v>1525.3333333333333</v>
      </c>
      <c r="P35" s="60">
        <f t="shared" si="15"/>
        <v>1525.3333333333333</v>
      </c>
      <c r="Q35" s="398">
        <f>(57200+57200)/75+1800+2500+750+500</f>
        <v>7075.333333333333</v>
      </c>
      <c r="R35" s="60">
        <f t="shared" si="15"/>
        <v>1525.3333333333333</v>
      </c>
      <c r="S35" s="60">
        <f t="shared" si="15"/>
        <v>1525.3333333333333</v>
      </c>
      <c r="T35" s="60">
        <f t="shared" si="15"/>
        <v>1525.3333333333333</v>
      </c>
      <c r="U35" s="60">
        <f t="shared" si="15"/>
        <v>1525.3333333333333</v>
      </c>
      <c r="V35" s="60">
        <f>2*(57200+57200)/75</f>
        <v>3050.6666666666665</v>
      </c>
      <c r="W35"/>
      <c r="X35"/>
      <c r="Y35"/>
      <c r="Z35"/>
      <c r="AA35"/>
      <c r="AB35"/>
      <c r="AC35"/>
      <c r="AD35" s="43"/>
      <c r="AE35" s="43"/>
      <c r="AF35" s="43"/>
      <c r="AG35" s="43"/>
      <c r="AH35"/>
      <c r="AI35"/>
      <c r="AJ35" s="43"/>
      <c r="AK35" s="43"/>
      <c r="AL35" s="43"/>
    </row>
    <row r="36" spans="2:38" s="81" customFormat="1" ht="13.5" customHeight="1" x14ac:dyDescent="0.2">
      <c r="B36" s="75"/>
      <c r="C36" s="82"/>
      <c r="D36" s="95" t="s">
        <v>404</v>
      </c>
      <c r="E36" s="82"/>
      <c r="F36" s="83"/>
      <c r="G36" s="54"/>
      <c r="H36" s="54">
        <f>SUM(N36:V36)</f>
        <v>0</v>
      </c>
      <c r="I36" s="54">
        <f>SUM(K36:V36)</f>
        <v>0</v>
      </c>
      <c r="J36" s="54"/>
      <c r="K36" s="381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/>
      <c r="X36"/>
      <c r="Y36"/>
      <c r="Z36"/>
      <c r="AA36"/>
      <c r="AB36"/>
      <c r="AC36"/>
      <c r="AD36" s="43"/>
      <c r="AE36" s="43"/>
      <c r="AF36" s="43"/>
      <c r="AG36" s="43"/>
      <c r="AH36" s="43"/>
      <c r="AI36" s="43"/>
      <c r="AJ36" s="43"/>
      <c r="AK36" s="43"/>
      <c r="AL36" s="43"/>
    </row>
    <row r="37" spans="2:38" ht="27" customHeight="1" x14ac:dyDescent="0.2">
      <c r="B37" s="75" t="s">
        <v>184</v>
      </c>
      <c r="C37" s="78">
        <v>4</v>
      </c>
      <c r="D37" s="606" t="s">
        <v>326</v>
      </c>
      <c r="E37" s="607"/>
      <c r="F37" s="101" t="s">
        <v>180</v>
      </c>
      <c r="G37" s="54">
        <v>1</v>
      </c>
      <c r="H37" s="54">
        <f>SUM(K37:V37)</f>
        <v>0</v>
      </c>
      <c r="I37" s="54">
        <f>SUM(K37:V37)</f>
        <v>0</v>
      </c>
      <c r="J37" s="54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</row>
    <row r="38" spans="2:38" s="56" customFormat="1" ht="30" customHeight="1" x14ac:dyDescent="0.2">
      <c r="B38" s="93" t="s">
        <v>185</v>
      </c>
      <c r="C38" s="420">
        <v>4</v>
      </c>
      <c r="D38" s="608" t="s">
        <v>326</v>
      </c>
      <c r="E38" s="609"/>
      <c r="F38" s="393" t="s">
        <v>96</v>
      </c>
      <c r="G38" s="394">
        <v>150000</v>
      </c>
      <c r="H38" s="394">
        <f>SUM(K38:V38)</f>
        <v>150000</v>
      </c>
      <c r="I38" s="394">
        <f>SUM(I39:I41)</f>
        <v>0</v>
      </c>
      <c r="J38" s="394">
        <f>SUM(J39:J41)</f>
        <v>150000</v>
      </c>
      <c r="K38" s="392">
        <f t="shared" ref="K38:V38" si="16">SUM(K39:K41)</f>
        <v>0</v>
      </c>
      <c r="L38" s="392">
        <f t="shared" si="16"/>
        <v>0</v>
      </c>
      <c r="M38" s="392">
        <f t="shared" si="16"/>
        <v>0</v>
      </c>
      <c r="N38" s="392">
        <f>SUM(N39:N41)</f>
        <v>0</v>
      </c>
      <c r="O38" s="392">
        <f>SUM(O39:O41)</f>
        <v>0</v>
      </c>
      <c r="P38" s="392">
        <f>SUM(P39:P41)</f>
        <v>0</v>
      </c>
      <c r="Q38" s="392">
        <f t="shared" si="16"/>
        <v>25000</v>
      </c>
      <c r="R38" s="392">
        <f t="shared" si="16"/>
        <v>25000</v>
      </c>
      <c r="S38" s="392">
        <f t="shared" si="16"/>
        <v>25000</v>
      </c>
      <c r="T38" s="392">
        <f t="shared" si="16"/>
        <v>25000</v>
      </c>
      <c r="U38" s="392">
        <f t="shared" si="16"/>
        <v>25000</v>
      </c>
      <c r="V38" s="392">
        <f t="shared" si="16"/>
        <v>25000</v>
      </c>
      <c r="W38"/>
      <c r="X38"/>
      <c r="Y38"/>
      <c r="Z38"/>
      <c r="AA38"/>
      <c r="AB38"/>
      <c r="AC38"/>
      <c r="AD38" s="43"/>
      <c r="AE38" s="43"/>
      <c r="AF38" s="43"/>
      <c r="AG38" s="43"/>
      <c r="AH38" s="43"/>
      <c r="AI38" s="43"/>
      <c r="AJ38" s="43"/>
      <c r="AK38" s="43"/>
      <c r="AL38" s="43"/>
    </row>
    <row r="39" spans="2:38" x14ac:dyDescent="0.2">
      <c r="B39" s="75"/>
      <c r="C39" s="82"/>
      <c r="D39" s="95" t="s">
        <v>405</v>
      </c>
      <c r="E39" s="82"/>
      <c r="F39" s="83"/>
      <c r="G39" s="54"/>
      <c r="H39" s="54">
        <f>SUM(N39:V39)</f>
        <v>0</v>
      </c>
      <c r="I39" s="54">
        <f>SUM(K39:V39)/2</f>
        <v>0</v>
      </c>
      <c r="J39" s="54">
        <f>SUM(K39:V39)/2</f>
        <v>0</v>
      </c>
      <c r="K39" s="10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</row>
    <row r="40" spans="2:38" x14ac:dyDescent="0.2">
      <c r="B40" s="75"/>
      <c r="C40" s="82"/>
      <c r="D40" s="95" t="s">
        <v>314</v>
      </c>
      <c r="E40" s="82"/>
      <c r="F40" s="83"/>
      <c r="G40" s="54"/>
      <c r="H40" s="54">
        <f>SUM(N40:V40)</f>
        <v>0</v>
      </c>
      <c r="I40" s="54">
        <f>SUM(K40:V40)/2</f>
        <v>0</v>
      </c>
      <c r="J40" s="54">
        <f>SUM(K40:V40)/2</f>
        <v>0</v>
      </c>
      <c r="K40" s="74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</row>
    <row r="41" spans="2:38" x14ac:dyDescent="0.2">
      <c r="B41" s="75"/>
      <c r="C41" s="82"/>
      <c r="D41" s="95" t="s">
        <v>406</v>
      </c>
      <c r="E41" s="82"/>
      <c r="F41" s="83"/>
      <c r="G41" s="54">
        <v>150000</v>
      </c>
      <c r="H41" s="54">
        <f>SUM(K41:V41)</f>
        <v>150000</v>
      </c>
      <c r="I41" s="54"/>
      <c r="J41" s="54">
        <f>SUM(K41:V41)</f>
        <v>150000</v>
      </c>
      <c r="K41" s="85"/>
      <c r="L41" s="85"/>
      <c r="M41" s="85"/>
      <c r="N41" s="85"/>
      <c r="O41" s="85"/>
      <c r="P41" s="85"/>
      <c r="Q41" s="85">
        <f t="shared" ref="Q41:V41" si="17">150000/6</f>
        <v>25000</v>
      </c>
      <c r="R41" s="85">
        <f t="shared" si="17"/>
        <v>25000</v>
      </c>
      <c r="S41" s="85">
        <f t="shared" si="17"/>
        <v>25000</v>
      </c>
      <c r="T41" s="85">
        <f t="shared" si="17"/>
        <v>25000</v>
      </c>
      <c r="U41" s="85">
        <f t="shared" si="17"/>
        <v>25000</v>
      </c>
      <c r="V41" s="85">
        <f t="shared" si="17"/>
        <v>25000</v>
      </c>
    </row>
    <row r="42" spans="2:38" ht="28.5" customHeight="1" x14ac:dyDescent="0.2">
      <c r="B42" s="75" t="s">
        <v>184</v>
      </c>
      <c r="C42" s="78">
        <v>5</v>
      </c>
      <c r="D42" s="610" t="s">
        <v>78</v>
      </c>
      <c r="E42" s="610"/>
      <c r="F42" s="101" t="s">
        <v>181</v>
      </c>
      <c r="G42" s="54">
        <v>1</v>
      </c>
      <c r="H42" s="54">
        <f>SUM(K42:V42)</f>
        <v>1</v>
      </c>
      <c r="I42" s="54">
        <f>SUM(K42:V42)</f>
        <v>1</v>
      </c>
      <c r="J42" s="54"/>
      <c r="K42" s="102"/>
      <c r="L42" s="102"/>
      <c r="M42" s="102"/>
      <c r="N42" s="102"/>
      <c r="O42" s="102"/>
      <c r="P42" s="102"/>
      <c r="Q42" s="102"/>
      <c r="R42" s="102">
        <v>1</v>
      </c>
      <c r="S42" s="102"/>
      <c r="T42" s="102"/>
      <c r="U42" s="102"/>
      <c r="V42" s="102"/>
    </row>
    <row r="43" spans="2:38" ht="27" customHeight="1" x14ac:dyDescent="0.2">
      <c r="B43" s="75" t="s">
        <v>185</v>
      </c>
      <c r="C43" s="78">
        <v>5</v>
      </c>
      <c r="D43" s="605" t="str">
        <f>D42</f>
        <v>Formation conduite sur l’évaluation des pertes et dommages dus aux désastres naturels dans l'agriculture</v>
      </c>
      <c r="E43" s="605"/>
      <c r="F43" s="101" t="s">
        <v>96</v>
      </c>
      <c r="G43" s="54">
        <v>0</v>
      </c>
      <c r="H43" s="54">
        <f>SUM(K43:V43)</f>
        <v>0</v>
      </c>
      <c r="I43" s="54">
        <f>SUM(I44:I44)</f>
        <v>0</v>
      </c>
      <c r="J43" s="54"/>
      <c r="K43" s="102">
        <f t="shared" ref="K43:V43" si="18">SUM(K44:K44)</f>
        <v>0</v>
      </c>
      <c r="L43" s="102">
        <f t="shared" si="18"/>
        <v>0</v>
      </c>
      <c r="M43" s="102">
        <f t="shared" si="18"/>
        <v>0</v>
      </c>
      <c r="N43" s="102">
        <f t="shared" si="18"/>
        <v>0</v>
      </c>
      <c r="O43" s="102">
        <f t="shared" si="18"/>
        <v>0</v>
      </c>
      <c r="P43" s="102">
        <f t="shared" si="18"/>
        <v>0</v>
      </c>
      <c r="Q43" s="102">
        <f t="shared" si="18"/>
        <v>0</v>
      </c>
      <c r="R43" s="102">
        <f t="shared" si="18"/>
        <v>0</v>
      </c>
      <c r="S43" s="102">
        <f t="shared" si="18"/>
        <v>0</v>
      </c>
      <c r="T43" s="102">
        <f t="shared" si="18"/>
        <v>0</v>
      </c>
      <c r="U43" s="102">
        <f t="shared" si="18"/>
        <v>0</v>
      </c>
      <c r="V43" s="102">
        <f t="shared" si="18"/>
        <v>0</v>
      </c>
    </row>
    <row r="44" spans="2:38" s="81" customFormat="1" ht="17.100000000000001" customHeight="1" x14ac:dyDescent="0.2">
      <c r="B44" s="75"/>
      <c r="C44" s="82"/>
      <c r="D44" s="95" t="s">
        <v>98</v>
      </c>
      <c r="E44" s="82"/>
      <c r="F44" s="83"/>
      <c r="G44" s="54"/>
      <c r="H44" s="54">
        <f>SUM(K44:V44)</f>
        <v>0</v>
      </c>
      <c r="I44" s="54">
        <f>SUM(K44:V44)</f>
        <v>0</v>
      </c>
      <c r="J44" s="54"/>
      <c r="K44" s="388"/>
      <c r="L44" s="388"/>
      <c r="M44" s="467"/>
      <c r="N44" s="456"/>
      <c r="O44" s="458"/>
      <c r="P44" s="388"/>
      <c r="Q44" s="388"/>
      <c r="R44" s="388"/>
      <c r="S44" s="85"/>
      <c r="T44" s="85"/>
      <c r="U44" s="85"/>
      <c r="V44" s="85"/>
      <c r="W44"/>
      <c r="X44"/>
      <c r="Y44"/>
      <c r="Z44"/>
      <c r="AA44"/>
      <c r="AB44"/>
      <c r="AC44"/>
      <c r="AD44" s="43"/>
      <c r="AE44" s="43"/>
      <c r="AF44" s="43"/>
      <c r="AG44" s="43"/>
      <c r="AH44" s="43"/>
      <c r="AI44" s="43"/>
      <c r="AJ44" s="43"/>
      <c r="AK44" s="43"/>
      <c r="AL44" s="43"/>
    </row>
    <row r="45" spans="2:38" ht="27.75" customHeight="1" x14ac:dyDescent="0.2">
      <c r="B45" s="75" t="s">
        <v>184</v>
      </c>
      <c r="C45" s="78">
        <v>6</v>
      </c>
      <c r="D45" s="606" t="s">
        <v>99</v>
      </c>
      <c r="E45" s="607"/>
      <c r="F45" s="101" t="s">
        <v>182</v>
      </c>
      <c r="G45" s="54">
        <v>2</v>
      </c>
      <c r="H45" s="54">
        <f>I45</f>
        <v>1</v>
      </c>
      <c r="I45" s="54">
        <f>SUM(K45:V45)</f>
        <v>1</v>
      </c>
      <c r="J45" s="54"/>
      <c r="K45" s="102"/>
      <c r="L45" s="102"/>
      <c r="M45" s="102"/>
      <c r="N45" s="102"/>
      <c r="O45" s="102">
        <v>1</v>
      </c>
      <c r="P45" s="102"/>
      <c r="Q45" s="102"/>
      <c r="R45" s="102"/>
      <c r="S45" s="102"/>
      <c r="T45" s="102"/>
      <c r="U45" s="102"/>
      <c r="V45" s="102"/>
    </row>
    <row r="46" spans="2:38" ht="32.1" customHeight="1" x14ac:dyDescent="0.2">
      <c r="B46" s="75" t="s">
        <v>185</v>
      </c>
      <c r="C46" s="78">
        <v>6</v>
      </c>
      <c r="D46" s="605" t="str">
        <f>D45</f>
        <v>Plan national de contingence dans le secteur agricole en cas d'evenement climatique extreme élaboré  et diffusé</v>
      </c>
      <c r="E46" s="605"/>
      <c r="F46" s="101" t="s">
        <v>96</v>
      </c>
      <c r="G46" s="54">
        <v>100000</v>
      </c>
      <c r="H46" s="54">
        <f t="shared" ref="H46:H51" si="19">SUM(K46:V46)</f>
        <v>0</v>
      </c>
      <c r="I46" s="54">
        <f>H47</f>
        <v>0</v>
      </c>
      <c r="J46" s="54"/>
      <c r="K46" s="102">
        <f t="shared" ref="K46:V46" si="20">SUM(K47:K47)</f>
        <v>0</v>
      </c>
      <c r="L46" s="102">
        <f t="shared" si="20"/>
        <v>0</v>
      </c>
      <c r="M46" s="102">
        <f t="shared" si="20"/>
        <v>0</v>
      </c>
      <c r="N46" s="102">
        <f t="shared" si="20"/>
        <v>0</v>
      </c>
      <c r="O46" s="102">
        <f t="shared" si="20"/>
        <v>0</v>
      </c>
      <c r="P46" s="102">
        <f t="shared" si="20"/>
        <v>0</v>
      </c>
      <c r="Q46" s="102">
        <f t="shared" si="20"/>
        <v>0</v>
      </c>
      <c r="R46" s="102">
        <f t="shared" si="20"/>
        <v>0</v>
      </c>
      <c r="S46" s="102">
        <f t="shared" si="20"/>
        <v>0</v>
      </c>
      <c r="T46" s="102">
        <f t="shared" si="20"/>
        <v>0</v>
      </c>
      <c r="U46" s="102">
        <f t="shared" si="20"/>
        <v>0</v>
      </c>
      <c r="V46" s="102">
        <f t="shared" si="20"/>
        <v>0</v>
      </c>
    </row>
    <row r="47" spans="2:38" s="81" customFormat="1" ht="14.1" customHeight="1" x14ac:dyDescent="0.2">
      <c r="B47" s="75"/>
      <c r="C47" s="82"/>
      <c r="D47" s="95" t="s">
        <v>98</v>
      </c>
      <c r="E47" s="82"/>
      <c r="F47" s="83"/>
      <c r="G47" s="54"/>
      <c r="H47" s="54">
        <f t="shared" si="19"/>
        <v>0</v>
      </c>
      <c r="I47" s="54">
        <f>SUM(K47:V47)</f>
        <v>0</v>
      </c>
      <c r="J47" s="54"/>
      <c r="K47" s="85"/>
      <c r="L47" s="85"/>
      <c r="M47" s="84"/>
      <c r="N47" s="84"/>
      <c r="O47" s="84"/>
      <c r="P47" s="106"/>
      <c r="Q47" s="85"/>
      <c r="R47" s="85"/>
      <c r="S47" s="85"/>
      <c r="T47" s="85"/>
      <c r="U47" s="85"/>
      <c r="V47" s="85"/>
      <c r="W47"/>
      <c r="X47"/>
      <c r="Y47"/>
      <c r="Z47"/>
      <c r="AA47"/>
      <c r="AB47"/>
      <c r="AC47"/>
      <c r="AD47" s="43"/>
      <c r="AE47" s="43"/>
      <c r="AF47" s="43"/>
      <c r="AG47" s="43"/>
      <c r="AH47" s="43"/>
      <c r="AI47" s="43"/>
      <c r="AJ47" s="43"/>
      <c r="AK47" s="43"/>
      <c r="AL47" s="43"/>
    </row>
    <row r="48" spans="2:38" x14ac:dyDescent="0.2">
      <c r="B48" s="75" t="s">
        <v>184</v>
      </c>
      <c r="C48" s="78">
        <v>7</v>
      </c>
      <c r="D48" s="610" t="s">
        <v>83</v>
      </c>
      <c r="E48" s="610"/>
      <c r="F48" s="101" t="s">
        <v>68</v>
      </c>
      <c r="G48" s="54">
        <v>3</v>
      </c>
      <c r="H48" s="54">
        <v>3</v>
      </c>
      <c r="I48" s="54">
        <f t="shared" ref="I48:I61" si="21">H48</f>
        <v>3</v>
      </c>
      <c r="J48" s="54"/>
      <c r="K48" s="102"/>
      <c r="L48" s="102"/>
      <c r="M48" s="102"/>
      <c r="N48" s="102"/>
      <c r="O48" s="102"/>
      <c r="P48" s="102"/>
      <c r="Q48" s="102"/>
      <c r="R48" s="102">
        <v>1</v>
      </c>
      <c r="S48" s="102"/>
      <c r="T48" s="102"/>
      <c r="U48" s="102"/>
      <c r="V48" s="102"/>
    </row>
    <row r="49" spans="2:38" x14ac:dyDescent="0.2">
      <c r="B49" s="75" t="s">
        <v>185</v>
      </c>
      <c r="C49" s="78">
        <v>7</v>
      </c>
      <c r="D49" s="610" t="str">
        <f>D48</f>
        <v>Comités de Gestion de Bassins Versants (CGBV) renforces</v>
      </c>
      <c r="E49" s="610"/>
      <c r="F49" s="101" t="s">
        <v>96</v>
      </c>
      <c r="G49" s="54">
        <v>312000</v>
      </c>
      <c r="H49" s="54">
        <f t="shared" si="19"/>
        <v>283551.42</v>
      </c>
      <c r="I49" s="54">
        <f>SUM(I50:I51)</f>
        <v>283551.42</v>
      </c>
      <c r="J49" s="54"/>
      <c r="K49" s="102">
        <f t="shared" ref="K49:V49" si="22">SUM(K50:K51)</f>
        <v>26355.142</v>
      </c>
      <c r="L49" s="102">
        <f t="shared" si="22"/>
        <v>52710.284</v>
      </c>
      <c r="M49" s="102">
        <f t="shared" si="22"/>
        <v>52710.284</v>
      </c>
      <c r="N49" s="102">
        <f t="shared" si="22"/>
        <v>52710.284</v>
      </c>
      <c r="O49" s="102">
        <f t="shared" si="22"/>
        <v>0</v>
      </c>
      <c r="P49" s="102">
        <f t="shared" si="22"/>
        <v>59532.712999999996</v>
      </c>
      <c r="Q49" s="102">
        <f t="shared" si="22"/>
        <v>39532.712999999996</v>
      </c>
      <c r="R49" s="102">
        <f t="shared" si="22"/>
        <v>0</v>
      </c>
      <c r="S49" s="102">
        <f t="shared" si="22"/>
        <v>0</v>
      </c>
      <c r="T49" s="102">
        <f t="shared" si="22"/>
        <v>0</v>
      </c>
      <c r="U49" s="102">
        <f t="shared" si="22"/>
        <v>0</v>
      </c>
      <c r="V49" s="102">
        <f t="shared" si="22"/>
        <v>0</v>
      </c>
    </row>
    <row r="50" spans="2:38" s="81" customFormat="1" ht="29.1" customHeight="1" x14ac:dyDescent="0.25">
      <c r="B50" s="75"/>
      <c r="C50" s="82"/>
      <c r="D50" s="468" t="s">
        <v>431</v>
      </c>
      <c r="E50" s="82"/>
      <c r="F50" s="83"/>
      <c r="G50" s="54"/>
      <c r="H50" s="54">
        <f t="shared" si="19"/>
        <v>263551.42</v>
      </c>
      <c r="I50" s="54">
        <f>SUM(K50:V50)</f>
        <v>263551.42</v>
      </c>
      <c r="J50" s="54"/>
      <c r="K50" s="470">
        <f>263551.42*0.1</f>
        <v>26355.142</v>
      </c>
      <c r="L50" s="388">
        <f>263551.42*0.2</f>
        <v>52710.284</v>
      </c>
      <c r="M50" s="388">
        <f>263551.42*0.2</f>
        <v>52710.284</v>
      </c>
      <c r="N50" s="388">
        <f>263551.42*0.2</f>
        <v>52710.284</v>
      </c>
      <c r="O50" s="388"/>
      <c r="P50" s="388">
        <f>263551.42*0.15</f>
        <v>39532.712999999996</v>
      </c>
      <c r="Q50" s="388">
        <f>263551.42*0.15</f>
        <v>39532.712999999996</v>
      </c>
      <c r="S50" s="60"/>
      <c r="T50" s="60"/>
      <c r="U50" s="60"/>
      <c r="V50" s="60"/>
      <c r="W50"/>
      <c r="X50"/>
      <c r="Y50"/>
      <c r="Z50"/>
      <c r="AA50"/>
      <c r="AB50"/>
      <c r="AC50"/>
      <c r="AD50" s="43"/>
      <c r="AE50" s="43"/>
      <c r="AF50" s="43"/>
      <c r="AG50" s="43"/>
      <c r="AH50" s="43"/>
      <c r="AI50" s="43"/>
      <c r="AJ50" s="43"/>
      <c r="AK50" s="43"/>
      <c r="AL50" s="43"/>
    </row>
    <row r="51" spans="2:38" s="81" customFormat="1" ht="13.5" customHeight="1" x14ac:dyDescent="0.2">
      <c r="B51" s="75"/>
      <c r="C51" s="82"/>
      <c r="D51" s="95" t="s">
        <v>213</v>
      </c>
      <c r="E51" s="82"/>
      <c r="F51" s="83"/>
      <c r="G51" s="54"/>
      <c r="H51" s="54">
        <f t="shared" si="19"/>
        <v>20000</v>
      </c>
      <c r="I51" s="54">
        <f>SUM(K51:V51)</f>
        <v>20000</v>
      </c>
      <c r="J51" s="54"/>
      <c r="K51" s="60"/>
      <c r="L51" s="60"/>
      <c r="M51" s="60"/>
      <c r="N51" s="60"/>
      <c r="O51" s="60"/>
      <c r="P51" s="60">
        <v>20000</v>
      </c>
      <c r="Q51" s="60"/>
      <c r="R51" s="60"/>
      <c r="S51" s="60"/>
      <c r="T51" s="60"/>
      <c r="U51" s="60"/>
      <c r="V51" s="60"/>
      <c r="W51"/>
      <c r="X51"/>
      <c r="Y51"/>
      <c r="Z51"/>
      <c r="AA51"/>
      <c r="AB51"/>
      <c r="AC51"/>
      <c r="AD51" s="43"/>
      <c r="AE51" s="43"/>
      <c r="AF51" s="43"/>
      <c r="AG51" s="43"/>
      <c r="AH51" s="43"/>
      <c r="AI51" s="43"/>
      <c r="AJ51" s="43"/>
      <c r="AK51" s="43"/>
      <c r="AL51" s="43"/>
    </row>
    <row r="52" spans="2:38" s="65" customFormat="1" x14ac:dyDescent="0.2">
      <c r="B52" s="51" t="str">
        <f>POA!B5</f>
        <v>Composante 2</v>
      </c>
      <c r="C52" s="66"/>
      <c r="D52" s="66"/>
      <c r="E52" s="66"/>
      <c r="F52" s="66"/>
      <c r="G52" s="54">
        <f>G15+G19+G23+G38+G43+G46+G49</f>
        <v>3291000</v>
      </c>
      <c r="H52" s="54">
        <f t="shared" ref="H52:V52" si="23">H54+H63+H75+H85+H119+H121</f>
        <v>9996046.0300019868</v>
      </c>
      <c r="I52" s="54">
        <f t="shared" si="23"/>
        <v>8999851.9987980779</v>
      </c>
      <c r="J52" s="54">
        <f t="shared" si="23"/>
        <v>996194.03120390873</v>
      </c>
      <c r="K52" s="54">
        <f t="shared" si="23"/>
        <v>1602601.9970594319</v>
      </c>
      <c r="L52" s="54">
        <f t="shared" si="23"/>
        <v>318878.39961600082</v>
      </c>
      <c r="M52" s="54">
        <f t="shared" si="23"/>
        <v>624711.7329493342</v>
      </c>
      <c r="N52" s="54">
        <f t="shared" si="23"/>
        <v>296151.7329493342</v>
      </c>
      <c r="O52" s="54">
        <f t="shared" si="23"/>
        <v>2153670.3433894231</v>
      </c>
      <c r="P52" s="54">
        <f t="shared" si="23"/>
        <v>653383.8433894231</v>
      </c>
      <c r="Q52" s="54">
        <f t="shared" si="23"/>
        <v>1727022.3970470538</v>
      </c>
      <c r="R52" s="54">
        <f t="shared" si="23"/>
        <v>409538.65883687948</v>
      </c>
      <c r="S52" s="54">
        <f t="shared" si="23"/>
        <v>409539.65883687948</v>
      </c>
      <c r="T52" s="54">
        <f t="shared" si="23"/>
        <v>375466.65883687948</v>
      </c>
      <c r="U52" s="54">
        <f t="shared" si="23"/>
        <v>29279.843389423077</v>
      </c>
      <c r="V52" s="54">
        <f t="shared" si="23"/>
        <v>1395800.763701923</v>
      </c>
      <c r="W52"/>
      <c r="X52"/>
      <c r="Y52"/>
      <c r="Z52"/>
      <c r="AA52"/>
      <c r="AB52"/>
      <c r="AC52"/>
      <c r="AD52" s="43"/>
      <c r="AE52" s="43"/>
      <c r="AF52" s="43"/>
      <c r="AG52" s="43"/>
      <c r="AH52" s="43"/>
      <c r="AI52" s="43"/>
      <c r="AJ52" s="43"/>
      <c r="AK52" s="43"/>
      <c r="AL52" s="43"/>
    </row>
    <row r="53" spans="2:38" x14ac:dyDescent="0.2">
      <c r="B53" s="75" t="s">
        <v>184</v>
      </c>
      <c r="C53" s="78">
        <v>8</v>
      </c>
      <c r="D53" s="605" t="s">
        <v>328</v>
      </c>
      <c r="E53" s="605"/>
      <c r="F53" s="101" t="s">
        <v>179</v>
      </c>
      <c r="G53" s="54">
        <v>3</v>
      </c>
      <c r="H53" s="54">
        <f>SUM(K53:V53)</f>
        <v>0</v>
      </c>
      <c r="I53" s="54">
        <f t="shared" si="21"/>
        <v>0</v>
      </c>
      <c r="J53" s="54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</row>
    <row r="54" spans="2:38" ht="26.25" customHeight="1" x14ac:dyDescent="0.2">
      <c r="B54" s="75" t="s">
        <v>185</v>
      </c>
      <c r="C54" s="78">
        <v>8</v>
      </c>
      <c r="D54" s="605" t="str">
        <f>D53</f>
        <v>Systèmes communautaires d'alerte précoce aux inondations développés</v>
      </c>
      <c r="E54" s="605"/>
      <c r="F54" s="101" t="s">
        <v>96</v>
      </c>
      <c r="G54" s="54">
        <v>1500000</v>
      </c>
      <c r="H54" s="54">
        <f>SUM(K54:V54)</f>
        <v>0</v>
      </c>
      <c r="I54" s="54">
        <f t="shared" si="21"/>
        <v>0</v>
      </c>
      <c r="J54" s="54"/>
      <c r="K54" s="102">
        <f t="shared" ref="K54:V54" si="24">SUM(K55:K61)</f>
        <v>0</v>
      </c>
      <c r="L54" s="102">
        <f>SUM(L55:L61)</f>
        <v>0</v>
      </c>
      <c r="M54" s="102">
        <f>SUM(M55:M61)</f>
        <v>0</v>
      </c>
      <c r="N54" s="102">
        <f t="shared" si="24"/>
        <v>0</v>
      </c>
      <c r="O54" s="102">
        <f t="shared" si="24"/>
        <v>0</v>
      </c>
      <c r="P54" s="102">
        <f t="shared" si="24"/>
        <v>0</v>
      </c>
      <c r="Q54" s="102">
        <f t="shared" si="24"/>
        <v>0</v>
      </c>
      <c r="R54" s="102">
        <f t="shared" si="24"/>
        <v>0</v>
      </c>
      <c r="S54" s="102">
        <f t="shared" si="24"/>
        <v>0</v>
      </c>
      <c r="T54" s="102">
        <f t="shared" si="24"/>
        <v>0</v>
      </c>
      <c r="U54" s="102">
        <f t="shared" si="24"/>
        <v>0</v>
      </c>
      <c r="V54" s="102">
        <f t="shared" si="24"/>
        <v>0</v>
      </c>
    </row>
    <row r="55" spans="2:38" s="81" customFormat="1" x14ac:dyDescent="0.2">
      <c r="B55" s="75"/>
      <c r="C55" s="82"/>
      <c r="D55" s="95" t="s">
        <v>177</v>
      </c>
      <c r="E55" s="82"/>
      <c r="F55" s="83"/>
      <c r="G55" s="54"/>
      <c r="H55" s="54">
        <f>SUM(K55:V55)</f>
        <v>0</v>
      </c>
      <c r="I55" s="54">
        <f t="shared" si="21"/>
        <v>0</v>
      </c>
      <c r="J55" s="54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/>
      <c r="X55"/>
      <c r="Y55"/>
      <c r="Z55"/>
      <c r="AA55"/>
      <c r="AB55"/>
      <c r="AC55"/>
      <c r="AD55" s="43"/>
      <c r="AE55" s="43"/>
      <c r="AF55" s="43"/>
      <c r="AG55" s="43"/>
      <c r="AH55" s="43"/>
      <c r="AI55" s="43"/>
      <c r="AJ55" s="43"/>
      <c r="AK55" s="43"/>
      <c r="AL55" s="43"/>
    </row>
    <row r="56" spans="2:38" s="81" customFormat="1" x14ac:dyDescent="0.2">
      <c r="B56" s="75"/>
      <c r="C56" s="82"/>
      <c r="D56" s="95" t="s">
        <v>407</v>
      </c>
      <c r="E56" s="82"/>
      <c r="F56" s="83"/>
      <c r="G56" s="54"/>
      <c r="H56" s="54">
        <f>SUM(K56:V56)</f>
        <v>0</v>
      </c>
      <c r="I56" s="54">
        <f t="shared" si="21"/>
        <v>0</v>
      </c>
      <c r="J56" s="54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/>
      <c r="X56"/>
      <c r="Y56"/>
      <c r="Z56"/>
      <c r="AA56"/>
      <c r="AB56"/>
      <c r="AC56"/>
      <c r="AD56" s="43"/>
      <c r="AE56" s="43"/>
      <c r="AF56" s="43"/>
      <c r="AG56" s="43"/>
      <c r="AH56" s="43"/>
      <c r="AI56" s="43"/>
      <c r="AJ56" s="43"/>
      <c r="AK56" s="43"/>
      <c r="AL56" s="43"/>
    </row>
    <row r="57" spans="2:38" s="81" customFormat="1" x14ac:dyDescent="0.2">
      <c r="B57" s="75"/>
      <c r="C57" s="82"/>
      <c r="D57" s="95" t="s">
        <v>174</v>
      </c>
      <c r="E57" s="82"/>
      <c r="F57" s="83"/>
      <c r="G57" s="54"/>
      <c r="H57" s="54">
        <f>SUM(N57:V57)</f>
        <v>0</v>
      </c>
      <c r="I57" s="54">
        <f t="shared" si="21"/>
        <v>0</v>
      </c>
      <c r="J57" s="54"/>
      <c r="K57" s="381"/>
      <c r="L57" s="381"/>
      <c r="M57" s="381"/>
      <c r="N57" s="60"/>
      <c r="O57" s="60"/>
      <c r="P57" s="60"/>
      <c r="Q57" s="60"/>
      <c r="R57" s="60"/>
      <c r="S57" s="60"/>
      <c r="T57" s="60"/>
      <c r="U57" s="60"/>
      <c r="V57" s="60"/>
      <c r="W57"/>
      <c r="X57"/>
      <c r="Y57"/>
      <c r="Z57"/>
      <c r="AA57"/>
      <c r="AB57"/>
      <c r="AC57"/>
      <c r="AD57" s="43"/>
      <c r="AE57" s="43"/>
      <c r="AF57" s="43"/>
      <c r="AG57" s="43"/>
      <c r="AH57" s="43"/>
      <c r="AI57" s="43"/>
      <c r="AJ57" s="43"/>
      <c r="AK57" s="43"/>
      <c r="AL57" s="43"/>
    </row>
    <row r="58" spans="2:38" s="81" customFormat="1" x14ac:dyDescent="0.2">
      <c r="B58" s="75"/>
      <c r="C58" s="82"/>
      <c r="D58" s="95" t="s">
        <v>408</v>
      </c>
      <c r="E58" s="82"/>
      <c r="F58" s="83"/>
      <c r="G58" s="54"/>
      <c r="H58" s="54">
        <f>SUM(N58:V58)</f>
        <v>0</v>
      </c>
      <c r="I58" s="54">
        <f t="shared" si="21"/>
        <v>0</v>
      </c>
      <c r="J58" s="54"/>
      <c r="K58" s="381"/>
      <c r="L58" s="381"/>
      <c r="M58" s="381"/>
      <c r="N58" s="60"/>
      <c r="O58" s="60"/>
      <c r="P58" s="60"/>
      <c r="Q58" s="60"/>
      <c r="R58" s="60"/>
      <c r="S58" s="60"/>
      <c r="T58" s="60"/>
      <c r="U58" s="60"/>
      <c r="V58" s="60"/>
      <c r="W58"/>
      <c r="X58"/>
      <c r="Y58"/>
      <c r="Z58"/>
      <c r="AA58"/>
      <c r="AB58"/>
      <c r="AC58"/>
      <c r="AD58" s="43"/>
      <c r="AE58" s="43"/>
      <c r="AF58" s="43"/>
      <c r="AG58" s="43"/>
      <c r="AH58" s="43"/>
      <c r="AI58" s="43"/>
      <c r="AJ58" s="43"/>
      <c r="AK58" s="43"/>
      <c r="AL58" s="43"/>
    </row>
    <row r="59" spans="2:38" s="81" customFormat="1" x14ac:dyDescent="0.2">
      <c r="B59" s="75"/>
      <c r="C59" s="82"/>
      <c r="D59" s="95" t="s">
        <v>175</v>
      </c>
      <c r="E59" s="82"/>
      <c r="F59" s="83"/>
      <c r="G59" s="54"/>
      <c r="H59" s="54">
        <f>SUM(K59:V59)</f>
        <v>0</v>
      </c>
      <c r="I59" s="54">
        <f t="shared" si="21"/>
        <v>0</v>
      </c>
      <c r="J59" s="54"/>
      <c r="K59" s="60"/>
      <c r="L59" s="60"/>
      <c r="M59" s="381"/>
      <c r="N59" s="381"/>
      <c r="O59" s="381"/>
      <c r="P59" s="60"/>
      <c r="Q59" s="60"/>
      <c r="R59" s="60"/>
      <c r="S59" s="60"/>
      <c r="T59" s="60"/>
      <c r="U59" s="60"/>
      <c r="V59" s="60"/>
      <c r="W59"/>
      <c r="X59"/>
      <c r="Y59"/>
      <c r="Z59"/>
      <c r="AA59"/>
      <c r="AB59"/>
      <c r="AC59"/>
      <c r="AD59" s="43"/>
      <c r="AE59" s="43"/>
      <c r="AF59" s="43"/>
      <c r="AG59" s="43"/>
      <c r="AH59" s="43"/>
      <c r="AI59" s="43"/>
      <c r="AJ59" s="43"/>
      <c r="AK59" s="43"/>
      <c r="AL59" s="43"/>
    </row>
    <row r="60" spans="2:38" s="81" customFormat="1" x14ac:dyDescent="0.2">
      <c r="B60" s="75"/>
      <c r="C60" s="82"/>
      <c r="D60" s="95" t="s">
        <v>165</v>
      </c>
      <c r="E60" s="82"/>
      <c r="F60" s="83"/>
      <c r="G60" s="54"/>
      <c r="H60" s="54">
        <f>SUM(K60:V60)</f>
        <v>0</v>
      </c>
      <c r="I60" s="54">
        <f t="shared" si="21"/>
        <v>0</v>
      </c>
      <c r="J60" s="54"/>
      <c r="K60" s="60"/>
      <c r="L60" s="60"/>
      <c r="M60" s="384"/>
      <c r="N60" s="384"/>
      <c r="O60" s="384"/>
      <c r="P60" s="114"/>
      <c r="Q60" s="114"/>
      <c r="R60" s="114"/>
      <c r="S60" s="114"/>
      <c r="T60" s="114"/>
      <c r="U60" s="114"/>
      <c r="V60" s="114"/>
      <c r="W60"/>
      <c r="X60"/>
      <c r="Y60"/>
      <c r="Z60"/>
      <c r="AA60"/>
      <c r="AB60"/>
      <c r="AC60"/>
      <c r="AD60" s="43"/>
      <c r="AE60" s="43"/>
      <c r="AF60" s="43"/>
      <c r="AG60" s="43"/>
      <c r="AH60" s="43"/>
      <c r="AI60" s="43"/>
      <c r="AJ60" s="43"/>
      <c r="AK60" s="43"/>
      <c r="AL60" s="43"/>
    </row>
    <row r="61" spans="2:38" s="81" customFormat="1" x14ac:dyDescent="0.25">
      <c r="B61" s="75"/>
      <c r="C61" s="82"/>
      <c r="D61" s="95" t="s">
        <v>176</v>
      </c>
      <c r="E61" s="82"/>
      <c r="F61" s="83"/>
      <c r="G61" s="54"/>
      <c r="H61" s="54">
        <f>SUM(K61:V61)</f>
        <v>0</v>
      </c>
      <c r="I61" s="54">
        <f t="shared" si="21"/>
        <v>0</v>
      </c>
      <c r="J61" s="54"/>
      <c r="K61" s="322"/>
      <c r="L61" s="322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/>
      <c r="X61"/>
      <c r="Y61"/>
      <c r="Z61"/>
      <c r="AA61"/>
      <c r="AB61"/>
      <c r="AC61"/>
      <c r="AD61" s="43"/>
      <c r="AE61" s="43"/>
      <c r="AF61" s="43"/>
      <c r="AG61" s="43"/>
      <c r="AH61" s="43"/>
      <c r="AI61" s="43"/>
      <c r="AJ61" s="43"/>
      <c r="AK61" s="43"/>
      <c r="AL61" s="43"/>
    </row>
    <row r="62" spans="2:38" ht="29.25" customHeight="1" x14ac:dyDescent="0.2">
      <c r="B62" s="75" t="s">
        <v>184</v>
      </c>
      <c r="C62" s="78">
        <v>9</v>
      </c>
      <c r="D62" s="610" t="s">
        <v>308</v>
      </c>
      <c r="E62" s="610"/>
      <c r="F62" s="101" t="s">
        <v>183</v>
      </c>
      <c r="G62" s="54">
        <f>'Detail ouvrages amont'!AE11-'Detail ouvrages amont'!AE7</f>
        <v>4032.7304892484435</v>
      </c>
      <c r="H62" s="112">
        <f>I62</f>
        <v>492</v>
      </c>
      <c r="I62" s="112">
        <f>SUM(K62:V62)</f>
        <v>492</v>
      </c>
      <c r="J62" s="54"/>
      <c r="K62" s="102"/>
      <c r="L62" s="102"/>
      <c r="M62" s="102"/>
      <c r="N62" s="102"/>
      <c r="O62" s="102"/>
      <c r="P62" s="102"/>
      <c r="Q62" s="102"/>
      <c r="R62" s="102">
        <f>170+18+304</f>
        <v>492</v>
      </c>
      <c r="S62" s="102"/>
      <c r="T62" s="102"/>
      <c r="U62" s="102"/>
      <c r="V62" s="102"/>
    </row>
    <row r="63" spans="2:38" ht="41.1" customHeight="1" x14ac:dyDescent="0.25">
      <c r="B63" s="75" t="s">
        <v>185</v>
      </c>
      <c r="C63" s="78">
        <v>9</v>
      </c>
      <c r="D63" s="610" t="s">
        <v>308</v>
      </c>
      <c r="E63" s="610"/>
      <c r="F63" s="101" t="s">
        <v>96</v>
      </c>
      <c r="G63" s="54">
        <f>4170000</f>
        <v>4170000</v>
      </c>
      <c r="H63" s="54">
        <f>I63</f>
        <v>117360.46153846156</v>
      </c>
      <c r="I63" s="395">
        <f>SUM(K63:V63)</f>
        <v>117360.46153846156</v>
      </c>
      <c r="J63" s="54"/>
      <c r="K63" s="102">
        <f t="shared" ref="K63:V63" si="25">SUM(K64:K73)</f>
        <v>1261.5384615384614</v>
      </c>
      <c r="L63" s="102">
        <f t="shared" si="25"/>
        <v>1261.5384615384614</v>
      </c>
      <c r="M63" s="102">
        <f t="shared" si="25"/>
        <v>1261.5384615384614</v>
      </c>
      <c r="N63" s="102">
        <f t="shared" si="25"/>
        <v>1261.5384615384614</v>
      </c>
      <c r="O63" s="102">
        <f t="shared" si="25"/>
        <v>1261.5384615384614</v>
      </c>
      <c r="P63" s="102">
        <f t="shared" si="25"/>
        <v>1261.5384615384614</v>
      </c>
      <c r="Q63" s="102">
        <f t="shared" si="25"/>
        <v>35335.538461538461</v>
      </c>
      <c r="R63" s="102">
        <f t="shared" si="25"/>
        <v>35335.538461538461</v>
      </c>
      <c r="S63" s="102">
        <f t="shared" si="25"/>
        <v>35335.538461538461</v>
      </c>
      <c r="T63" s="102">
        <f t="shared" si="25"/>
        <v>1261.5384615384614</v>
      </c>
      <c r="U63" s="102">
        <f t="shared" si="25"/>
        <v>1261.5384615384614</v>
      </c>
      <c r="V63" s="102">
        <f t="shared" si="25"/>
        <v>1261.5384615384614</v>
      </c>
    </row>
    <row r="64" spans="2:38" ht="15.75" x14ac:dyDescent="0.25">
      <c r="B64" s="75"/>
      <c r="C64" s="82"/>
      <c r="D64" s="95" t="s">
        <v>409</v>
      </c>
      <c r="E64" s="82"/>
      <c r="F64" s="83"/>
      <c r="G64" s="54"/>
      <c r="H64" s="54">
        <f>I64</f>
        <v>0</v>
      </c>
      <c r="I64" s="395">
        <f>SUM(K64:V64)</f>
        <v>0</v>
      </c>
      <c r="J64" s="54"/>
      <c r="K64" s="388"/>
      <c r="L64" s="455"/>
      <c r="M64" s="455"/>
      <c r="N64" s="455"/>
      <c r="O64" s="60"/>
      <c r="P64" s="60"/>
      <c r="Q64" s="455"/>
      <c r="R64" s="455"/>
      <c r="S64" s="455"/>
      <c r="T64" s="455"/>
      <c r="U64" s="455"/>
      <c r="V64" s="455"/>
    </row>
    <row r="65" spans="1:254" ht="15.75" x14ac:dyDescent="0.25">
      <c r="B65" s="75"/>
      <c r="C65" s="82"/>
      <c r="D65" s="95" t="s">
        <v>410</v>
      </c>
      <c r="E65" s="82"/>
      <c r="F65" s="83"/>
      <c r="G65" s="54"/>
      <c r="H65" s="54">
        <f>I65</f>
        <v>0</v>
      </c>
      <c r="I65" s="395">
        <f>SUM(K65:V65)</f>
        <v>0</v>
      </c>
      <c r="J65" s="54"/>
      <c r="K65" s="456"/>
      <c r="L65" s="455"/>
      <c r="M65" s="455"/>
      <c r="N65" s="455"/>
      <c r="O65" s="60"/>
      <c r="P65" s="60"/>
      <c r="Q65" s="455"/>
      <c r="R65" s="455"/>
      <c r="S65" s="455"/>
      <c r="T65" s="455"/>
      <c r="U65" s="455"/>
      <c r="V65" s="455"/>
      <c r="AE65" s="471" t="s">
        <v>450</v>
      </c>
      <c r="AF65" s="471" t="s">
        <v>451</v>
      </c>
    </row>
    <row r="66" spans="1:254" ht="15.75" x14ac:dyDescent="0.25">
      <c r="B66" s="75"/>
      <c r="C66" s="82"/>
      <c r="D66" s="95" t="s">
        <v>423</v>
      </c>
      <c r="E66" s="82"/>
      <c r="F66" s="83"/>
      <c r="G66" s="54"/>
      <c r="H66" s="54">
        <f t="shared" ref="H66:H73" si="26">I66</f>
        <v>102222</v>
      </c>
      <c r="I66" s="395">
        <f t="shared" ref="I66:I73" si="27">SUM(K66:V66)</f>
        <v>102222</v>
      </c>
      <c r="J66" s="54"/>
      <c r="K66" s="388"/>
      <c r="L66" s="388"/>
      <c r="M66" s="388"/>
      <c r="N66" s="388"/>
      <c r="O66" s="60"/>
      <c r="P66" s="60"/>
      <c r="Q66" s="388">
        <f>+(290370-120000)/5</f>
        <v>34074</v>
      </c>
      <c r="R66" s="388">
        <f>Q66</f>
        <v>34074</v>
      </c>
      <c r="S66" s="388">
        <f>Q66</f>
        <v>34074</v>
      </c>
      <c r="T66" s="455"/>
      <c r="U66" s="455"/>
      <c r="V66" s="455"/>
      <c r="AE66" s="111" t="s">
        <v>452</v>
      </c>
      <c r="AF66" s="111">
        <v>120000</v>
      </c>
    </row>
    <row r="67" spans="1:254" ht="15.75" x14ac:dyDescent="0.25">
      <c r="A67" s="38"/>
      <c r="B67" s="75"/>
      <c r="C67" s="82"/>
      <c r="D67" s="95" t="s">
        <v>420</v>
      </c>
      <c r="E67" s="82"/>
      <c r="F67" s="83"/>
      <c r="G67" s="54"/>
      <c r="H67" s="54">
        <f t="shared" si="26"/>
        <v>0</v>
      </c>
      <c r="I67" s="395">
        <f t="shared" si="27"/>
        <v>0</v>
      </c>
      <c r="J67" s="54"/>
      <c r="K67" s="388"/>
      <c r="L67" s="456"/>
      <c r="M67" s="388"/>
      <c r="N67" s="388"/>
      <c r="O67" s="60"/>
      <c r="P67" s="60"/>
      <c r="Q67" s="388">
        <f>K67</f>
        <v>0</v>
      </c>
      <c r="R67" s="388"/>
      <c r="S67" s="388">
        <f>Q67</f>
        <v>0</v>
      </c>
      <c r="T67" s="455"/>
      <c r="U67" s="455"/>
      <c r="V67" s="455"/>
      <c r="AE67" s="111" t="s">
        <v>383</v>
      </c>
      <c r="AF67" s="111">
        <v>120000</v>
      </c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38"/>
      <c r="BO67" s="38"/>
      <c r="BP67" s="38"/>
      <c r="BQ67" s="38"/>
      <c r="BR67" s="38"/>
      <c r="BS67" s="38"/>
      <c r="BT67" s="38"/>
      <c r="BU67" s="38"/>
      <c r="BV67" s="38"/>
      <c r="BW67" s="38"/>
      <c r="BX67" s="38"/>
      <c r="BY67" s="38"/>
      <c r="BZ67" s="38"/>
      <c r="CA67" s="38"/>
      <c r="CB67" s="38"/>
      <c r="CC67" s="38"/>
      <c r="CD67" s="38"/>
      <c r="CE67" s="38"/>
      <c r="CF67" s="38"/>
      <c r="CG67" s="38"/>
      <c r="CH67" s="38"/>
      <c r="CI67" s="38"/>
      <c r="CJ67" s="38"/>
      <c r="CK67" s="38"/>
      <c r="CL67" s="38"/>
      <c r="CM67" s="38"/>
      <c r="CN67" s="38"/>
      <c r="CO67" s="38"/>
      <c r="CP67" s="38"/>
      <c r="CQ67" s="38"/>
      <c r="CR67" s="38"/>
      <c r="CS67" s="38"/>
      <c r="CT67" s="38"/>
      <c r="CU67" s="38"/>
      <c r="CV67" s="38"/>
      <c r="CW67" s="38"/>
      <c r="CX67" s="38"/>
      <c r="CY67" s="38"/>
      <c r="CZ67" s="38"/>
      <c r="DA67" s="38"/>
      <c r="DB67" s="38"/>
      <c r="DC67" s="38"/>
      <c r="DD67" s="38"/>
      <c r="DE67" s="38"/>
      <c r="DF67" s="38"/>
      <c r="DG67" s="38"/>
      <c r="DH67" s="38"/>
      <c r="DI67" s="38"/>
      <c r="DJ67" s="38"/>
      <c r="DK67" s="38"/>
      <c r="DL67" s="38"/>
      <c r="DM67" s="38"/>
      <c r="DN67" s="38"/>
      <c r="DO67" s="38"/>
      <c r="DP67" s="38"/>
      <c r="DQ67" s="38"/>
      <c r="DR67" s="38"/>
      <c r="DS67" s="38"/>
      <c r="DT67" s="38"/>
      <c r="DU67" s="38"/>
      <c r="DV67" s="38"/>
      <c r="DW67" s="38"/>
      <c r="DX67" s="38"/>
      <c r="DY67" s="38"/>
      <c r="DZ67" s="38"/>
      <c r="EA67" s="38"/>
      <c r="EB67" s="38"/>
      <c r="EC67" s="38"/>
      <c r="ED67" s="38"/>
      <c r="EE67" s="38"/>
      <c r="EF67" s="38"/>
      <c r="EG67" s="38"/>
      <c r="EH67" s="38"/>
      <c r="EI67" s="38"/>
      <c r="EJ67" s="38"/>
      <c r="EK67" s="38"/>
      <c r="EL67" s="38"/>
      <c r="EM67" s="38"/>
      <c r="EN67" s="38"/>
      <c r="EO67" s="38"/>
      <c r="EP67" s="38"/>
      <c r="EQ67" s="38"/>
      <c r="ER67" s="38"/>
      <c r="ES67" s="38"/>
      <c r="ET67" s="38"/>
      <c r="EU67" s="38"/>
      <c r="EV67" s="38"/>
      <c r="EW67" s="38"/>
      <c r="EX67" s="38"/>
      <c r="EY67" s="38"/>
      <c r="EZ67" s="38"/>
      <c r="FA67" s="38"/>
      <c r="FB67" s="38"/>
      <c r="FC67" s="38"/>
      <c r="FD67" s="38"/>
      <c r="FE67" s="38"/>
      <c r="FF67" s="38"/>
      <c r="FG67" s="38"/>
      <c r="FH67" s="38"/>
      <c r="FI67" s="38"/>
      <c r="FJ67" s="38"/>
      <c r="FK67" s="38"/>
      <c r="FL67" s="38"/>
      <c r="FM67" s="38"/>
      <c r="FN67" s="38"/>
      <c r="FO67" s="38"/>
      <c r="FP67" s="38"/>
      <c r="FQ67" s="38"/>
      <c r="FR67" s="38"/>
      <c r="FS67" s="38"/>
      <c r="FT67" s="38"/>
      <c r="FU67" s="38"/>
      <c r="FV67" s="38"/>
      <c r="FW67" s="38"/>
      <c r="FX67" s="38"/>
      <c r="FY67" s="38"/>
      <c r="FZ67" s="38"/>
      <c r="GA67" s="38"/>
      <c r="GB67" s="38"/>
      <c r="GC67" s="38"/>
      <c r="GD67" s="38"/>
      <c r="GE67" s="38"/>
      <c r="GF67" s="38"/>
      <c r="GG67" s="38"/>
      <c r="GH67" s="38"/>
      <c r="GI67" s="38"/>
      <c r="GJ67" s="38"/>
      <c r="GK67" s="38"/>
      <c r="GL67" s="38"/>
      <c r="GM67" s="38"/>
      <c r="GN67" s="38"/>
      <c r="GO67" s="38"/>
      <c r="GP67" s="38"/>
      <c r="GQ67" s="38"/>
      <c r="GR67" s="38"/>
      <c r="GS67" s="38"/>
      <c r="GT67" s="38"/>
      <c r="GU67" s="38"/>
      <c r="GV67" s="38"/>
      <c r="GW67" s="38"/>
      <c r="GX67" s="38"/>
      <c r="GY67" s="38"/>
      <c r="GZ67" s="38"/>
      <c r="HA67" s="38"/>
      <c r="HB67" s="38"/>
      <c r="HC67" s="38"/>
      <c r="HD67" s="38"/>
      <c r="HE67" s="38"/>
      <c r="HF67" s="38"/>
      <c r="HG67" s="38"/>
      <c r="HH67" s="38"/>
      <c r="HI67" s="38"/>
      <c r="HJ67" s="38"/>
      <c r="HK67" s="38"/>
      <c r="HL67" s="38"/>
      <c r="HM67" s="38"/>
      <c r="HN67" s="38"/>
      <c r="HO67" s="38"/>
      <c r="HP67" s="38"/>
      <c r="HQ67" s="38"/>
      <c r="HR67" s="38"/>
      <c r="HS67" s="38"/>
      <c r="HT67" s="38"/>
      <c r="HU67" s="38"/>
      <c r="HV67" s="38"/>
      <c r="HW67" s="38"/>
      <c r="HX67" s="38"/>
      <c r="HY67" s="38"/>
      <c r="HZ67" s="38"/>
      <c r="IA67" s="38"/>
      <c r="IB67" s="38"/>
      <c r="IC67" s="38"/>
      <c r="ID67" s="38"/>
      <c r="IE67" s="38"/>
      <c r="IF67" s="38"/>
      <c r="IG67" s="38"/>
      <c r="IH67" s="38"/>
      <c r="II67" s="38"/>
      <c r="IJ67" s="38"/>
      <c r="IK67" s="38"/>
      <c r="IL67" s="38"/>
      <c r="IM67" s="38"/>
      <c r="IN67" s="38"/>
      <c r="IO67" s="38"/>
      <c r="IP67" s="38"/>
      <c r="IQ67" s="38"/>
      <c r="IR67" s="38"/>
      <c r="IS67" s="38"/>
      <c r="IT67" s="38"/>
    </row>
    <row r="68" spans="1:254" ht="15.75" x14ac:dyDescent="0.25">
      <c r="A68" s="38"/>
      <c r="B68" s="75"/>
      <c r="C68" s="82"/>
      <c r="D68" s="95" t="s">
        <v>421</v>
      </c>
      <c r="E68" s="82"/>
      <c r="F68" s="83"/>
      <c r="G68" s="54"/>
      <c r="H68" s="54"/>
      <c r="I68" s="395">
        <f t="shared" si="27"/>
        <v>0</v>
      </c>
      <c r="J68" s="54"/>
      <c r="K68" s="388"/>
      <c r="L68" s="456"/>
      <c r="M68" s="388"/>
      <c r="N68" s="388"/>
      <c r="O68" s="60"/>
      <c r="P68" s="60"/>
      <c r="Q68" s="388">
        <f>K68/3</f>
        <v>0</v>
      </c>
      <c r="R68" s="388">
        <f>Q68</f>
        <v>0</v>
      </c>
      <c r="S68" s="388">
        <f>Q68</f>
        <v>0</v>
      </c>
      <c r="T68" s="455"/>
      <c r="U68" s="455"/>
      <c r="V68" s="455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38"/>
      <c r="BR68" s="38"/>
      <c r="BS68" s="38"/>
      <c r="BT68" s="38"/>
      <c r="BU68" s="38"/>
      <c r="BV68" s="38"/>
      <c r="BW68" s="38"/>
      <c r="BX68" s="38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  <c r="CV68" s="38"/>
      <c r="CW68" s="38"/>
      <c r="CX68" s="38"/>
      <c r="CY68" s="38"/>
      <c r="CZ68" s="38"/>
      <c r="DA68" s="38"/>
      <c r="DB68" s="38"/>
      <c r="DC68" s="38"/>
      <c r="DD68" s="38"/>
      <c r="DE68" s="38"/>
      <c r="DF68" s="38"/>
      <c r="DG68" s="38"/>
      <c r="DH68" s="38"/>
      <c r="DI68" s="38"/>
      <c r="DJ68" s="38"/>
      <c r="DK68" s="38"/>
      <c r="DL68" s="38"/>
      <c r="DM68" s="38"/>
      <c r="DN68" s="38"/>
      <c r="DO68" s="38"/>
      <c r="DP68" s="38"/>
      <c r="DQ68" s="38"/>
      <c r="DR68" s="38"/>
      <c r="DS68" s="38"/>
      <c r="DT68" s="38"/>
      <c r="DU68" s="38"/>
      <c r="DV68" s="38"/>
      <c r="DW68" s="38"/>
      <c r="DX68" s="38"/>
      <c r="DY68" s="38"/>
      <c r="DZ68" s="38"/>
      <c r="EA68" s="38"/>
      <c r="EB68" s="38"/>
      <c r="EC68" s="38"/>
      <c r="ED68" s="38"/>
      <c r="EE68" s="38"/>
      <c r="EF68" s="38"/>
      <c r="EG68" s="38"/>
      <c r="EH68" s="38"/>
      <c r="EI68" s="38"/>
      <c r="EJ68" s="38"/>
      <c r="EK68" s="38"/>
      <c r="EL68" s="38"/>
      <c r="EM68" s="38"/>
      <c r="EN68" s="38"/>
      <c r="EO68" s="38"/>
      <c r="EP68" s="38"/>
      <c r="EQ68" s="38"/>
      <c r="ER68" s="38"/>
      <c r="ES68" s="38"/>
      <c r="ET68" s="38"/>
      <c r="EU68" s="38"/>
      <c r="EV68" s="38"/>
      <c r="EW68" s="38"/>
      <c r="EX68" s="38"/>
      <c r="EY68" s="38"/>
      <c r="EZ68" s="38"/>
      <c r="FA68" s="38"/>
      <c r="FB68" s="38"/>
      <c r="FC68" s="38"/>
      <c r="FD68" s="38"/>
      <c r="FE68" s="38"/>
      <c r="FF68" s="38"/>
      <c r="FG68" s="38"/>
      <c r="FH68" s="38"/>
      <c r="FI68" s="38"/>
      <c r="FJ68" s="38"/>
      <c r="FK68" s="38"/>
      <c r="FL68" s="38"/>
      <c r="FM68" s="38"/>
      <c r="FN68" s="38"/>
      <c r="FO68" s="38"/>
      <c r="FP68" s="38"/>
      <c r="FQ68" s="38"/>
      <c r="FR68" s="38"/>
      <c r="FS68" s="38"/>
      <c r="FT68" s="38"/>
      <c r="FU68" s="38"/>
      <c r="FV68" s="38"/>
      <c r="FW68" s="38"/>
      <c r="FX68" s="38"/>
      <c r="FY68" s="38"/>
      <c r="FZ68" s="38"/>
      <c r="GA68" s="38"/>
      <c r="GB68" s="38"/>
      <c r="GC68" s="38"/>
      <c r="GD68" s="38"/>
      <c r="GE68" s="38"/>
      <c r="GF68" s="38"/>
      <c r="GG68" s="38"/>
      <c r="GH68" s="38"/>
      <c r="GI68" s="38"/>
      <c r="GJ68" s="38"/>
      <c r="GK68" s="38"/>
      <c r="GL68" s="38"/>
      <c r="GM68" s="38"/>
      <c r="GN68" s="38"/>
      <c r="GO68" s="38"/>
      <c r="GP68" s="38"/>
      <c r="GQ68" s="38"/>
      <c r="GR68" s="38"/>
      <c r="GS68" s="38"/>
      <c r="GT68" s="38"/>
      <c r="GU68" s="38"/>
      <c r="GV68" s="38"/>
      <c r="GW68" s="38"/>
      <c r="GX68" s="38"/>
      <c r="GY68" s="38"/>
      <c r="GZ68" s="38"/>
      <c r="HA68" s="38"/>
      <c r="HB68" s="38"/>
      <c r="HC68" s="38"/>
      <c r="HD68" s="38"/>
      <c r="HE68" s="38"/>
      <c r="HF68" s="38"/>
      <c r="HG68" s="38"/>
      <c r="HH68" s="38"/>
      <c r="HI68" s="38"/>
      <c r="HJ68" s="38"/>
      <c r="HK68" s="38"/>
      <c r="HL68" s="38"/>
      <c r="HM68" s="38"/>
      <c r="HN68" s="38"/>
      <c r="HO68" s="38"/>
      <c r="HP68" s="38"/>
      <c r="HQ68" s="38"/>
      <c r="HR68" s="38"/>
      <c r="HS68" s="38"/>
      <c r="HT68" s="38"/>
      <c r="HU68" s="38"/>
      <c r="HV68" s="38"/>
      <c r="HW68" s="38"/>
      <c r="HX68" s="38"/>
      <c r="HY68" s="38"/>
      <c r="HZ68" s="38"/>
      <c r="IA68" s="38"/>
      <c r="IB68" s="38"/>
      <c r="IC68" s="38"/>
      <c r="ID68" s="38"/>
      <c r="IE68" s="38"/>
      <c r="IF68" s="38"/>
      <c r="IG68" s="38"/>
      <c r="IH68" s="38"/>
      <c r="II68" s="38"/>
      <c r="IJ68" s="38"/>
      <c r="IK68" s="38"/>
      <c r="IL68" s="38"/>
      <c r="IM68" s="38"/>
      <c r="IN68" s="38"/>
      <c r="IO68" s="38"/>
      <c r="IP68" s="38"/>
      <c r="IQ68" s="38"/>
      <c r="IR68" s="38"/>
      <c r="IS68" s="38"/>
      <c r="IT68" s="38"/>
    </row>
    <row r="69" spans="1:254" ht="15.75" x14ac:dyDescent="0.25">
      <c r="A69" s="38"/>
      <c r="B69" s="75"/>
      <c r="C69" s="82"/>
      <c r="D69" s="95" t="s">
        <v>422</v>
      </c>
      <c r="E69" s="82"/>
      <c r="F69" s="83"/>
      <c r="G69" s="54"/>
      <c r="H69" s="54"/>
      <c r="I69" s="395">
        <f t="shared" si="27"/>
        <v>0</v>
      </c>
      <c r="J69" s="54"/>
      <c r="K69" s="388"/>
      <c r="L69" s="456"/>
      <c r="M69" s="388"/>
      <c r="N69" s="388"/>
      <c r="O69" s="60"/>
      <c r="P69" s="60"/>
      <c r="Q69" s="388">
        <f>K69</f>
        <v>0</v>
      </c>
      <c r="R69" s="388"/>
      <c r="S69" s="388">
        <f>Q69</f>
        <v>0</v>
      </c>
      <c r="T69" s="455"/>
      <c r="U69" s="455"/>
      <c r="V69" s="455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  <c r="BM69" s="38"/>
      <c r="BN69" s="38"/>
      <c r="BO69" s="38"/>
      <c r="BP69" s="38"/>
      <c r="BQ69" s="38"/>
      <c r="BR69" s="38"/>
      <c r="BS69" s="38"/>
      <c r="BT69" s="38"/>
      <c r="BU69" s="38"/>
      <c r="BV69" s="38"/>
      <c r="BW69" s="38"/>
      <c r="BX69" s="38"/>
      <c r="BY69" s="38"/>
      <c r="BZ69" s="38"/>
      <c r="CA69" s="38"/>
      <c r="CB69" s="38"/>
      <c r="CC69" s="38"/>
      <c r="CD69" s="38"/>
      <c r="CE69" s="38"/>
      <c r="CF69" s="38"/>
      <c r="CG69" s="38"/>
      <c r="CH69" s="38"/>
      <c r="CI69" s="38"/>
      <c r="CJ69" s="38"/>
      <c r="CK69" s="38"/>
      <c r="CL69" s="38"/>
      <c r="CM69" s="38"/>
      <c r="CN69" s="38"/>
      <c r="CO69" s="38"/>
      <c r="CP69" s="38"/>
      <c r="CQ69" s="38"/>
      <c r="CR69" s="38"/>
      <c r="CS69" s="38"/>
      <c r="CT69" s="38"/>
      <c r="CU69" s="38"/>
      <c r="CV69" s="38"/>
      <c r="CW69" s="38"/>
      <c r="CX69" s="38"/>
      <c r="CY69" s="38"/>
      <c r="CZ69" s="38"/>
      <c r="DA69" s="38"/>
      <c r="DB69" s="38"/>
      <c r="DC69" s="38"/>
      <c r="DD69" s="38"/>
      <c r="DE69" s="38"/>
      <c r="DF69" s="38"/>
      <c r="DG69" s="38"/>
      <c r="DH69" s="38"/>
      <c r="DI69" s="38"/>
      <c r="DJ69" s="38"/>
      <c r="DK69" s="38"/>
      <c r="DL69" s="38"/>
      <c r="DM69" s="38"/>
      <c r="DN69" s="38"/>
      <c r="DO69" s="38"/>
      <c r="DP69" s="38"/>
      <c r="DQ69" s="38"/>
      <c r="DR69" s="38"/>
      <c r="DS69" s="38"/>
      <c r="DT69" s="38"/>
      <c r="DU69" s="38"/>
      <c r="DV69" s="38"/>
      <c r="DW69" s="38"/>
      <c r="DX69" s="38"/>
      <c r="DY69" s="38"/>
      <c r="DZ69" s="38"/>
      <c r="EA69" s="38"/>
      <c r="EB69" s="38"/>
      <c r="EC69" s="38"/>
      <c r="ED69" s="38"/>
      <c r="EE69" s="38"/>
      <c r="EF69" s="38"/>
      <c r="EG69" s="38"/>
      <c r="EH69" s="38"/>
      <c r="EI69" s="38"/>
      <c r="EJ69" s="38"/>
      <c r="EK69" s="38"/>
      <c r="EL69" s="38"/>
      <c r="EM69" s="38"/>
      <c r="EN69" s="38"/>
      <c r="EO69" s="38"/>
      <c r="EP69" s="38"/>
      <c r="EQ69" s="38"/>
      <c r="ER69" s="38"/>
      <c r="ES69" s="38"/>
      <c r="ET69" s="38"/>
      <c r="EU69" s="38"/>
      <c r="EV69" s="38"/>
      <c r="EW69" s="38"/>
      <c r="EX69" s="38"/>
      <c r="EY69" s="38"/>
      <c r="EZ69" s="38"/>
      <c r="FA69" s="38"/>
      <c r="FB69" s="38"/>
      <c r="FC69" s="38"/>
      <c r="FD69" s="38"/>
      <c r="FE69" s="38"/>
      <c r="FF69" s="38"/>
      <c r="FG69" s="38"/>
      <c r="FH69" s="38"/>
      <c r="FI69" s="38"/>
      <c r="FJ69" s="38"/>
      <c r="FK69" s="38"/>
      <c r="FL69" s="38"/>
      <c r="FM69" s="38"/>
      <c r="FN69" s="38"/>
      <c r="FO69" s="38"/>
      <c r="FP69" s="38"/>
      <c r="FQ69" s="38"/>
      <c r="FR69" s="38"/>
      <c r="FS69" s="38"/>
      <c r="FT69" s="38"/>
      <c r="FU69" s="38"/>
      <c r="FV69" s="38"/>
      <c r="FW69" s="38"/>
      <c r="FX69" s="38"/>
      <c r="FY69" s="38"/>
      <c r="FZ69" s="38"/>
      <c r="GA69" s="38"/>
      <c r="GB69" s="38"/>
      <c r="GC69" s="38"/>
      <c r="GD69" s="38"/>
      <c r="GE69" s="38"/>
      <c r="GF69" s="38"/>
      <c r="GG69" s="38"/>
      <c r="GH69" s="38"/>
      <c r="GI69" s="38"/>
      <c r="GJ69" s="38"/>
      <c r="GK69" s="38"/>
      <c r="GL69" s="38"/>
      <c r="GM69" s="38"/>
      <c r="GN69" s="38"/>
      <c r="GO69" s="38"/>
      <c r="GP69" s="38"/>
      <c r="GQ69" s="38"/>
      <c r="GR69" s="38"/>
      <c r="GS69" s="38"/>
      <c r="GT69" s="38"/>
      <c r="GU69" s="38"/>
      <c r="GV69" s="38"/>
      <c r="GW69" s="38"/>
      <c r="GX69" s="38"/>
      <c r="GY69" s="38"/>
      <c r="GZ69" s="38"/>
      <c r="HA69" s="38"/>
      <c r="HB69" s="38"/>
      <c r="HC69" s="38"/>
      <c r="HD69" s="38"/>
      <c r="HE69" s="38"/>
      <c r="HF69" s="38"/>
      <c r="HG69" s="38"/>
      <c r="HH69" s="38"/>
      <c r="HI69" s="38"/>
      <c r="HJ69" s="38"/>
      <c r="HK69" s="38"/>
      <c r="HL69" s="38"/>
      <c r="HM69" s="38"/>
      <c r="HN69" s="38"/>
      <c r="HO69" s="38"/>
      <c r="HP69" s="38"/>
      <c r="HQ69" s="38"/>
      <c r="HR69" s="38"/>
      <c r="HS69" s="38"/>
      <c r="HT69" s="38"/>
      <c r="HU69" s="38"/>
      <c r="HV69" s="38"/>
      <c r="HW69" s="38"/>
      <c r="HX69" s="38"/>
      <c r="HY69" s="38"/>
      <c r="HZ69" s="38"/>
      <c r="IA69" s="38"/>
      <c r="IB69" s="38"/>
      <c r="IC69" s="38"/>
      <c r="ID69" s="38"/>
      <c r="IE69" s="38"/>
      <c r="IF69" s="38"/>
      <c r="IG69" s="38"/>
      <c r="IH69" s="38"/>
      <c r="II69" s="38"/>
      <c r="IJ69" s="38"/>
      <c r="IK69" s="38"/>
      <c r="IL69" s="38"/>
      <c r="IM69" s="38"/>
      <c r="IN69" s="38"/>
      <c r="IO69" s="38"/>
      <c r="IP69" s="38"/>
      <c r="IQ69" s="38"/>
      <c r="IR69" s="38"/>
      <c r="IS69" s="38"/>
      <c r="IT69" s="38"/>
    </row>
    <row r="70" spans="1:254" ht="15.75" x14ac:dyDescent="0.25">
      <c r="A70" s="38"/>
      <c r="B70" s="75"/>
      <c r="C70" s="82"/>
      <c r="D70" s="95" t="s">
        <v>418</v>
      </c>
      <c r="E70" s="82"/>
      <c r="F70" s="83"/>
      <c r="G70" s="54"/>
      <c r="H70" s="54">
        <f t="shared" si="26"/>
        <v>0</v>
      </c>
      <c r="I70" s="395">
        <f t="shared" si="27"/>
        <v>0</v>
      </c>
      <c r="J70" s="54"/>
      <c r="K70" s="388"/>
      <c r="L70" s="388"/>
      <c r="M70" s="388"/>
      <c r="N70" s="388"/>
      <c r="O70" s="60"/>
      <c r="P70" s="60"/>
      <c r="Q70" s="388"/>
      <c r="R70" s="388"/>
      <c r="S70" s="388"/>
      <c r="T70" s="455"/>
      <c r="U70" s="455"/>
      <c r="V70" s="455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  <c r="BM70" s="38"/>
      <c r="BN70" s="38"/>
      <c r="BO70" s="38"/>
      <c r="BP70" s="38"/>
      <c r="BQ70" s="38"/>
      <c r="BR70" s="38"/>
      <c r="BS70" s="38"/>
      <c r="BT70" s="38"/>
      <c r="BU70" s="38"/>
      <c r="BV70" s="38"/>
      <c r="BW70" s="38"/>
      <c r="BX70" s="38"/>
      <c r="BY70" s="38"/>
      <c r="BZ70" s="38"/>
      <c r="CA70" s="38"/>
      <c r="CB70" s="38"/>
      <c r="CC70" s="38"/>
      <c r="CD70" s="38"/>
      <c r="CE70" s="38"/>
      <c r="CF70" s="38"/>
      <c r="CG70" s="38"/>
      <c r="CH70" s="38"/>
      <c r="CI70" s="38"/>
      <c r="CJ70" s="38"/>
      <c r="CK70" s="38"/>
      <c r="CL70" s="38"/>
      <c r="CM70" s="38"/>
      <c r="CN70" s="38"/>
      <c r="CO70" s="38"/>
      <c r="CP70" s="38"/>
      <c r="CQ70" s="38"/>
      <c r="CR70" s="38"/>
      <c r="CS70" s="38"/>
      <c r="CT70" s="38"/>
      <c r="CU70" s="38"/>
      <c r="CV70" s="38"/>
      <c r="CW70" s="38"/>
      <c r="CX70" s="38"/>
      <c r="CY70" s="38"/>
      <c r="CZ70" s="38"/>
      <c r="DA70" s="38"/>
      <c r="DB70" s="38"/>
      <c r="DC70" s="38"/>
      <c r="DD70" s="38"/>
      <c r="DE70" s="38"/>
      <c r="DF70" s="38"/>
      <c r="DG70" s="38"/>
      <c r="DH70" s="38"/>
      <c r="DI70" s="38"/>
      <c r="DJ70" s="38"/>
      <c r="DK70" s="38"/>
      <c r="DL70" s="38"/>
      <c r="DM70" s="38"/>
      <c r="DN70" s="38"/>
      <c r="DO70" s="38"/>
      <c r="DP70" s="38"/>
      <c r="DQ70" s="38"/>
      <c r="DR70" s="38"/>
      <c r="DS70" s="38"/>
      <c r="DT70" s="38"/>
      <c r="DU70" s="38"/>
      <c r="DV70" s="38"/>
      <c r="DW70" s="38"/>
      <c r="DX70" s="38"/>
      <c r="DY70" s="38"/>
      <c r="DZ70" s="38"/>
      <c r="EA70" s="38"/>
      <c r="EB70" s="38"/>
      <c r="EC70" s="38"/>
      <c r="ED70" s="38"/>
      <c r="EE70" s="38"/>
      <c r="EF70" s="38"/>
      <c r="EG70" s="38"/>
      <c r="EH70" s="38"/>
      <c r="EI70" s="38"/>
      <c r="EJ70" s="38"/>
      <c r="EK70" s="38"/>
      <c r="EL70" s="38"/>
      <c r="EM70" s="38"/>
      <c r="EN70" s="38"/>
      <c r="EO70" s="38"/>
      <c r="EP70" s="38"/>
      <c r="EQ70" s="38"/>
      <c r="ER70" s="38"/>
      <c r="ES70" s="38"/>
      <c r="ET70" s="38"/>
      <c r="EU70" s="38"/>
      <c r="EV70" s="38"/>
      <c r="EW70" s="38"/>
      <c r="EX70" s="38"/>
      <c r="EY70" s="38"/>
      <c r="EZ70" s="38"/>
      <c r="FA70" s="38"/>
      <c r="FB70" s="38"/>
      <c r="FC70" s="38"/>
      <c r="FD70" s="38"/>
      <c r="FE70" s="38"/>
      <c r="FF70" s="38"/>
      <c r="FG70" s="38"/>
      <c r="FH70" s="38"/>
      <c r="FI70" s="38"/>
      <c r="FJ70" s="38"/>
      <c r="FK70" s="38"/>
      <c r="FL70" s="38"/>
      <c r="FM70" s="38"/>
      <c r="FN70" s="38"/>
      <c r="FO70" s="38"/>
      <c r="FP70" s="38"/>
      <c r="FQ70" s="38"/>
      <c r="FR70" s="38"/>
      <c r="FS70" s="38"/>
      <c r="FT70" s="38"/>
      <c r="FU70" s="38"/>
      <c r="FV70" s="38"/>
      <c r="FW70" s="38"/>
      <c r="FX70" s="38"/>
      <c r="FY70" s="38"/>
      <c r="FZ70" s="38"/>
      <c r="GA70" s="38"/>
      <c r="GB70" s="38"/>
      <c r="GC70" s="38"/>
      <c r="GD70" s="38"/>
      <c r="GE70" s="38"/>
      <c r="GF70" s="38"/>
      <c r="GG70" s="38"/>
      <c r="GH70" s="38"/>
      <c r="GI70" s="38"/>
      <c r="GJ70" s="38"/>
      <c r="GK70" s="38"/>
      <c r="GL70" s="38"/>
      <c r="GM70" s="38"/>
      <c r="GN70" s="38"/>
      <c r="GO70" s="38"/>
      <c r="GP70" s="38"/>
      <c r="GQ70" s="38"/>
      <c r="GR70" s="38"/>
      <c r="GS70" s="38"/>
      <c r="GT70" s="38"/>
      <c r="GU70" s="38"/>
      <c r="GV70" s="38"/>
      <c r="GW70" s="38"/>
      <c r="GX70" s="38"/>
      <c r="GY70" s="38"/>
      <c r="GZ70" s="38"/>
      <c r="HA70" s="38"/>
      <c r="HB70" s="38"/>
      <c r="HC70" s="38"/>
      <c r="HD70" s="38"/>
      <c r="HE70" s="38"/>
      <c r="HF70" s="38"/>
      <c r="HG70" s="38"/>
      <c r="HH70" s="38"/>
      <c r="HI70" s="38"/>
      <c r="HJ70" s="38"/>
      <c r="HK70" s="38"/>
      <c r="HL70" s="38"/>
      <c r="HM70" s="38"/>
      <c r="HN70" s="38"/>
      <c r="HO70" s="38"/>
      <c r="HP70" s="38"/>
      <c r="HQ70" s="38"/>
      <c r="HR70" s="38"/>
      <c r="HS70" s="38"/>
      <c r="HT70" s="38"/>
      <c r="HU70" s="38"/>
      <c r="HV70" s="38"/>
      <c r="HW70" s="38"/>
      <c r="HX70" s="38"/>
      <c r="HY70" s="38"/>
      <c r="HZ70" s="38"/>
      <c r="IA70" s="38"/>
      <c r="IB70" s="38"/>
      <c r="IC70" s="38"/>
      <c r="ID70" s="38"/>
      <c r="IE70" s="38"/>
      <c r="IF70" s="38"/>
      <c r="IG70" s="38"/>
      <c r="IH70" s="38"/>
      <c r="II70" s="38"/>
      <c r="IJ70" s="38"/>
      <c r="IK70" s="38"/>
      <c r="IL70" s="38"/>
      <c r="IM70" s="38"/>
      <c r="IN70" s="38"/>
      <c r="IO70" s="38"/>
      <c r="IP70" s="38"/>
      <c r="IQ70" s="38"/>
      <c r="IR70" s="38"/>
      <c r="IS70" s="38"/>
      <c r="IT70" s="38"/>
    </row>
    <row r="71" spans="1:254" ht="15.75" x14ac:dyDescent="0.25">
      <c r="A71" s="38"/>
      <c r="B71" s="75"/>
      <c r="C71" s="82"/>
      <c r="D71" s="95" t="s">
        <v>419</v>
      </c>
      <c r="E71" s="82"/>
      <c r="F71" s="83"/>
      <c r="G71" s="54"/>
      <c r="H71" s="54"/>
      <c r="I71" s="395">
        <f t="shared" si="27"/>
        <v>0</v>
      </c>
      <c r="J71" s="54"/>
      <c r="K71" s="388"/>
      <c r="L71" s="388"/>
      <c r="M71" s="388"/>
      <c r="N71" s="388"/>
      <c r="O71" s="60"/>
      <c r="P71" s="60"/>
      <c r="Q71" s="388"/>
      <c r="R71" s="388"/>
      <c r="S71" s="388"/>
      <c r="T71" s="455"/>
      <c r="U71" s="455"/>
      <c r="V71" s="455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  <c r="BM71" s="38"/>
      <c r="BN71" s="38"/>
      <c r="BO71" s="38"/>
      <c r="BP71" s="38"/>
      <c r="BQ71" s="38"/>
      <c r="BR71" s="38"/>
      <c r="BS71" s="38"/>
      <c r="BT71" s="38"/>
      <c r="BU71" s="38"/>
      <c r="BV71" s="38"/>
      <c r="BW71" s="38"/>
      <c r="BX71" s="38"/>
      <c r="BY71" s="38"/>
      <c r="BZ71" s="38"/>
      <c r="CA71" s="38"/>
      <c r="CB71" s="38"/>
      <c r="CC71" s="38"/>
      <c r="CD71" s="38"/>
      <c r="CE71" s="38"/>
      <c r="CF71" s="38"/>
      <c r="CG71" s="38"/>
      <c r="CH71" s="38"/>
      <c r="CI71" s="38"/>
      <c r="CJ71" s="38"/>
      <c r="CK71" s="38"/>
      <c r="CL71" s="38"/>
      <c r="CM71" s="38"/>
      <c r="CN71" s="38"/>
      <c r="CO71" s="38"/>
      <c r="CP71" s="38"/>
      <c r="CQ71" s="38"/>
      <c r="CR71" s="38"/>
      <c r="CS71" s="38"/>
      <c r="CT71" s="38"/>
      <c r="CU71" s="38"/>
      <c r="CV71" s="38"/>
      <c r="CW71" s="38"/>
      <c r="CX71" s="38"/>
      <c r="CY71" s="38"/>
      <c r="CZ71" s="38"/>
      <c r="DA71" s="38"/>
      <c r="DB71" s="38"/>
      <c r="DC71" s="38"/>
      <c r="DD71" s="38"/>
      <c r="DE71" s="38"/>
      <c r="DF71" s="38"/>
      <c r="DG71" s="38"/>
      <c r="DH71" s="38"/>
      <c r="DI71" s="38"/>
      <c r="DJ71" s="38"/>
      <c r="DK71" s="38"/>
      <c r="DL71" s="38"/>
      <c r="DM71" s="38"/>
      <c r="DN71" s="38"/>
      <c r="DO71" s="38"/>
      <c r="DP71" s="38"/>
      <c r="DQ71" s="38"/>
      <c r="DR71" s="38"/>
      <c r="DS71" s="38"/>
      <c r="DT71" s="38"/>
      <c r="DU71" s="38"/>
      <c r="DV71" s="38"/>
      <c r="DW71" s="38"/>
      <c r="DX71" s="38"/>
      <c r="DY71" s="38"/>
      <c r="DZ71" s="38"/>
      <c r="EA71" s="38"/>
      <c r="EB71" s="38"/>
      <c r="EC71" s="38"/>
      <c r="ED71" s="38"/>
      <c r="EE71" s="38"/>
      <c r="EF71" s="38"/>
      <c r="EG71" s="38"/>
      <c r="EH71" s="38"/>
      <c r="EI71" s="38"/>
      <c r="EJ71" s="38"/>
      <c r="EK71" s="38"/>
      <c r="EL71" s="38"/>
      <c r="EM71" s="38"/>
      <c r="EN71" s="38"/>
      <c r="EO71" s="38"/>
      <c r="EP71" s="38"/>
      <c r="EQ71" s="38"/>
      <c r="ER71" s="38"/>
      <c r="ES71" s="38"/>
      <c r="ET71" s="38"/>
      <c r="EU71" s="38"/>
      <c r="EV71" s="38"/>
      <c r="EW71" s="38"/>
      <c r="EX71" s="38"/>
      <c r="EY71" s="38"/>
      <c r="EZ71" s="38"/>
      <c r="FA71" s="38"/>
      <c r="FB71" s="38"/>
      <c r="FC71" s="38"/>
      <c r="FD71" s="38"/>
      <c r="FE71" s="38"/>
      <c r="FF71" s="38"/>
      <c r="FG71" s="38"/>
      <c r="FH71" s="38"/>
      <c r="FI71" s="38"/>
      <c r="FJ71" s="38"/>
      <c r="FK71" s="38"/>
      <c r="FL71" s="38"/>
      <c r="FM71" s="38"/>
      <c r="FN71" s="38"/>
      <c r="FO71" s="38"/>
      <c r="FP71" s="38"/>
      <c r="FQ71" s="38"/>
      <c r="FR71" s="38"/>
      <c r="FS71" s="38"/>
      <c r="FT71" s="38"/>
      <c r="FU71" s="38"/>
      <c r="FV71" s="38"/>
      <c r="FW71" s="38"/>
      <c r="FX71" s="38"/>
      <c r="FY71" s="38"/>
      <c r="FZ71" s="38"/>
      <c r="GA71" s="38"/>
      <c r="GB71" s="38"/>
      <c r="GC71" s="38"/>
      <c r="GD71" s="38"/>
      <c r="GE71" s="38"/>
      <c r="GF71" s="38"/>
      <c r="GG71" s="38"/>
      <c r="GH71" s="38"/>
      <c r="GI71" s="38"/>
      <c r="GJ71" s="38"/>
      <c r="GK71" s="38"/>
      <c r="GL71" s="38"/>
      <c r="GM71" s="38"/>
      <c r="GN71" s="38"/>
      <c r="GO71" s="38"/>
      <c r="GP71" s="38"/>
      <c r="GQ71" s="38"/>
      <c r="GR71" s="38"/>
      <c r="GS71" s="38"/>
      <c r="GT71" s="38"/>
      <c r="GU71" s="38"/>
      <c r="GV71" s="38"/>
      <c r="GW71" s="38"/>
      <c r="GX71" s="38"/>
      <c r="GY71" s="38"/>
      <c r="GZ71" s="38"/>
      <c r="HA71" s="38"/>
      <c r="HB71" s="38"/>
      <c r="HC71" s="38"/>
      <c r="HD71" s="38"/>
      <c r="HE71" s="38"/>
      <c r="HF71" s="38"/>
      <c r="HG71" s="38"/>
      <c r="HH71" s="38"/>
      <c r="HI71" s="38"/>
      <c r="HJ71" s="38"/>
      <c r="HK71" s="38"/>
      <c r="HL71" s="38"/>
      <c r="HM71" s="38"/>
      <c r="HN71" s="38"/>
      <c r="HO71" s="38"/>
      <c r="HP71" s="38"/>
      <c r="HQ71" s="38"/>
      <c r="HR71" s="38"/>
      <c r="HS71" s="38"/>
      <c r="HT71" s="38"/>
      <c r="HU71" s="38"/>
      <c r="HV71" s="38"/>
      <c r="HW71" s="38"/>
      <c r="HX71" s="38"/>
      <c r="HY71" s="38"/>
      <c r="HZ71" s="38"/>
      <c r="IA71" s="38"/>
      <c r="IB71" s="38"/>
      <c r="IC71" s="38"/>
      <c r="ID71" s="38"/>
      <c r="IE71" s="38"/>
      <c r="IF71" s="38"/>
      <c r="IG71" s="38"/>
      <c r="IH71" s="38"/>
      <c r="II71" s="38"/>
      <c r="IJ71" s="38"/>
      <c r="IK71" s="38"/>
      <c r="IL71" s="38"/>
      <c r="IM71" s="38"/>
      <c r="IN71" s="38"/>
      <c r="IO71" s="38"/>
      <c r="IP71" s="38"/>
      <c r="IQ71" s="38"/>
      <c r="IR71" s="38"/>
      <c r="IS71" s="38"/>
      <c r="IT71" s="38"/>
    </row>
    <row r="72" spans="1:254" s="56" customFormat="1" ht="15.75" x14ac:dyDescent="0.25">
      <c r="B72" s="103"/>
      <c r="C72" s="109"/>
      <c r="D72" s="95" t="s">
        <v>214</v>
      </c>
      <c r="E72" s="94"/>
      <c r="F72" s="96"/>
      <c r="G72" s="54"/>
      <c r="H72" s="54">
        <f t="shared" si="26"/>
        <v>10153.846153846151</v>
      </c>
      <c r="I72" s="395">
        <f t="shared" si="27"/>
        <v>10153.846153846151</v>
      </c>
      <c r="J72" s="54"/>
      <c r="K72" s="97">
        <f t="shared" ref="K72:V72" si="28">(15000+15000+10000+10000+5000)/65</f>
        <v>846.15384615384619</v>
      </c>
      <c r="L72" s="97">
        <f t="shared" si="28"/>
        <v>846.15384615384619</v>
      </c>
      <c r="M72" s="97">
        <f t="shared" si="28"/>
        <v>846.15384615384619</v>
      </c>
      <c r="N72" s="97">
        <f t="shared" si="28"/>
        <v>846.15384615384619</v>
      </c>
      <c r="O72" s="97">
        <f t="shared" si="28"/>
        <v>846.15384615384619</v>
      </c>
      <c r="P72" s="97">
        <f t="shared" si="28"/>
        <v>846.15384615384619</v>
      </c>
      <c r="Q72" s="97">
        <f t="shared" si="28"/>
        <v>846.15384615384619</v>
      </c>
      <c r="R72" s="97">
        <f t="shared" si="28"/>
        <v>846.15384615384619</v>
      </c>
      <c r="S72" s="97">
        <f t="shared" si="28"/>
        <v>846.15384615384619</v>
      </c>
      <c r="T72" s="97">
        <f t="shared" si="28"/>
        <v>846.15384615384619</v>
      </c>
      <c r="U72" s="97">
        <f t="shared" si="28"/>
        <v>846.15384615384619</v>
      </c>
      <c r="V72" s="97">
        <f t="shared" si="28"/>
        <v>846.15384615384619</v>
      </c>
      <c r="W72"/>
      <c r="X72"/>
      <c r="Y72"/>
      <c r="Z72"/>
      <c r="AA72"/>
      <c r="AB72"/>
      <c r="AC72"/>
      <c r="AD72" s="43"/>
      <c r="AE72" s="43"/>
      <c r="AF72" s="43"/>
      <c r="AG72" s="43"/>
      <c r="AH72" s="43"/>
      <c r="AI72" s="43"/>
      <c r="AJ72" s="43"/>
      <c r="AK72" s="43"/>
      <c r="AL72" s="43"/>
    </row>
    <row r="73" spans="1:254" s="56" customFormat="1" ht="15.75" x14ac:dyDescent="0.25">
      <c r="B73" s="103"/>
      <c r="C73" s="109"/>
      <c r="D73" s="95" t="s">
        <v>215</v>
      </c>
      <c r="E73" s="94"/>
      <c r="F73" s="96"/>
      <c r="G73" s="54"/>
      <c r="H73" s="54">
        <f t="shared" si="26"/>
        <v>4984.6153846153838</v>
      </c>
      <c r="I73" s="395">
        <f t="shared" si="27"/>
        <v>4984.6153846153838</v>
      </c>
      <c r="J73" s="54"/>
      <c r="K73" s="97">
        <f t="shared" ref="K73:V73" si="29">(15000+5000+3000+4000)/65</f>
        <v>415.38461538461536</v>
      </c>
      <c r="L73" s="97">
        <f t="shared" si="29"/>
        <v>415.38461538461536</v>
      </c>
      <c r="M73" s="97">
        <f t="shared" si="29"/>
        <v>415.38461538461536</v>
      </c>
      <c r="N73" s="97">
        <f t="shared" si="29"/>
        <v>415.38461538461536</v>
      </c>
      <c r="O73" s="97">
        <f t="shared" si="29"/>
        <v>415.38461538461536</v>
      </c>
      <c r="P73" s="97">
        <f t="shared" si="29"/>
        <v>415.38461538461536</v>
      </c>
      <c r="Q73" s="97">
        <f t="shared" si="29"/>
        <v>415.38461538461536</v>
      </c>
      <c r="R73" s="97">
        <f t="shared" si="29"/>
        <v>415.38461538461536</v>
      </c>
      <c r="S73" s="97">
        <f t="shared" si="29"/>
        <v>415.38461538461536</v>
      </c>
      <c r="T73" s="97">
        <f t="shared" si="29"/>
        <v>415.38461538461536</v>
      </c>
      <c r="U73" s="97">
        <f t="shared" si="29"/>
        <v>415.38461538461536</v>
      </c>
      <c r="V73" s="97">
        <f t="shared" si="29"/>
        <v>415.38461538461536</v>
      </c>
      <c r="W73"/>
      <c r="X73"/>
      <c r="Y73"/>
      <c r="Z73"/>
      <c r="AA73"/>
      <c r="AB73"/>
      <c r="AC73"/>
      <c r="AD73" s="43"/>
      <c r="AE73" s="43"/>
      <c r="AF73" s="43"/>
      <c r="AG73" s="43"/>
      <c r="AH73" s="43"/>
      <c r="AI73" s="43"/>
      <c r="AJ73" s="43"/>
      <c r="AK73" s="43"/>
      <c r="AL73" s="43"/>
    </row>
    <row r="74" spans="1:254" ht="38.1" customHeight="1" x14ac:dyDescent="0.2">
      <c r="B74" s="75" t="s">
        <v>184</v>
      </c>
      <c r="C74" s="78">
        <v>10</v>
      </c>
      <c r="D74" s="610" t="s">
        <v>241</v>
      </c>
      <c r="E74" s="610"/>
      <c r="F74" s="101" t="s">
        <v>183</v>
      </c>
      <c r="G74" s="54">
        <f>'Detail ouvrages amont'!E7</f>
        <v>1042.1362433862435</v>
      </c>
      <c r="H74" s="394">
        <f>J74</f>
        <v>73</v>
      </c>
      <c r="I74" s="54"/>
      <c r="J74" s="394">
        <f>SUM(K74:V74)</f>
        <v>73</v>
      </c>
      <c r="K74" s="102"/>
      <c r="L74" s="102"/>
      <c r="M74" s="102"/>
      <c r="N74" s="102">
        <v>48</v>
      </c>
      <c r="O74" s="102"/>
      <c r="P74" s="102"/>
      <c r="Q74" s="102"/>
      <c r="R74" s="102"/>
      <c r="S74" s="102">
        <v>25</v>
      </c>
      <c r="T74" s="102"/>
      <c r="U74" s="102"/>
      <c r="V74" s="102"/>
    </row>
    <row r="75" spans="1:254" ht="30.95" customHeight="1" x14ac:dyDescent="0.2">
      <c r="B75" s="75" t="s">
        <v>185</v>
      </c>
      <c r="C75" s="78">
        <v>10</v>
      </c>
      <c r="D75" s="610" t="str">
        <f>D74</f>
        <v>Infrastructures de protection de bassins versants - Amont (St Raphael / St Michel)</v>
      </c>
      <c r="E75" s="610"/>
      <c r="F75" s="101" t="s">
        <v>96</v>
      </c>
      <c r="G75" s="54">
        <v>2100000</v>
      </c>
      <c r="H75" s="54">
        <f>J75</f>
        <v>996194.03120390873</v>
      </c>
      <c r="I75" s="54"/>
      <c r="J75" s="54">
        <f t="shared" ref="J75:V75" si="30">SUM(J76:J83)</f>
        <v>996194.03120390873</v>
      </c>
      <c r="K75" s="102">
        <f t="shared" si="30"/>
        <v>612537.47760416672</v>
      </c>
      <c r="L75" s="102">
        <f t="shared" si="30"/>
        <v>111487.19616519175</v>
      </c>
      <c r="M75" s="102">
        <f t="shared" si="30"/>
        <v>117320.52949852509</v>
      </c>
      <c r="N75" s="102">
        <f t="shared" si="30"/>
        <v>117320.52949852509</v>
      </c>
      <c r="O75" s="102">
        <f t="shared" si="30"/>
        <v>3870.8109374999999</v>
      </c>
      <c r="P75" s="102">
        <f t="shared" si="30"/>
        <v>3870.8109374999999</v>
      </c>
      <c r="Q75" s="102">
        <f t="shared" si="30"/>
        <v>3870.8109374999999</v>
      </c>
      <c r="R75" s="102">
        <f t="shared" si="30"/>
        <v>3870.8109374999999</v>
      </c>
      <c r="S75" s="102">
        <f t="shared" si="30"/>
        <v>3870.8109374999999</v>
      </c>
      <c r="T75" s="102">
        <f t="shared" si="30"/>
        <v>3870.8109374999999</v>
      </c>
      <c r="U75" s="102">
        <f t="shared" si="30"/>
        <v>6561.8109375000004</v>
      </c>
      <c r="V75" s="102">
        <f t="shared" si="30"/>
        <v>7741.6218749999998</v>
      </c>
    </row>
    <row r="76" spans="1:254" x14ac:dyDescent="0.2">
      <c r="B76" s="75"/>
      <c r="C76" s="82"/>
      <c r="D76" s="95" t="s">
        <v>409</v>
      </c>
      <c r="E76" s="82"/>
      <c r="F76" s="83"/>
      <c r="G76" s="54"/>
      <c r="H76" s="54">
        <f t="shared" ref="H76:H83" si="31">J76</f>
        <v>0</v>
      </c>
      <c r="I76" s="54"/>
      <c r="J76" s="54">
        <f>SUM(K76:V76)</f>
        <v>0</v>
      </c>
      <c r="K76" s="388"/>
      <c r="L76" s="455"/>
      <c r="M76" s="455"/>
      <c r="N76" s="455"/>
      <c r="O76" s="60"/>
      <c r="P76" s="60"/>
      <c r="Q76" s="455"/>
      <c r="R76" s="455"/>
      <c r="S76" s="455"/>
      <c r="T76" s="455"/>
      <c r="U76" s="455"/>
      <c r="V76" s="455"/>
    </row>
    <row r="77" spans="1:254" x14ac:dyDescent="0.2">
      <c r="A77" s="38"/>
      <c r="B77" s="75"/>
      <c r="C77" s="82"/>
      <c r="D77" s="95" t="s">
        <v>410</v>
      </c>
      <c r="E77" s="82"/>
      <c r="F77" s="83"/>
      <c r="G77" s="54"/>
      <c r="H77" s="54">
        <f t="shared" si="31"/>
        <v>0</v>
      </c>
      <c r="I77" s="54"/>
      <c r="J77" s="54">
        <f t="shared" ref="J77:J83" si="32">SUM(K77:V77)</f>
        <v>0</v>
      </c>
      <c r="K77" s="388"/>
      <c r="L77" s="455"/>
      <c r="M77" s="455"/>
      <c r="N77" s="455"/>
      <c r="O77" s="60"/>
      <c r="P77" s="60"/>
      <c r="Q77" s="455"/>
      <c r="R77" s="455"/>
      <c r="S77" s="455"/>
      <c r="T77" s="455"/>
      <c r="U77" s="455"/>
      <c r="V77" s="455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38"/>
      <c r="BO77" s="38"/>
      <c r="BP77" s="38"/>
      <c r="BQ77" s="38"/>
      <c r="BR77" s="38"/>
      <c r="BS77" s="38"/>
      <c r="BT77" s="38"/>
      <c r="BU77" s="38"/>
      <c r="BV77" s="38"/>
      <c r="BW77" s="38"/>
      <c r="BX77" s="38"/>
      <c r="BY77" s="38"/>
      <c r="BZ77" s="38"/>
      <c r="CA77" s="38"/>
      <c r="CB77" s="38"/>
      <c r="CC77" s="38"/>
      <c r="CD77" s="38"/>
      <c r="CE77" s="38"/>
      <c r="CF77" s="38"/>
      <c r="CG77" s="38"/>
      <c r="CH77" s="38"/>
      <c r="CI77" s="38"/>
      <c r="CJ77" s="38"/>
      <c r="CK77" s="38"/>
      <c r="CL77" s="38"/>
      <c r="CM77" s="38"/>
      <c r="CN77" s="38"/>
      <c r="CO77" s="38"/>
      <c r="CP77" s="38"/>
      <c r="CQ77" s="38"/>
      <c r="CR77" s="38"/>
      <c r="CS77" s="38"/>
      <c r="CT77" s="38"/>
      <c r="CU77" s="38"/>
      <c r="CV77" s="38"/>
      <c r="CW77" s="38"/>
      <c r="CX77" s="38"/>
      <c r="CY77" s="38"/>
      <c r="CZ77" s="38"/>
      <c r="DA77" s="38"/>
      <c r="DB77" s="38"/>
      <c r="DC77" s="38"/>
      <c r="DD77" s="38"/>
      <c r="DE77" s="38"/>
      <c r="DF77" s="38"/>
      <c r="DG77" s="38"/>
      <c r="DH77" s="38"/>
      <c r="DI77" s="38"/>
      <c r="DJ77" s="38"/>
      <c r="DK77" s="38"/>
      <c r="DL77" s="38"/>
      <c r="DM77" s="38"/>
      <c r="DN77" s="38"/>
      <c r="DO77" s="38"/>
      <c r="DP77" s="38"/>
      <c r="DQ77" s="38"/>
      <c r="DR77" s="38"/>
      <c r="DS77" s="38"/>
      <c r="DT77" s="38"/>
      <c r="DU77" s="38"/>
      <c r="DV77" s="38"/>
      <c r="DW77" s="38"/>
      <c r="DX77" s="38"/>
      <c r="DY77" s="38"/>
      <c r="DZ77" s="38"/>
      <c r="EA77" s="38"/>
      <c r="EB77" s="38"/>
      <c r="EC77" s="38"/>
      <c r="ED77" s="38"/>
      <c r="EE77" s="38"/>
      <c r="EF77" s="38"/>
      <c r="EG77" s="38"/>
      <c r="EH77" s="38"/>
      <c r="EI77" s="38"/>
      <c r="EJ77" s="38"/>
      <c r="EK77" s="38"/>
      <c r="EL77" s="38"/>
      <c r="EM77" s="38"/>
      <c r="EN77" s="38"/>
      <c r="EO77" s="38"/>
      <c r="EP77" s="38"/>
      <c r="EQ77" s="38"/>
      <c r="ER77" s="38"/>
      <c r="ES77" s="38"/>
      <c r="ET77" s="38"/>
      <c r="EU77" s="38"/>
      <c r="EV77" s="38"/>
      <c r="EW77" s="38"/>
      <c r="EX77" s="38"/>
      <c r="EY77" s="38"/>
      <c r="EZ77" s="38"/>
      <c r="FA77" s="38"/>
      <c r="FB77" s="38"/>
      <c r="FC77" s="38"/>
      <c r="FD77" s="38"/>
      <c r="FE77" s="38"/>
      <c r="FF77" s="38"/>
      <c r="FG77" s="38"/>
      <c r="FH77" s="38"/>
      <c r="FI77" s="38"/>
      <c r="FJ77" s="38"/>
      <c r="FK77" s="38"/>
      <c r="FL77" s="38"/>
      <c r="FM77" s="38"/>
      <c r="FN77" s="38"/>
      <c r="FO77" s="38"/>
      <c r="FP77" s="38"/>
      <c r="FQ77" s="38"/>
      <c r="FR77" s="38"/>
      <c r="FS77" s="38"/>
      <c r="FT77" s="38"/>
      <c r="FU77" s="38"/>
      <c r="FV77" s="38"/>
      <c r="FW77" s="38"/>
      <c r="FX77" s="38"/>
      <c r="FY77" s="38"/>
      <c r="FZ77" s="38"/>
      <c r="GA77" s="38"/>
      <c r="GB77" s="38"/>
      <c r="GC77" s="38"/>
      <c r="GD77" s="38"/>
      <c r="GE77" s="38"/>
      <c r="GF77" s="38"/>
      <c r="GG77" s="38"/>
      <c r="GH77" s="38"/>
      <c r="GI77" s="38"/>
      <c r="GJ77" s="38"/>
      <c r="GK77" s="38"/>
      <c r="GL77" s="38"/>
      <c r="GM77" s="38"/>
      <c r="GN77" s="38"/>
      <c r="GO77" s="38"/>
      <c r="GP77" s="38"/>
      <c r="GQ77" s="38"/>
      <c r="GR77" s="38"/>
      <c r="GS77" s="38"/>
      <c r="GT77" s="38"/>
      <c r="GU77" s="38"/>
      <c r="GV77" s="38"/>
      <c r="GW77" s="38"/>
      <c r="GX77" s="38"/>
      <c r="GY77" s="38"/>
      <c r="GZ77" s="38"/>
      <c r="HA77" s="38"/>
      <c r="HB77" s="38"/>
      <c r="HC77" s="38"/>
      <c r="HD77" s="38"/>
      <c r="HE77" s="38"/>
      <c r="HF77" s="38"/>
      <c r="HG77" s="38"/>
      <c r="HH77" s="38"/>
      <c r="HI77" s="38"/>
      <c r="HJ77" s="38"/>
      <c r="HK77" s="38"/>
      <c r="HL77" s="38"/>
      <c r="HM77" s="38"/>
      <c r="HN77" s="38"/>
      <c r="HO77" s="38"/>
      <c r="HP77" s="38"/>
      <c r="HQ77" s="38"/>
      <c r="HR77" s="38"/>
      <c r="HS77" s="38"/>
      <c r="HT77" s="38"/>
      <c r="HU77" s="38"/>
      <c r="HV77" s="38"/>
      <c r="HW77" s="38"/>
      <c r="HX77" s="38"/>
      <c r="HY77" s="38"/>
      <c r="HZ77" s="38"/>
      <c r="IA77" s="38"/>
      <c r="IB77" s="38"/>
      <c r="IC77" s="38"/>
      <c r="ID77" s="38"/>
      <c r="IE77" s="38"/>
      <c r="IF77" s="38"/>
      <c r="IG77" s="38"/>
      <c r="IH77" s="38"/>
      <c r="II77" s="38"/>
      <c r="IJ77" s="38"/>
      <c r="IK77" s="38"/>
      <c r="IL77" s="38"/>
      <c r="IM77" s="38"/>
      <c r="IN77" s="38"/>
      <c r="IO77" s="38"/>
      <c r="IP77" s="38"/>
      <c r="IQ77" s="38"/>
      <c r="IR77" s="38"/>
      <c r="IS77" s="38"/>
      <c r="IT77" s="38"/>
    </row>
    <row r="78" spans="1:254" x14ac:dyDescent="0.2">
      <c r="B78" s="75"/>
      <c r="C78" s="82"/>
      <c r="D78" s="95" t="s">
        <v>394</v>
      </c>
      <c r="E78" s="82"/>
      <c r="F78" s="83"/>
      <c r="G78" s="54"/>
      <c r="H78" s="54">
        <f t="shared" si="31"/>
        <v>863333.33333333349</v>
      </c>
      <c r="I78" s="54"/>
      <c r="J78" s="54">
        <f t="shared" si="32"/>
        <v>863333.33333333349</v>
      </c>
      <c r="K78" s="388">
        <f>240000+(49000000/75-240000)/4+30*7000</f>
        <v>553333.33333333337</v>
      </c>
      <c r="L78" s="388">
        <f>+(49000000/75-240000)/4</f>
        <v>103333.33333333334</v>
      </c>
      <c r="M78" s="388">
        <f>L78</f>
        <v>103333.33333333334</v>
      </c>
      <c r="N78" s="388">
        <f>M78</f>
        <v>103333.33333333334</v>
      </c>
      <c r="O78" s="60"/>
      <c r="P78" s="60"/>
      <c r="Q78" s="455"/>
      <c r="R78" s="455"/>
      <c r="S78" s="455"/>
      <c r="T78" s="455"/>
      <c r="U78" s="455"/>
      <c r="V78" s="455"/>
    </row>
    <row r="79" spans="1:254" x14ac:dyDescent="0.25">
      <c r="B79" s="75"/>
      <c r="C79" s="82"/>
      <c r="D79" s="95" t="s">
        <v>400</v>
      </c>
      <c r="E79" s="82"/>
      <c r="F79" s="83"/>
      <c r="G79" s="54"/>
      <c r="H79" s="54">
        <f t="shared" si="31"/>
        <v>76000.000000000029</v>
      </c>
      <c r="I79" s="54"/>
      <c r="J79" s="54">
        <f t="shared" si="32"/>
        <v>76000.000000000029</v>
      </c>
      <c r="K79" s="388">
        <f>K78*0.1</f>
        <v>55333.333333333343</v>
      </c>
      <c r="L79" s="459"/>
      <c r="M79" s="388">
        <f>M78*0.1</f>
        <v>10333.333333333336</v>
      </c>
      <c r="N79" s="388">
        <f>N78*0.1</f>
        <v>10333.333333333336</v>
      </c>
      <c r="O79" s="322"/>
      <c r="P79" s="322"/>
      <c r="Q79" s="460"/>
      <c r="R79" s="460"/>
      <c r="S79" s="460"/>
      <c r="T79" s="460"/>
      <c r="U79" s="460"/>
      <c r="V79" s="460"/>
    </row>
    <row r="80" spans="1:254" x14ac:dyDescent="0.25">
      <c r="B80" s="75"/>
      <c r="C80" s="82"/>
      <c r="D80" s="95" t="s">
        <v>307</v>
      </c>
      <c r="E80" s="82"/>
      <c r="F80" s="83"/>
      <c r="G80" s="54"/>
      <c r="H80" s="54">
        <f t="shared" si="31"/>
        <v>2691</v>
      </c>
      <c r="I80" s="54"/>
      <c r="J80" s="54">
        <f t="shared" si="32"/>
        <v>2691</v>
      </c>
      <c r="K80" s="60"/>
      <c r="L80"/>
      <c r="M80" s="322"/>
      <c r="N80" s="322"/>
      <c r="O80" s="322"/>
      <c r="P80" s="322"/>
      <c r="Q80" s="322"/>
      <c r="R80" s="322"/>
      <c r="S80" s="322"/>
      <c r="T80" s="322"/>
      <c r="U80" s="322">
        <v>2691</v>
      </c>
      <c r="V80" s="322"/>
    </row>
    <row r="81" spans="1:254" x14ac:dyDescent="0.2">
      <c r="B81" s="75"/>
      <c r="C81" s="82"/>
      <c r="D81" s="95" t="s">
        <v>312</v>
      </c>
      <c r="E81" s="82"/>
      <c r="F81" s="83"/>
      <c r="G81" s="54"/>
      <c r="H81" s="54">
        <f t="shared" si="31"/>
        <v>4500</v>
      </c>
      <c r="I81" s="54"/>
      <c r="J81" s="54">
        <f t="shared" si="32"/>
        <v>4500</v>
      </c>
      <c r="K81"/>
      <c r="L81" s="60">
        <v>4500</v>
      </c>
      <c r="M81" s="60"/>
      <c r="N81" s="60"/>
      <c r="O81" s="60"/>
      <c r="P81" s="60"/>
      <c r="Q81" s="60"/>
      <c r="R81" s="60"/>
      <c r="S81" s="60"/>
      <c r="T81" s="60"/>
      <c r="U81" s="60"/>
      <c r="V81" s="60"/>
    </row>
    <row r="82" spans="1:254" s="56" customFormat="1" x14ac:dyDescent="0.2">
      <c r="B82" s="103"/>
      <c r="C82" s="110"/>
      <c r="D82" s="95" t="s">
        <v>218</v>
      </c>
      <c r="E82" s="94"/>
      <c r="F82" s="96">
        <v>1</v>
      </c>
      <c r="G82" s="54"/>
      <c r="H82" s="54">
        <f t="shared" si="31"/>
        <v>32343.080060840704</v>
      </c>
      <c r="I82" s="54"/>
      <c r="J82" s="54">
        <f t="shared" si="32"/>
        <v>32343.080060840704</v>
      </c>
      <c r="K82" s="97">
        <f>161313.9/64</f>
        <v>2520.5296874999999</v>
      </c>
      <c r="L82" s="97">
        <f>161313.9/67.8</f>
        <v>2379.2610619469028</v>
      </c>
      <c r="M82" s="97">
        <f>161313.9/67.8</f>
        <v>2379.2610619469028</v>
      </c>
      <c r="N82" s="97">
        <f>161313.9/67.8</f>
        <v>2379.2610619469028</v>
      </c>
      <c r="O82" s="97">
        <f>161313.9/64</f>
        <v>2520.5296874999999</v>
      </c>
      <c r="P82" s="97">
        <f t="shared" ref="P82:U82" si="33">161313.9/64</f>
        <v>2520.5296874999999</v>
      </c>
      <c r="Q82" s="97">
        <f t="shared" si="33"/>
        <v>2520.5296874999999</v>
      </c>
      <c r="R82" s="97">
        <f t="shared" si="33"/>
        <v>2520.5296874999999</v>
      </c>
      <c r="S82" s="97">
        <f t="shared" si="33"/>
        <v>2520.5296874999999</v>
      </c>
      <c r="T82" s="97">
        <f t="shared" si="33"/>
        <v>2520.5296874999999</v>
      </c>
      <c r="U82" s="97">
        <f t="shared" si="33"/>
        <v>2520.5296874999999</v>
      </c>
      <c r="V82" s="97">
        <f>U82*2</f>
        <v>5041.0593749999998</v>
      </c>
      <c r="W82"/>
      <c r="X82"/>
      <c r="Y82"/>
      <c r="Z82"/>
      <c r="AA82"/>
      <c r="AB82"/>
      <c r="AC82"/>
      <c r="AD82" s="111"/>
      <c r="AE82" s="43"/>
      <c r="AF82" s="43"/>
      <c r="AG82" s="43"/>
      <c r="AH82" s="43"/>
      <c r="AI82" s="43"/>
      <c r="AJ82" s="43"/>
      <c r="AK82" s="43"/>
      <c r="AL82" s="43"/>
    </row>
    <row r="83" spans="1:254" s="111" customFormat="1" x14ac:dyDescent="0.2">
      <c r="B83" s="93"/>
      <c r="C83" s="94"/>
      <c r="D83" s="95" t="s">
        <v>302</v>
      </c>
      <c r="E83" s="94"/>
      <c r="F83" s="96">
        <v>1</v>
      </c>
      <c r="G83" s="112"/>
      <c r="H83" s="54">
        <f t="shared" si="31"/>
        <v>17326.617809734515</v>
      </c>
      <c r="I83" s="113"/>
      <c r="J83" s="54">
        <f t="shared" si="32"/>
        <v>17326.617809734515</v>
      </c>
      <c r="K83" s="97">
        <f>86418/64</f>
        <v>1350.28125</v>
      </c>
      <c r="L83" s="97">
        <f>86418/67.8</f>
        <v>1274.6017699115046</v>
      </c>
      <c r="M83" s="97">
        <f>86418/67.8</f>
        <v>1274.6017699115046</v>
      </c>
      <c r="N83" s="97">
        <f>86418/67.8</f>
        <v>1274.6017699115046</v>
      </c>
      <c r="O83" s="97">
        <f>86418/64</f>
        <v>1350.28125</v>
      </c>
      <c r="P83" s="97">
        <f t="shared" ref="P83:U83" si="34">86418/64</f>
        <v>1350.28125</v>
      </c>
      <c r="Q83" s="97">
        <f t="shared" si="34"/>
        <v>1350.28125</v>
      </c>
      <c r="R83" s="97">
        <f t="shared" si="34"/>
        <v>1350.28125</v>
      </c>
      <c r="S83" s="97">
        <f t="shared" si="34"/>
        <v>1350.28125</v>
      </c>
      <c r="T83" s="97">
        <f t="shared" si="34"/>
        <v>1350.28125</v>
      </c>
      <c r="U83" s="97">
        <f t="shared" si="34"/>
        <v>1350.28125</v>
      </c>
      <c r="V83" s="97">
        <f>U83*2</f>
        <v>2700.5625</v>
      </c>
      <c r="W83"/>
      <c r="X83"/>
      <c r="Y83"/>
      <c r="Z83"/>
      <c r="AA83"/>
      <c r="AB83"/>
      <c r="AC83"/>
      <c r="AD83" s="43"/>
      <c r="AE83" s="43"/>
      <c r="AF83" s="43"/>
      <c r="AG83" s="43"/>
      <c r="AH83" s="43"/>
      <c r="AI83" s="43"/>
      <c r="AJ83" s="43"/>
      <c r="AK83" s="43"/>
      <c r="AL83" s="43"/>
    </row>
    <row r="84" spans="1:254" x14ac:dyDescent="0.2">
      <c r="B84" s="75" t="s">
        <v>184</v>
      </c>
      <c r="C84" s="78">
        <v>11</v>
      </c>
      <c r="D84" s="610" t="s">
        <v>62</v>
      </c>
      <c r="E84" s="610"/>
      <c r="F84" s="101" t="s">
        <v>183</v>
      </c>
      <c r="G84" s="54">
        <v>8</v>
      </c>
      <c r="H84" s="54">
        <v>3</v>
      </c>
      <c r="I84" s="54">
        <f>H84</f>
        <v>3</v>
      </c>
      <c r="J84" s="54"/>
      <c r="K84" s="102">
        <v>3</v>
      </c>
      <c r="L84" s="102"/>
      <c r="M84" s="102"/>
      <c r="N84" s="102">
        <v>1</v>
      </c>
      <c r="O84" s="102"/>
      <c r="P84" s="102"/>
      <c r="Q84" s="102">
        <v>1</v>
      </c>
      <c r="R84" s="102"/>
      <c r="S84" s="102"/>
      <c r="T84" s="102"/>
      <c r="U84" s="102"/>
      <c r="V84" s="102"/>
    </row>
    <row r="85" spans="1:254" x14ac:dyDescent="0.2">
      <c r="B85" s="75" t="s">
        <v>185</v>
      </c>
      <c r="C85" s="78">
        <v>11</v>
      </c>
      <c r="D85" s="610" t="str">
        <f>D84</f>
        <v>Infrastructures de protection de bassins versants - Aval</v>
      </c>
      <c r="E85" s="610"/>
      <c r="F85" s="101" t="s">
        <v>96</v>
      </c>
      <c r="G85" s="54">
        <f>16800000</f>
        <v>16800000</v>
      </c>
      <c r="H85" s="54">
        <f>I85</f>
        <v>8882491.537259616</v>
      </c>
      <c r="I85" s="54">
        <f>SUM(I86:I117)</f>
        <v>8882491.537259616</v>
      </c>
      <c r="J85" s="54"/>
      <c r="K85" s="102">
        <f t="shared" ref="K85:V85" si="35">SUM(K86:K117)</f>
        <v>988802.98099372664</v>
      </c>
      <c r="L85" s="102">
        <f t="shared" si="35"/>
        <v>206129.66498927062</v>
      </c>
      <c r="M85" s="102">
        <f t="shared" si="35"/>
        <v>506129.66498927062</v>
      </c>
      <c r="N85" s="102">
        <f>SUM(N86:N117)</f>
        <v>177569.66498927062</v>
      </c>
      <c r="O85" s="102">
        <f t="shared" si="35"/>
        <v>2148537.9939903845</v>
      </c>
      <c r="P85" s="102">
        <f t="shared" si="35"/>
        <v>648251.49399038462</v>
      </c>
      <c r="Q85" s="102">
        <f t="shared" si="35"/>
        <v>1687816.0476480154</v>
      </c>
      <c r="R85" s="102">
        <f t="shared" si="35"/>
        <v>370332.309437841</v>
      </c>
      <c r="S85" s="102">
        <f t="shared" si="35"/>
        <v>370333.309437841</v>
      </c>
      <c r="T85" s="102">
        <f t="shared" si="35"/>
        <v>370334.309437841</v>
      </c>
      <c r="U85" s="102">
        <f t="shared" si="35"/>
        <v>21456.493990384617</v>
      </c>
      <c r="V85" s="102">
        <f t="shared" si="35"/>
        <v>1386797.6033653845</v>
      </c>
    </row>
    <row r="86" spans="1:254" x14ac:dyDescent="0.2">
      <c r="A86" s="38"/>
      <c r="B86" s="75"/>
      <c r="C86" s="61"/>
      <c r="D86" s="95" t="s">
        <v>388</v>
      </c>
      <c r="E86" s="386"/>
      <c r="F86" s="387"/>
      <c r="G86" s="54"/>
      <c r="H86" s="54">
        <f>SUM(I86:J86)</f>
        <v>630000</v>
      </c>
      <c r="I86" s="54">
        <f t="shared" ref="I86:I117" si="36">SUM(K86:V86)</f>
        <v>630000</v>
      </c>
      <c r="J86" s="54"/>
      <c r="L86" s="428">
        <v>140000</v>
      </c>
      <c r="M86" s="429"/>
      <c r="N86" s="428">
        <f>700000*0.1</f>
        <v>70000</v>
      </c>
      <c r="O86" s="428">
        <f>700000*0.1</f>
        <v>70000</v>
      </c>
      <c r="P86" s="430"/>
      <c r="Q86" s="431">
        <f>700000*0.5</f>
        <v>350000</v>
      </c>
      <c r="R86" s="60"/>
      <c r="S86" s="60"/>
      <c r="T86" s="60"/>
      <c r="U86" s="60"/>
      <c r="V86" s="60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38"/>
      <c r="BR86" s="38"/>
      <c r="BS86" s="38"/>
      <c r="BT86" s="38"/>
      <c r="BU86" s="38"/>
      <c r="BV86" s="38"/>
      <c r="BW86" s="38"/>
      <c r="BX86" s="38"/>
      <c r="BY86" s="38"/>
      <c r="BZ86" s="38"/>
      <c r="CA86" s="38"/>
      <c r="CB86" s="38"/>
      <c r="CC86" s="38"/>
      <c r="CD86" s="38"/>
      <c r="CE86" s="38"/>
      <c r="CF86" s="38"/>
      <c r="CG86" s="38"/>
      <c r="CH86" s="38"/>
      <c r="CI86" s="38"/>
      <c r="CJ86" s="38"/>
      <c r="CK86" s="38"/>
      <c r="CL86" s="38"/>
      <c r="CM86" s="38"/>
      <c r="CN86" s="38"/>
      <c r="CO86" s="38"/>
      <c r="CP86" s="38"/>
      <c r="CQ86" s="38"/>
      <c r="CR86" s="38"/>
      <c r="CS86" s="38"/>
      <c r="CT86" s="38"/>
      <c r="CU86" s="38"/>
      <c r="CV86" s="38"/>
      <c r="CW86" s="38"/>
      <c r="CX86" s="38"/>
      <c r="CY86" s="38"/>
      <c r="CZ86" s="38"/>
      <c r="DA86" s="38"/>
      <c r="DB86" s="38"/>
      <c r="DC86" s="38"/>
      <c r="DD86" s="38"/>
      <c r="DE86" s="38"/>
      <c r="DF86" s="38"/>
      <c r="DG86" s="38"/>
      <c r="DH86" s="38"/>
      <c r="DI86" s="38"/>
      <c r="DJ86" s="38"/>
      <c r="DK86" s="38"/>
      <c r="DL86" s="38"/>
      <c r="DM86" s="38"/>
      <c r="DN86" s="38"/>
      <c r="DO86" s="38"/>
      <c r="DP86" s="38"/>
      <c r="DQ86" s="38"/>
      <c r="DR86" s="38"/>
      <c r="DS86" s="38"/>
      <c r="DT86" s="38"/>
      <c r="DU86" s="38"/>
      <c r="DV86" s="38"/>
      <c r="DW86" s="38"/>
      <c r="DX86" s="38"/>
      <c r="DY86" s="38"/>
      <c r="DZ86" s="38"/>
      <c r="EA86" s="38"/>
      <c r="EB86" s="38"/>
      <c r="EC86" s="38"/>
      <c r="ED86" s="38"/>
      <c r="EE86" s="38"/>
      <c r="EF86" s="38"/>
      <c r="EG86" s="38"/>
      <c r="EH86" s="38"/>
      <c r="EI86" s="38"/>
      <c r="EJ86" s="38"/>
      <c r="EK86" s="38"/>
      <c r="EL86" s="38"/>
      <c r="EM86" s="38"/>
      <c r="EN86" s="38"/>
      <c r="EO86" s="38"/>
      <c r="EP86" s="38"/>
      <c r="EQ86" s="38"/>
      <c r="ER86" s="38"/>
      <c r="ES86" s="38"/>
      <c r="ET86" s="38"/>
      <c r="EU86" s="38"/>
      <c r="EV86" s="38"/>
      <c r="EW86" s="38"/>
      <c r="EX86" s="38"/>
      <c r="EY86" s="38"/>
      <c r="EZ86" s="38"/>
      <c r="FA86" s="38"/>
      <c r="FB86" s="38"/>
      <c r="FC86" s="38"/>
      <c r="FD86" s="38"/>
      <c r="FE86" s="38"/>
      <c r="FF86" s="38"/>
      <c r="FG86" s="38"/>
      <c r="FH86" s="38"/>
      <c r="FI86" s="38"/>
      <c r="FJ86" s="38"/>
      <c r="FK86" s="38"/>
      <c r="FL86" s="38"/>
      <c r="FM86" s="38"/>
      <c r="FN86" s="38"/>
      <c r="FO86" s="38"/>
      <c r="FP86" s="38"/>
      <c r="FQ86" s="38"/>
      <c r="FR86" s="38"/>
      <c r="FS86" s="38"/>
      <c r="FT86" s="38"/>
      <c r="FU86" s="38"/>
      <c r="FV86" s="38"/>
      <c r="FW86" s="38"/>
      <c r="FX86" s="38"/>
      <c r="FY86" s="38"/>
      <c r="FZ86" s="38"/>
      <c r="GA86" s="38"/>
      <c r="GB86" s="38"/>
      <c r="GC86" s="38"/>
      <c r="GD86" s="38"/>
      <c r="GE86" s="38"/>
      <c r="GF86" s="38"/>
      <c r="GG86" s="38"/>
      <c r="GH86" s="38"/>
      <c r="GI86" s="38"/>
      <c r="GJ86" s="38"/>
      <c r="GK86" s="38"/>
      <c r="GL86" s="38"/>
      <c r="GM86" s="38"/>
      <c r="GN86" s="38"/>
      <c r="GO86" s="38"/>
      <c r="GP86" s="38"/>
      <c r="GQ86" s="38"/>
      <c r="GR86" s="38"/>
      <c r="GS86" s="38"/>
      <c r="GT86" s="38"/>
      <c r="GU86" s="38"/>
      <c r="GV86" s="38"/>
      <c r="GW86" s="38"/>
      <c r="GX86" s="38"/>
      <c r="GY86" s="38"/>
      <c r="GZ86" s="38"/>
      <c r="HA86" s="38"/>
      <c r="HB86" s="38"/>
      <c r="HC86" s="38"/>
      <c r="HD86" s="38"/>
      <c r="HE86" s="38"/>
      <c r="HF86" s="38"/>
      <c r="HG86" s="38"/>
      <c r="HH86" s="38"/>
      <c r="HI86" s="38"/>
      <c r="HJ86" s="38"/>
      <c r="HK86" s="38"/>
      <c r="HL86" s="38"/>
      <c r="HM86" s="38"/>
      <c r="HN86" s="38"/>
      <c r="HO86" s="38"/>
      <c r="HP86" s="38"/>
      <c r="HQ86" s="38"/>
      <c r="HR86" s="38"/>
      <c r="HS86" s="38"/>
      <c r="HT86" s="38"/>
      <c r="HU86" s="38"/>
      <c r="HV86" s="38"/>
      <c r="HW86" s="38"/>
      <c r="HX86" s="38"/>
      <c r="HY86" s="38"/>
      <c r="HZ86" s="38"/>
      <c r="IA86" s="38"/>
      <c r="IB86" s="38"/>
      <c r="IC86" s="38"/>
      <c r="ID86" s="38"/>
      <c r="IE86" s="38"/>
      <c r="IF86" s="38"/>
      <c r="IG86" s="38"/>
      <c r="IH86" s="38"/>
      <c r="II86" s="38"/>
      <c r="IJ86" s="38"/>
      <c r="IK86" s="38"/>
      <c r="IL86" s="38"/>
      <c r="IM86" s="38"/>
      <c r="IN86" s="38"/>
      <c r="IO86" s="38"/>
      <c r="IP86" s="38"/>
      <c r="IQ86" s="38"/>
      <c r="IR86" s="38"/>
      <c r="IS86" s="38"/>
      <c r="IT86" s="38"/>
    </row>
    <row r="87" spans="1:254" x14ac:dyDescent="0.2">
      <c r="B87" s="75"/>
      <c r="C87" s="82"/>
      <c r="D87" s="95" t="s">
        <v>414</v>
      </c>
      <c r="E87" s="82"/>
      <c r="F87" s="83"/>
      <c r="G87" s="54"/>
      <c r="H87" s="54">
        <f t="shared" ref="H87:H117" si="37">SUM(I87:J87)</f>
        <v>1700000</v>
      </c>
      <c r="I87" s="54">
        <f t="shared" si="36"/>
        <v>1700000</v>
      </c>
      <c r="J87" s="54"/>
      <c r="K87" s="433">
        <v>700000</v>
      </c>
      <c r="L87" s="433"/>
      <c r="M87" s="433">
        <v>400000</v>
      </c>
      <c r="N87" s="433"/>
      <c r="O87" s="433"/>
      <c r="P87" s="433">
        <v>600000</v>
      </c>
      <c r="Q87" s="455"/>
      <c r="R87" s="455"/>
      <c r="S87" s="455"/>
      <c r="T87" s="455"/>
      <c r="U87" s="455"/>
      <c r="V87" s="455"/>
      <c r="AE87" s="56"/>
      <c r="AF87" s="447"/>
    </row>
    <row r="88" spans="1:254" x14ac:dyDescent="0.2">
      <c r="B88" s="75"/>
      <c r="C88" s="82"/>
      <c r="D88" s="95" t="s">
        <v>395</v>
      </c>
      <c r="E88" s="82"/>
      <c r="F88" s="83"/>
      <c r="G88" s="54"/>
      <c r="H88" s="54">
        <f t="shared" si="37"/>
        <v>166800</v>
      </c>
      <c r="I88" s="54">
        <f t="shared" si="36"/>
        <v>166800</v>
      </c>
      <c r="J88" s="462"/>
      <c r="K88" s="433">
        <f>K87*0.1</f>
        <v>70000</v>
      </c>
      <c r="L88" s="433"/>
      <c r="M88" s="433">
        <f>M87*0.1</f>
        <v>40000</v>
      </c>
      <c r="N88" s="433">
        <v>30000</v>
      </c>
      <c r="O88" s="433"/>
      <c r="P88" s="433">
        <v>26800</v>
      </c>
      <c r="Q88" s="455"/>
      <c r="R88" s="455"/>
      <c r="S88" s="455"/>
      <c r="T88" s="455"/>
      <c r="U88" s="455"/>
      <c r="V88" s="455"/>
    </row>
    <row r="89" spans="1:254" x14ac:dyDescent="0.2">
      <c r="A89" s="38"/>
      <c r="B89" s="75"/>
      <c r="C89" s="82"/>
      <c r="D89" s="95" t="s">
        <v>415</v>
      </c>
      <c r="E89" s="82"/>
      <c r="F89" s="83"/>
      <c r="G89" s="54"/>
      <c r="H89" s="54">
        <f t="shared" si="37"/>
        <v>1200000</v>
      </c>
      <c r="I89" s="54">
        <f t="shared" si="36"/>
        <v>1200000</v>
      </c>
      <c r="J89" s="462"/>
      <c r="K89" s="60"/>
      <c r="L89" s="60"/>
      <c r="M89" s="60"/>
      <c r="N89" s="60"/>
      <c r="O89" s="433"/>
      <c r="P89" s="433"/>
      <c r="Q89" s="433"/>
      <c r="R89" s="433"/>
      <c r="S89" s="455"/>
      <c r="T89" s="455"/>
      <c r="U89" s="455"/>
      <c r="V89" s="455">
        <v>1200000</v>
      </c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  <c r="BK89" s="38"/>
      <c r="BL89" s="38"/>
      <c r="BM89" s="38"/>
      <c r="BN89" s="38"/>
      <c r="BO89" s="38"/>
      <c r="BP89" s="38"/>
      <c r="BQ89" s="38"/>
      <c r="BR89" s="38"/>
      <c r="BS89" s="38"/>
      <c r="BT89" s="38"/>
      <c r="BU89" s="38"/>
      <c r="BV89" s="38"/>
      <c r="BW89" s="38"/>
      <c r="BX89" s="38"/>
      <c r="BY89" s="38"/>
      <c r="BZ89" s="38"/>
      <c r="CA89" s="38"/>
      <c r="CB89" s="38"/>
      <c r="CC89" s="38"/>
      <c r="CD89" s="38"/>
      <c r="CE89" s="38"/>
      <c r="CF89" s="38"/>
      <c r="CG89" s="38"/>
      <c r="CH89" s="38"/>
      <c r="CI89" s="38"/>
      <c r="CJ89" s="38"/>
      <c r="CK89" s="38"/>
      <c r="CL89" s="38"/>
      <c r="CM89" s="38"/>
      <c r="CN89" s="38"/>
      <c r="CO89" s="38"/>
      <c r="CP89" s="38"/>
      <c r="CQ89" s="38"/>
      <c r="CR89" s="38"/>
      <c r="CS89" s="38"/>
      <c r="CT89" s="38"/>
      <c r="CU89" s="38"/>
      <c r="CV89" s="38"/>
      <c r="CW89" s="38"/>
      <c r="CX89" s="38"/>
      <c r="CY89" s="38"/>
      <c r="CZ89" s="38"/>
      <c r="DA89" s="38"/>
      <c r="DB89" s="38"/>
      <c r="DC89" s="38"/>
      <c r="DD89" s="38"/>
      <c r="DE89" s="38"/>
      <c r="DF89" s="38"/>
      <c r="DG89" s="38"/>
      <c r="DH89" s="38"/>
      <c r="DI89" s="38"/>
      <c r="DJ89" s="38"/>
      <c r="DK89" s="38"/>
      <c r="DL89" s="38"/>
      <c r="DM89" s="38"/>
      <c r="DN89" s="38"/>
      <c r="DO89" s="38"/>
      <c r="DP89" s="38"/>
      <c r="DQ89" s="38"/>
      <c r="DR89" s="38"/>
      <c r="DS89" s="38"/>
      <c r="DT89" s="38"/>
      <c r="DU89" s="38"/>
      <c r="DV89" s="38"/>
      <c r="DW89" s="38"/>
      <c r="DX89" s="38"/>
      <c r="DY89" s="38"/>
      <c r="DZ89" s="38"/>
      <c r="EA89" s="38"/>
      <c r="EB89" s="38"/>
      <c r="EC89" s="38"/>
      <c r="ED89" s="38"/>
      <c r="EE89" s="38"/>
      <c r="EF89" s="38"/>
      <c r="EG89" s="38"/>
      <c r="EH89" s="38"/>
      <c r="EI89" s="38"/>
      <c r="EJ89" s="38"/>
      <c r="EK89" s="38"/>
      <c r="EL89" s="38"/>
      <c r="EM89" s="38"/>
      <c r="EN89" s="38"/>
      <c r="EO89" s="38"/>
      <c r="EP89" s="38"/>
      <c r="EQ89" s="38"/>
      <c r="ER89" s="38"/>
      <c r="ES89" s="38"/>
      <c r="ET89" s="38"/>
      <c r="EU89" s="38"/>
      <c r="EV89" s="38"/>
      <c r="EW89" s="38"/>
      <c r="EX89" s="38"/>
      <c r="EY89" s="38"/>
      <c r="EZ89" s="38"/>
      <c r="FA89" s="38"/>
      <c r="FB89" s="38"/>
      <c r="FC89" s="38"/>
      <c r="FD89" s="38"/>
      <c r="FE89" s="38"/>
      <c r="FF89" s="38"/>
      <c r="FG89" s="38"/>
      <c r="FH89" s="38"/>
      <c r="FI89" s="38"/>
      <c r="FJ89" s="38"/>
      <c r="FK89" s="38"/>
      <c r="FL89" s="38"/>
      <c r="FM89" s="38"/>
      <c r="FN89" s="38"/>
      <c r="FO89" s="38"/>
      <c r="FP89" s="38"/>
      <c r="FQ89" s="38"/>
      <c r="FR89" s="38"/>
      <c r="FS89" s="38"/>
      <c r="FT89" s="38"/>
      <c r="FU89" s="38"/>
      <c r="FV89" s="38"/>
      <c r="FW89" s="38"/>
      <c r="FX89" s="38"/>
      <c r="FY89" s="38"/>
      <c r="FZ89" s="38"/>
      <c r="GA89" s="38"/>
      <c r="GB89" s="38"/>
      <c r="GC89" s="38"/>
      <c r="GD89" s="38"/>
      <c r="GE89" s="38"/>
      <c r="GF89" s="38"/>
      <c r="GG89" s="38"/>
      <c r="GH89" s="38"/>
      <c r="GI89" s="38"/>
      <c r="GJ89" s="38"/>
      <c r="GK89" s="38"/>
      <c r="GL89" s="38"/>
      <c r="GM89" s="38"/>
      <c r="GN89" s="38"/>
      <c r="GO89" s="38"/>
      <c r="GP89" s="38"/>
      <c r="GQ89" s="38"/>
      <c r="GR89" s="38"/>
      <c r="GS89" s="38"/>
      <c r="GT89" s="38"/>
      <c r="GU89" s="38"/>
      <c r="GV89" s="38"/>
      <c r="GW89" s="38"/>
      <c r="GX89" s="38"/>
      <c r="GY89" s="38"/>
      <c r="GZ89" s="38"/>
      <c r="HA89" s="38"/>
      <c r="HB89" s="38"/>
      <c r="HC89" s="38"/>
      <c r="HD89" s="38"/>
      <c r="HE89" s="38"/>
      <c r="HF89" s="38"/>
      <c r="HG89" s="38"/>
      <c r="HH89" s="38"/>
      <c r="HI89" s="38"/>
      <c r="HJ89" s="38"/>
      <c r="HK89" s="38"/>
      <c r="HL89" s="38"/>
      <c r="HM89" s="38"/>
      <c r="HN89" s="38"/>
      <c r="HO89" s="38"/>
      <c r="HP89" s="38"/>
      <c r="HQ89" s="38"/>
      <c r="HR89" s="38"/>
      <c r="HS89" s="38"/>
      <c r="HT89" s="38"/>
      <c r="HU89" s="38"/>
      <c r="HV89" s="38"/>
      <c r="HW89" s="38"/>
      <c r="HX89" s="38"/>
      <c r="HY89" s="38"/>
      <c r="HZ89" s="38"/>
      <c r="IA89" s="38"/>
      <c r="IB89" s="38"/>
      <c r="IC89" s="38"/>
      <c r="ID89" s="38"/>
      <c r="IE89" s="38"/>
      <c r="IF89" s="38"/>
      <c r="IG89" s="38"/>
      <c r="IH89" s="38"/>
      <c r="II89" s="38"/>
      <c r="IJ89" s="38"/>
      <c r="IK89" s="38"/>
      <c r="IL89" s="38"/>
      <c r="IM89" s="38"/>
      <c r="IN89" s="38"/>
      <c r="IO89" s="38"/>
      <c r="IP89" s="38"/>
      <c r="IQ89" s="38"/>
      <c r="IR89" s="38"/>
      <c r="IS89" s="38"/>
      <c r="IT89" s="38"/>
    </row>
    <row r="90" spans="1:254" x14ac:dyDescent="0.2">
      <c r="B90" s="75"/>
      <c r="C90" s="82"/>
      <c r="D90" s="95" t="s">
        <v>416</v>
      </c>
      <c r="E90" s="82"/>
      <c r="F90" s="83"/>
      <c r="G90" s="54"/>
      <c r="H90" s="54">
        <f t="shared" si="37"/>
        <v>144000</v>
      </c>
      <c r="I90" s="54">
        <f t="shared" si="36"/>
        <v>144000</v>
      </c>
      <c r="J90" s="54"/>
      <c r="K90" s="60"/>
      <c r="L90" s="60"/>
      <c r="M90" s="60">
        <f>M89*0.1</f>
        <v>0</v>
      </c>
      <c r="N90" s="60"/>
      <c r="O90" s="388">
        <f>O89*0.1</f>
        <v>0</v>
      </c>
      <c r="P90" s="388">
        <f>P89*0.1</f>
        <v>0</v>
      </c>
      <c r="Q90" s="388"/>
      <c r="R90" s="388">
        <f>R89*0.1</f>
        <v>0</v>
      </c>
      <c r="S90" s="455"/>
      <c r="T90" s="455"/>
      <c r="U90" s="455"/>
      <c r="V90" s="455">
        <f>V89*0.12</f>
        <v>144000</v>
      </c>
    </row>
    <row r="91" spans="1:254" x14ac:dyDescent="0.2">
      <c r="B91" s="75"/>
      <c r="C91" s="82"/>
      <c r="D91" s="95" t="s">
        <v>411</v>
      </c>
      <c r="E91" s="82"/>
      <c r="F91" s="83"/>
      <c r="G91" s="54"/>
      <c r="H91" s="54">
        <f t="shared" si="37"/>
        <v>297000</v>
      </c>
      <c r="I91" s="54">
        <f t="shared" si="36"/>
        <v>297000</v>
      </c>
      <c r="J91" s="54"/>
      <c r="K91" s="388">
        <f>1240684*330000/2693000+(330000*0.9-1240684*330000/2693000)/4</f>
        <v>188274.98700334199</v>
      </c>
      <c r="L91" s="388">
        <f>+(330000*0.9-1240684*330000/2693000)/4</f>
        <v>36241.670998886002</v>
      </c>
      <c r="M91" s="388">
        <f>L91</f>
        <v>36241.670998886002</v>
      </c>
      <c r="N91" s="388">
        <f>L91</f>
        <v>36241.670998886002</v>
      </c>
      <c r="O91" s="60"/>
      <c r="P91" s="60"/>
      <c r="Q91" s="60"/>
      <c r="R91" s="60"/>
      <c r="S91" s="60"/>
      <c r="T91" s="60"/>
      <c r="U91" s="60"/>
      <c r="V91" s="60"/>
    </row>
    <row r="92" spans="1:254" x14ac:dyDescent="0.2">
      <c r="B92" s="75"/>
      <c r="C92" s="82"/>
      <c r="D92" s="95" t="s">
        <v>412</v>
      </c>
      <c r="E92" s="82"/>
      <c r="F92" s="83"/>
      <c r="G92" s="54"/>
      <c r="H92" s="54">
        <f t="shared" si="37"/>
        <v>33000</v>
      </c>
      <c r="I92" s="54">
        <f t="shared" si="36"/>
        <v>33000</v>
      </c>
      <c r="J92" s="54"/>
      <c r="K92" s="388">
        <f>330000*0.1/4</f>
        <v>8250</v>
      </c>
      <c r="L92" s="388">
        <f>330000*0.1/4</f>
        <v>8250</v>
      </c>
      <c r="M92" s="388">
        <f>330000*0.1/4</f>
        <v>8250</v>
      </c>
      <c r="N92" s="388">
        <f>330000*0.1/4</f>
        <v>8250</v>
      </c>
      <c r="O92" s="60"/>
      <c r="P92" s="60"/>
      <c r="Q92" s="60"/>
      <c r="R92" s="60"/>
      <c r="S92" s="60"/>
      <c r="T92" s="60"/>
      <c r="U92" s="60"/>
      <c r="V92" s="60"/>
    </row>
    <row r="93" spans="1:254" x14ac:dyDescent="0.2">
      <c r="B93" s="75"/>
      <c r="C93" s="82"/>
      <c r="D93" s="95" t="s">
        <v>413</v>
      </c>
      <c r="E93" s="82"/>
      <c r="F93" s="83"/>
      <c r="G93" s="54"/>
      <c r="H93" s="54">
        <f t="shared" si="37"/>
        <v>630000</v>
      </c>
      <c r="I93" s="54">
        <f t="shared" si="36"/>
        <v>630000</v>
      </c>
      <c r="J93" s="54"/>
      <c r="K93" s="60"/>
      <c r="L93" s="60"/>
      <c r="M93" s="60"/>
      <c r="N93" s="60"/>
      <c r="O93" s="60"/>
      <c r="P93" s="60"/>
      <c r="Q93" s="388">
        <f>1240684*700000/2693000+(700000*0.9-1240684*700000/2693000)/4</f>
        <v>399371.18455254362</v>
      </c>
      <c r="R93" s="388">
        <f>+(700000*0.9-1240684*700000/2693000)/4</f>
        <v>76876.271815818793</v>
      </c>
      <c r="S93" s="388">
        <f>R93</f>
        <v>76876.271815818793</v>
      </c>
      <c r="T93" s="388">
        <f>R93</f>
        <v>76876.271815818793</v>
      </c>
      <c r="U93" s="60"/>
      <c r="V93" s="60"/>
    </row>
    <row r="94" spans="1:254" s="56" customFormat="1" x14ac:dyDescent="0.2">
      <c r="B94" s="103"/>
      <c r="C94" s="109"/>
      <c r="D94" s="95" t="s">
        <v>417</v>
      </c>
      <c r="E94" s="109"/>
      <c r="F94" s="115"/>
      <c r="G94" s="104"/>
      <c r="H94" s="54">
        <f t="shared" si="37"/>
        <v>70000</v>
      </c>
      <c r="I94" s="54">
        <f t="shared" si="36"/>
        <v>70000</v>
      </c>
      <c r="J94" s="104"/>
      <c r="K94" s="60"/>
      <c r="L94" s="60"/>
      <c r="M94" s="60"/>
      <c r="N94" s="60"/>
      <c r="O94" s="60"/>
      <c r="P94" s="60"/>
      <c r="Q94" s="388">
        <f>700000*0.1/4</f>
        <v>17500</v>
      </c>
      <c r="R94" s="388">
        <f>700000*0.1/4</f>
        <v>17500</v>
      </c>
      <c r="S94" s="388">
        <f>700000*0.1/4</f>
        <v>17500</v>
      </c>
      <c r="T94" s="388">
        <f>700000*0.1/4</f>
        <v>17500</v>
      </c>
      <c r="U94" s="114"/>
      <c r="V94" s="114"/>
      <c r="W94"/>
      <c r="X94"/>
      <c r="Y94"/>
      <c r="Z94"/>
      <c r="AA94"/>
      <c r="AB94"/>
      <c r="AC94"/>
      <c r="AD94" s="43"/>
      <c r="AE94" s="43"/>
      <c r="AF94" s="43"/>
      <c r="AG94" s="43"/>
      <c r="AH94" s="43"/>
      <c r="AI94" s="43"/>
      <c r="AJ94" s="43"/>
      <c r="AK94" s="43"/>
      <c r="AL94" s="43"/>
    </row>
    <row r="95" spans="1:254" x14ac:dyDescent="0.2">
      <c r="B95" s="75"/>
      <c r="C95" s="82"/>
      <c r="D95" s="95" t="s">
        <v>486</v>
      </c>
      <c r="E95" s="82"/>
      <c r="F95" s="83"/>
      <c r="G95" s="54"/>
      <c r="H95" s="54">
        <f t="shared" si="37"/>
        <v>719999.99999999988</v>
      </c>
      <c r="I95" s="54">
        <f t="shared" si="36"/>
        <v>719999.99999999988</v>
      </c>
      <c r="J95" s="54"/>
      <c r="K95" s="60"/>
      <c r="L95" s="60"/>
      <c r="M95" s="60"/>
      <c r="N95" s="60"/>
      <c r="O95" s="60"/>
      <c r="P95" s="60"/>
      <c r="Q95" s="388">
        <f>1240684*800000/2693000+(800000*0.9-1240684*800000/2693000)/4</f>
        <v>456424.21091719274</v>
      </c>
      <c r="R95" s="388">
        <f>+(800000*0.9-1240684*800000/2693000)/4</f>
        <v>87858.596360935757</v>
      </c>
      <c r="S95" s="388">
        <f>R95</f>
        <v>87858.596360935757</v>
      </c>
      <c r="T95" s="388">
        <f>R95</f>
        <v>87858.596360935757</v>
      </c>
      <c r="U95" s="60"/>
      <c r="V95" s="60"/>
    </row>
    <row r="96" spans="1:254" x14ac:dyDescent="0.2">
      <c r="B96" s="75"/>
      <c r="C96" s="82"/>
      <c r="D96" s="95" t="s">
        <v>487</v>
      </c>
      <c r="E96" s="82"/>
      <c r="F96" s="83"/>
      <c r="G96" s="54"/>
      <c r="H96" s="54">
        <f t="shared" si="37"/>
        <v>80000</v>
      </c>
      <c r="I96" s="54">
        <f t="shared" si="36"/>
        <v>80000</v>
      </c>
      <c r="J96" s="54"/>
      <c r="K96" s="60"/>
      <c r="L96" s="60"/>
      <c r="M96" s="60"/>
      <c r="N96" s="60"/>
      <c r="O96" s="60"/>
      <c r="P96" s="60"/>
      <c r="Q96" s="388">
        <f>800000*0.1/4</f>
        <v>20000</v>
      </c>
      <c r="R96" s="388">
        <f>800000*0.1/4</f>
        <v>20000</v>
      </c>
      <c r="S96" s="388">
        <f>800000*0.1/4</f>
        <v>20000</v>
      </c>
      <c r="T96" s="388">
        <f>800000*0.1/4</f>
        <v>20000</v>
      </c>
      <c r="U96" s="60"/>
      <c r="V96" s="60"/>
    </row>
    <row r="97" spans="1:254" x14ac:dyDescent="0.2">
      <c r="A97" s="38"/>
      <c r="B97" s="75"/>
      <c r="C97" s="82"/>
      <c r="D97" s="95" t="s">
        <v>488</v>
      </c>
      <c r="E97" s="82"/>
      <c r="F97" s="83"/>
      <c r="G97" s="54"/>
      <c r="H97" s="54">
        <f t="shared" si="37"/>
        <v>540000</v>
      </c>
      <c r="I97" s="54">
        <f t="shared" si="36"/>
        <v>540000</v>
      </c>
      <c r="J97" s="462"/>
      <c r="K97" s="60"/>
      <c r="L97" s="60"/>
      <c r="M97" s="60"/>
      <c r="N97" s="60"/>
      <c r="O97" s="60"/>
      <c r="P97" s="60"/>
      <c r="Q97" s="433">
        <f>1240684*600000/2693000+(600000*0.9-1240684*600000/2693000)/4</f>
        <v>342318.15818789456</v>
      </c>
      <c r="R97" s="433">
        <f>+(600000*0.9-1240684*600000/2693000)/4</f>
        <v>65893.947270701814</v>
      </c>
      <c r="S97" s="433">
        <f>R97</f>
        <v>65893.947270701814</v>
      </c>
      <c r="T97" s="433">
        <f>R97</f>
        <v>65893.947270701814</v>
      </c>
      <c r="U97" s="60"/>
      <c r="V97" s="60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  <c r="BK97" s="38"/>
      <c r="BL97" s="38"/>
      <c r="BM97" s="38"/>
      <c r="BN97" s="38"/>
      <c r="BO97" s="38"/>
      <c r="BP97" s="38"/>
      <c r="BQ97" s="38"/>
      <c r="BR97" s="38"/>
      <c r="BS97" s="38"/>
      <c r="BT97" s="38"/>
      <c r="BU97" s="38"/>
      <c r="BV97" s="38"/>
      <c r="BW97" s="38"/>
      <c r="BX97" s="38"/>
      <c r="BY97" s="38"/>
      <c r="BZ97" s="38"/>
      <c r="CA97" s="38"/>
      <c r="CB97" s="38"/>
      <c r="CC97" s="38"/>
      <c r="CD97" s="38"/>
      <c r="CE97" s="38"/>
      <c r="CF97" s="38"/>
      <c r="CG97" s="38"/>
      <c r="CH97" s="38"/>
      <c r="CI97" s="38"/>
      <c r="CJ97" s="38"/>
      <c r="CK97" s="38"/>
      <c r="CL97" s="38"/>
      <c r="CM97" s="38"/>
      <c r="CN97" s="38"/>
      <c r="CO97" s="38"/>
      <c r="CP97" s="38"/>
      <c r="CQ97" s="38"/>
      <c r="CR97" s="38"/>
      <c r="CS97" s="38"/>
      <c r="CT97" s="38"/>
      <c r="CU97" s="38"/>
      <c r="CV97" s="38"/>
      <c r="CW97" s="38"/>
      <c r="CX97" s="38"/>
      <c r="CY97" s="38"/>
      <c r="CZ97" s="38"/>
      <c r="DA97" s="38"/>
      <c r="DB97" s="38"/>
      <c r="DC97" s="38"/>
      <c r="DD97" s="38"/>
      <c r="DE97" s="38"/>
      <c r="DF97" s="38"/>
      <c r="DG97" s="38"/>
      <c r="DH97" s="38"/>
      <c r="DI97" s="38"/>
      <c r="DJ97" s="38"/>
      <c r="DK97" s="38"/>
      <c r="DL97" s="38"/>
      <c r="DM97" s="38"/>
      <c r="DN97" s="38"/>
      <c r="DO97" s="38"/>
      <c r="DP97" s="38"/>
      <c r="DQ97" s="38"/>
      <c r="DR97" s="38"/>
      <c r="DS97" s="38"/>
      <c r="DT97" s="38"/>
      <c r="DU97" s="38"/>
      <c r="DV97" s="38"/>
      <c r="DW97" s="38"/>
      <c r="DX97" s="38"/>
      <c r="DY97" s="38"/>
      <c r="DZ97" s="38"/>
      <c r="EA97" s="38"/>
      <c r="EB97" s="38"/>
      <c r="EC97" s="38"/>
      <c r="ED97" s="38"/>
      <c r="EE97" s="38"/>
      <c r="EF97" s="38"/>
      <c r="EG97" s="38"/>
      <c r="EH97" s="38"/>
      <c r="EI97" s="38"/>
      <c r="EJ97" s="38"/>
      <c r="EK97" s="38"/>
      <c r="EL97" s="38"/>
      <c r="EM97" s="38"/>
      <c r="EN97" s="38"/>
      <c r="EO97" s="38"/>
      <c r="EP97" s="38"/>
      <c r="EQ97" s="38"/>
      <c r="ER97" s="38"/>
      <c r="ES97" s="38"/>
      <c r="ET97" s="38"/>
      <c r="EU97" s="38"/>
      <c r="EV97" s="38"/>
      <c r="EW97" s="38"/>
      <c r="EX97" s="38"/>
      <c r="EY97" s="38"/>
      <c r="EZ97" s="38"/>
      <c r="FA97" s="38"/>
      <c r="FB97" s="38"/>
      <c r="FC97" s="38"/>
      <c r="FD97" s="38"/>
      <c r="FE97" s="38"/>
      <c r="FF97" s="38"/>
      <c r="FG97" s="38"/>
      <c r="FH97" s="38"/>
      <c r="FI97" s="38"/>
      <c r="FJ97" s="38"/>
      <c r="FK97" s="38"/>
      <c r="FL97" s="38"/>
      <c r="FM97" s="38"/>
      <c r="FN97" s="38"/>
      <c r="FO97" s="38"/>
      <c r="FP97" s="38"/>
      <c r="FQ97" s="38"/>
      <c r="FR97" s="38"/>
      <c r="FS97" s="38"/>
      <c r="FT97" s="38"/>
      <c r="FU97" s="38"/>
      <c r="FV97" s="38"/>
      <c r="FW97" s="38"/>
      <c r="FX97" s="38"/>
      <c r="FY97" s="38"/>
      <c r="FZ97" s="38"/>
      <c r="GA97" s="38"/>
      <c r="GB97" s="38"/>
      <c r="GC97" s="38"/>
      <c r="GD97" s="38"/>
      <c r="GE97" s="38"/>
      <c r="GF97" s="38"/>
      <c r="GG97" s="38"/>
      <c r="GH97" s="38"/>
      <c r="GI97" s="38"/>
      <c r="GJ97" s="38"/>
      <c r="GK97" s="38"/>
      <c r="GL97" s="38"/>
      <c r="GM97" s="38"/>
      <c r="GN97" s="38"/>
      <c r="GO97" s="38"/>
      <c r="GP97" s="38"/>
      <c r="GQ97" s="38"/>
      <c r="GR97" s="38"/>
      <c r="GS97" s="38"/>
      <c r="GT97" s="38"/>
      <c r="GU97" s="38"/>
      <c r="GV97" s="38"/>
      <c r="GW97" s="38"/>
      <c r="GX97" s="38"/>
      <c r="GY97" s="38"/>
      <c r="GZ97" s="38"/>
      <c r="HA97" s="38"/>
      <c r="HB97" s="38"/>
      <c r="HC97" s="38"/>
      <c r="HD97" s="38"/>
      <c r="HE97" s="38"/>
      <c r="HF97" s="38"/>
      <c r="HG97" s="38"/>
      <c r="HH97" s="38"/>
      <c r="HI97" s="38"/>
      <c r="HJ97" s="38"/>
      <c r="HK97" s="38"/>
      <c r="HL97" s="38"/>
      <c r="HM97" s="38"/>
      <c r="HN97" s="38"/>
      <c r="HO97" s="38"/>
      <c r="HP97" s="38"/>
      <c r="HQ97" s="38"/>
      <c r="HR97" s="38"/>
      <c r="HS97" s="38"/>
      <c r="HT97" s="38"/>
      <c r="HU97" s="38"/>
      <c r="HV97" s="38"/>
      <c r="HW97" s="38"/>
      <c r="HX97" s="38"/>
      <c r="HY97" s="38"/>
      <c r="HZ97" s="38"/>
      <c r="IA97" s="38"/>
      <c r="IB97" s="38"/>
      <c r="IC97" s="38"/>
      <c r="ID97" s="38"/>
      <c r="IE97" s="38"/>
      <c r="IF97" s="38"/>
      <c r="IG97" s="38"/>
      <c r="IH97" s="38"/>
      <c r="II97" s="38"/>
      <c r="IJ97" s="38"/>
      <c r="IK97" s="38"/>
      <c r="IL97" s="38"/>
      <c r="IM97" s="38"/>
      <c r="IN97" s="38"/>
      <c r="IO97" s="38"/>
      <c r="IP97" s="38"/>
      <c r="IQ97" s="38"/>
      <c r="IR97" s="38"/>
      <c r="IS97" s="38"/>
      <c r="IT97" s="38"/>
    </row>
    <row r="98" spans="1:254" x14ac:dyDescent="0.2">
      <c r="A98" s="38"/>
      <c r="B98" s="75"/>
      <c r="C98" s="82"/>
      <c r="D98" s="95" t="s">
        <v>489</v>
      </c>
      <c r="E98" s="82"/>
      <c r="F98" s="83"/>
      <c r="G98" s="54"/>
      <c r="H98" s="54">
        <f t="shared" si="37"/>
        <v>60000</v>
      </c>
      <c r="I98" s="54">
        <f t="shared" si="36"/>
        <v>60000</v>
      </c>
      <c r="J98" s="462"/>
      <c r="K98" s="60"/>
      <c r="L98" s="60"/>
      <c r="M98" s="60"/>
      <c r="N98" s="60"/>
      <c r="O98" s="60"/>
      <c r="P98" s="60"/>
      <c r="Q98" s="433">
        <f>600000*0.1/4</f>
        <v>15000</v>
      </c>
      <c r="R98" s="433">
        <f>600000*0.1/4</f>
        <v>15000</v>
      </c>
      <c r="S98" s="433">
        <f>600000*0.1/4</f>
        <v>15000</v>
      </c>
      <c r="T98" s="433">
        <f>600000*0.1/4</f>
        <v>15000</v>
      </c>
      <c r="U98" s="60"/>
      <c r="V98" s="60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  <c r="BK98" s="38"/>
      <c r="BL98" s="38"/>
      <c r="BM98" s="38"/>
      <c r="BN98" s="38"/>
      <c r="BO98" s="38"/>
      <c r="BP98" s="38"/>
      <c r="BQ98" s="38"/>
      <c r="BR98" s="38"/>
      <c r="BS98" s="38"/>
      <c r="BT98" s="38"/>
      <c r="BU98" s="38"/>
      <c r="BV98" s="38"/>
      <c r="BW98" s="38"/>
      <c r="BX98" s="38"/>
      <c r="BY98" s="38"/>
      <c r="BZ98" s="38"/>
      <c r="CA98" s="38"/>
      <c r="CB98" s="38"/>
      <c r="CC98" s="38"/>
      <c r="CD98" s="38"/>
      <c r="CE98" s="38"/>
      <c r="CF98" s="38"/>
      <c r="CG98" s="38"/>
      <c r="CH98" s="38"/>
      <c r="CI98" s="38"/>
      <c r="CJ98" s="38"/>
      <c r="CK98" s="38"/>
      <c r="CL98" s="38"/>
      <c r="CM98" s="38"/>
      <c r="CN98" s="38"/>
      <c r="CO98" s="38"/>
      <c r="CP98" s="38"/>
      <c r="CQ98" s="38"/>
      <c r="CR98" s="38"/>
      <c r="CS98" s="38"/>
      <c r="CT98" s="38"/>
      <c r="CU98" s="38"/>
      <c r="CV98" s="38"/>
      <c r="CW98" s="38"/>
      <c r="CX98" s="38"/>
      <c r="CY98" s="38"/>
      <c r="CZ98" s="38"/>
      <c r="DA98" s="38"/>
      <c r="DB98" s="38"/>
      <c r="DC98" s="38"/>
      <c r="DD98" s="38"/>
      <c r="DE98" s="38"/>
      <c r="DF98" s="38"/>
      <c r="DG98" s="38"/>
      <c r="DH98" s="38"/>
      <c r="DI98" s="38"/>
      <c r="DJ98" s="38"/>
      <c r="DK98" s="38"/>
      <c r="DL98" s="38"/>
      <c r="DM98" s="38"/>
      <c r="DN98" s="38"/>
      <c r="DO98" s="38"/>
      <c r="DP98" s="38"/>
      <c r="DQ98" s="38"/>
      <c r="DR98" s="38"/>
      <c r="DS98" s="38"/>
      <c r="DT98" s="38"/>
      <c r="DU98" s="38"/>
      <c r="DV98" s="38"/>
      <c r="DW98" s="38"/>
      <c r="DX98" s="38"/>
      <c r="DY98" s="38"/>
      <c r="DZ98" s="38"/>
      <c r="EA98" s="38"/>
      <c r="EB98" s="38"/>
      <c r="EC98" s="38"/>
      <c r="ED98" s="38"/>
      <c r="EE98" s="38"/>
      <c r="EF98" s="38"/>
      <c r="EG98" s="38"/>
      <c r="EH98" s="38"/>
      <c r="EI98" s="38"/>
      <c r="EJ98" s="38"/>
      <c r="EK98" s="38"/>
      <c r="EL98" s="38"/>
      <c r="EM98" s="38"/>
      <c r="EN98" s="38"/>
      <c r="EO98" s="38"/>
      <c r="EP98" s="38"/>
      <c r="EQ98" s="38"/>
      <c r="ER98" s="38"/>
      <c r="ES98" s="38"/>
      <c r="ET98" s="38"/>
      <c r="EU98" s="38"/>
      <c r="EV98" s="38"/>
      <c r="EW98" s="38"/>
      <c r="EX98" s="38"/>
      <c r="EY98" s="38"/>
      <c r="EZ98" s="38"/>
      <c r="FA98" s="38"/>
      <c r="FB98" s="38"/>
      <c r="FC98" s="38"/>
      <c r="FD98" s="38"/>
      <c r="FE98" s="38"/>
      <c r="FF98" s="38"/>
      <c r="FG98" s="38"/>
      <c r="FH98" s="38"/>
      <c r="FI98" s="38"/>
      <c r="FJ98" s="38"/>
      <c r="FK98" s="38"/>
      <c r="FL98" s="38"/>
      <c r="FM98" s="38"/>
      <c r="FN98" s="38"/>
      <c r="FO98" s="38"/>
      <c r="FP98" s="38"/>
      <c r="FQ98" s="38"/>
      <c r="FR98" s="38"/>
      <c r="FS98" s="38"/>
      <c r="FT98" s="38"/>
      <c r="FU98" s="38"/>
      <c r="FV98" s="38"/>
      <c r="FW98" s="38"/>
      <c r="FX98" s="38"/>
      <c r="FY98" s="38"/>
      <c r="FZ98" s="38"/>
      <c r="GA98" s="38"/>
      <c r="GB98" s="38"/>
      <c r="GC98" s="38"/>
      <c r="GD98" s="38"/>
      <c r="GE98" s="38"/>
      <c r="GF98" s="38"/>
      <c r="GG98" s="38"/>
      <c r="GH98" s="38"/>
      <c r="GI98" s="38"/>
      <c r="GJ98" s="38"/>
      <c r="GK98" s="38"/>
      <c r="GL98" s="38"/>
      <c r="GM98" s="38"/>
      <c r="GN98" s="38"/>
      <c r="GO98" s="38"/>
      <c r="GP98" s="38"/>
      <c r="GQ98" s="38"/>
      <c r="GR98" s="38"/>
      <c r="GS98" s="38"/>
      <c r="GT98" s="38"/>
      <c r="GU98" s="38"/>
      <c r="GV98" s="38"/>
      <c r="GW98" s="38"/>
      <c r="GX98" s="38"/>
      <c r="GY98" s="38"/>
      <c r="GZ98" s="38"/>
      <c r="HA98" s="38"/>
      <c r="HB98" s="38"/>
      <c r="HC98" s="38"/>
      <c r="HD98" s="38"/>
      <c r="HE98" s="38"/>
      <c r="HF98" s="38"/>
      <c r="HG98" s="38"/>
      <c r="HH98" s="38"/>
      <c r="HI98" s="38"/>
      <c r="HJ98" s="38"/>
      <c r="HK98" s="38"/>
      <c r="HL98" s="38"/>
      <c r="HM98" s="38"/>
      <c r="HN98" s="38"/>
      <c r="HO98" s="38"/>
      <c r="HP98" s="38"/>
      <c r="HQ98" s="38"/>
      <c r="HR98" s="38"/>
      <c r="HS98" s="38"/>
      <c r="HT98" s="38"/>
      <c r="HU98" s="38"/>
      <c r="HV98" s="38"/>
      <c r="HW98" s="38"/>
      <c r="HX98" s="38"/>
      <c r="HY98" s="38"/>
      <c r="HZ98" s="38"/>
      <c r="IA98" s="38"/>
      <c r="IB98" s="38"/>
      <c r="IC98" s="38"/>
      <c r="ID98" s="38"/>
      <c r="IE98" s="38"/>
      <c r="IF98" s="38"/>
      <c r="IG98" s="38"/>
      <c r="IH98" s="38"/>
      <c r="II98" s="38"/>
      <c r="IJ98" s="38"/>
      <c r="IK98" s="38"/>
      <c r="IL98" s="38"/>
      <c r="IM98" s="38"/>
      <c r="IN98" s="38"/>
      <c r="IO98" s="38"/>
      <c r="IP98" s="38"/>
      <c r="IQ98" s="38"/>
      <c r="IR98" s="38"/>
      <c r="IS98" s="38"/>
      <c r="IT98" s="38"/>
    </row>
    <row r="99" spans="1:254" x14ac:dyDescent="0.2">
      <c r="B99" s="75"/>
      <c r="C99" s="82"/>
      <c r="D99" s="95" t="s">
        <v>490</v>
      </c>
      <c r="E99" s="82"/>
      <c r="F99" s="83"/>
      <c r="G99" s="54"/>
      <c r="H99" s="54">
        <f t="shared" si="37"/>
        <v>236700</v>
      </c>
      <c r="I99" s="54">
        <f t="shared" si="36"/>
        <v>236700</v>
      </c>
      <c r="J99" s="54"/>
      <c r="K99" s="60"/>
      <c r="L99" s="60"/>
      <c r="M99" s="60"/>
      <c r="N99" s="60"/>
      <c r="O99" s="60"/>
      <c r="P99" s="60"/>
      <c r="Q99" s="433">
        <f>263000*0.9/4</f>
        <v>59175</v>
      </c>
      <c r="R99" s="433">
        <f>263000*0.9/4</f>
        <v>59175</v>
      </c>
      <c r="S99" s="433">
        <f>263000*0.9/4</f>
        <v>59175</v>
      </c>
      <c r="T99" s="433">
        <f>263000*0.9/4</f>
        <v>59175</v>
      </c>
      <c r="U99" s="60"/>
      <c r="V99" s="60"/>
    </row>
    <row r="100" spans="1:254" x14ac:dyDescent="0.2">
      <c r="B100" s="75"/>
      <c r="C100" s="82"/>
      <c r="D100" s="95" t="s">
        <v>491</v>
      </c>
      <c r="E100" s="82"/>
      <c r="F100" s="83"/>
      <c r="G100" s="54"/>
      <c r="H100" s="54">
        <f t="shared" si="37"/>
        <v>26300</v>
      </c>
      <c r="I100" s="54">
        <f t="shared" si="36"/>
        <v>26300</v>
      </c>
      <c r="J100" s="54"/>
      <c r="K100" s="60"/>
      <c r="L100" s="60"/>
      <c r="M100" s="60"/>
      <c r="N100" s="60"/>
      <c r="O100" s="60"/>
      <c r="P100" s="60"/>
      <c r="Q100" s="388">
        <f>263000*0.1/4</f>
        <v>6575</v>
      </c>
      <c r="R100" s="388">
        <f>263000*0.1/4</f>
        <v>6575</v>
      </c>
      <c r="S100" s="388">
        <f>263000*0.1/4</f>
        <v>6575</v>
      </c>
      <c r="T100" s="388">
        <f>263000*0.1/4</f>
        <v>6575</v>
      </c>
      <c r="U100" s="60"/>
      <c r="V100" s="60"/>
    </row>
    <row r="101" spans="1:254" x14ac:dyDescent="0.2">
      <c r="A101" s="38"/>
      <c r="B101" s="75"/>
      <c r="C101" s="82"/>
      <c r="D101" s="461" t="s">
        <v>582</v>
      </c>
      <c r="E101" s="82"/>
      <c r="F101" s="83"/>
      <c r="G101" s="54"/>
      <c r="H101" s="54">
        <f t="shared" si="37"/>
        <v>12080</v>
      </c>
      <c r="I101" s="54">
        <f t="shared" si="36"/>
        <v>12080</v>
      </c>
      <c r="J101" s="54"/>
      <c r="K101" s="388">
        <f>160*4</f>
        <v>640</v>
      </c>
      <c r="L101" s="388"/>
      <c r="M101" s="455"/>
      <c r="N101" s="455">
        <f>12080-640</f>
        <v>11440</v>
      </c>
      <c r="O101" s="455"/>
      <c r="P101" s="455"/>
      <c r="Q101" s="385"/>
      <c r="R101" s="60"/>
      <c r="S101" s="60"/>
      <c r="T101" s="385"/>
      <c r="U101" s="60"/>
      <c r="V101" s="60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8"/>
      <c r="BS101" s="38"/>
      <c r="BT101" s="38"/>
      <c r="BU101" s="38"/>
      <c r="BV101" s="38"/>
      <c r="BW101" s="38"/>
      <c r="BX101" s="38"/>
      <c r="BY101" s="38"/>
      <c r="BZ101" s="38"/>
      <c r="CA101" s="38"/>
      <c r="CB101" s="38"/>
      <c r="CC101" s="38"/>
      <c r="CD101" s="38"/>
      <c r="CE101" s="38"/>
      <c r="CF101" s="38"/>
      <c r="CG101" s="38"/>
      <c r="CH101" s="38"/>
      <c r="CI101" s="38"/>
      <c r="CJ101" s="38"/>
      <c r="CK101" s="38"/>
      <c r="CL101" s="38"/>
      <c r="CM101" s="38"/>
      <c r="CN101" s="38"/>
      <c r="CO101" s="38"/>
      <c r="CP101" s="38"/>
      <c r="CQ101" s="38"/>
      <c r="CR101" s="38"/>
      <c r="CS101" s="38"/>
      <c r="CT101" s="38"/>
      <c r="CU101" s="38"/>
      <c r="CV101" s="38"/>
      <c r="CW101" s="38"/>
      <c r="CX101" s="38"/>
      <c r="CY101" s="38"/>
      <c r="CZ101" s="38"/>
      <c r="DA101" s="38"/>
      <c r="DB101" s="38"/>
      <c r="DC101" s="38"/>
      <c r="DD101" s="38"/>
      <c r="DE101" s="38"/>
      <c r="DF101" s="38"/>
      <c r="DG101" s="38"/>
      <c r="DH101" s="38"/>
      <c r="DI101" s="38"/>
      <c r="DJ101" s="38"/>
      <c r="DK101" s="38"/>
      <c r="DL101" s="38"/>
      <c r="DM101" s="38"/>
      <c r="DN101" s="38"/>
      <c r="DO101" s="38"/>
      <c r="DP101" s="38"/>
      <c r="DQ101" s="38"/>
      <c r="DR101" s="38"/>
      <c r="DS101" s="38"/>
      <c r="DT101" s="38"/>
      <c r="DU101" s="38"/>
      <c r="DV101" s="38"/>
      <c r="DW101" s="38"/>
      <c r="DX101" s="38"/>
      <c r="DY101" s="38"/>
      <c r="DZ101" s="38"/>
      <c r="EA101" s="38"/>
      <c r="EB101" s="38"/>
      <c r="EC101" s="38"/>
      <c r="ED101" s="38"/>
      <c r="EE101" s="38"/>
      <c r="EF101" s="38"/>
      <c r="EG101" s="38"/>
      <c r="EH101" s="38"/>
      <c r="EI101" s="38"/>
      <c r="EJ101" s="38"/>
      <c r="EK101" s="38"/>
      <c r="EL101" s="38"/>
      <c r="EM101" s="38"/>
      <c r="EN101" s="38"/>
      <c r="EO101" s="38"/>
      <c r="EP101" s="38"/>
      <c r="EQ101" s="38"/>
      <c r="ER101" s="38"/>
      <c r="ES101" s="38"/>
      <c r="ET101" s="38"/>
      <c r="EU101" s="38"/>
      <c r="EV101" s="38"/>
      <c r="EW101" s="38"/>
      <c r="EX101" s="38"/>
      <c r="EY101" s="38"/>
      <c r="EZ101" s="38"/>
      <c r="FA101" s="38"/>
      <c r="FB101" s="38"/>
      <c r="FC101" s="38"/>
      <c r="FD101" s="38"/>
      <c r="FE101" s="38"/>
      <c r="FF101" s="38"/>
      <c r="FG101" s="38"/>
      <c r="FH101" s="38"/>
      <c r="FI101" s="38"/>
      <c r="FJ101" s="38"/>
      <c r="FK101" s="38"/>
      <c r="FL101" s="38"/>
      <c r="FM101" s="38"/>
      <c r="FN101" s="38"/>
      <c r="FO101" s="38"/>
      <c r="FP101" s="38"/>
      <c r="FQ101" s="38"/>
      <c r="FR101" s="38"/>
      <c r="FS101" s="38"/>
      <c r="FT101" s="38"/>
      <c r="FU101" s="38"/>
      <c r="FV101" s="38"/>
      <c r="FW101" s="38"/>
      <c r="FX101" s="38"/>
      <c r="FY101" s="38"/>
      <c r="FZ101" s="38"/>
      <c r="GA101" s="38"/>
      <c r="GB101" s="38"/>
      <c r="GC101" s="38"/>
      <c r="GD101" s="38"/>
      <c r="GE101" s="38"/>
      <c r="GF101" s="38"/>
      <c r="GG101" s="38"/>
      <c r="GH101" s="38"/>
      <c r="GI101" s="38"/>
      <c r="GJ101" s="38"/>
      <c r="GK101" s="38"/>
      <c r="GL101" s="38"/>
      <c r="GM101" s="38"/>
      <c r="GN101" s="38"/>
      <c r="GO101" s="38"/>
      <c r="GP101" s="38"/>
      <c r="GQ101" s="38"/>
      <c r="GR101" s="38"/>
      <c r="GS101" s="38"/>
      <c r="GT101" s="38"/>
      <c r="GU101" s="38"/>
      <c r="GV101" s="38"/>
      <c r="GW101" s="38"/>
      <c r="GX101" s="38"/>
      <c r="GY101" s="38"/>
      <c r="GZ101" s="38"/>
      <c r="HA101" s="38"/>
      <c r="HB101" s="38"/>
      <c r="HC101" s="38"/>
      <c r="HD101" s="38"/>
      <c r="HE101" s="38"/>
      <c r="HF101" s="38"/>
      <c r="HG101" s="38"/>
      <c r="HH101" s="38"/>
      <c r="HI101" s="38"/>
      <c r="HJ101" s="38"/>
      <c r="HK101" s="38"/>
      <c r="HL101" s="38"/>
      <c r="HM101" s="38"/>
      <c r="HN101" s="38"/>
      <c r="HO101" s="38"/>
      <c r="HP101" s="38"/>
      <c r="HQ101" s="38"/>
      <c r="HR101" s="38"/>
      <c r="HS101" s="38"/>
      <c r="HT101" s="38"/>
      <c r="HU101" s="38"/>
      <c r="HV101" s="38"/>
      <c r="HW101" s="38"/>
      <c r="HX101" s="38"/>
      <c r="HY101" s="38"/>
      <c r="HZ101" s="38"/>
      <c r="IA101" s="38"/>
      <c r="IB101" s="38"/>
      <c r="IC101" s="38"/>
      <c r="ID101" s="38"/>
      <c r="IE101" s="38"/>
      <c r="IF101" s="38"/>
      <c r="IG101" s="38"/>
      <c r="IH101" s="38"/>
      <c r="II101" s="38"/>
      <c r="IJ101" s="38"/>
      <c r="IK101" s="38"/>
      <c r="IL101" s="38"/>
      <c r="IM101" s="38"/>
      <c r="IN101" s="38"/>
      <c r="IO101" s="38"/>
      <c r="IP101" s="38"/>
      <c r="IQ101" s="38"/>
      <c r="IR101" s="38"/>
      <c r="IS101" s="38"/>
      <c r="IT101" s="38"/>
    </row>
    <row r="102" spans="1:254" s="56" customFormat="1" x14ac:dyDescent="0.2">
      <c r="B102" s="103"/>
      <c r="C102" s="109"/>
      <c r="D102" s="95" t="s">
        <v>217</v>
      </c>
      <c r="E102" s="94"/>
      <c r="F102" s="96">
        <v>1</v>
      </c>
      <c r="G102" s="54"/>
      <c r="H102" s="54">
        <f t="shared" si="37"/>
        <v>18431.359375</v>
      </c>
      <c r="I102" s="54">
        <f t="shared" si="36"/>
        <v>18431.359375</v>
      </c>
      <c r="J102" s="54"/>
      <c r="K102" s="97">
        <f>90739/64</f>
        <v>1417.796875</v>
      </c>
      <c r="L102" s="97">
        <f>90739/64</f>
        <v>1417.796875</v>
      </c>
      <c r="M102" s="97">
        <f>90739/64</f>
        <v>1417.796875</v>
      </c>
      <c r="N102" s="97">
        <f>90739/64</f>
        <v>1417.796875</v>
      </c>
      <c r="O102" s="97">
        <f>90739/64</f>
        <v>1417.796875</v>
      </c>
      <c r="P102" s="97">
        <f t="shared" ref="P102:U102" si="38">90739/64</f>
        <v>1417.796875</v>
      </c>
      <c r="Q102" s="97">
        <f t="shared" si="38"/>
        <v>1417.796875</v>
      </c>
      <c r="R102" s="97">
        <f t="shared" si="38"/>
        <v>1417.796875</v>
      </c>
      <c r="S102" s="97">
        <f t="shared" si="38"/>
        <v>1417.796875</v>
      </c>
      <c r="T102" s="97">
        <f t="shared" si="38"/>
        <v>1417.796875</v>
      </c>
      <c r="U102" s="97">
        <f t="shared" si="38"/>
        <v>1417.796875</v>
      </c>
      <c r="V102" s="97">
        <f>U102*2</f>
        <v>2835.59375</v>
      </c>
      <c r="W102"/>
      <c r="X102"/>
      <c r="Y102"/>
      <c r="Z102"/>
      <c r="AA102"/>
      <c r="AB102"/>
      <c r="AC102"/>
      <c r="AD102" s="43"/>
      <c r="AE102" s="43"/>
      <c r="AF102" s="43"/>
      <c r="AG102" s="43"/>
      <c r="AH102" s="43"/>
      <c r="AI102" s="43"/>
      <c r="AJ102" s="43"/>
      <c r="AK102" s="43"/>
      <c r="AL102" s="43"/>
    </row>
    <row r="103" spans="1:254" s="111" customFormat="1" x14ac:dyDescent="0.2">
      <c r="B103" s="93"/>
      <c r="C103" s="94"/>
      <c r="D103" s="95" t="s">
        <v>303</v>
      </c>
      <c r="E103" s="94"/>
      <c r="F103" s="96">
        <v>2</v>
      </c>
      <c r="G103" s="112"/>
      <c r="H103" s="54">
        <f t="shared" si="37"/>
        <v>33607.3125</v>
      </c>
      <c r="I103" s="54">
        <f t="shared" si="36"/>
        <v>33607.3125</v>
      </c>
      <c r="J103" s="113"/>
      <c r="K103" s="97">
        <f>86418*2/64</f>
        <v>2700.5625</v>
      </c>
      <c r="L103" s="97">
        <f>86418*2/64</f>
        <v>2700.5625</v>
      </c>
      <c r="M103" s="97">
        <f>86418*2/64</f>
        <v>2700.5625</v>
      </c>
      <c r="N103" s="97">
        <f>86418*2/64</f>
        <v>2700.5625</v>
      </c>
      <c r="O103" s="97">
        <f>86418*2/64</f>
        <v>2700.5625</v>
      </c>
      <c r="P103" s="97">
        <f t="shared" ref="P103:U103" si="39">80418*2/64</f>
        <v>2513.0625</v>
      </c>
      <c r="Q103" s="97">
        <f t="shared" si="39"/>
        <v>2513.0625</v>
      </c>
      <c r="R103" s="97">
        <f t="shared" si="39"/>
        <v>2513.0625</v>
      </c>
      <c r="S103" s="97">
        <f t="shared" si="39"/>
        <v>2513.0625</v>
      </c>
      <c r="T103" s="97">
        <f t="shared" si="39"/>
        <v>2513.0625</v>
      </c>
      <c r="U103" s="97">
        <f t="shared" si="39"/>
        <v>2513.0625</v>
      </c>
      <c r="V103" s="97">
        <f t="shared" ref="V103:V115" si="40">U103*2</f>
        <v>5026.125</v>
      </c>
      <c r="W103"/>
      <c r="X103"/>
      <c r="Y103"/>
      <c r="Z103"/>
      <c r="AA103"/>
      <c r="AB103"/>
      <c r="AC103"/>
      <c r="AD103" s="43"/>
      <c r="AE103" s="43"/>
      <c r="AF103" s="43"/>
      <c r="AG103" s="43"/>
      <c r="AH103" s="43"/>
      <c r="AI103" s="43"/>
      <c r="AJ103" s="43"/>
      <c r="AK103" s="43"/>
      <c r="AL103" s="43"/>
    </row>
    <row r="104" spans="1:254" s="111" customFormat="1" x14ac:dyDescent="0.2">
      <c r="B104" s="93"/>
      <c r="C104" s="94"/>
      <c r="D104" s="95" t="s">
        <v>324</v>
      </c>
      <c r="E104" s="94"/>
      <c r="F104" s="96">
        <v>1</v>
      </c>
      <c r="G104" s="112"/>
      <c r="H104" s="54">
        <f t="shared" si="37"/>
        <v>15213.25</v>
      </c>
      <c r="I104" s="54">
        <f t="shared" si="36"/>
        <v>15213.25</v>
      </c>
      <c r="J104" s="54"/>
      <c r="K104" s="97">
        <f>74896/64</f>
        <v>1170.25</v>
      </c>
      <c r="L104" s="97">
        <f>74896/64</f>
        <v>1170.25</v>
      </c>
      <c r="M104" s="97">
        <f>74896/64</f>
        <v>1170.25</v>
      </c>
      <c r="N104" s="97">
        <f>74896/64</f>
        <v>1170.25</v>
      </c>
      <c r="O104" s="97">
        <f>74896/64</f>
        <v>1170.25</v>
      </c>
      <c r="P104" s="97">
        <f t="shared" ref="P104:U104" si="41">74896/64</f>
        <v>1170.25</v>
      </c>
      <c r="Q104" s="97">
        <f t="shared" si="41"/>
        <v>1170.25</v>
      </c>
      <c r="R104" s="97">
        <f t="shared" si="41"/>
        <v>1170.25</v>
      </c>
      <c r="S104" s="97">
        <f t="shared" si="41"/>
        <v>1170.25</v>
      </c>
      <c r="T104" s="97">
        <f t="shared" si="41"/>
        <v>1170.25</v>
      </c>
      <c r="U104" s="97">
        <f t="shared" si="41"/>
        <v>1170.25</v>
      </c>
      <c r="V104" s="97">
        <f t="shared" si="40"/>
        <v>2340.5</v>
      </c>
      <c r="W104"/>
      <c r="X104"/>
      <c r="Y104"/>
      <c r="Z104"/>
      <c r="AA104"/>
      <c r="AB104"/>
      <c r="AC104"/>
      <c r="AD104" s="43"/>
      <c r="AE104" s="43"/>
      <c r="AF104" s="43"/>
      <c r="AG104" s="43"/>
      <c r="AH104" s="43"/>
      <c r="AI104" s="43"/>
      <c r="AJ104" s="43"/>
      <c r="AK104" s="43"/>
      <c r="AL104" s="43"/>
    </row>
    <row r="105" spans="1:254" s="111" customFormat="1" x14ac:dyDescent="0.2">
      <c r="B105" s="93"/>
      <c r="C105" s="94"/>
      <c r="D105" s="95" t="s">
        <v>325</v>
      </c>
      <c r="E105" s="94"/>
      <c r="F105" s="96">
        <v>2</v>
      </c>
      <c r="G105" s="112"/>
      <c r="H105" s="54">
        <f t="shared" si="37"/>
        <v>26222.21875</v>
      </c>
      <c r="I105" s="54">
        <f t="shared" si="36"/>
        <v>26222.21875</v>
      </c>
      <c r="J105" s="54"/>
      <c r="K105" s="97">
        <f>64547*2/64</f>
        <v>2017.09375</v>
      </c>
      <c r="L105" s="97">
        <f>64547*2/64</f>
        <v>2017.09375</v>
      </c>
      <c r="M105" s="97">
        <f>64547*2/64</f>
        <v>2017.09375</v>
      </c>
      <c r="N105" s="97">
        <f>64547*2/64</f>
        <v>2017.09375</v>
      </c>
      <c r="O105" s="97">
        <f>64547*2/64</f>
        <v>2017.09375</v>
      </c>
      <c r="P105" s="97">
        <f t="shared" ref="P105:U105" si="42">64547*2/64</f>
        <v>2017.09375</v>
      </c>
      <c r="Q105" s="97">
        <f t="shared" si="42"/>
        <v>2017.09375</v>
      </c>
      <c r="R105" s="97">
        <f t="shared" si="42"/>
        <v>2017.09375</v>
      </c>
      <c r="S105" s="97">
        <f t="shared" si="42"/>
        <v>2017.09375</v>
      </c>
      <c r="T105" s="97">
        <f t="shared" si="42"/>
        <v>2017.09375</v>
      </c>
      <c r="U105" s="97">
        <f t="shared" si="42"/>
        <v>2017.09375</v>
      </c>
      <c r="V105" s="97">
        <f t="shared" si="40"/>
        <v>4034.1875</v>
      </c>
      <c r="W105"/>
      <c r="X105"/>
      <c r="Y105"/>
      <c r="Z105"/>
      <c r="AA105"/>
      <c r="AB105"/>
      <c r="AC105"/>
      <c r="AD105" s="43"/>
      <c r="AE105" s="43"/>
      <c r="AF105" s="43"/>
      <c r="AG105" s="43"/>
      <c r="AH105" s="43"/>
      <c r="AI105" s="43"/>
      <c r="AJ105" s="43"/>
      <c r="AK105" s="43"/>
      <c r="AL105" s="43"/>
    </row>
    <row r="106" spans="1:254" s="111" customFormat="1" ht="13.5" customHeight="1" x14ac:dyDescent="0.2">
      <c r="B106" s="93"/>
      <c r="C106" s="110"/>
      <c r="D106" s="95" t="s">
        <v>201</v>
      </c>
      <c r="E106" s="94"/>
      <c r="F106" s="96">
        <v>5</v>
      </c>
      <c r="G106" s="112"/>
      <c r="H106" s="54">
        <f t="shared" si="37"/>
        <v>58296.875</v>
      </c>
      <c r="I106" s="54">
        <f t="shared" si="36"/>
        <v>58296.875</v>
      </c>
      <c r="J106" s="54"/>
      <c r="K106" s="97">
        <f>57400*5/64</f>
        <v>4484.375</v>
      </c>
      <c r="L106" s="97">
        <f>57400*5/64</f>
        <v>4484.375</v>
      </c>
      <c r="M106" s="97">
        <f>57400*5/64</f>
        <v>4484.375</v>
      </c>
      <c r="N106" s="97">
        <f>57400*5/64</f>
        <v>4484.375</v>
      </c>
      <c r="O106" s="97">
        <f>57400*5/64</f>
        <v>4484.375</v>
      </c>
      <c r="P106" s="97">
        <f t="shared" ref="P106:U106" si="43">57400*5/64</f>
        <v>4484.375</v>
      </c>
      <c r="Q106" s="97">
        <f t="shared" si="43"/>
        <v>4484.375</v>
      </c>
      <c r="R106" s="97">
        <f t="shared" si="43"/>
        <v>4484.375</v>
      </c>
      <c r="S106" s="97">
        <f t="shared" si="43"/>
        <v>4484.375</v>
      </c>
      <c r="T106" s="97">
        <f t="shared" si="43"/>
        <v>4484.375</v>
      </c>
      <c r="U106" s="97">
        <f t="shared" si="43"/>
        <v>4484.375</v>
      </c>
      <c r="V106" s="97">
        <f t="shared" si="40"/>
        <v>8968.75</v>
      </c>
      <c r="W106"/>
      <c r="X106"/>
      <c r="Y106"/>
      <c r="Z106"/>
      <c r="AA106"/>
      <c r="AB106"/>
      <c r="AC106"/>
      <c r="AD106" s="43"/>
      <c r="AE106" s="43"/>
      <c r="AF106" s="43"/>
      <c r="AG106" s="43"/>
      <c r="AH106" s="43"/>
      <c r="AI106" s="43"/>
      <c r="AJ106" s="43"/>
      <c r="AK106" s="43"/>
      <c r="AL106" s="43"/>
    </row>
    <row r="107" spans="1:254" s="111" customFormat="1" ht="13.5" customHeight="1" x14ac:dyDescent="0.2">
      <c r="B107" s="93"/>
      <c r="C107" s="110"/>
      <c r="D107" s="95" t="s">
        <v>201</v>
      </c>
      <c r="E107" s="94"/>
      <c r="F107" s="96">
        <v>2</v>
      </c>
      <c r="G107" s="112"/>
      <c r="H107" s="54">
        <f t="shared" si="37"/>
        <v>24399.375</v>
      </c>
      <c r="I107" s="54">
        <f t="shared" si="36"/>
        <v>24399.375</v>
      </c>
      <c r="J107" s="54"/>
      <c r="K107" s="97">
        <f>60060*2/64</f>
        <v>1876.875</v>
      </c>
      <c r="L107" s="97">
        <f>60060*2/64</f>
        <v>1876.875</v>
      </c>
      <c r="M107" s="97">
        <f>60060*2/64</f>
        <v>1876.875</v>
      </c>
      <c r="N107" s="97">
        <f>60060*2/64</f>
        <v>1876.875</v>
      </c>
      <c r="O107" s="97">
        <f>60060*2/64</f>
        <v>1876.875</v>
      </c>
      <c r="P107" s="97">
        <f t="shared" ref="P107:U107" si="44">60060*2/64</f>
        <v>1876.875</v>
      </c>
      <c r="Q107" s="97">
        <f t="shared" si="44"/>
        <v>1876.875</v>
      </c>
      <c r="R107" s="97">
        <f t="shared" si="44"/>
        <v>1876.875</v>
      </c>
      <c r="S107" s="97">
        <f t="shared" si="44"/>
        <v>1876.875</v>
      </c>
      <c r="T107" s="97">
        <f t="shared" si="44"/>
        <v>1876.875</v>
      </c>
      <c r="U107" s="97">
        <f t="shared" si="44"/>
        <v>1876.875</v>
      </c>
      <c r="V107" s="97">
        <f t="shared" si="40"/>
        <v>3753.75</v>
      </c>
      <c r="W107"/>
      <c r="X107"/>
      <c r="Y107"/>
      <c r="Z107"/>
      <c r="AA107"/>
      <c r="AB107"/>
      <c r="AC107"/>
      <c r="AD107" s="43"/>
      <c r="AE107" s="43"/>
      <c r="AF107" s="43"/>
      <c r="AG107" s="43"/>
      <c r="AH107" s="43"/>
      <c r="AI107" s="43"/>
      <c r="AJ107" s="43"/>
      <c r="AK107" s="43"/>
      <c r="AL107" s="43"/>
    </row>
    <row r="108" spans="1:254" s="56" customFormat="1" ht="13.5" customHeight="1" x14ac:dyDescent="0.2">
      <c r="B108" s="103"/>
      <c r="C108" s="109"/>
      <c r="D108" s="95" t="s">
        <v>329</v>
      </c>
      <c r="E108" s="94"/>
      <c r="F108" s="96">
        <v>3</v>
      </c>
      <c r="G108" s="54"/>
      <c r="H108" s="54">
        <f t="shared" si="37"/>
        <v>16656.25</v>
      </c>
      <c r="I108" s="54">
        <f t="shared" si="36"/>
        <v>16656.25</v>
      </c>
      <c r="J108" s="54"/>
      <c r="K108" s="97">
        <f>82000/64</f>
        <v>1281.25</v>
      </c>
      <c r="L108" s="97">
        <f>82000/64</f>
        <v>1281.25</v>
      </c>
      <c r="M108" s="97">
        <f>82000/64</f>
        <v>1281.25</v>
      </c>
      <c r="N108" s="97">
        <f>82000/64</f>
        <v>1281.25</v>
      </c>
      <c r="O108" s="97">
        <f>82000/64</f>
        <v>1281.25</v>
      </c>
      <c r="P108" s="97">
        <f t="shared" ref="P108:U108" si="45">82000/64</f>
        <v>1281.25</v>
      </c>
      <c r="Q108" s="97">
        <f t="shared" si="45"/>
        <v>1281.25</v>
      </c>
      <c r="R108" s="97">
        <f t="shared" si="45"/>
        <v>1281.25</v>
      </c>
      <c r="S108" s="97">
        <f t="shared" si="45"/>
        <v>1281.25</v>
      </c>
      <c r="T108" s="97">
        <f t="shared" si="45"/>
        <v>1281.25</v>
      </c>
      <c r="U108" s="97">
        <f t="shared" si="45"/>
        <v>1281.25</v>
      </c>
      <c r="V108" s="97">
        <f t="shared" si="40"/>
        <v>2562.5</v>
      </c>
      <c r="W108"/>
      <c r="X108"/>
      <c r="Y108"/>
      <c r="Z108"/>
      <c r="AA108"/>
      <c r="AB108"/>
      <c r="AC108"/>
      <c r="AD108" s="43"/>
      <c r="AE108" s="43"/>
      <c r="AF108" s="43"/>
      <c r="AG108" s="43"/>
      <c r="AH108" s="43"/>
      <c r="AI108" s="43"/>
      <c r="AJ108" s="43"/>
      <c r="AK108" s="43"/>
      <c r="AL108" s="43"/>
    </row>
    <row r="109" spans="1:254" s="56" customFormat="1" ht="13.5" customHeight="1" x14ac:dyDescent="0.2">
      <c r="B109" s="103"/>
      <c r="C109" s="116"/>
      <c r="D109" s="95" t="s">
        <v>211</v>
      </c>
      <c r="E109" s="94"/>
      <c r="F109" s="96">
        <v>3</v>
      </c>
      <c r="G109" s="54"/>
      <c r="H109" s="54">
        <f t="shared" si="37"/>
        <v>16534.984375</v>
      </c>
      <c r="I109" s="54">
        <f t="shared" si="36"/>
        <v>16534.984375</v>
      </c>
      <c r="J109" s="54"/>
      <c r="K109" s="97">
        <f>81403/64</f>
        <v>1271.921875</v>
      </c>
      <c r="L109" s="97">
        <f>81403/64</f>
        <v>1271.921875</v>
      </c>
      <c r="M109" s="97">
        <f>81403/64</f>
        <v>1271.921875</v>
      </c>
      <c r="N109" s="97">
        <f>81403/64</f>
        <v>1271.921875</v>
      </c>
      <c r="O109" s="97">
        <f>81403/64</f>
        <v>1271.921875</v>
      </c>
      <c r="P109" s="97">
        <f t="shared" ref="P109:U109" si="46">81403/64</f>
        <v>1271.921875</v>
      </c>
      <c r="Q109" s="97">
        <f t="shared" si="46"/>
        <v>1271.921875</v>
      </c>
      <c r="R109" s="97">
        <f t="shared" si="46"/>
        <v>1271.921875</v>
      </c>
      <c r="S109" s="97">
        <f t="shared" si="46"/>
        <v>1271.921875</v>
      </c>
      <c r="T109" s="97">
        <f t="shared" si="46"/>
        <v>1271.921875</v>
      </c>
      <c r="U109" s="97">
        <f t="shared" si="46"/>
        <v>1271.921875</v>
      </c>
      <c r="V109" s="97">
        <f t="shared" si="40"/>
        <v>2543.84375</v>
      </c>
      <c r="W109"/>
      <c r="X109"/>
      <c r="Y109"/>
      <c r="Z109"/>
      <c r="AA109"/>
      <c r="AB109"/>
      <c r="AC109"/>
      <c r="AD109" s="43"/>
      <c r="AE109" s="43"/>
      <c r="AF109" s="43"/>
      <c r="AG109" s="43"/>
      <c r="AH109" s="43"/>
      <c r="AI109" s="43"/>
      <c r="AJ109" s="43"/>
      <c r="AK109" s="43"/>
      <c r="AL109" s="43"/>
    </row>
    <row r="110" spans="1:254" s="56" customFormat="1" ht="13.5" customHeight="1" x14ac:dyDescent="0.2">
      <c r="B110" s="103"/>
      <c r="C110" s="109"/>
      <c r="D110" s="95" t="s">
        <v>216</v>
      </c>
      <c r="E110" s="94"/>
      <c r="F110" s="96">
        <v>3</v>
      </c>
      <c r="G110" s="54"/>
      <c r="H110" s="54">
        <f t="shared" si="37"/>
        <v>7833</v>
      </c>
      <c r="I110" s="54">
        <f t="shared" si="36"/>
        <v>7833</v>
      </c>
      <c r="J110" s="54"/>
      <c r="K110" s="97">
        <v>600</v>
      </c>
      <c r="L110" s="97">
        <v>600</v>
      </c>
      <c r="M110" s="97">
        <v>600</v>
      </c>
      <c r="N110" s="97">
        <v>600</v>
      </c>
      <c r="O110" s="97">
        <v>600</v>
      </c>
      <c r="P110" s="97">
        <v>601</v>
      </c>
      <c r="Q110" s="97">
        <v>602</v>
      </c>
      <c r="R110" s="97">
        <v>603</v>
      </c>
      <c r="S110" s="97">
        <v>604</v>
      </c>
      <c r="T110" s="97">
        <v>605</v>
      </c>
      <c r="U110" s="97">
        <v>606</v>
      </c>
      <c r="V110" s="97">
        <f t="shared" si="40"/>
        <v>1212</v>
      </c>
      <c r="W110"/>
      <c r="X110"/>
      <c r="Y110"/>
      <c r="Z110"/>
      <c r="AA110"/>
      <c r="AB110"/>
      <c r="AC110"/>
      <c r="AD110" s="43"/>
      <c r="AE110" s="43"/>
      <c r="AF110" s="43"/>
      <c r="AG110" s="43"/>
      <c r="AH110" s="43"/>
      <c r="AI110" s="43"/>
      <c r="AJ110" s="43"/>
      <c r="AK110" s="43"/>
      <c r="AL110" s="43"/>
    </row>
    <row r="111" spans="1:254" s="56" customFormat="1" ht="15.95" customHeight="1" x14ac:dyDescent="0.2">
      <c r="B111" s="103"/>
      <c r="C111" s="109"/>
      <c r="D111" s="95" t="s">
        <v>210</v>
      </c>
      <c r="E111" s="94"/>
      <c r="F111" s="96">
        <v>3</v>
      </c>
      <c r="G111" s="54"/>
      <c r="H111" s="54">
        <f t="shared" si="37"/>
        <v>2979.84375</v>
      </c>
      <c r="I111" s="54">
        <f t="shared" si="36"/>
        <v>2979.84375</v>
      </c>
      <c r="J111" s="54"/>
      <c r="K111" s="97">
        <f>14670/64</f>
        <v>229.21875</v>
      </c>
      <c r="L111" s="97">
        <f>14670/64</f>
        <v>229.21875</v>
      </c>
      <c r="M111" s="97">
        <f>14670/64</f>
        <v>229.21875</v>
      </c>
      <c r="N111" s="97">
        <f>14670/64</f>
        <v>229.21875</v>
      </c>
      <c r="O111" s="97">
        <f>14670/64</f>
        <v>229.21875</v>
      </c>
      <c r="P111" s="97">
        <f t="shared" ref="P111:U111" si="47">14670/64</f>
        <v>229.21875</v>
      </c>
      <c r="Q111" s="97">
        <f t="shared" si="47"/>
        <v>229.21875</v>
      </c>
      <c r="R111" s="97">
        <f t="shared" si="47"/>
        <v>229.21875</v>
      </c>
      <c r="S111" s="97">
        <f t="shared" si="47"/>
        <v>229.21875</v>
      </c>
      <c r="T111" s="97">
        <f t="shared" si="47"/>
        <v>229.21875</v>
      </c>
      <c r="U111" s="97">
        <f t="shared" si="47"/>
        <v>229.21875</v>
      </c>
      <c r="V111" s="97">
        <f t="shared" si="40"/>
        <v>458.4375</v>
      </c>
      <c r="W111"/>
      <c r="X111"/>
      <c r="Y111"/>
      <c r="Z111"/>
      <c r="AA111"/>
      <c r="AB111"/>
      <c r="AC111"/>
      <c r="AD111" s="43"/>
      <c r="AE111" s="43"/>
      <c r="AF111" s="43"/>
      <c r="AG111" s="43"/>
      <c r="AH111" s="43"/>
      <c r="AI111" s="43"/>
      <c r="AJ111" s="43"/>
      <c r="AK111" s="43"/>
      <c r="AL111" s="43"/>
    </row>
    <row r="112" spans="1:254" s="56" customFormat="1" ht="18" customHeight="1" x14ac:dyDescent="0.2">
      <c r="B112" s="103"/>
      <c r="C112" s="109"/>
      <c r="D112" s="95" t="s">
        <v>212</v>
      </c>
      <c r="E112" s="94"/>
      <c r="F112" s="96">
        <v>4</v>
      </c>
      <c r="G112" s="54"/>
      <c r="H112" s="54">
        <f t="shared" si="37"/>
        <v>19071</v>
      </c>
      <c r="I112" s="54">
        <f t="shared" si="36"/>
        <v>19071</v>
      </c>
      <c r="J112" s="54"/>
      <c r="K112" s="97">
        <f>23472*4/64</f>
        <v>1467</v>
      </c>
      <c r="L112" s="97">
        <f>23472*4/64</f>
        <v>1467</v>
      </c>
      <c r="M112" s="97">
        <f>23472*4/64</f>
        <v>1467</v>
      </c>
      <c r="N112" s="97">
        <f>23472*4/64</f>
        <v>1467</v>
      </c>
      <c r="O112" s="97">
        <f>23472*4/64</f>
        <v>1467</v>
      </c>
      <c r="P112" s="97">
        <f t="shared" ref="P112:U112" si="48">23472*4/64</f>
        <v>1467</v>
      </c>
      <c r="Q112" s="97">
        <f t="shared" si="48"/>
        <v>1467</v>
      </c>
      <c r="R112" s="97">
        <f t="shared" si="48"/>
        <v>1467</v>
      </c>
      <c r="S112" s="97">
        <f t="shared" si="48"/>
        <v>1467</v>
      </c>
      <c r="T112" s="97">
        <f t="shared" si="48"/>
        <v>1467</v>
      </c>
      <c r="U112" s="97">
        <f t="shared" si="48"/>
        <v>1467</v>
      </c>
      <c r="V112" s="97">
        <f t="shared" si="40"/>
        <v>2934</v>
      </c>
      <c r="W112"/>
      <c r="X112"/>
      <c r="Y112"/>
      <c r="Z112"/>
      <c r="AA112"/>
      <c r="AB112"/>
      <c r="AC112"/>
      <c r="AD112" s="43"/>
      <c r="AE112" s="43"/>
      <c r="AF112" s="43"/>
      <c r="AG112" s="43"/>
      <c r="AH112" s="43"/>
      <c r="AI112" s="43"/>
      <c r="AJ112" s="43"/>
      <c r="AK112" s="43"/>
      <c r="AL112" s="43"/>
    </row>
    <row r="113" spans="1:254" s="56" customFormat="1" ht="17.100000000000001" customHeight="1" x14ac:dyDescent="0.2">
      <c r="B113" s="103"/>
      <c r="C113" s="109"/>
      <c r="D113" s="95" t="s">
        <v>250</v>
      </c>
      <c r="E113" s="94"/>
      <c r="F113" s="96">
        <v>4</v>
      </c>
      <c r="G113" s="54"/>
      <c r="H113" s="54">
        <f t="shared" si="37"/>
        <v>10835.5</v>
      </c>
      <c r="I113" s="54">
        <f t="shared" si="36"/>
        <v>10835.5</v>
      </c>
      <c r="J113" s="54"/>
      <c r="K113" s="97">
        <f>13336*4/64</f>
        <v>833.5</v>
      </c>
      <c r="L113" s="97">
        <f>13336*4/64</f>
        <v>833.5</v>
      </c>
      <c r="M113" s="97">
        <f>13336*4/64</f>
        <v>833.5</v>
      </c>
      <c r="N113" s="97">
        <f>13336*4/64</f>
        <v>833.5</v>
      </c>
      <c r="O113" s="97">
        <f>13336*4/64</f>
        <v>833.5</v>
      </c>
      <c r="P113" s="97">
        <f t="shared" ref="P113:U113" si="49">13336*4/64</f>
        <v>833.5</v>
      </c>
      <c r="Q113" s="97">
        <f t="shared" si="49"/>
        <v>833.5</v>
      </c>
      <c r="R113" s="97">
        <f t="shared" si="49"/>
        <v>833.5</v>
      </c>
      <c r="S113" s="97">
        <f t="shared" si="49"/>
        <v>833.5</v>
      </c>
      <c r="T113" s="97">
        <f t="shared" si="49"/>
        <v>833.5</v>
      </c>
      <c r="U113" s="97">
        <f t="shared" si="49"/>
        <v>833.5</v>
      </c>
      <c r="V113" s="97">
        <f t="shared" si="40"/>
        <v>1667</v>
      </c>
      <c r="W113"/>
      <c r="X113"/>
      <c r="Y113"/>
      <c r="Z113"/>
      <c r="AA113"/>
      <c r="AB113"/>
      <c r="AC113"/>
      <c r="AD113" s="43"/>
      <c r="AE113" s="43"/>
      <c r="AF113" s="43"/>
      <c r="AG113" s="43"/>
      <c r="AH113" s="43"/>
      <c r="AI113" s="43"/>
      <c r="AJ113" s="43"/>
      <c r="AK113" s="43"/>
      <c r="AL113" s="43"/>
    </row>
    <row r="114" spans="1:254" s="56" customFormat="1" x14ac:dyDescent="0.2">
      <c r="B114" s="103"/>
      <c r="C114" s="109"/>
      <c r="D114" s="95" t="s">
        <v>242</v>
      </c>
      <c r="E114" s="109"/>
      <c r="F114" s="96">
        <v>1</v>
      </c>
      <c r="G114" s="54"/>
      <c r="H114" s="54">
        <f t="shared" si="37"/>
        <v>20444.53125</v>
      </c>
      <c r="I114" s="54">
        <f t="shared" si="36"/>
        <v>20444.53125</v>
      </c>
      <c r="J114" s="54"/>
      <c r="K114" s="97">
        <f>100650/64</f>
        <v>1572.65625</v>
      </c>
      <c r="L114" s="97">
        <f>100650/64</f>
        <v>1572.65625</v>
      </c>
      <c r="M114" s="97">
        <f>100650/64</f>
        <v>1572.65625</v>
      </c>
      <c r="N114" s="97">
        <f>100650/64</f>
        <v>1572.65625</v>
      </c>
      <c r="O114" s="97">
        <f>100650/64</f>
        <v>1572.65625</v>
      </c>
      <c r="P114" s="97">
        <f t="shared" ref="P114:U114" si="50">100650/64</f>
        <v>1572.65625</v>
      </c>
      <c r="Q114" s="97">
        <f t="shared" si="50"/>
        <v>1572.65625</v>
      </c>
      <c r="R114" s="97">
        <f t="shared" si="50"/>
        <v>1572.65625</v>
      </c>
      <c r="S114" s="97">
        <f t="shared" si="50"/>
        <v>1572.65625</v>
      </c>
      <c r="T114" s="97">
        <f t="shared" si="50"/>
        <v>1572.65625</v>
      </c>
      <c r="U114" s="97">
        <f t="shared" si="50"/>
        <v>1572.65625</v>
      </c>
      <c r="V114" s="97">
        <f t="shared" si="40"/>
        <v>3145.3125</v>
      </c>
      <c r="W114"/>
      <c r="X114"/>
      <c r="Y114"/>
      <c r="Z114"/>
      <c r="AA114"/>
      <c r="AB114"/>
      <c r="AC114"/>
      <c r="AD114" s="43"/>
      <c r="AE114" s="43"/>
      <c r="AF114" s="43"/>
      <c r="AG114" s="43"/>
      <c r="AH114" s="43"/>
      <c r="AI114" s="43"/>
      <c r="AJ114" s="43"/>
      <c r="AK114" s="43"/>
      <c r="AL114" s="43"/>
    </row>
    <row r="115" spans="1:254" s="111" customFormat="1" x14ac:dyDescent="0.2">
      <c r="B115" s="93"/>
      <c r="C115" s="94"/>
      <c r="D115" s="95" t="s">
        <v>245</v>
      </c>
      <c r="E115" s="94"/>
      <c r="F115" s="96">
        <v>1</v>
      </c>
      <c r="G115" s="112"/>
      <c r="H115" s="54">
        <f t="shared" si="37"/>
        <v>7801.421875</v>
      </c>
      <c r="I115" s="54">
        <f t="shared" si="36"/>
        <v>7801.421875</v>
      </c>
      <c r="J115" s="54"/>
      <c r="K115" s="97">
        <f>(86418-48011)/64</f>
        <v>600.109375</v>
      </c>
      <c r="L115" s="97">
        <f>(86418-48011)/64</f>
        <v>600.109375</v>
      </c>
      <c r="M115" s="97">
        <f>(86418-48011)/64</f>
        <v>600.109375</v>
      </c>
      <c r="N115" s="97">
        <f>(86418-48011)/64</f>
        <v>600.109375</v>
      </c>
      <c r="O115" s="97">
        <f>(86418-48011)/64</f>
        <v>600.109375</v>
      </c>
      <c r="P115" s="97">
        <f t="shared" ref="P115:U115" si="51">(86418-48011)/64</f>
        <v>600.109375</v>
      </c>
      <c r="Q115" s="97">
        <f t="shared" si="51"/>
        <v>600.109375</v>
      </c>
      <c r="R115" s="97">
        <f t="shared" si="51"/>
        <v>600.109375</v>
      </c>
      <c r="S115" s="97">
        <f t="shared" si="51"/>
        <v>600.109375</v>
      </c>
      <c r="T115" s="97">
        <f t="shared" si="51"/>
        <v>600.109375</v>
      </c>
      <c r="U115" s="97">
        <f t="shared" si="51"/>
        <v>600.109375</v>
      </c>
      <c r="V115" s="97">
        <f t="shared" si="40"/>
        <v>1200.21875</v>
      </c>
      <c r="W115"/>
      <c r="X115"/>
      <c r="Y115"/>
      <c r="Z115"/>
      <c r="AA115"/>
      <c r="AB115"/>
      <c r="AC115"/>
      <c r="AD115" s="43"/>
      <c r="AE115" s="43"/>
      <c r="AF115" s="43"/>
      <c r="AG115" s="43"/>
      <c r="AH115" s="43"/>
      <c r="AI115" s="43"/>
      <c r="AJ115" s="43"/>
      <c r="AK115" s="43"/>
      <c r="AL115" s="43"/>
    </row>
    <row r="116" spans="1:254" s="56" customFormat="1" x14ac:dyDescent="0.2">
      <c r="B116" s="103"/>
      <c r="C116" s="109"/>
      <c r="D116" s="95" t="s">
        <v>200</v>
      </c>
      <c r="E116" s="109"/>
      <c r="F116" s="96"/>
      <c r="G116" s="54"/>
      <c r="H116" s="54">
        <f t="shared" si="37"/>
        <v>1384.6153846153848</v>
      </c>
      <c r="I116" s="54">
        <f t="shared" si="36"/>
        <v>1384.6153846153848</v>
      </c>
      <c r="J116" s="54"/>
      <c r="K116" s="97">
        <f t="shared" ref="K116:V116" si="52">(5000+2500)/65</f>
        <v>115.38461538461539</v>
      </c>
      <c r="L116" s="97">
        <f t="shared" si="52"/>
        <v>115.38461538461539</v>
      </c>
      <c r="M116" s="97">
        <f t="shared" si="52"/>
        <v>115.38461538461539</v>
      </c>
      <c r="N116" s="97">
        <f t="shared" si="52"/>
        <v>115.38461538461539</v>
      </c>
      <c r="O116" s="97">
        <f t="shared" si="52"/>
        <v>115.38461538461539</v>
      </c>
      <c r="P116" s="97">
        <f t="shared" si="52"/>
        <v>115.38461538461539</v>
      </c>
      <c r="Q116" s="97">
        <f t="shared" si="52"/>
        <v>115.38461538461539</v>
      </c>
      <c r="R116" s="97">
        <f t="shared" si="52"/>
        <v>115.38461538461539</v>
      </c>
      <c r="S116" s="97">
        <f t="shared" si="52"/>
        <v>115.38461538461539</v>
      </c>
      <c r="T116" s="97">
        <f t="shared" si="52"/>
        <v>115.38461538461539</v>
      </c>
      <c r="U116" s="97">
        <f t="shared" si="52"/>
        <v>115.38461538461539</v>
      </c>
      <c r="V116" s="97">
        <f t="shared" si="52"/>
        <v>115.38461538461539</v>
      </c>
      <c r="W116"/>
      <c r="X116"/>
      <c r="Y116"/>
      <c r="Z116"/>
      <c r="AA116"/>
      <c r="AB116"/>
      <c r="AC116"/>
      <c r="AD116" s="43"/>
      <c r="AE116" s="43"/>
      <c r="AF116" s="43"/>
      <c r="AG116" s="43"/>
      <c r="AH116" s="43"/>
      <c r="AI116" s="43"/>
      <c r="AJ116" s="43"/>
      <c r="AK116" s="43"/>
      <c r="AL116" s="43"/>
    </row>
    <row r="117" spans="1:254" s="378" customFormat="1" x14ac:dyDescent="0.2">
      <c r="B117" s="374"/>
      <c r="C117" s="375"/>
      <c r="D117" s="95" t="s">
        <v>424</v>
      </c>
      <c r="E117" s="376"/>
      <c r="F117" s="377">
        <v>5</v>
      </c>
      <c r="G117" s="54"/>
      <c r="H117" s="54">
        <f t="shared" si="37"/>
        <v>2056900</v>
      </c>
      <c r="I117" s="54">
        <f t="shared" si="36"/>
        <v>2056900</v>
      </c>
      <c r="J117" s="54"/>
      <c r="K117" s="98"/>
      <c r="L117" s="98"/>
      <c r="N117" s="98"/>
      <c r="O117" s="397">
        <v>2056900</v>
      </c>
      <c r="P117" s="98"/>
      <c r="Q117" s="98"/>
      <c r="S117" s="98"/>
      <c r="T117" s="98"/>
      <c r="U117" s="98"/>
      <c r="V117" s="98"/>
      <c r="W117"/>
      <c r="X117"/>
      <c r="Y117"/>
      <c r="Z117"/>
      <c r="AA117"/>
      <c r="AB117"/>
      <c r="AC117"/>
      <c r="AD117" s="43"/>
      <c r="AE117" s="43"/>
      <c r="AF117" s="43"/>
      <c r="AG117" s="43"/>
      <c r="AH117" s="43"/>
      <c r="AI117" s="43"/>
      <c r="AJ117" s="43"/>
      <c r="AK117" s="43"/>
      <c r="AL117" s="43"/>
    </row>
    <row r="118" spans="1:254" s="56" customFormat="1" ht="20.100000000000001" customHeight="1" x14ac:dyDescent="0.2">
      <c r="B118" s="93" t="s">
        <v>184</v>
      </c>
      <c r="C118" s="78">
        <v>12</v>
      </c>
      <c r="D118" s="117" t="s">
        <v>289</v>
      </c>
      <c r="E118" s="117"/>
      <c r="F118" s="101" t="s">
        <v>290</v>
      </c>
      <c r="G118" s="54">
        <v>3273</v>
      </c>
      <c r="H118" s="54">
        <f t="shared" ref="H118:H124" si="53">SUM(K118:V118)</f>
        <v>0</v>
      </c>
      <c r="I118" s="54">
        <f t="shared" ref="I118:I133" si="54">H118</f>
        <v>0</v>
      </c>
      <c r="J118" s="54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/>
      <c r="X118"/>
      <c r="Y118"/>
      <c r="Z118"/>
      <c r="AA118"/>
      <c r="AB118"/>
      <c r="AC118"/>
      <c r="AD118" s="43"/>
      <c r="AE118" s="43"/>
      <c r="AF118" s="43"/>
      <c r="AG118" s="43"/>
      <c r="AH118" s="43"/>
      <c r="AI118" s="43"/>
      <c r="AJ118" s="43"/>
      <c r="AK118" s="43"/>
      <c r="AL118" s="43"/>
    </row>
    <row r="119" spans="1:254" s="56" customFormat="1" ht="17.100000000000001" customHeight="1" x14ac:dyDescent="0.2">
      <c r="B119" s="93" t="s">
        <v>185</v>
      </c>
      <c r="C119" s="78">
        <v>12</v>
      </c>
      <c r="D119" s="117" t="s">
        <v>289</v>
      </c>
      <c r="E119" s="117"/>
      <c r="F119" s="101" t="s">
        <v>96</v>
      </c>
      <c r="G119" s="54">
        <v>498000</v>
      </c>
      <c r="H119" s="54">
        <f t="shared" si="53"/>
        <v>0</v>
      </c>
      <c r="I119" s="54">
        <f t="shared" si="54"/>
        <v>0</v>
      </c>
      <c r="J119" s="54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/>
      <c r="X119"/>
      <c r="Y119"/>
      <c r="Z119"/>
      <c r="AA119"/>
      <c r="AB119"/>
      <c r="AC119"/>
      <c r="AD119" s="43"/>
      <c r="AE119" s="43"/>
      <c r="AF119" s="43"/>
      <c r="AG119" s="43"/>
      <c r="AH119" s="43"/>
      <c r="AI119" s="43"/>
      <c r="AJ119" s="43"/>
      <c r="AK119" s="43"/>
      <c r="AL119" s="43"/>
    </row>
    <row r="120" spans="1:254" s="56" customFormat="1" x14ac:dyDescent="0.2">
      <c r="B120" s="93" t="s">
        <v>184</v>
      </c>
      <c r="C120" s="78">
        <v>13</v>
      </c>
      <c r="D120" s="117" t="s">
        <v>291</v>
      </c>
      <c r="E120" s="118"/>
      <c r="F120" s="119" t="s">
        <v>304</v>
      </c>
      <c r="G120" s="54"/>
      <c r="H120" s="54">
        <f t="shared" si="53"/>
        <v>0</v>
      </c>
      <c r="I120" s="54">
        <f t="shared" si="54"/>
        <v>0</v>
      </c>
      <c r="J120" s="54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/>
      <c r="X120"/>
      <c r="Y120"/>
      <c r="Z120"/>
      <c r="AA120"/>
      <c r="AB120"/>
      <c r="AC120"/>
      <c r="AD120" s="43"/>
      <c r="AE120" s="43"/>
      <c r="AF120" s="43"/>
      <c r="AG120" s="43"/>
      <c r="AH120" s="43"/>
      <c r="AI120" s="43"/>
      <c r="AJ120" s="43"/>
      <c r="AK120" s="43"/>
      <c r="AL120" s="43"/>
    </row>
    <row r="121" spans="1:254" s="56" customFormat="1" x14ac:dyDescent="0.2">
      <c r="B121" s="93" t="s">
        <v>185</v>
      </c>
      <c r="C121" s="78">
        <v>13</v>
      </c>
      <c r="D121" s="610" t="s">
        <v>291</v>
      </c>
      <c r="E121" s="610"/>
      <c r="F121" s="101" t="s">
        <v>96</v>
      </c>
      <c r="G121" s="54">
        <v>231000</v>
      </c>
      <c r="H121" s="54">
        <f t="shared" si="53"/>
        <v>0</v>
      </c>
      <c r="I121" s="54">
        <f t="shared" si="54"/>
        <v>0</v>
      </c>
      <c r="J121" s="54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/>
      <c r="X121"/>
      <c r="Y121"/>
      <c r="Z121"/>
      <c r="AA121"/>
      <c r="AB121"/>
      <c r="AC121"/>
      <c r="AD121" s="43"/>
      <c r="AE121" s="43"/>
      <c r="AF121" s="43"/>
      <c r="AG121" s="43"/>
      <c r="AH121" s="43"/>
      <c r="AI121" s="43"/>
      <c r="AJ121" s="43"/>
      <c r="AK121" s="43"/>
      <c r="AL121" s="43"/>
    </row>
    <row r="122" spans="1:254" s="65" customFormat="1" x14ac:dyDescent="0.2">
      <c r="B122" s="51" t="str">
        <f>B6</f>
        <v>Composante 3</v>
      </c>
      <c r="C122" s="66"/>
      <c r="D122" s="66"/>
      <c r="E122" s="66"/>
      <c r="F122" s="66"/>
      <c r="G122" s="54">
        <f>+G124</f>
        <v>13000000</v>
      </c>
      <c r="H122" s="54">
        <f t="shared" si="53"/>
        <v>6220000</v>
      </c>
      <c r="I122" s="54">
        <f>I125+I129+I132</f>
        <v>6220000</v>
      </c>
      <c r="J122" s="54">
        <f>J125+J129+J132</f>
        <v>0</v>
      </c>
      <c r="K122" s="54">
        <f t="shared" ref="K122:V122" si="55">SUM(K124)</f>
        <v>550000</v>
      </c>
      <c r="L122" s="54">
        <f t="shared" si="55"/>
        <v>500000</v>
      </c>
      <c r="M122" s="54">
        <f t="shared" si="55"/>
        <v>520000</v>
      </c>
      <c r="N122" s="54">
        <f t="shared" si="55"/>
        <v>500000</v>
      </c>
      <c r="O122" s="54">
        <f t="shared" si="55"/>
        <v>500000</v>
      </c>
      <c r="P122" s="54">
        <f t="shared" si="55"/>
        <v>550000</v>
      </c>
      <c r="Q122" s="54">
        <f t="shared" si="55"/>
        <v>500000</v>
      </c>
      <c r="R122" s="54">
        <f t="shared" si="55"/>
        <v>500000</v>
      </c>
      <c r="S122" s="54">
        <f t="shared" si="55"/>
        <v>550000</v>
      </c>
      <c r="T122" s="54">
        <f t="shared" si="55"/>
        <v>500000</v>
      </c>
      <c r="U122" s="54">
        <f t="shared" si="55"/>
        <v>500000</v>
      </c>
      <c r="V122" s="54">
        <f t="shared" si="55"/>
        <v>550000</v>
      </c>
      <c r="W122"/>
      <c r="X122"/>
      <c r="Y122"/>
      <c r="Z122"/>
      <c r="AA122"/>
      <c r="AB122"/>
      <c r="AC122"/>
      <c r="AD122" s="43"/>
      <c r="AE122" s="43"/>
      <c r="AF122" s="43"/>
      <c r="AG122" s="43"/>
      <c r="AH122" s="43"/>
      <c r="AI122" s="43"/>
      <c r="AJ122" s="43"/>
      <c r="AK122" s="43"/>
      <c r="AL122" s="43"/>
    </row>
    <row r="123" spans="1:254" x14ac:dyDescent="0.2">
      <c r="A123"/>
      <c r="B123" s="75" t="s">
        <v>184</v>
      </c>
      <c r="C123" s="78">
        <v>14</v>
      </c>
      <c r="D123" s="610" t="s">
        <v>65</v>
      </c>
      <c r="E123" s="610"/>
      <c r="F123" s="101" t="s">
        <v>69</v>
      </c>
      <c r="G123" s="54">
        <v>1</v>
      </c>
      <c r="H123" s="54">
        <f t="shared" si="53"/>
        <v>0</v>
      </c>
      <c r="I123" s="54">
        <f t="shared" si="54"/>
        <v>0</v>
      </c>
      <c r="J123" s="54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</row>
    <row r="124" spans="1:254" x14ac:dyDescent="0.2">
      <c r="A124"/>
      <c r="B124" s="75" t="s">
        <v>185</v>
      </c>
      <c r="C124" s="78">
        <v>14</v>
      </c>
      <c r="D124" s="610" t="str">
        <f>D123</f>
        <v>Faculté d'Agronomie et Médecine Vétérinaire construite et équipée</v>
      </c>
      <c r="E124" s="610"/>
      <c r="F124" s="101" t="s">
        <v>96</v>
      </c>
      <c r="G124" s="54">
        <v>13000000</v>
      </c>
      <c r="H124" s="54">
        <f t="shared" si="53"/>
        <v>6220000</v>
      </c>
      <c r="I124" s="54">
        <f t="shared" si="54"/>
        <v>6220000</v>
      </c>
      <c r="J124" s="54"/>
      <c r="K124" s="102">
        <f t="shared" ref="K124:V124" si="56">K125+K129+K132</f>
        <v>550000</v>
      </c>
      <c r="L124" s="102">
        <f t="shared" si="56"/>
        <v>500000</v>
      </c>
      <c r="M124" s="102">
        <f t="shared" si="56"/>
        <v>520000</v>
      </c>
      <c r="N124" s="102">
        <f t="shared" si="56"/>
        <v>500000</v>
      </c>
      <c r="O124" s="102">
        <f t="shared" si="56"/>
        <v>500000</v>
      </c>
      <c r="P124" s="102">
        <f t="shared" si="56"/>
        <v>550000</v>
      </c>
      <c r="Q124" s="102">
        <f t="shared" si="56"/>
        <v>500000</v>
      </c>
      <c r="R124" s="102">
        <f t="shared" si="56"/>
        <v>500000</v>
      </c>
      <c r="S124" s="102">
        <f t="shared" si="56"/>
        <v>550000</v>
      </c>
      <c r="T124" s="102">
        <f t="shared" si="56"/>
        <v>500000</v>
      </c>
      <c r="U124" s="102">
        <f t="shared" si="56"/>
        <v>500000</v>
      </c>
      <c r="V124" s="102">
        <f t="shared" si="56"/>
        <v>550000</v>
      </c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</row>
    <row r="125" spans="1:254" s="81" customFormat="1" ht="15.95" customHeight="1" x14ac:dyDescent="0.2">
      <c r="B125" s="75"/>
      <c r="C125" s="82"/>
      <c r="D125" s="99" t="s">
        <v>7</v>
      </c>
      <c r="E125" s="87"/>
      <c r="F125" s="89"/>
      <c r="G125" s="54">
        <f>13000000-G129-G132</f>
        <v>12643000</v>
      </c>
      <c r="H125" s="54">
        <f>J125+I125</f>
        <v>6220000</v>
      </c>
      <c r="I125" s="54">
        <f>SUM(I126:I128)</f>
        <v>6220000</v>
      </c>
      <c r="J125" s="54"/>
      <c r="K125" s="100">
        <f t="shared" ref="K125:V125" si="57">SUM(K126:K128)</f>
        <v>550000</v>
      </c>
      <c r="L125" s="100">
        <f t="shared" si="57"/>
        <v>500000</v>
      </c>
      <c r="M125" s="100">
        <f t="shared" si="57"/>
        <v>520000</v>
      </c>
      <c r="N125" s="100">
        <f t="shared" si="57"/>
        <v>500000</v>
      </c>
      <c r="O125" s="100">
        <f t="shared" si="57"/>
        <v>500000</v>
      </c>
      <c r="P125" s="100">
        <f t="shared" si="57"/>
        <v>550000</v>
      </c>
      <c r="Q125" s="100">
        <f t="shared" si="57"/>
        <v>500000</v>
      </c>
      <c r="R125" s="100">
        <f t="shared" si="57"/>
        <v>500000</v>
      </c>
      <c r="S125" s="100">
        <f t="shared" si="57"/>
        <v>550000</v>
      </c>
      <c r="T125" s="100">
        <f t="shared" si="57"/>
        <v>500000</v>
      </c>
      <c r="U125" s="100">
        <f t="shared" si="57"/>
        <v>500000</v>
      </c>
      <c r="V125" s="100">
        <f t="shared" si="57"/>
        <v>550000</v>
      </c>
      <c r="W125"/>
      <c r="X125"/>
      <c r="Y125"/>
      <c r="Z125"/>
      <c r="AA125"/>
      <c r="AB125"/>
      <c r="AC125"/>
      <c r="AD125" s="43"/>
      <c r="AE125" s="43"/>
      <c r="AF125" s="43"/>
      <c r="AG125" s="43"/>
      <c r="AH125" s="43"/>
      <c r="AI125" s="43"/>
      <c r="AJ125" s="43"/>
      <c r="AK125" s="43"/>
      <c r="AL125" s="43"/>
    </row>
    <row r="126" spans="1:254" x14ac:dyDescent="0.2">
      <c r="A126"/>
      <c r="B126" s="75"/>
      <c r="C126" s="82"/>
      <c r="D126" s="95" t="s">
        <v>168</v>
      </c>
      <c r="E126" s="82"/>
      <c r="F126" s="83"/>
      <c r="G126" s="54"/>
      <c r="H126" s="54">
        <f>J126+I126</f>
        <v>6000000</v>
      </c>
      <c r="I126" s="54">
        <f>SUM(K126:V126)</f>
        <v>6000000</v>
      </c>
      <c r="J126" s="54"/>
      <c r="K126" s="388">
        <v>500000</v>
      </c>
      <c r="L126" s="388">
        <v>500000</v>
      </c>
      <c r="M126" s="388">
        <v>500000</v>
      </c>
      <c r="N126" s="388">
        <v>500000</v>
      </c>
      <c r="O126" s="388">
        <v>500000</v>
      </c>
      <c r="P126" s="388">
        <v>500000</v>
      </c>
      <c r="Q126" s="388">
        <v>500000</v>
      </c>
      <c r="R126" s="388">
        <v>500000</v>
      </c>
      <c r="S126" s="388">
        <v>500000</v>
      </c>
      <c r="T126" s="388">
        <v>500000</v>
      </c>
      <c r="U126" s="388">
        <v>500000</v>
      </c>
      <c r="V126" s="388">
        <v>500000</v>
      </c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</row>
    <row r="127" spans="1:254" x14ac:dyDescent="0.2">
      <c r="A127"/>
      <c r="B127" s="75"/>
      <c r="C127" s="82"/>
      <c r="D127" s="95" t="s">
        <v>193</v>
      </c>
      <c r="E127" s="82"/>
      <c r="F127" s="83"/>
      <c r="G127" s="54"/>
      <c r="H127" s="54">
        <f>J127+I127</f>
        <v>200000</v>
      </c>
      <c r="I127" s="54">
        <f>SUM(K127:V127)</f>
        <v>200000</v>
      </c>
      <c r="J127" s="54"/>
      <c r="K127" s="457">
        <f>K126*0.1</f>
        <v>50000</v>
      </c>
      <c r="L127" s="457"/>
      <c r="M127" s="457"/>
      <c r="N127" s="457"/>
      <c r="O127" s="457"/>
      <c r="P127" s="457">
        <f t="shared" ref="P127:V127" si="58">P126*0.1</f>
        <v>50000</v>
      </c>
      <c r="Q127" s="457"/>
      <c r="R127" s="457"/>
      <c r="S127" s="457">
        <f t="shared" si="58"/>
        <v>50000</v>
      </c>
      <c r="T127" s="457"/>
      <c r="U127" s="457"/>
      <c r="V127" s="457">
        <f t="shared" si="58"/>
        <v>50000</v>
      </c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</row>
    <row r="128" spans="1:254" x14ac:dyDescent="0.2">
      <c r="A128"/>
      <c r="B128" s="75"/>
      <c r="C128" s="82"/>
      <c r="D128" s="95" t="s">
        <v>199</v>
      </c>
      <c r="E128" s="82"/>
      <c r="F128" s="83"/>
      <c r="G128" s="54"/>
      <c r="H128" s="54">
        <f>J128+I128</f>
        <v>20000</v>
      </c>
      <c r="I128" s="54">
        <f>SUM(K128:V128)</f>
        <v>20000</v>
      </c>
      <c r="J128" s="54"/>
      <c r="K128" s="114"/>
      <c r="L128" s="60"/>
      <c r="M128" s="60">
        <v>20000</v>
      </c>
      <c r="N128" s="60"/>
      <c r="O128" s="60"/>
      <c r="P128" s="60"/>
      <c r="Q128" s="60"/>
      <c r="R128" s="60"/>
      <c r="S128" s="60"/>
      <c r="T128" s="60"/>
      <c r="U128" s="60"/>
      <c r="V128" s="60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</row>
    <row r="129" spans="1:254" s="81" customFormat="1" ht="13.5" customHeight="1" x14ac:dyDescent="0.2">
      <c r="B129" s="75"/>
      <c r="C129" s="82"/>
      <c r="D129" s="99" t="s">
        <v>172</v>
      </c>
      <c r="E129" s="87"/>
      <c r="F129" s="89"/>
      <c r="G129" s="54">
        <v>225000</v>
      </c>
      <c r="H129" s="54">
        <f>SUM(H130:H131)</f>
        <v>0</v>
      </c>
      <c r="I129" s="54">
        <f>SUM(I130:I132)</f>
        <v>0</v>
      </c>
      <c r="J129" s="54"/>
      <c r="K129" s="100">
        <f t="shared" ref="K129:V129" si="59">SUM(K130:K131)</f>
        <v>0</v>
      </c>
      <c r="L129" s="100">
        <f t="shared" si="59"/>
        <v>0</v>
      </c>
      <c r="M129" s="100">
        <f t="shared" si="59"/>
        <v>0</v>
      </c>
      <c r="N129" s="100">
        <f t="shared" si="59"/>
        <v>0</v>
      </c>
      <c r="O129" s="100">
        <f t="shared" si="59"/>
        <v>0</v>
      </c>
      <c r="P129" s="100">
        <f t="shared" si="59"/>
        <v>0</v>
      </c>
      <c r="Q129" s="100">
        <f t="shared" si="59"/>
        <v>0</v>
      </c>
      <c r="R129" s="100">
        <f t="shared" si="59"/>
        <v>0</v>
      </c>
      <c r="S129" s="100">
        <f t="shared" si="59"/>
        <v>0</v>
      </c>
      <c r="T129" s="100">
        <f t="shared" si="59"/>
        <v>0</v>
      </c>
      <c r="U129" s="100">
        <f t="shared" si="59"/>
        <v>0</v>
      </c>
      <c r="V129" s="100">
        <f t="shared" si="59"/>
        <v>0</v>
      </c>
      <c r="W129"/>
      <c r="X129"/>
      <c r="Y129"/>
      <c r="Z129"/>
      <c r="AA129"/>
      <c r="AB129"/>
      <c r="AC129"/>
      <c r="AD129" s="43"/>
      <c r="AE129" s="43"/>
      <c r="AF129" s="43"/>
      <c r="AG129" s="43"/>
      <c r="AH129" s="43"/>
      <c r="AI129" s="43"/>
      <c r="AJ129" s="43"/>
      <c r="AK129" s="43"/>
      <c r="AL129" s="43"/>
    </row>
    <row r="130" spans="1:254" x14ac:dyDescent="0.2">
      <c r="A130"/>
      <c r="B130" s="75"/>
      <c r="C130" s="82"/>
      <c r="D130" s="95" t="s">
        <v>169</v>
      </c>
      <c r="E130" s="82"/>
      <c r="F130" s="83"/>
      <c r="G130" s="54"/>
      <c r="H130" s="54">
        <f>SUM(J130:U130)</f>
        <v>0</v>
      </c>
      <c r="I130" s="54">
        <f t="shared" si="54"/>
        <v>0</v>
      </c>
      <c r="J130" s="54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</row>
    <row r="131" spans="1:254" x14ac:dyDescent="0.2">
      <c r="A131"/>
      <c r="B131" s="75"/>
      <c r="C131" s="82"/>
      <c r="D131" s="95" t="s">
        <v>170</v>
      </c>
      <c r="E131" s="82"/>
      <c r="F131" s="83"/>
      <c r="G131" s="54">
        <v>225000</v>
      </c>
      <c r="H131" s="54">
        <f>SUM(J131:U131)</f>
        <v>0</v>
      </c>
      <c r="I131" s="54">
        <f t="shared" si="54"/>
        <v>0</v>
      </c>
      <c r="J131" s="54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</row>
    <row r="132" spans="1:254" s="81" customFormat="1" ht="13.5" customHeight="1" x14ac:dyDescent="0.2">
      <c r="B132" s="75"/>
      <c r="C132" s="82"/>
      <c r="D132" s="99" t="s">
        <v>173</v>
      </c>
      <c r="E132" s="87"/>
      <c r="F132" s="89"/>
      <c r="G132" s="54">
        <v>132000</v>
      </c>
      <c r="H132" s="54">
        <f>SUM(H133)</f>
        <v>0</v>
      </c>
      <c r="I132" s="54">
        <f t="shared" si="54"/>
        <v>0</v>
      </c>
      <c r="J132" s="54"/>
      <c r="K132" s="100">
        <f t="shared" ref="K132:P132" si="60">K133</f>
        <v>0</v>
      </c>
      <c r="L132" s="100">
        <f t="shared" si="60"/>
        <v>0</v>
      </c>
      <c r="M132" s="100">
        <f t="shared" si="60"/>
        <v>0</v>
      </c>
      <c r="N132" s="100">
        <f t="shared" si="60"/>
        <v>0</v>
      </c>
      <c r="O132" s="100">
        <f t="shared" si="60"/>
        <v>0</v>
      </c>
      <c r="P132" s="100">
        <f t="shared" si="60"/>
        <v>0</v>
      </c>
      <c r="Q132" s="100">
        <f t="shared" ref="Q132:V132" si="61">SUM(Q133:Q133)</f>
        <v>0</v>
      </c>
      <c r="R132" s="100">
        <f t="shared" si="61"/>
        <v>0</v>
      </c>
      <c r="S132" s="100">
        <f t="shared" si="61"/>
        <v>0</v>
      </c>
      <c r="T132" s="100">
        <f t="shared" si="61"/>
        <v>0</v>
      </c>
      <c r="U132" s="100">
        <f t="shared" si="61"/>
        <v>0</v>
      </c>
      <c r="V132" s="100">
        <f t="shared" si="61"/>
        <v>0</v>
      </c>
      <c r="W132"/>
      <c r="X132"/>
      <c r="Y132"/>
      <c r="Z132"/>
      <c r="AA132"/>
      <c r="AB132"/>
      <c r="AC132"/>
      <c r="AD132" s="43"/>
      <c r="AE132" s="43"/>
      <c r="AF132" s="43"/>
      <c r="AG132" s="43"/>
      <c r="AH132" s="43"/>
      <c r="AI132" s="43"/>
      <c r="AJ132" s="43"/>
      <c r="AK132" s="43"/>
      <c r="AL132" s="43"/>
    </row>
    <row r="133" spans="1:254" x14ac:dyDescent="0.2">
      <c r="A133"/>
      <c r="B133" s="75"/>
      <c r="C133" s="82"/>
      <c r="D133" s="95" t="s">
        <v>171</v>
      </c>
      <c r="E133" s="82"/>
      <c r="F133" s="83"/>
      <c r="G133" s="54"/>
      <c r="H133" s="54">
        <f>SUM(K133:V133)</f>
        <v>0</v>
      </c>
      <c r="I133" s="54">
        <f t="shared" si="54"/>
        <v>0</v>
      </c>
      <c r="J133" s="54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</row>
    <row r="134" spans="1:254" s="65" customFormat="1" x14ac:dyDescent="0.2">
      <c r="B134" s="51" t="s">
        <v>37</v>
      </c>
      <c r="C134" s="66"/>
      <c r="D134" s="66"/>
      <c r="E134" s="66"/>
      <c r="F134" s="66"/>
      <c r="G134" s="54">
        <v>4200000</v>
      </c>
      <c r="H134" s="54">
        <f>SUM(H135:H168)</f>
        <v>511769.66634424601</v>
      </c>
      <c r="I134" s="54">
        <f>SUM(I135:I168)</f>
        <v>511769.66634424601</v>
      </c>
      <c r="J134" s="54">
        <f>SUM(J135:J163)</f>
        <v>0</v>
      </c>
      <c r="K134" s="54">
        <f>SUM(K135:K168)</f>
        <v>38817.666641865078</v>
      </c>
      <c r="L134" s="54">
        <f t="shared" ref="L134:V134" si="62">SUM(L135:L168)</f>
        <v>42617.666641865078</v>
      </c>
      <c r="M134" s="54">
        <f t="shared" si="62"/>
        <v>38617.666641865078</v>
      </c>
      <c r="N134" s="54">
        <f t="shared" si="62"/>
        <v>45572.666641865078</v>
      </c>
      <c r="O134" s="54">
        <f t="shared" si="62"/>
        <v>38617.666641865078</v>
      </c>
      <c r="P134" s="54">
        <f t="shared" si="62"/>
        <v>38617.666641865078</v>
      </c>
      <c r="Q134" s="54">
        <f t="shared" si="62"/>
        <v>38617.666641865078</v>
      </c>
      <c r="R134" s="54">
        <f t="shared" si="62"/>
        <v>43572.666641865078</v>
      </c>
      <c r="S134" s="54">
        <f t="shared" si="62"/>
        <v>38617.666641865078</v>
      </c>
      <c r="T134" s="54">
        <f t="shared" si="62"/>
        <v>38617.666641865078</v>
      </c>
      <c r="U134" s="54">
        <f t="shared" si="62"/>
        <v>38617.666641865078</v>
      </c>
      <c r="V134" s="54">
        <f t="shared" si="62"/>
        <v>70865.333283730157</v>
      </c>
      <c r="W134"/>
      <c r="X134"/>
      <c r="Y134"/>
      <c r="Z134"/>
      <c r="AA134"/>
      <c r="AB134"/>
      <c r="AC134"/>
      <c r="AD134" s="43"/>
      <c r="AE134" s="43"/>
      <c r="AF134" s="43"/>
      <c r="AG134" s="43"/>
      <c r="AH134" s="43"/>
      <c r="AI134" s="43"/>
      <c r="AJ134" s="43"/>
      <c r="AK134" s="43"/>
      <c r="AL134" s="43"/>
    </row>
    <row r="135" spans="1:254" s="81" customFormat="1" x14ac:dyDescent="0.2">
      <c r="B135" s="75"/>
      <c r="C135" s="82"/>
      <c r="D135" s="95" t="str">
        <f>Gestion!C4</f>
        <v>Coordonnateur</v>
      </c>
      <c r="E135" s="82"/>
      <c r="F135" s="120">
        <f>Gestion!D4</f>
        <v>1</v>
      </c>
      <c r="G135" s="54"/>
      <c r="H135" s="54">
        <f>SUM(I135:J135)</f>
        <v>48337.65625</v>
      </c>
      <c r="I135" s="54">
        <f>SUM(K135:V135)</f>
        <v>48337.65625</v>
      </c>
      <c r="J135" s="54"/>
      <c r="K135" s="98">
        <f>237970/64</f>
        <v>3718.28125</v>
      </c>
      <c r="L135" s="98">
        <f t="shared" ref="L135:U135" si="63">237970/64</f>
        <v>3718.28125</v>
      </c>
      <c r="M135" s="98">
        <f t="shared" si="63"/>
        <v>3718.28125</v>
      </c>
      <c r="N135" s="98">
        <f t="shared" si="63"/>
        <v>3718.28125</v>
      </c>
      <c r="O135" s="98">
        <f t="shared" si="63"/>
        <v>3718.28125</v>
      </c>
      <c r="P135" s="98">
        <f t="shared" si="63"/>
        <v>3718.28125</v>
      </c>
      <c r="Q135" s="98">
        <f t="shared" si="63"/>
        <v>3718.28125</v>
      </c>
      <c r="R135" s="98">
        <f t="shared" si="63"/>
        <v>3718.28125</v>
      </c>
      <c r="S135" s="98">
        <f t="shared" si="63"/>
        <v>3718.28125</v>
      </c>
      <c r="T135" s="98">
        <f t="shared" si="63"/>
        <v>3718.28125</v>
      </c>
      <c r="U135" s="98">
        <f t="shared" si="63"/>
        <v>3718.28125</v>
      </c>
      <c r="V135" s="98">
        <f>U135*2</f>
        <v>7436.5625</v>
      </c>
      <c r="W135"/>
      <c r="X135"/>
      <c r="Y135"/>
      <c r="Z135"/>
      <c r="AA135"/>
      <c r="AB135"/>
      <c r="AC135"/>
      <c r="AD135" s="43"/>
      <c r="AE135" s="43"/>
      <c r="AF135" s="43"/>
      <c r="AG135" s="43"/>
      <c r="AH135" s="43"/>
      <c r="AI135" s="43"/>
      <c r="AJ135" s="43"/>
      <c r="AK135" s="43"/>
      <c r="AL135" s="43"/>
    </row>
    <row r="136" spans="1:254" s="81" customFormat="1" x14ac:dyDescent="0.2">
      <c r="B136" s="75"/>
      <c r="C136" s="82"/>
      <c r="D136" s="95" t="str">
        <f>Gestion!C5</f>
        <v>Coordonnateur adjoint</v>
      </c>
      <c r="E136" s="82"/>
      <c r="F136" s="120">
        <f>Gestion!D5</f>
        <v>1</v>
      </c>
      <c r="G136" s="54"/>
      <c r="H136" s="54">
        <f t="shared" ref="H136:H168" si="64">SUM(I136:J136)</f>
        <v>29256.296875</v>
      </c>
      <c r="I136" s="54">
        <f t="shared" ref="I136:I168" si="65">SUM(K136:V136)</f>
        <v>29256.296875</v>
      </c>
      <c r="J136" s="54"/>
      <c r="K136" s="98">
        <f>144031/64</f>
        <v>2250.484375</v>
      </c>
      <c r="L136" s="98">
        <f t="shared" ref="L136:U136" si="66">144031/64</f>
        <v>2250.484375</v>
      </c>
      <c r="M136" s="98">
        <f t="shared" si="66"/>
        <v>2250.484375</v>
      </c>
      <c r="N136" s="98">
        <f t="shared" si="66"/>
        <v>2250.484375</v>
      </c>
      <c r="O136" s="98">
        <f t="shared" si="66"/>
        <v>2250.484375</v>
      </c>
      <c r="P136" s="98">
        <f t="shared" si="66"/>
        <v>2250.484375</v>
      </c>
      <c r="Q136" s="98">
        <f t="shared" si="66"/>
        <v>2250.484375</v>
      </c>
      <c r="R136" s="98">
        <f t="shared" si="66"/>
        <v>2250.484375</v>
      </c>
      <c r="S136" s="98">
        <f t="shared" si="66"/>
        <v>2250.484375</v>
      </c>
      <c r="T136" s="98">
        <f t="shared" si="66"/>
        <v>2250.484375</v>
      </c>
      <c r="U136" s="98">
        <f t="shared" si="66"/>
        <v>2250.484375</v>
      </c>
      <c r="V136" s="98">
        <f t="shared" ref="V136:V153" si="67">U136*2</f>
        <v>4500.96875</v>
      </c>
      <c r="W136"/>
      <c r="X136"/>
      <c r="Y136"/>
      <c r="Z136"/>
      <c r="AA136"/>
      <c r="AB136"/>
      <c r="AC136"/>
      <c r="AD136" s="43"/>
      <c r="AE136" s="43"/>
      <c r="AF136" s="43"/>
      <c r="AG136" s="43"/>
      <c r="AH136" s="43"/>
      <c r="AI136" s="43"/>
      <c r="AJ136" s="43"/>
      <c r="AK136" s="43"/>
      <c r="AL136" s="43"/>
    </row>
    <row r="137" spans="1:254" s="81" customFormat="1" x14ac:dyDescent="0.2">
      <c r="B137" s="75"/>
      <c r="C137" s="82"/>
      <c r="D137" s="95" t="str">
        <f>Gestion!C6</f>
        <v>Administrateur</v>
      </c>
      <c r="E137" s="82"/>
      <c r="F137" s="120">
        <f>Gestion!D6</f>
        <v>1</v>
      </c>
      <c r="G137" s="54"/>
      <c r="H137" s="54">
        <f t="shared" si="64"/>
        <v>32181.703125</v>
      </c>
      <c r="I137" s="54">
        <f t="shared" si="65"/>
        <v>32181.703125</v>
      </c>
      <c r="J137" s="54"/>
      <c r="K137" s="98">
        <f>158433/64</f>
        <v>2475.515625</v>
      </c>
      <c r="L137" s="98">
        <f t="shared" ref="L137:U137" si="68">158433/64</f>
        <v>2475.515625</v>
      </c>
      <c r="M137" s="98">
        <f t="shared" si="68"/>
        <v>2475.515625</v>
      </c>
      <c r="N137" s="98">
        <f t="shared" si="68"/>
        <v>2475.515625</v>
      </c>
      <c r="O137" s="98">
        <f t="shared" si="68"/>
        <v>2475.515625</v>
      </c>
      <c r="P137" s="98">
        <f t="shared" si="68"/>
        <v>2475.515625</v>
      </c>
      <c r="Q137" s="98">
        <f t="shared" si="68"/>
        <v>2475.515625</v>
      </c>
      <c r="R137" s="98">
        <f t="shared" si="68"/>
        <v>2475.515625</v>
      </c>
      <c r="S137" s="98">
        <f t="shared" si="68"/>
        <v>2475.515625</v>
      </c>
      <c r="T137" s="98">
        <f t="shared" si="68"/>
        <v>2475.515625</v>
      </c>
      <c r="U137" s="98">
        <f t="shared" si="68"/>
        <v>2475.515625</v>
      </c>
      <c r="V137" s="98">
        <f t="shared" si="67"/>
        <v>4951.03125</v>
      </c>
      <c r="W137"/>
      <c r="X137"/>
      <c r="Y137"/>
      <c r="Z137"/>
      <c r="AA137"/>
      <c r="AB137"/>
      <c r="AC137"/>
      <c r="AD137" s="43"/>
      <c r="AE137" s="43"/>
      <c r="AF137" s="43"/>
      <c r="AG137" s="43"/>
      <c r="AH137" s="43"/>
      <c r="AI137" s="43"/>
      <c r="AJ137" s="43"/>
      <c r="AK137" s="43"/>
      <c r="AL137" s="43"/>
    </row>
    <row r="138" spans="1:254" s="81" customFormat="1" x14ac:dyDescent="0.2">
      <c r="B138" s="75"/>
      <c r="C138" s="82"/>
      <c r="D138" s="95" t="str">
        <f>Gestion!C7</f>
        <v>Comptable</v>
      </c>
      <c r="E138" s="82"/>
      <c r="F138" s="120">
        <f>Gestion!D7</f>
        <v>1</v>
      </c>
      <c r="G138" s="54"/>
      <c r="H138" s="54">
        <f t="shared" si="64"/>
        <v>17553.65625</v>
      </c>
      <c r="I138" s="54">
        <f t="shared" si="65"/>
        <v>17553.65625</v>
      </c>
      <c r="J138" s="54"/>
      <c r="K138" s="98">
        <f>86418/64</f>
        <v>1350.28125</v>
      </c>
      <c r="L138" s="98">
        <f t="shared" ref="L138:U138" si="69">86418/64</f>
        <v>1350.28125</v>
      </c>
      <c r="M138" s="98">
        <f t="shared" si="69"/>
        <v>1350.28125</v>
      </c>
      <c r="N138" s="98">
        <f t="shared" si="69"/>
        <v>1350.28125</v>
      </c>
      <c r="O138" s="98">
        <f t="shared" si="69"/>
        <v>1350.28125</v>
      </c>
      <c r="P138" s="98">
        <f t="shared" si="69"/>
        <v>1350.28125</v>
      </c>
      <c r="Q138" s="98">
        <f t="shared" si="69"/>
        <v>1350.28125</v>
      </c>
      <c r="R138" s="98">
        <f t="shared" si="69"/>
        <v>1350.28125</v>
      </c>
      <c r="S138" s="98">
        <f t="shared" si="69"/>
        <v>1350.28125</v>
      </c>
      <c r="T138" s="98">
        <f t="shared" si="69"/>
        <v>1350.28125</v>
      </c>
      <c r="U138" s="98">
        <f t="shared" si="69"/>
        <v>1350.28125</v>
      </c>
      <c r="V138" s="98">
        <f t="shared" si="67"/>
        <v>2700.5625</v>
      </c>
      <c r="W138"/>
      <c r="X138"/>
      <c r="Y138"/>
      <c r="Z138"/>
      <c r="AA138"/>
      <c r="AB138"/>
      <c r="AC138"/>
      <c r="AD138" s="43"/>
      <c r="AE138" s="43"/>
      <c r="AF138" s="43"/>
      <c r="AG138" s="43"/>
      <c r="AH138" s="43"/>
      <c r="AI138" s="43"/>
      <c r="AJ138" s="43"/>
      <c r="AK138" s="43"/>
      <c r="AL138" s="43"/>
    </row>
    <row r="139" spans="1:254" s="81" customFormat="1" x14ac:dyDescent="0.2">
      <c r="B139" s="75"/>
      <c r="C139" s="82"/>
      <c r="D139" s="95" t="str">
        <f>Gestion!C8</f>
        <v>Assistant comptable</v>
      </c>
      <c r="E139" s="82"/>
      <c r="F139" s="120">
        <f>Gestion!D8</f>
        <v>1</v>
      </c>
      <c r="G139" s="54"/>
      <c r="H139" s="54">
        <f t="shared" si="64"/>
        <v>15213.25</v>
      </c>
      <c r="I139" s="54">
        <f t="shared" si="65"/>
        <v>15213.25</v>
      </c>
      <c r="J139" s="54"/>
      <c r="K139" s="98">
        <f>74896/64</f>
        <v>1170.25</v>
      </c>
      <c r="L139" s="98">
        <f t="shared" ref="L139:U139" si="70">74896/64</f>
        <v>1170.25</v>
      </c>
      <c r="M139" s="98">
        <f t="shared" si="70"/>
        <v>1170.25</v>
      </c>
      <c r="N139" s="98">
        <f t="shared" si="70"/>
        <v>1170.25</v>
      </c>
      <c r="O139" s="98">
        <f t="shared" si="70"/>
        <v>1170.25</v>
      </c>
      <c r="P139" s="98">
        <f t="shared" si="70"/>
        <v>1170.25</v>
      </c>
      <c r="Q139" s="98">
        <f t="shared" si="70"/>
        <v>1170.25</v>
      </c>
      <c r="R139" s="98">
        <f t="shared" si="70"/>
        <v>1170.25</v>
      </c>
      <c r="S139" s="98">
        <f t="shared" si="70"/>
        <v>1170.25</v>
      </c>
      <c r="T139" s="98">
        <f t="shared" si="70"/>
        <v>1170.25</v>
      </c>
      <c r="U139" s="98">
        <f t="shared" si="70"/>
        <v>1170.25</v>
      </c>
      <c r="V139" s="98">
        <f t="shared" si="67"/>
        <v>2340.5</v>
      </c>
      <c r="W139"/>
      <c r="X139"/>
      <c r="Y139"/>
      <c r="Z139"/>
      <c r="AA139"/>
      <c r="AB139"/>
      <c r="AC139"/>
      <c r="AD139" s="43"/>
      <c r="AE139" s="43"/>
      <c r="AF139" s="43"/>
      <c r="AG139" s="43"/>
      <c r="AH139" s="43"/>
      <c r="AI139" s="43"/>
      <c r="AJ139" s="43"/>
      <c r="AK139" s="43"/>
      <c r="AL139" s="43"/>
    </row>
    <row r="140" spans="1:254" s="92" customFormat="1" x14ac:dyDescent="0.2">
      <c r="B140" s="93"/>
      <c r="C140" s="94"/>
      <c r="D140" s="95" t="s">
        <v>249</v>
      </c>
      <c r="E140" s="94"/>
      <c r="F140" s="121">
        <f>Gestion!D10</f>
        <v>1</v>
      </c>
      <c r="G140" s="112"/>
      <c r="H140" s="54">
        <f t="shared" si="64"/>
        <v>12266.71875</v>
      </c>
      <c r="I140" s="54">
        <f t="shared" si="65"/>
        <v>12266.71875</v>
      </c>
      <c r="J140" s="54"/>
      <c r="K140" s="98">
        <f>60390/64</f>
        <v>943.59375</v>
      </c>
      <c r="L140" s="98">
        <f t="shared" ref="L140:U140" si="71">60390/64</f>
        <v>943.59375</v>
      </c>
      <c r="M140" s="98">
        <f t="shared" si="71"/>
        <v>943.59375</v>
      </c>
      <c r="N140" s="98">
        <f t="shared" si="71"/>
        <v>943.59375</v>
      </c>
      <c r="O140" s="98">
        <f t="shared" si="71"/>
        <v>943.59375</v>
      </c>
      <c r="P140" s="98">
        <f t="shared" si="71"/>
        <v>943.59375</v>
      </c>
      <c r="Q140" s="98">
        <f t="shared" si="71"/>
        <v>943.59375</v>
      </c>
      <c r="R140" s="98">
        <f t="shared" si="71"/>
        <v>943.59375</v>
      </c>
      <c r="S140" s="98">
        <f t="shared" si="71"/>
        <v>943.59375</v>
      </c>
      <c r="T140" s="98">
        <f t="shared" si="71"/>
        <v>943.59375</v>
      </c>
      <c r="U140" s="98">
        <f t="shared" si="71"/>
        <v>943.59375</v>
      </c>
      <c r="V140" s="98">
        <f t="shared" si="67"/>
        <v>1887.1875</v>
      </c>
      <c r="W140"/>
      <c r="X140"/>
      <c r="Y140"/>
      <c r="Z140"/>
      <c r="AA140"/>
      <c r="AB140"/>
      <c r="AC140"/>
      <c r="AD140" s="43"/>
      <c r="AE140" s="43"/>
      <c r="AF140" s="43"/>
      <c r="AG140" s="43"/>
      <c r="AH140" s="43"/>
      <c r="AI140" s="43"/>
      <c r="AJ140" s="43"/>
      <c r="AK140" s="43"/>
      <c r="AL140" s="43"/>
    </row>
    <row r="141" spans="1:254" s="81" customFormat="1" x14ac:dyDescent="0.2">
      <c r="B141" s="75"/>
      <c r="C141" s="82"/>
      <c r="D141" s="95" t="str">
        <f>Gestion!C11</f>
        <v>Passation de marchés</v>
      </c>
      <c r="E141" s="82"/>
      <c r="F141" s="120">
        <f>Gestion!D11</f>
        <v>1</v>
      </c>
      <c r="G141" s="54"/>
      <c r="H141" s="54">
        <f t="shared" si="64"/>
        <v>67234.375</v>
      </c>
      <c r="I141" s="54">
        <f t="shared" si="65"/>
        <v>67234.375</v>
      </c>
      <c r="J141" s="54"/>
      <c r="K141" s="97">
        <f>331000/64</f>
        <v>5171.875</v>
      </c>
      <c r="L141" s="97">
        <f t="shared" ref="L141:U141" si="72">331000/64</f>
        <v>5171.875</v>
      </c>
      <c r="M141" s="97">
        <f t="shared" si="72"/>
        <v>5171.875</v>
      </c>
      <c r="N141" s="97">
        <f t="shared" si="72"/>
        <v>5171.875</v>
      </c>
      <c r="O141" s="97">
        <f t="shared" si="72"/>
        <v>5171.875</v>
      </c>
      <c r="P141" s="97">
        <f t="shared" si="72"/>
        <v>5171.875</v>
      </c>
      <c r="Q141" s="97">
        <f t="shared" si="72"/>
        <v>5171.875</v>
      </c>
      <c r="R141" s="97">
        <f t="shared" si="72"/>
        <v>5171.875</v>
      </c>
      <c r="S141" s="97">
        <f t="shared" si="72"/>
        <v>5171.875</v>
      </c>
      <c r="T141" s="97">
        <f t="shared" si="72"/>
        <v>5171.875</v>
      </c>
      <c r="U141" s="97">
        <f t="shared" si="72"/>
        <v>5171.875</v>
      </c>
      <c r="V141" s="98">
        <f t="shared" si="67"/>
        <v>10343.75</v>
      </c>
      <c r="W141"/>
      <c r="X141"/>
      <c r="Y141"/>
      <c r="Z141"/>
      <c r="AA141"/>
      <c r="AB141"/>
      <c r="AC141"/>
      <c r="AD141" s="43"/>
      <c r="AE141" s="43"/>
      <c r="AF141" s="43"/>
      <c r="AG141" s="43"/>
      <c r="AH141" s="43"/>
      <c r="AI141" s="43"/>
      <c r="AJ141" s="43"/>
      <c r="AK141" s="43"/>
      <c r="AL141" s="43"/>
    </row>
    <row r="142" spans="1:254" s="81" customFormat="1" x14ac:dyDescent="0.2">
      <c r="B142" s="75"/>
      <c r="C142" s="82"/>
      <c r="D142" s="95" t="str">
        <f>Gestion!C12</f>
        <v>Assistant passation de marchés</v>
      </c>
      <c r="E142" s="82"/>
      <c r="F142" s="120">
        <f>Gestion!D12</f>
        <v>1</v>
      </c>
      <c r="G142" s="54"/>
      <c r="H142" s="54">
        <f t="shared" si="64"/>
        <v>17650.75</v>
      </c>
      <c r="I142" s="54">
        <f t="shared" si="65"/>
        <v>17650.75</v>
      </c>
      <c r="J142" s="54"/>
      <c r="K142" s="98">
        <f>86896/64</f>
        <v>1357.75</v>
      </c>
      <c r="L142" s="98">
        <f t="shared" ref="L142:U142" si="73">86896/64</f>
        <v>1357.75</v>
      </c>
      <c r="M142" s="98">
        <f t="shared" si="73"/>
        <v>1357.75</v>
      </c>
      <c r="N142" s="98">
        <f t="shared" si="73"/>
        <v>1357.75</v>
      </c>
      <c r="O142" s="98">
        <f t="shared" si="73"/>
        <v>1357.75</v>
      </c>
      <c r="P142" s="98">
        <f t="shared" si="73"/>
        <v>1357.75</v>
      </c>
      <c r="Q142" s="98">
        <f t="shared" si="73"/>
        <v>1357.75</v>
      </c>
      <c r="R142" s="98">
        <f t="shared" si="73"/>
        <v>1357.75</v>
      </c>
      <c r="S142" s="98">
        <f t="shared" si="73"/>
        <v>1357.75</v>
      </c>
      <c r="T142" s="98">
        <f t="shared" si="73"/>
        <v>1357.75</v>
      </c>
      <c r="U142" s="98">
        <f t="shared" si="73"/>
        <v>1357.75</v>
      </c>
      <c r="V142" s="98">
        <f t="shared" si="67"/>
        <v>2715.5</v>
      </c>
      <c r="W142"/>
      <c r="X142"/>
      <c r="Y142"/>
      <c r="Z142"/>
      <c r="AA142"/>
      <c r="AB142"/>
      <c r="AC142"/>
      <c r="AD142" s="43"/>
      <c r="AE142" s="43"/>
      <c r="AF142" s="43"/>
      <c r="AG142" s="43"/>
      <c r="AH142" s="43"/>
      <c r="AI142" s="43"/>
      <c r="AJ142" s="43"/>
      <c r="AK142" s="43"/>
      <c r="AL142" s="43"/>
    </row>
    <row r="143" spans="1:254" s="81" customFormat="1" x14ac:dyDescent="0.2">
      <c r="B143" s="75"/>
      <c r="C143" s="82"/>
      <c r="D143" s="95" t="s">
        <v>203</v>
      </c>
      <c r="E143" s="82"/>
      <c r="F143" s="120">
        <v>1</v>
      </c>
      <c r="G143" s="54"/>
      <c r="H143" s="54">
        <f t="shared" si="64"/>
        <v>11702.640625</v>
      </c>
      <c r="I143" s="54">
        <f t="shared" si="65"/>
        <v>11702.640625</v>
      </c>
      <c r="J143" s="54"/>
      <c r="K143" s="98">
        <f>57613/64</f>
        <v>900.203125</v>
      </c>
      <c r="L143" s="98">
        <f t="shared" ref="L143:U143" si="74">57613/64</f>
        <v>900.203125</v>
      </c>
      <c r="M143" s="98">
        <f t="shared" si="74"/>
        <v>900.203125</v>
      </c>
      <c r="N143" s="98">
        <f t="shared" si="74"/>
        <v>900.203125</v>
      </c>
      <c r="O143" s="98">
        <f t="shared" si="74"/>
        <v>900.203125</v>
      </c>
      <c r="P143" s="98">
        <f t="shared" si="74"/>
        <v>900.203125</v>
      </c>
      <c r="Q143" s="98">
        <f t="shared" si="74"/>
        <v>900.203125</v>
      </c>
      <c r="R143" s="98">
        <f t="shared" si="74"/>
        <v>900.203125</v>
      </c>
      <c r="S143" s="98">
        <f t="shared" si="74"/>
        <v>900.203125</v>
      </c>
      <c r="T143" s="98">
        <f t="shared" si="74"/>
        <v>900.203125</v>
      </c>
      <c r="U143" s="98">
        <f t="shared" si="74"/>
        <v>900.203125</v>
      </c>
      <c r="V143" s="98">
        <f t="shared" si="67"/>
        <v>1800.40625</v>
      </c>
      <c r="W143"/>
      <c r="X143"/>
      <c r="Y143"/>
      <c r="Z143"/>
      <c r="AA143"/>
      <c r="AB143"/>
      <c r="AC143"/>
      <c r="AD143" s="43"/>
      <c r="AE143" s="43"/>
      <c r="AF143" s="43"/>
      <c r="AG143" s="43"/>
      <c r="AH143" s="43"/>
      <c r="AI143" s="43"/>
      <c r="AJ143" s="43"/>
      <c r="AK143" s="43"/>
      <c r="AL143" s="43"/>
    </row>
    <row r="144" spans="1:254" s="81" customFormat="1" x14ac:dyDescent="0.2">
      <c r="B144" s="75"/>
      <c r="C144" s="82"/>
      <c r="D144" s="95" t="s">
        <v>203</v>
      </c>
      <c r="E144" s="82"/>
      <c r="F144" s="120">
        <v>1</v>
      </c>
      <c r="G144" s="54"/>
      <c r="H144" s="54">
        <f t="shared" si="64"/>
        <v>13522.84375</v>
      </c>
      <c r="I144" s="54">
        <f t="shared" si="65"/>
        <v>13522.84375</v>
      </c>
      <c r="J144" s="54"/>
      <c r="K144" s="98">
        <f>66574/64</f>
        <v>1040.21875</v>
      </c>
      <c r="L144" s="98">
        <f t="shared" ref="L144:U144" si="75">66574/64</f>
        <v>1040.21875</v>
      </c>
      <c r="M144" s="98">
        <f t="shared" si="75"/>
        <v>1040.21875</v>
      </c>
      <c r="N144" s="98">
        <f t="shared" si="75"/>
        <v>1040.21875</v>
      </c>
      <c r="O144" s="98">
        <f t="shared" si="75"/>
        <v>1040.21875</v>
      </c>
      <c r="P144" s="98">
        <f t="shared" si="75"/>
        <v>1040.21875</v>
      </c>
      <c r="Q144" s="98">
        <f t="shared" si="75"/>
        <v>1040.21875</v>
      </c>
      <c r="R144" s="98">
        <f t="shared" si="75"/>
        <v>1040.21875</v>
      </c>
      <c r="S144" s="98">
        <f t="shared" si="75"/>
        <v>1040.21875</v>
      </c>
      <c r="T144" s="98">
        <f t="shared" si="75"/>
        <v>1040.21875</v>
      </c>
      <c r="U144" s="98">
        <f t="shared" si="75"/>
        <v>1040.21875</v>
      </c>
      <c r="V144" s="98">
        <f t="shared" si="67"/>
        <v>2080.4375</v>
      </c>
      <c r="W144"/>
      <c r="X144"/>
      <c r="Y144"/>
      <c r="Z144"/>
      <c r="AA144"/>
      <c r="AB144"/>
      <c r="AC144"/>
      <c r="AD144" s="43"/>
      <c r="AE144" s="43"/>
      <c r="AF144" s="43"/>
      <c r="AG144" s="43"/>
      <c r="AH144" s="43"/>
      <c r="AI144" s="43"/>
      <c r="AJ144" s="43"/>
      <c r="AK144" s="43"/>
      <c r="AL144" s="43"/>
    </row>
    <row r="145" spans="2:38" s="122" customFormat="1" x14ac:dyDescent="0.2">
      <c r="B145" s="103"/>
      <c r="C145" s="109"/>
      <c r="D145" s="95" t="s">
        <v>205</v>
      </c>
      <c r="E145" s="94"/>
      <c r="F145" s="121">
        <v>1</v>
      </c>
      <c r="G145" s="54"/>
      <c r="H145" s="54">
        <f t="shared" si="64"/>
        <v>15169.78125</v>
      </c>
      <c r="I145" s="54">
        <f t="shared" si="65"/>
        <v>15169.78125</v>
      </c>
      <c r="J145" s="54"/>
      <c r="K145" s="97">
        <f>74682/64</f>
        <v>1166.90625</v>
      </c>
      <c r="L145" s="97">
        <f t="shared" ref="L145:U145" si="76">74682/64</f>
        <v>1166.90625</v>
      </c>
      <c r="M145" s="97">
        <f t="shared" si="76"/>
        <v>1166.90625</v>
      </c>
      <c r="N145" s="97">
        <f t="shared" si="76"/>
        <v>1166.90625</v>
      </c>
      <c r="O145" s="97">
        <f t="shared" si="76"/>
        <v>1166.90625</v>
      </c>
      <c r="P145" s="97">
        <f t="shared" si="76"/>
        <v>1166.90625</v>
      </c>
      <c r="Q145" s="97">
        <f t="shared" si="76"/>
        <v>1166.90625</v>
      </c>
      <c r="R145" s="97">
        <f t="shared" si="76"/>
        <v>1166.90625</v>
      </c>
      <c r="S145" s="97">
        <f t="shared" si="76"/>
        <v>1166.90625</v>
      </c>
      <c r="T145" s="97">
        <f t="shared" si="76"/>
        <v>1166.90625</v>
      </c>
      <c r="U145" s="97">
        <f t="shared" si="76"/>
        <v>1166.90625</v>
      </c>
      <c r="V145" s="98">
        <f t="shared" si="67"/>
        <v>2333.8125</v>
      </c>
      <c r="W145"/>
      <c r="X145"/>
      <c r="Y145"/>
      <c r="Z145"/>
      <c r="AA145"/>
      <c r="AB145"/>
      <c r="AC145"/>
      <c r="AD145" s="43"/>
      <c r="AE145" s="43"/>
      <c r="AF145" s="43"/>
      <c r="AG145" s="43"/>
      <c r="AH145" s="43"/>
      <c r="AI145" s="43"/>
      <c r="AJ145" s="43"/>
      <c r="AK145" s="43"/>
      <c r="AL145" s="43"/>
    </row>
    <row r="146" spans="2:38" s="122" customFormat="1" x14ac:dyDescent="0.2">
      <c r="B146" s="103"/>
      <c r="C146" s="109"/>
      <c r="D146" s="95" t="s">
        <v>206</v>
      </c>
      <c r="E146" s="94"/>
      <c r="F146" s="121">
        <v>1</v>
      </c>
      <c r="G146" s="54"/>
      <c r="H146" s="54">
        <f t="shared" si="64"/>
        <v>15213.25</v>
      </c>
      <c r="I146" s="54">
        <f t="shared" si="65"/>
        <v>15213.25</v>
      </c>
      <c r="J146" s="54"/>
      <c r="K146" s="97">
        <f>74896/64</f>
        <v>1170.25</v>
      </c>
      <c r="L146" s="97">
        <f t="shared" ref="L146:U146" si="77">74896/64</f>
        <v>1170.25</v>
      </c>
      <c r="M146" s="97">
        <f t="shared" si="77"/>
        <v>1170.25</v>
      </c>
      <c r="N146" s="97">
        <f t="shared" si="77"/>
        <v>1170.25</v>
      </c>
      <c r="O146" s="97">
        <f t="shared" si="77"/>
        <v>1170.25</v>
      </c>
      <c r="P146" s="97">
        <f t="shared" si="77"/>
        <v>1170.25</v>
      </c>
      <c r="Q146" s="97">
        <f t="shared" si="77"/>
        <v>1170.25</v>
      </c>
      <c r="R146" s="97">
        <f t="shared" si="77"/>
        <v>1170.25</v>
      </c>
      <c r="S146" s="97">
        <f t="shared" si="77"/>
        <v>1170.25</v>
      </c>
      <c r="T146" s="97">
        <f t="shared" si="77"/>
        <v>1170.25</v>
      </c>
      <c r="U146" s="97">
        <f t="shared" si="77"/>
        <v>1170.25</v>
      </c>
      <c r="V146" s="98">
        <f t="shared" si="67"/>
        <v>2340.5</v>
      </c>
      <c r="W146"/>
      <c r="X146"/>
      <c r="Y146"/>
      <c r="Z146"/>
      <c r="AA146"/>
      <c r="AB146"/>
      <c r="AC146"/>
      <c r="AD146" s="43"/>
      <c r="AE146" s="43"/>
      <c r="AF146" s="43"/>
      <c r="AG146" s="43"/>
      <c r="AH146" s="43"/>
      <c r="AI146" s="43"/>
      <c r="AJ146" s="43"/>
      <c r="AK146" s="43"/>
      <c r="AL146" s="43"/>
    </row>
    <row r="147" spans="2:38" s="92" customFormat="1" x14ac:dyDescent="0.2">
      <c r="B147" s="93"/>
      <c r="C147" s="94"/>
      <c r="D147" s="95" t="s">
        <v>247</v>
      </c>
      <c r="E147" s="94"/>
      <c r="F147" s="121">
        <v>1</v>
      </c>
      <c r="G147" s="112"/>
      <c r="H147" s="54">
        <f t="shared" si="64"/>
        <v>8191.625</v>
      </c>
      <c r="I147" s="54">
        <f t="shared" si="65"/>
        <v>8191.625</v>
      </c>
      <c r="J147" s="54"/>
      <c r="K147" s="97">
        <f>40328/64</f>
        <v>630.125</v>
      </c>
      <c r="L147" s="97">
        <f t="shared" ref="L147:U147" si="78">40328/64</f>
        <v>630.125</v>
      </c>
      <c r="M147" s="97">
        <f t="shared" si="78"/>
        <v>630.125</v>
      </c>
      <c r="N147" s="97">
        <f t="shared" si="78"/>
        <v>630.125</v>
      </c>
      <c r="O147" s="97">
        <f t="shared" si="78"/>
        <v>630.125</v>
      </c>
      <c r="P147" s="97">
        <f t="shared" si="78"/>
        <v>630.125</v>
      </c>
      <c r="Q147" s="97">
        <f t="shared" si="78"/>
        <v>630.125</v>
      </c>
      <c r="R147" s="97">
        <f t="shared" si="78"/>
        <v>630.125</v>
      </c>
      <c r="S147" s="97">
        <f t="shared" si="78"/>
        <v>630.125</v>
      </c>
      <c r="T147" s="97">
        <f t="shared" si="78"/>
        <v>630.125</v>
      </c>
      <c r="U147" s="97">
        <f t="shared" si="78"/>
        <v>630.125</v>
      </c>
      <c r="V147" s="98">
        <f t="shared" si="67"/>
        <v>1260.25</v>
      </c>
      <c r="W147"/>
      <c r="X147"/>
      <c r="Y147"/>
      <c r="Z147"/>
      <c r="AA147"/>
      <c r="AB147"/>
      <c r="AC147"/>
      <c r="AD147" s="43"/>
      <c r="AE147" s="43"/>
      <c r="AF147" s="43"/>
      <c r="AG147" s="43"/>
      <c r="AH147" s="43"/>
      <c r="AI147" s="43"/>
      <c r="AJ147" s="43"/>
      <c r="AK147" s="43"/>
      <c r="AL147" s="43"/>
    </row>
    <row r="148" spans="2:38" s="92" customFormat="1" x14ac:dyDescent="0.2">
      <c r="B148" s="93"/>
      <c r="C148" s="94"/>
      <c r="D148" s="95" t="s">
        <v>246</v>
      </c>
      <c r="E148" s="94"/>
      <c r="F148" s="121">
        <v>1</v>
      </c>
      <c r="G148" s="112"/>
      <c r="H148" s="54">
        <f t="shared" si="64"/>
        <v>12266.71875</v>
      </c>
      <c r="I148" s="54">
        <f t="shared" si="65"/>
        <v>12266.71875</v>
      </c>
      <c r="J148" s="54"/>
      <c r="K148" s="97">
        <f>60390/64</f>
        <v>943.59375</v>
      </c>
      <c r="L148" s="97">
        <f t="shared" ref="L148:U148" si="79">60390/64</f>
        <v>943.59375</v>
      </c>
      <c r="M148" s="97">
        <f t="shared" si="79"/>
        <v>943.59375</v>
      </c>
      <c r="N148" s="97">
        <f t="shared" si="79"/>
        <v>943.59375</v>
      </c>
      <c r="O148" s="97">
        <f t="shared" si="79"/>
        <v>943.59375</v>
      </c>
      <c r="P148" s="97">
        <f t="shared" si="79"/>
        <v>943.59375</v>
      </c>
      <c r="Q148" s="97">
        <f t="shared" si="79"/>
        <v>943.59375</v>
      </c>
      <c r="R148" s="97">
        <f t="shared" si="79"/>
        <v>943.59375</v>
      </c>
      <c r="S148" s="97">
        <f t="shared" si="79"/>
        <v>943.59375</v>
      </c>
      <c r="T148" s="97">
        <f t="shared" si="79"/>
        <v>943.59375</v>
      </c>
      <c r="U148" s="97">
        <f t="shared" si="79"/>
        <v>943.59375</v>
      </c>
      <c r="V148" s="98">
        <f t="shared" si="67"/>
        <v>1887.1875</v>
      </c>
      <c r="W148"/>
      <c r="X148"/>
      <c r="Y148"/>
      <c r="Z148"/>
      <c r="AA148"/>
      <c r="AB148"/>
      <c r="AC148"/>
      <c r="AD148" s="43"/>
      <c r="AE148" s="43"/>
      <c r="AF148" s="43"/>
      <c r="AG148" s="43"/>
      <c r="AH148" s="43"/>
      <c r="AI148" s="43"/>
      <c r="AJ148" s="43"/>
      <c r="AK148" s="43"/>
      <c r="AL148" s="43"/>
    </row>
    <row r="149" spans="2:38" s="92" customFormat="1" x14ac:dyDescent="0.2">
      <c r="B149" s="93"/>
      <c r="C149" s="94"/>
      <c r="D149" s="95" t="s">
        <v>248</v>
      </c>
      <c r="E149" s="94"/>
      <c r="F149" s="121"/>
      <c r="G149" s="112"/>
      <c r="H149" s="54">
        <f t="shared" si="64"/>
        <v>16253.514062500002</v>
      </c>
      <c r="I149" s="54">
        <f t="shared" si="65"/>
        <v>16253.514062500002</v>
      </c>
      <c r="J149" s="54"/>
      <c r="K149" s="97">
        <f>80017.3/64</f>
        <v>1250.2703125</v>
      </c>
      <c r="L149" s="97">
        <f t="shared" ref="L149:U149" si="80">80017.3/64</f>
        <v>1250.2703125</v>
      </c>
      <c r="M149" s="97">
        <f t="shared" si="80"/>
        <v>1250.2703125</v>
      </c>
      <c r="N149" s="97">
        <f t="shared" si="80"/>
        <v>1250.2703125</v>
      </c>
      <c r="O149" s="97">
        <f t="shared" si="80"/>
        <v>1250.2703125</v>
      </c>
      <c r="P149" s="97">
        <f t="shared" si="80"/>
        <v>1250.2703125</v>
      </c>
      <c r="Q149" s="97">
        <f t="shared" si="80"/>
        <v>1250.2703125</v>
      </c>
      <c r="R149" s="97">
        <f t="shared" si="80"/>
        <v>1250.2703125</v>
      </c>
      <c r="S149" s="97">
        <f t="shared" si="80"/>
        <v>1250.2703125</v>
      </c>
      <c r="T149" s="97">
        <f t="shared" si="80"/>
        <v>1250.2703125</v>
      </c>
      <c r="U149" s="97">
        <f t="shared" si="80"/>
        <v>1250.2703125</v>
      </c>
      <c r="V149" s="98">
        <f t="shared" si="67"/>
        <v>2500.5406250000001</v>
      </c>
      <c r="W149"/>
      <c r="X149"/>
      <c r="Y149"/>
      <c r="Z149"/>
      <c r="AA149"/>
      <c r="AB149"/>
      <c r="AC149"/>
      <c r="AD149" s="43"/>
      <c r="AE149" s="43"/>
      <c r="AF149" s="43"/>
      <c r="AG149" s="43"/>
      <c r="AH149" s="43"/>
      <c r="AI149" s="43"/>
      <c r="AJ149" s="43"/>
      <c r="AK149" s="43"/>
      <c r="AL149" s="43"/>
    </row>
    <row r="150" spans="2:38" s="122" customFormat="1" x14ac:dyDescent="0.2">
      <c r="B150" s="103"/>
      <c r="C150" s="109"/>
      <c r="D150" s="95" t="s">
        <v>207</v>
      </c>
      <c r="E150" s="94"/>
      <c r="F150" s="121">
        <v>3</v>
      </c>
      <c r="G150" s="54"/>
      <c r="H150" s="54">
        <f t="shared" si="64"/>
        <v>14306.296875</v>
      </c>
      <c r="I150" s="54">
        <f t="shared" si="65"/>
        <v>14306.296875</v>
      </c>
      <c r="J150" s="54"/>
      <c r="K150" s="97">
        <f>23477*3/64</f>
        <v>1100.484375</v>
      </c>
      <c r="L150" s="97">
        <f t="shared" ref="L150:U150" si="81">23477*3/64</f>
        <v>1100.484375</v>
      </c>
      <c r="M150" s="97">
        <f t="shared" si="81"/>
        <v>1100.484375</v>
      </c>
      <c r="N150" s="97">
        <f t="shared" si="81"/>
        <v>1100.484375</v>
      </c>
      <c r="O150" s="97">
        <f t="shared" si="81"/>
        <v>1100.484375</v>
      </c>
      <c r="P150" s="97">
        <f t="shared" si="81"/>
        <v>1100.484375</v>
      </c>
      <c r="Q150" s="97">
        <f t="shared" si="81"/>
        <v>1100.484375</v>
      </c>
      <c r="R150" s="97">
        <f t="shared" si="81"/>
        <v>1100.484375</v>
      </c>
      <c r="S150" s="97">
        <f t="shared" si="81"/>
        <v>1100.484375</v>
      </c>
      <c r="T150" s="97">
        <f t="shared" si="81"/>
        <v>1100.484375</v>
      </c>
      <c r="U150" s="97">
        <f t="shared" si="81"/>
        <v>1100.484375</v>
      </c>
      <c r="V150" s="98">
        <f t="shared" si="67"/>
        <v>2200.96875</v>
      </c>
      <c r="W150"/>
      <c r="X150"/>
      <c r="Y150"/>
      <c r="Z150"/>
      <c r="AA150"/>
      <c r="AB150"/>
      <c r="AC150"/>
      <c r="AD150" s="43"/>
      <c r="AE150" s="43"/>
      <c r="AF150" s="43"/>
      <c r="AG150" s="43"/>
      <c r="AH150" s="43"/>
      <c r="AI150" s="43"/>
      <c r="AJ150" s="43"/>
      <c r="AK150" s="43"/>
      <c r="AL150" s="43"/>
    </row>
    <row r="151" spans="2:38" s="122" customFormat="1" x14ac:dyDescent="0.2">
      <c r="B151" s="103"/>
      <c r="C151" s="109"/>
      <c r="D151" s="95" t="s">
        <v>425</v>
      </c>
      <c r="E151" s="94"/>
      <c r="F151" s="121">
        <v>2</v>
      </c>
      <c r="G151" s="54"/>
      <c r="H151" s="54">
        <f t="shared" si="64"/>
        <v>5503.7460317460327</v>
      </c>
      <c r="I151" s="54">
        <f t="shared" si="65"/>
        <v>5503.7460317460327</v>
      </c>
      <c r="J151" s="54"/>
      <c r="K151" s="97">
        <f>13336*2/63</f>
        <v>423.36507936507934</v>
      </c>
      <c r="L151" s="97">
        <f t="shared" ref="L151:U151" si="82">13336*2/63</f>
        <v>423.36507936507934</v>
      </c>
      <c r="M151" s="97">
        <f t="shared" si="82"/>
        <v>423.36507936507934</v>
      </c>
      <c r="N151" s="97">
        <f t="shared" si="82"/>
        <v>423.36507936507934</v>
      </c>
      <c r="O151" s="97">
        <f t="shared" si="82"/>
        <v>423.36507936507934</v>
      </c>
      <c r="P151" s="97">
        <f t="shared" si="82"/>
        <v>423.36507936507934</v>
      </c>
      <c r="Q151" s="97">
        <f t="shared" si="82"/>
        <v>423.36507936507934</v>
      </c>
      <c r="R151" s="97">
        <f t="shared" si="82"/>
        <v>423.36507936507934</v>
      </c>
      <c r="S151" s="97">
        <f t="shared" si="82"/>
        <v>423.36507936507934</v>
      </c>
      <c r="T151" s="97">
        <f t="shared" si="82"/>
        <v>423.36507936507934</v>
      </c>
      <c r="U151" s="97">
        <f t="shared" si="82"/>
        <v>423.36507936507934</v>
      </c>
      <c r="V151" s="98">
        <f t="shared" si="67"/>
        <v>846.73015873015868</v>
      </c>
      <c r="W151"/>
      <c r="X151"/>
      <c r="Y151"/>
      <c r="Z151"/>
      <c r="AA151"/>
      <c r="AB151"/>
      <c r="AC151"/>
      <c r="AD151" s="43"/>
      <c r="AE151" s="43"/>
      <c r="AF151" s="43"/>
      <c r="AG151" s="43"/>
      <c r="AH151" s="43"/>
      <c r="AI151" s="43"/>
      <c r="AJ151" s="43"/>
      <c r="AK151" s="43"/>
      <c r="AL151" s="43"/>
    </row>
    <row r="152" spans="2:38" s="122" customFormat="1" x14ac:dyDescent="0.2">
      <c r="B152" s="103"/>
      <c r="C152" s="109"/>
      <c r="D152" s="95" t="s">
        <v>426</v>
      </c>
      <c r="E152" s="94"/>
      <c r="F152" s="121"/>
      <c r="G152" s="54"/>
      <c r="H152" s="54">
        <f t="shared" si="64"/>
        <v>2600</v>
      </c>
      <c r="I152" s="54">
        <f t="shared" si="65"/>
        <v>2600</v>
      </c>
      <c r="J152" s="54"/>
      <c r="K152" s="97">
        <f>15000*2/75</f>
        <v>400</v>
      </c>
      <c r="L152" s="97">
        <f t="shared" ref="L152:V152" si="83">15000/75</f>
        <v>200</v>
      </c>
      <c r="M152" s="97">
        <f t="shared" si="83"/>
        <v>200</v>
      </c>
      <c r="N152" s="97">
        <f t="shared" si="83"/>
        <v>200</v>
      </c>
      <c r="O152" s="97">
        <f t="shared" si="83"/>
        <v>200</v>
      </c>
      <c r="P152" s="97">
        <f t="shared" si="83"/>
        <v>200</v>
      </c>
      <c r="Q152" s="97">
        <f t="shared" si="83"/>
        <v>200</v>
      </c>
      <c r="R152" s="97">
        <f t="shared" si="83"/>
        <v>200</v>
      </c>
      <c r="S152" s="97">
        <f t="shared" si="83"/>
        <v>200</v>
      </c>
      <c r="T152" s="97">
        <f t="shared" si="83"/>
        <v>200</v>
      </c>
      <c r="U152" s="97">
        <f t="shared" si="83"/>
        <v>200</v>
      </c>
      <c r="V152" s="97">
        <f t="shared" si="83"/>
        <v>200</v>
      </c>
      <c r="W152"/>
      <c r="X152"/>
      <c r="Y152"/>
      <c r="Z152"/>
      <c r="AA152"/>
      <c r="AB152"/>
      <c r="AC152"/>
      <c r="AD152" s="43"/>
      <c r="AE152" s="43"/>
      <c r="AF152" s="43"/>
      <c r="AG152" s="43"/>
      <c r="AH152" s="43"/>
      <c r="AI152" s="43"/>
      <c r="AJ152" s="43"/>
      <c r="AK152" s="43"/>
      <c r="AL152" s="43"/>
    </row>
    <row r="153" spans="2:38" s="122" customFormat="1" x14ac:dyDescent="0.2">
      <c r="B153" s="103"/>
      <c r="C153" s="109"/>
      <c r="D153" s="95" t="s">
        <v>208</v>
      </c>
      <c r="E153" s="94"/>
      <c r="F153" s="121">
        <v>1</v>
      </c>
      <c r="G153" s="54"/>
      <c r="H153" s="54">
        <f t="shared" si="64"/>
        <v>2979.84375</v>
      </c>
      <c r="I153" s="54">
        <f t="shared" si="65"/>
        <v>2979.84375</v>
      </c>
      <c r="J153" s="54"/>
      <c r="K153" s="97">
        <f>14670/64</f>
        <v>229.21875</v>
      </c>
      <c r="L153" s="97">
        <f t="shared" ref="L153:U153" si="84">14670/64</f>
        <v>229.21875</v>
      </c>
      <c r="M153" s="97">
        <f t="shared" si="84"/>
        <v>229.21875</v>
      </c>
      <c r="N153" s="97">
        <f t="shared" si="84"/>
        <v>229.21875</v>
      </c>
      <c r="O153" s="97">
        <f t="shared" si="84"/>
        <v>229.21875</v>
      </c>
      <c r="P153" s="97">
        <f t="shared" si="84"/>
        <v>229.21875</v>
      </c>
      <c r="Q153" s="97">
        <f t="shared" si="84"/>
        <v>229.21875</v>
      </c>
      <c r="R153" s="97">
        <f t="shared" si="84"/>
        <v>229.21875</v>
      </c>
      <c r="S153" s="97">
        <f t="shared" si="84"/>
        <v>229.21875</v>
      </c>
      <c r="T153" s="97">
        <f t="shared" si="84"/>
        <v>229.21875</v>
      </c>
      <c r="U153" s="97">
        <f t="shared" si="84"/>
        <v>229.21875</v>
      </c>
      <c r="V153" s="98">
        <f t="shared" si="67"/>
        <v>458.4375</v>
      </c>
      <c r="W153"/>
      <c r="X153"/>
      <c r="Y153"/>
      <c r="Z153"/>
      <c r="AA153"/>
      <c r="AB153"/>
      <c r="AC153"/>
      <c r="AD153" s="43"/>
      <c r="AE153" s="43"/>
      <c r="AF153" s="43"/>
      <c r="AG153" s="43"/>
      <c r="AH153" s="43"/>
      <c r="AI153" s="43"/>
      <c r="AJ153" s="43"/>
      <c r="AK153" s="43"/>
      <c r="AL153" s="43"/>
    </row>
    <row r="154" spans="2:38" s="122" customFormat="1" x14ac:dyDescent="0.2">
      <c r="B154" s="103"/>
      <c r="C154" s="109"/>
      <c r="D154" s="95" t="str">
        <f>[2]POA!$E$81</f>
        <v>Carburant</v>
      </c>
      <c r="E154" s="94"/>
      <c r="F154" s="121"/>
      <c r="G154" s="54"/>
      <c r="H154" s="54">
        <f t="shared" si="64"/>
        <v>18000</v>
      </c>
      <c r="I154" s="54">
        <f t="shared" si="65"/>
        <v>18000</v>
      </c>
      <c r="J154" s="54"/>
      <c r="K154" s="97">
        <v>1500</v>
      </c>
      <c r="L154" s="97">
        <v>1500</v>
      </c>
      <c r="M154" s="97">
        <v>1500</v>
      </c>
      <c r="N154" s="97">
        <v>1500</v>
      </c>
      <c r="O154" s="97">
        <v>1500</v>
      </c>
      <c r="P154" s="97">
        <v>1500</v>
      </c>
      <c r="Q154" s="97">
        <v>1500</v>
      </c>
      <c r="R154" s="97">
        <v>1500</v>
      </c>
      <c r="S154" s="97">
        <v>1500</v>
      </c>
      <c r="T154" s="97">
        <v>1500</v>
      </c>
      <c r="U154" s="97">
        <v>1500</v>
      </c>
      <c r="V154" s="97">
        <v>1500</v>
      </c>
      <c r="W154"/>
      <c r="X154"/>
      <c r="Y154"/>
      <c r="Z154"/>
      <c r="AA154"/>
      <c r="AB154"/>
      <c r="AC154"/>
      <c r="AD154" s="43"/>
      <c r="AE154" s="43"/>
      <c r="AF154" s="43"/>
      <c r="AG154" s="43"/>
      <c r="AH154" s="43"/>
      <c r="AI154" s="43"/>
      <c r="AJ154" s="43"/>
      <c r="AK154" s="43"/>
      <c r="AL154" s="43"/>
    </row>
    <row r="155" spans="2:38" s="122" customFormat="1" x14ac:dyDescent="0.2">
      <c r="B155" s="103"/>
      <c r="C155" s="109"/>
      <c r="D155" s="95" t="str">
        <f>[2]POA!$E$82</f>
        <v>Entretien vehicule</v>
      </c>
      <c r="E155" s="94"/>
      <c r="F155" s="121"/>
      <c r="G155" s="54"/>
      <c r="H155" s="54">
        <f t="shared" si="64"/>
        <v>24000</v>
      </c>
      <c r="I155" s="54">
        <f t="shared" si="65"/>
        <v>24000</v>
      </c>
      <c r="J155" s="54"/>
      <c r="K155" s="97">
        <v>2000</v>
      </c>
      <c r="L155" s="97">
        <v>2000</v>
      </c>
      <c r="M155" s="97">
        <v>2000</v>
      </c>
      <c r="N155" s="97">
        <v>2000</v>
      </c>
      <c r="O155" s="97">
        <v>2000</v>
      </c>
      <c r="P155" s="97">
        <v>2000</v>
      </c>
      <c r="Q155" s="97">
        <v>2000</v>
      </c>
      <c r="R155" s="97">
        <v>2000</v>
      </c>
      <c r="S155" s="97">
        <v>2000</v>
      </c>
      <c r="T155" s="97">
        <v>2000</v>
      </c>
      <c r="U155" s="97">
        <v>2000</v>
      </c>
      <c r="V155" s="97">
        <v>2000</v>
      </c>
      <c r="W155"/>
      <c r="X155"/>
      <c r="Y155"/>
      <c r="Z155"/>
      <c r="AA155"/>
      <c r="AB155"/>
      <c r="AC155"/>
      <c r="AD155" s="43"/>
      <c r="AE155" s="43"/>
      <c r="AF155" s="43"/>
      <c r="AG155" s="43"/>
      <c r="AH155" s="43"/>
      <c r="AI155" s="43"/>
      <c r="AJ155" s="43"/>
      <c r="AK155" s="43"/>
      <c r="AL155" s="43"/>
    </row>
    <row r="156" spans="2:38" s="92" customFormat="1" x14ac:dyDescent="0.2">
      <c r="B156" s="93"/>
      <c r="C156" s="94"/>
      <c r="D156" s="95" t="str">
        <f>[2]POA!$E$83</f>
        <v>Assurances</v>
      </c>
      <c r="E156" s="94"/>
      <c r="F156" s="121"/>
      <c r="G156" s="54"/>
      <c r="H156" s="54">
        <f t="shared" si="64"/>
        <v>14865</v>
      </c>
      <c r="I156" s="54">
        <f t="shared" si="65"/>
        <v>14865</v>
      </c>
      <c r="J156" s="54"/>
      <c r="K156" s="97">
        <v>0</v>
      </c>
      <c r="L156" s="97">
        <v>0</v>
      </c>
      <c r="M156" s="97">
        <f>SUM(O156:Q156)</f>
        <v>0</v>
      </c>
      <c r="N156" s="97">
        <v>4955</v>
      </c>
      <c r="O156" s="97">
        <v>0</v>
      </c>
      <c r="P156" s="97">
        <v>0</v>
      </c>
      <c r="Q156" s="97">
        <v>0</v>
      </c>
      <c r="R156" s="97">
        <v>4955</v>
      </c>
      <c r="S156" s="97">
        <v>0</v>
      </c>
      <c r="T156" s="97">
        <v>0</v>
      </c>
      <c r="U156" s="97">
        <v>0</v>
      </c>
      <c r="V156" s="97">
        <v>4955</v>
      </c>
      <c r="W156"/>
      <c r="X156"/>
      <c r="Y156"/>
      <c r="Z156"/>
      <c r="AA156"/>
      <c r="AB156"/>
      <c r="AC156"/>
      <c r="AD156" s="43"/>
      <c r="AE156" s="43"/>
      <c r="AF156" s="43"/>
      <c r="AG156" s="43"/>
      <c r="AH156" s="43"/>
      <c r="AI156" s="43"/>
      <c r="AJ156" s="43"/>
      <c r="AK156" s="43"/>
      <c r="AL156" s="43"/>
    </row>
    <row r="157" spans="2:38" s="92" customFormat="1" x14ac:dyDescent="0.2">
      <c r="B157" s="93"/>
      <c r="C157" s="94"/>
      <c r="D157" s="95" t="str">
        <f>[2]POA!$E$84</f>
        <v>Digicel materiel et abonnment</v>
      </c>
      <c r="E157" s="94"/>
      <c r="F157" s="121"/>
      <c r="G157" s="54"/>
      <c r="H157" s="54">
        <f t="shared" si="64"/>
        <v>9600</v>
      </c>
      <c r="I157" s="54">
        <f t="shared" si="65"/>
        <v>9600</v>
      </c>
      <c r="J157" s="54"/>
      <c r="K157" s="97">
        <v>800</v>
      </c>
      <c r="L157" s="97">
        <v>800</v>
      </c>
      <c r="M157" s="97">
        <v>800</v>
      </c>
      <c r="N157" s="97">
        <v>800</v>
      </c>
      <c r="O157" s="97">
        <v>800</v>
      </c>
      <c r="P157" s="97">
        <v>800</v>
      </c>
      <c r="Q157" s="97">
        <v>800</v>
      </c>
      <c r="R157" s="97">
        <v>800</v>
      </c>
      <c r="S157" s="97">
        <v>800</v>
      </c>
      <c r="T157" s="97">
        <v>800</v>
      </c>
      <c r="U157" s="97">
        <v>800</v>
      </c>
      <c r="V157" s="97">
        <v>800</v>
      </c>
      <c r="W157"/>
      <c r="X157"/>
      <c r="Y157"/>
      <c r="Z157"/>
      <c r="AA157"/>
      <c r="AB157"/>
      <c r="AC157"/>
      <c r="AD157" s="43"/>
      <c r="AE157" s="43"/>
      <c r="AF157" s="43"/>
      <c r="AG157" s="43"/>
      <c r="AH157" s="43"/>
      <c r="AI157" s="43"/>
      <c r="AJ157" s="43"/>
      <c r="AK157" s="43"/>
      <c r="AL157" s="43"/>
    </row>
    <row r="158" spans="2:38" s="122" customFormat="1" x14ac:dyDescent="0.2">
      <c r="B158" s="103"/>
      <c r="C158" s="109"/>
      <c r="D158" s="95" t="str">
        <f>[2]POA!$E$85</f>
        <v>Cartes tel</v>
      </c>
      <c r="E158" s="94"/>
      <c r="F158" s="121"/>
      <c r="G158" s="54"/>
      <c r="H158" s="54">
        <f t="shared" si="64"/>
        <v>2700</v>
      </c>
      <c r="I158" s="54">
        <f t="shared" si="65"/>
        <v>2700</v>
      </c>
      <c r="J158" s="54"/>
      <c r="K158" s="97">
        <v>225</v>
      </c>
      <c r="L158" s="97">
        <v>225</v>
      </c>
      <c r="M158" s="97">
        <v>225</v>
      </c>
      <c r="N158" s="97">
        <v>225</v>
      </c>
      <c r="O158" s="97">
        <v>225</v>
      </c>
      <c r="P158" s="97">
        <v>225</v>
      </c>
      <c r="Q158" s="97">
        <v>225</v>
      </c>
      <c r="R158" s="97">
        <v>225</v>
      </c>
      <c r="S158" s="97">
        <v>225</v>
      </c>
      <c r="T158" s="97">
        <v>225</v>
      </c>
      <c r="U158" s="97">
        <v>225</v>
      </c>
      <c r="V158" s="97">
        <v>225</v>
      </c>
      <c r="W158"/>
      <c r="X158"/>
      <c r="Y158"/>
      <c r="Z158"/>
      <c r="AA158"/>
      <c r="AB158"/>
      <c r="AC158"/>
      <c r="AD158" s="43"/>
      <c r="AE158" s="43"/>
      <c r="AF158" s="43"/>
      <c r="AG158" s="43"/>
      <c r="AH158" s="43"/>
      <c r="AI158" s="43"/>
      <c r="AJ158" s="43"/>
      <c r="AK158" s="43"/>
      <c r="AL158" s="43"/>
    </row>
    <row r="159" spans="2:38" s="122" customFormat="1" x14ac:dyDescent="0.2">
      <c r="B159" s="103"/>
      <c r="C159" s="109"/>
      <c r="D159" s="95" t="s">
        <v>251</v>
      </c>
      <c r="E159" s="94"/>
      <c r="F159" s="121"/>
      <c r="G159" s="54"/>
      <c r="H159" s="54">
        <f t="shared" si="64"/>
        <v>0</v>
      </c>
      <c r="I159" s="54">
        <f t="shared" si="65"/>
        <v>0</v>
      </c>
      <c r="J159" s="54"/>
      <c r="K159" s="97"/>
      <c r="L159" s="97"/>
      <c r="M159" s="97"/>
      <c r="N159" s="97"/>
      <c r="O159" s="97"/>
      <c r="P159" s="97"/>
      <c r="Q159" s="97"/>
      <c r="R159" s="97"/>
      <c r="S159" s="97"/>
      <c r="T159" s="97"/>
      <c r="U159" s="97"/>
      <c r="V159" s="97"/>
      <c r="W159"/>
      <c r="X159"/>
      <c r="Y159"/>
      <c r="Z159"/>
      <c r="AA159"/>
      <c r="AB159"/>
      <c r="AC159"/>
      <c r="AD159" s="43"/>
      <c r="AE159" s="43"/>
      <c r="AF159" s="43"/>
      <c r="AG159" s="43"/>
      <c r="AH159" s="43"/>
      <c r="AI159" s="43"/>
      <c r="AJ159" s="43"/>
      <c r="AK159" s="43"/>
      <c r="AL159" s="43"/>
    </row>
    <row r="160" spans="2:38" s="92" customFormat="1" x14ac:dyDescent="0.2">
      <c r="B160" s="93"/>
      <c r="C160" s="94"/>
      <c r="D160" s="95" t="str">
        <f>[2]POA!$E$86</f>
        <v>Internet</v>
      </c>
      <c r="E160" s="94"/>
      <c r="F160" s="121"/>
      <c r="G160" s="54"/>
      <c r="H160" s="54">
        <f t="shared" si="64"/>
        <v>4800</v>
      </c>
      <c r="I160" s="54">
        <f t="shared" si="65"/>
        <v>4800</v>
      </c>
      <c r="J160" s="54"/>
      <c r="K160" s="97">
        <v>400</v>
      </c>
      <c r="L160" s="97">
        <v>400</v>
      </c>
      <c r="M160" s="97">
        <v>400</v>
      </c>
      <c r="N160" s="97">
        <v>400</v>
      </c>
      <c r="O160" s="97">
        <v>400</v>
      </c>
      <c r="P160" s="97">
        <v>400</v>
      </c>
      <c r="Q160" s="97">
        <v>400</v>
      </c>
      <c r="R160" s="97">
        <v>400</v>
      </c>
      <c r="S160" s="97">
        <v>400</v>
      </c>
      <c r="T160" s="97">
        <v>400</v>
      </c>
      <c r="U160" s="97">
        <v>400</v>
      </c>
      <c r="V160" s="97">
        <v>400</v>
      </c>
      <c r="W160"/>
      <c r="X160"/>
      <c r="Y160"/>
      <c r="Z160"/>
      <c r="AA160"/>
      <c r="AB160"/>
      <c r="AC160"/>
      <c r="AD160" s="43"/>
      <c r="AE160" s="43"/>
      <c r="AF160" s="43"/>
      <c r="AG160" s="43"/>
      <c r="AH160" s="43"/>
      <c r="AI160" s="43"/>
      <c r="AJ160" s="43"/>
      <c r="AK160" s="43"/>
      <c r="AL160" s="43"/>
    </row>
    <row r="161" spans="1:254" s="81" customFormat="1" x14ac:dyDescent="0.2">
      <c r="B161" s="75"/>
      <c r="C161" s="82"/>
      <c r="D161" s="95" t="str">
        <f>[2]POA!$E$87</f>
        <v>Consommables, matériel informatique et bureau</v>
      </c>
      <c r="E161" s="94"/>
      <c r="F161" s="121"/>
      <c r="G161" s="54"/>
      <c r="H161" s="54">
        <f t="shared" si="64"/>
        <v>2400</v>
      </c>
      <c r="I161" s="54">
        <f t="shared" si="65"/>
        <v>2400</v>
      </c>
      <c r="J161" s="54"/>
      <c r="K161" s="97">
        <v>200</v>
      </c>
      <c r="L161" s="97">
        <v>200</v>
      </c>
      <c r="M161" s="97">
        <v>200</v>
      </c>
      <c r="N161" s="97">
        <v>200</v>
      </c>
      <c r="O161" s="97">
        <v>200</v>
      </c>
      <c r="P161" s="97">
        <v>200</v>
      </c>
      <c r="Q161" s="97">
        <v>200</v>
      </c>
      <c r="R161" s="97">
        <v>200</v>
      </c>
      <c r="S161" s="97">
        <v>200</v>
      </c>
      <c r="T161" s="97">
        <v>200</v>
      </c>
      <c r="U161" s="97">
        <v>200</v>
      </c>
      <c r="V161" s="97">
        <v>200</v>
      </c>
      <c r="W161"/>
      <c r="X161"/>
      <c r="Y161"/>
      <c r="Z161"/>
      <c r="AA161"/>
      <c r="AB161"/>
      <c r="AC161"/>
      <c r="AD161" s="43"/>
      <c r="AE161" s="43"/>
      <c r="AF161" s="43"/>
      <c r="AG161" s="43"/>
      <c r="AH161" s="43"/>
      <c r="AI161" s="43"/>
      <c r="AJ161" s="43"/>
      <c r="AK161" s="43"/>
      <c r="AL161" s="43"/>
    </row>
    <row r="162" spans="1:254" s="81" customFormat="1" x14ac:dyDescent="0.2">
      <c r="B162" s="75"/>
      <c r="C162" s="82"/>
      <c r="D162" s="95" t="s">
        <v>243</v>
      </c>
      <c r="E162" s="94"/>
      <c r="F162" s="121"/>
      <c r="G162" s="54"/>
      <c r="H162" s="54">
        <f t="shared" si="64"/>
        <v>72000</v>
      </c>
      <c r="I162" s="54">
        <f t="shared" si="65"/>
        <v>72000</v>
      </c>
      <c r="J162" s="54"/>
      <c r="K162" s="97">
        <v>6000</v>
      </c>
      <c r="L162" s="97">
        <v>6000</v>
      </c>
      <c r="M162" s="97">
        <v>6000</v>
      </c>
      <c r="N162" s="97">
        <v>6000</v>
      </c>
      <c r="O162" s="97">
        <v>6000</v>
      </c>
      <c r="P162" s="97">
        <v>6000</v>
      </c>
      <c r="Q162" s="97">
        <v>6000</v>
      </c>
      <c r="R162" s="97">
        <v>6000</v>
      </c>
      <c r="S162" s="97">
        <v>6000</v>
      </c>
      <c r="T162" s="97">
        <v>6000</v>
      </c>
      <c r="U162" s="97">
        <v>6000</v>
      </c>
      <c r="V162" s="97">
        <v>6000</v>
      </c>
      <c r="W162"/>
      <c r="X162"/>
      <c r="Y162"/>
      <c r="Z162"/>
      <c r="AA162"/>
      <c r="AB162"/>
      <c r="AC162"/>
      <c r="AD162" s="43"/>
      <c r="AE162" s="43"/>
      <c r="AF162" s="43"/>
      <c r="AG162" s="43"/>
      <c r="AH162" s="43"/>
      <c r="AI162" s="43"/>
      <c r="AJ162" s="43"/>
      <c r="AK162" s="43"/>
      <c r="AL162" s="43"/>
    </row>
    <row r="163" spans="1:254" s="58" customFormat="1" x14ac:dyDescent="0.2">
      <c r="B163" s="379"/>
      <c r="C163" s="61"/>
      <c r="D163" s="95" t="s">
        <v>305</v>
      </c>
      <c r="E163" s="376"/>
      <c r="F163" s="380">
        <v>2</v>
      </c>
      <c r="G163" s="54"/>
      <c r="H163" s="54">
        <f t="shared" si="64"/>
        <v>0</v>
      </c>
      <c r="I163" s="54">
        <f t="shared" si="65"/>
        <v>0</v>
      </c>
      <c r="J163" s="54"/>
      <c r="K163" s="97"/>
      <c r="L163" s="60"/>
      <c r="M163" s="98"/>
      <c r="N163" s="60"/>
      <c r="O163" s="98"/>
      <c r="P163" s="98"/>
      <c r="Q163" s="98"/>
      <c r="R163" s="98"/>
      <c r="S163" s="98"/>
      <c r="T163" s="98"/>
      <c r="U163" s="98"/>
      <c r="V163" s="98"/>
      <c r="W163"/>
      <c r="X163"/>
      <c r="Y163"/>
      <c r="Z163"/>
      <c r="AA163"/>
      <c r="AB163"/>
      <c r="AC163"/>
      <c r="AD163" s="43"/>
      <c r="AE163" s="43"/>
      <c r="AF163" s="43"/>
      <c r="AG163" s="43"/>
      <c r="AH163" s="43"/>
      <c r="AI163" s="43"/>
      <c r="AJ163" s="43"/>
      <c r="AK163" s="43"/>
      <c r="AL163" s="43"/>
    </row>
    <row r="164" spans="1:254" s="58" customFormat="1" x14ac:dyDescent="0.2">
      <c r="B164" s="379"/>
      <c r="C164" s="61"/>
      <c r="D164" s="95" t="s">
        <v>432</v>
      </c>
      <c r="E164" s="376"/>
      <c r="F164" s="380"/>
      <c r="G164" s="54"/>
      <c r="H164" s="54">
        <f t="shared" si="64"/>
        <v>6000</v>
      </c>
      <c r="I164" s="54">
        <f t="shared" si="65"/>
        <v>6000</v>
      </c>
      <c r="J164" s="54"/>
      <c r="K164" s="97"/>
      <c r="L164" s="60">
        <v>4000</v>
      </c>
      <c r="M164" s="98"/>
      <c r="N164" s="60">
        <v>2000</v>
      </c>
      <c r="O164" s="98"/>
      <c r="P164" s="98"/>
      <c r="Q164" s="98"/>
      <c r="R164" s="98"/>
      <c r="S164" s="98"/>
      <c r="T164" s="98"/>
      <c r="U164" s="98"/>
      <c r="V164" s="98"/>
      <c r="W164"/>
      <c r="X164"/>
      <c r="Y164"/>
      <c r="Z164"/>
      <c r="AA164"/>
      <c r="AB164"/>
      <c r="AC164"/>
      <c r="AD164" s="43"/>
      <c r="AE164" s="43"/>
      <c r="AF164" s="43"/>
      <c r="AG164" s="43"/>
      <c r="AH164" s="43"/>
      <c r="AI164" s="43"/>
      <c r="AJ164" s="43"/>
      <c r="AK164" s="43"/>
      <c r="AL164" s="43"/>
    </row>
    <row r="165" spans="1:254" s="58" customFormat="1" x14ac:dyDescent="0.2">
      <c r="B165" s="379"/>
      <c r="C165" s="61"/>
      <c r="D165" s="95" t="s">
        <v>433</v>
      </c>
      <c r="E165" s="376"/>
      <c r="F165" s="380"/>
      <c r="G165" s="54"/>
      <c r="H165" s="54">
        <f t="shared" si="64"/>
        <v>0</v>
      </c>
      <c r="I165" s="54">
        <f t="shared" si="65"/>
        <v>0</v>
      </c>
      <c r="J165" s="54"/>
      <c r="K165" s="97"/>
      <c r="L165" s="60"/>
      <c r="M165" s="98"/>
      <c r="N165" s="60"/>
      <c r="O165" s="98"/>
      <c r="P165" s="98"/>
      <c r="Q165" s="98"/>
      <c r="R165" s="98"/>
      <c r="S165" s="98"/>
      <c r="T165" s="98"/>
      <c r="U165" s="98"/>
      <c r="V165" s="98"/>
      <c r="W165"/>
      <c r="X165"/>
      <c r="Y165"/>
      <c r="Z165"/>
      <c r="AA165"/>
      <c r="AB165"/>
      <c r="AC165"/>
      <c r="AD165" s="43"/>
      <c r="AE165" s="43"/>
      <c r="AF165" s="43"/>
      <c r="AG165" s="43"/>
      <c r="AH165" s="43"/>
      <c r="AI165" s="43"/>
      <c r="AJ165" s="43"/>
      <c r="AK165" s="43"/>
      <c r="AL165" s="43"/>
    </row>
    <row r="166" spans="1:254" s="58" customFormat="1" x14ac:dyDescent="0.2">
      <c r="B166" s="379"/>
      <c r="C166" s="61"/>
      <c r="D166" s="95" t="s">
        <v>434</v>
      </c>
      <c r="E166" s="376"/>
      <c r="F166" s="380"/>
      <c r="G166" s="54"/>
      <c r="H166" s="54">
        <f t="shared" si="64"/>
        <v>0</v>
      </c>
      <c r="I166" s="54">
        <f t="shared" si="65"/>
        <v>0</v>
      </c>
      <c r="J166" s="54"/>
      <c r="K166" s="97"/>
      <c r="L166" s="60"/>
      <c r="M166" s="98"/>
      <c r="N166" s="60"/>
      <c r="O166" s="98"/>
      <c r="P166" s="98"/>
      <c r="Q166" s="98"/>
      <c r="R166" s="98"/>
      <c r="S166" s="98"/>
      <c r="T166" s="98"/>
      <c r="U166" s="98"/>
      <c r="V166" s="98"/>
      <c r="W166"/>
      <c r="X166"/>
      <c r="Y166"/>
      <c r="Z166"/>
      <c r="AA166"/>
      <c r="AB166"/>
      <c r="AC166"/>
      <c r="AD166" s="43"/>
      <c r="AE166" s="43"/>
      <c r="AF166" s="43"/>
      <c r="AG166" s="43"/>
      <c r="AH166" s="43"/>
      <c r="AI166" s="43"/>
      <c r="AJ166" s="43"/>
      <c r="AK166" s="43"/>
      <c r="AL166" s="43"/>
    </row>
    <row r="167" spans="1:254" s="58" customFormat="1" x14ac:dyDescent="0.2">
      <c r="B167" s="379"/>
      <c r="C167" s="61"/>
      <c r="D167" s="95" t="s">
        <v>435</v>
      </c>
      <c r="E167" s="376"/>
      <c r="F167" s="380"/>
      <c r="G167" s="54"/>
      <c r="H167" s="54">
        <f t="shared" si="64"/>
        <v>0</v>
      </c>
      <c r="I167" s="54">
        <f t="shared" si="65"/>
        <v>0</v>
      </c>
      <c r="J167" s="54"/>
      <c r="K167" s="97"/>
      <c r="L167" s="60"/>
      <c r="M167" s="98"/>
      <c r="N167" s="60"/>
      <c r="O167" s="98"/>
      <c r="P167" s="98"/>
      <c r="Q167" s="98"/>
      <c r="R167" s="98"/>
      <c r="S167" s="98"/>
      <c r="T167" s="98"/>
      <c r="U167" s="98"/>
      <c r="V167" s="98"/>
      <c r="W167"/>
      <c r="X167"/>
      <c r="Y167"/>
      <c r="Z167"/>
      <c r="AA167"/>
      <c r="AB167"/>
      <c r="AC167"/>
      <c r="AD167" s="43"/>
      <c r="AE167" s="43"/>
      <c r="AF167" s="43"/>
      <c r="AG167" s="43"/>
      <c r="AH167" s="43"/>
      <c r="AI167" s="43"/>
      <c r="AJ167" s="43"/>
      <c r="AK167" s="43"/>
      <c r="AL167" s="43"/>
    </row>
    <row r="168" spans="1:254" s="58" customFormat="1" x14ac:dyDescent="0.2">
      <c r="B168" s="379"/>
      <c r="C168" s="61"/>
      <c r="D168" s="95" t="s">
        <v>436</v>
      </c>
      <c r="E168" s="376"/>
      <c r="F168" s="380"/>
      <c r="G168" s="54"/>
      <c r="H168" s="54">
        <f t="shared" si="64"/>
        <v>0</v>
      </c>
      <c r="I168" s="54">
        <f t="shared" si="65"/>
        <v>0</v>
      </c>
      <c r="J168" s="54"/>
      <c r="K168" s="97"/>
      <c r="L168" s="60"/>
      <c r="M168" s="98"/>
      <c r="N168" s="60"/>
      <c r="O168" s="98"/>
      <c r="P168" s="98"/>
      <c r="Q168" s="98"/>
      <c r="R168" s="98"/>
      <c r="S168" s="98"/>
      <c r="T168" s="98"/>
      <c r="U168" s="98"/>
      <c r="V168" s="98"/>
      <c r="W168"/>
      <c r="X168"/>
      <c r="Y168"/>
      <c r="Z168"/>
      <c r="AA168"/>
      <c r="AB168"/>
      <c r="AC168"/>
      <c r="AD168" s="43"/>
      <c r="AE168" s="43"/>
      <c r="AF168" s="43"/>
      <c r="AG168" s="43"/>
      <c r="AH168" s="43"/>
      <c r="AI168" s="43"/>
      <c r="AJ168" s="43"/>
      <c r="AK168" s="43"/>
      <c r="AL168" s="43"/>
    </row>
    <row r="169" spans="1:254" s="81" customFormat="1" x14ac:dyDescent="0.2">
      <c r="B169" s="51" t="s">
        <v>97</v>
      </c>
      <c r="C169" s="66"/>
      <c r="D169" s="66"/>
      <c r="E169" s="66"/>
      <c r="F169" s="66"/>
      <c r="G169" s="54">
        <v>250000</v>
      </c>
      <c r="H169" s="54">
        <f>SUM(K169:V169)</f>
        <v>78974.489795918373</v>
      </c>
      <c r="I169" s="54">
        <f>H169</f>
        <v>78974.489795918373</v>
      </c>
      <c r="J169" s="54">
        <f>J170</f>
        <v>0</v>
      </c>
      <c r="K169" s="54">
        <f>K170</f>
        <v>40959.183673469386</v>
      </c>
      <c r="L169" s="54">
        <f t="shared" ref="L169:V169" si="85">L170</f>
        <v>0</v>
      </c>
      <c r="M169" s="54">
        <f t="shared" si="85"/>
        <v>0</v>
      </c>
      <c r="N169" s="54">
        <f t="shared" si="85"/>
        <v>0</v>
      </c>
      <c r="O169" s="54">
        <f t="shared" si="85"/>
        <v>0</v>
      </c>
      <c r="P169" s="54">
        <f t="shared" si="85"/>
        <v>0</v>
      </c>
      <c r="Q169" s="54">
        <f t="shared" si="85"/>
        <v>0</v>
      </c>
      <c r="R169" s="54">
        <f t="shared" si="85"/>
        <v>0</v>
      </c>
      <c r="S169" s="54">
        <f t="shared" si="85"/>
        <v>0</v>
      </c>
      <c r="T169" s="54">
        <f t="shared" si="85"/>
        <v>38015.306122448979</v>
      </c>
      <c r="U169" s="54">
        <f t="shared" si="85"/>
        <v>0</v>
      </c>
      <c r="V169" s="54">
        <f t="shared" si="85"/>
        <v>0</v>
      </c>
      <c r="W169"/>
      <c r="X169"/>
      <c r="Y169"/>
      <c r="Z169"/>
      <c r="AA169"/>
      <c r="AB169"/>
      <c r="AC169"/>
      <c r="AD169" s="43"/>
      <c r="AE169" s="43"/>
      <c r="AF169" s="43"/>
      <c r="AG169" s="43"/>
      <c r="AH169" s="43"/>
      <c r="AI169" s="43"/>
      <c r="AJ169" s="43"/>
      <c r="AK169" s="43"/>
      <c r="AL169" s="43"/>
    </row>
    <row r="170" spans="1:254" s="81" customFormat="1" x14ac:dyDescent="0.2">
      <c r="B170" s="75"/>
      <c r="C170" s="82"/>
      <c r="D170" s="95" t="s">
        <v>97</v>
      </c>
      <c r="E170" s="82"/>
      <c r="F170" s="83"/>
      <c r="G170" s="54">
        <v>250000</v>
      </c>
      <c r="H170" s="394">
        <f>SUM(K170:V170)</f>
        <v>78974.489795918373</v>
      </c>
      <c r="I170" s="394">
        <f>H170</f>
        <v>78974.489795918373</v>
      </c>
      <c r="J170" s="54"/>
      <c r="K170" s="60">
        <f>(2518750+90350)/63.7</f>
        <v>40959.183673469386</v>
      </c>
      <c r="L170" s="60"/>
      <c r="N170" s="60"/>
      <c r="O170" s="60"/>
      <c r="P170" s="98"/>
      <c r="Q170" s="98"/>
      <c r="R170" s="98"/>
      <c r="S170" s="98"/>
      <c r="T170" s="98">
        <f>(2361125+60450)/63.7</f>
        <v>38015.306122448979</v>
      </c>
      <c r="U170" s="98"/>
      <c r="V170" s="98"/>
      <c r="W170"/>
      <c r="X170"/>
      <c r="Y170"/>
      <c r="Z170"/>
      <c r="AA170"/>
      <c r="AB170"/>
      <c r="AC170"/>
      <c r="AD170" s="43"/>
      <c r="AE170" s="43"/>
      <c r="AF170" s="43"/>
      <c r="AG170" s="43"/>
      <c r="AH170" s="43"/>
      <c r="AI170" s="43"/>
      <c r="AJ170" s="43"/>
      <c r="AK170" s="43"/>
      <c r="AL170" s="43"/>
    </row>
    <row r="171" spans="1:254" s="81" customFormat="1" x14ac:dyDescent="0.2">
      <c r="B171" s="51" t="s">
        <v>38</v>
      </c>
      <c r="C171" s="66"/>
      <c r="D171" s="66"/>
      <c r="E171" s="66"/>
      <c r="F171" s="66"/>
      <c r="G171" s="54">
        <v>460000</v>
      </c>
      <c r="H171" s="54">
        <f>SUM(I171:J171)</f>
        <v>134254.81319469027</v>
      </c>
      <c r="I171" s="54">
        <f>SUM(I172:I177)</f>
        <v>134254.81319469027</v>
      </c>
      <c r="J171" s="54">
        <f>SUM(J172:J174)</f>
        <v>0</v>
      </c>
      <c r="K171" s="54">
        <f t="shared" ref="K171:V171" si="86">SUM(K172:K177)</f>
        <v>20498.830938053099</v>
      </c>
      <c r="L171" s="54">
        <f t="shared" si="86"/>
        <v>8721.8889380530982</v>
      </c>
      <c r="M171" s="54">
        <f t="shared" si="86"/>
        <v>3191.2389380530976</v>
      </c>
      <c r="N171" s="54">
        <f t="shared" si="86"/>
        <v>33121.703938053099</v>
      </c>
      <c r="O171" s="54">
        <f t="shared" si="86"/>
        <v>3191.2389380530976</v>
      </c>
      <c r="P171" s="54">
        <f t="shared" si="86"/>
        <v>3191.2389380530976</v>
      </c>
      <c r="Q171" s="54">
        <f t="shared" si="86"/>
        <v>17691.238938053099</v>
      </c>
      <c r="R171" s="54">
        <f t="shared" si="86"/>
        <v>3191.2389380530976</v>
      </c>
      <c r="S171" s="54">
        <f t="shared" si="86"/>
        <v>3191.2389380530976</v>
      </c>
      <c r="T171" s="54">
        <f t="shared" si="86"/>
        <v>3191.2389380530976</v>
      </c>
      <c r="U171" s="54">
        <f t="shared" si="86"/>
        <v>28691.238938053099</v>
      </c>
      <c r="V171" s="54">
        <f t="shared" si="86"/>
        <v>6382.4778761061953</v>
      </c>
      <c r="W171"/>
      <c r="X171"/>
      <c r="Y171"/>
      <c r="Z171"/>
      <c r="AA171"/>
      <c r="AB171"/>
      <c r="AC171"/>
      <c r="AD171" s="43"/>
      <c r="AE171" s="43"/>
      <c r="AF171" s="43"/>
      <c r="AG171" s="43"/>
      <c r="AH171" s="43"/>
      <c r="AI171" s="43"/>
      <c r="AJ171" s="43"/>
      <c r="AK171" s="43"/>
      <c r="AL171" s="43"/>
    </row>
    <row r="172" spans="1:254" x14ac:dyDescent="0.2">
      <c r="A172"/>
      <c r="B172" s="123"/>
      <c r="C172" s="123"/>
      <c r="D172" s="95" t="s">
        <v>209</v>
      </c>
      <c r="E172" s="123"/>
      <c r="F172" s="123">
        <v>3</v>
      </c>
      <c r="G172" s="54">
        <f>41486*5-107430</f>
        <v>100000</v>
      </c>
      <c r="H172" s="54">
        <f t="shared" ref="H172:H178" si="87">SUM(I172:J172)</f>
        <v>41486.106194690277</v>
      </c>
      <c r="I172" s="54">
        <f t="shared" ref="I172:I178" si="88">SUM(K172:V172)</f>
        <v>41486.106194690277</v>
      </c>
      <c r="J172" s="54"/>
      <c r="K172" s="124">
        <f t="shared" ref="K172:U172" si="89">72122*3/67.8</f>
        <v>3191.2389380530976</v>
      </c>
      <c r="L172" s="124">
        <f t="shared" si="89"/>
        <v>3191.2389380530976</v>
      </c>
      <c r="M172" s="124">
        <f t="shared" si="89"/>
        <v>3191.2389380530976</v>
      </c>
      <c r="N172" s="124">
        <f t="shared" si="89"/>
        <v>3191.2389380530976</v>
      </c>
      <c r="O172" s="124">
        <f t="shared" si="89"/>
        <v>3191.2389380530976</v>
      </c>
      <c r="P172" s="124">
        <f t="shared" si="89"/>
        <v>3191.2389380530976</v>
      </c>
      <c r="Q172" s="124">
        <f t="shared" si="89"/>
        <v>3191.2389380530976</v>
      </c>
      <c r="R172" s="124">
        <f t="shared" si="89"/>
        <v>3191.2389380530976</v>
      </c>
      <c r="S172" s="124">
        <f t="shared" si="89"/>
        <v>3191.2389380530976</v>
      </c>
      <c r="T172" s="124">
        <f t="shared" si="89"/>
        <v>3191.2389380530976</v>
      </c>
      <c r="U172" s="124">
        <f t="shared" si="89"/>
        <v>3191.2389380530976</v>
      </c>
      <c r="V172" s="125">
        <f>U172*2</f>
        <v>6382.4778761061953</v>
      </c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  <c r="FO172"/>
      <c r="FP172"/>
      <c r="FQ172"/>
      <c r="FR172"/>
      <c r="FS172"/>
      <c r="FT172"/>
      <c r="FU172"/>
      <c r="FV172"/>
      <c r="FW172"/>
      <c r="FX172"/>
      <c r="FY172"/>
      <c r="FZ172"/>
      <c r="GA172"/>
      <c r="GB172"/>
      <c r="GC172"/>
      <c r="GD172"/>
      <c r="GE172"/>
      <c r="GF172"/>
      <c r="GG172"/>
      <c r="GH172"/>
      <c r="GI172"/>
      <c r="GJ172"/>
      <c r="GK172"/>
      <c r="GL172"/>
      <c r="GM172"/>
      <c r="GN172"/>
      <c r="GO172"/>
      <c r="GP172"/>
      <c r="GQ172"/>
      <c r="GR172"/>
      <c r="GS172"/>
      <c r="GT172"/>
      <c r="GU172"/>
      <c r="GV172"/>
      <c r="GW172"/>
      <c r="GX172"/>
      <c r="GY172"/>
      <c r="GZ172"/>
      <c r="HA172"/>
      <c r="HB172"/>
      <c r="HC172"/>
      <c r="HD172"/>
      <c r="HE172"/>
      <c r="HF172"/>
      <c r="HG172"/>
      <c r="HH172"/>
      <c r="HI172"/>
      <c r="HJ172"/>
      <c r="HK172"/>
      <c r="HL172"/>
      <c r="HM172"/>
      <c r="HN172"/>
      <c r="HO172"/>
      <c r="HP172"/>
      <c r="HQ172"/>
      <c r="HR172"/>
      <c r="HS172"/>
      <c r="HT172"/>
      <c r="HU172"/>
      <c r="HV172"/>
      <c r="HW172"/>
      <c r="HX172"/>
      <c r="HY172"/>
      <c r="HZ172"/>
      <c r="IA172"/>
      <c r="IB172"/>
      <c r="IC172"/>
      <c r="ID172"/>
      <c r="IE172"/>
      <c r="IF172"/>
      <c r="IG172"/>
      <c r="IH172"/>
      <c r="II172"/>
      <c r="IJ172"/>
      <c r="IK172"/>
      <c r="IL172"/>
      <c r="IM172"/>
      <c r="IN172"/>
      <c r="IO172"/>
      <c r="IP172"/>
      <c r="IQ172"/>
      <c r="IR172"/>
      <c r="IS172"/>
      <c r="IT172"/>
    </row>
    <row r="173" spans="1:254" x14ac:dyDescent="0.2">
      <c r="A173"/>
      <c r="B173" s="123"/>
      <c r="C173" s="123"/>
      <c r="D173" s="95" t="s">
        <v>239</v>
      </c>
      <c r="E173" s="123"/>
      <c r="F173" s="123"/>
      <c r="G173" s="54">
        <v>55000</v>
      </c>
      <c r="H173" s="54">
        <f t="shared" si="87"/>
        <v>38714.550000000003</v>
      </c>
      <c r="I173" s="54">
        <f t="shared" si="88"/>
        <v>38714.550000000003</v>
      </c>
      <c r="J173" s="54"/>
      <c r="K173" s="433">
        <f>55306.5*0.2</f>
        <v>11061.300000000001</v>
      </c>
      <c r="L173" s="433">
        <f>55306.5*0.1</f>
        <v>5530.6500000000005</v>
      </c>
      <c r="M173" s="433"/>
      <c r="N173" s="433">
        <f>55306.5*0.4</f>
        <v>22122.600000000002</v>
      </c>
      <c r="O173" s="433"/>
      <c r="P173" s="433"/>
      <c r="Q173" s="433"/>
      <c r="R173" s="38"/>
      <c r="S173" s="38"/>
      <c r="T173" s="38"/>
      <c r="U173" s="60"/>
      <c r="V173" s="60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  <c r="FO173"/>
      <c r="FP173"/>
      <c r="FQ173"/>
      <c r="FR173"/>
      <c r="FS173"/>
      <c r="FT173"/>
      <c r="FU173"/>
      <c r="FV173"/>
      <c r="FW173"/>
      <c r="FX173"/>
      <c r="FY173"/>
      <c r="FZ173"/>
      <c r="GA173"/>
      <c r="GB173"/>
      <c r="GC173"/>
      <c r="GD173"/>
      <c r="GE173"/>
      <c r="GF173"/>
      <c r="GG173"/>
      <c r="GH173"/>
      <c r="GI173"/>
      <c r="GJ173"/>
      <c r="GK173"/>
      <c r="GL173"/>
      <c r="GM173"/>
      <c r="GN173"/>
      <c r="GO173"/>
      <c r="GP173"/>
      <c r="GQ173"/>
      <c r="GR173"/>
      <c r="GS173"/>
      <c r="GT173"/>
      <c r="GU173"/>
      <c r="GV173"/>
      <c r="GW173"/>
      <c r="GX173"/>
      <c r="GY173"/>
      <c r="GZ173"/>
      <c r="HA173"/>
      <c r="HB173"/>
      <c r="HC173"/>
      <c r="HD173"/>
      <c r="HE173"/>
      <c r="HF173"/>
      <c r="HG173"/>
      <c r="HH173"/>
      <c r="HI173"/>
      <c r="HJ173"/>
      <c r="HK173"/>
      <c r="HL173"/>
      <c r="HM173"/>
      <c r="HN173"/>
      <c r="HO173"/>
      <c r="HP173"/>
      <c r="HQ173"/>
      <c r="HR173"/>
      <c r="HS173"/>
      <c r="HT173"/>
      <c r="HU173"/>
      <c r="HV173"/>
      <c r="HW173"/>
      <c r="HX173"/>
      <c r="HY173"/>
      <c r="HZ173"/>
      <c r="IA173"/>
      <c r="IB173"/>
      <c r="IC173"/>
      <c r="ID173"/>
      <c r="IE173"/>
      <c r="IF173"/>
      <c r="IG173"/>
      <c r="IH173"/>
      <c r="II173"/>
      <c r="IJ173"/>
      <c r="IK173"/>
      <c r="IL173"/>
      <c r="IM173"/>
      <c r="IN173"/>
      <c r="IO173"/>
      <c r="IP173"/>
      <c r="IQ173"/>
      <c r="IR173"/>
      <c r="IS173"/>
      <c r="IT173"/>
    </row>
    <row r="174" spans="1:254" x14ac:dyDescent="0.2">
      <c r="A174"/>
      <c r="B174" s="123"/>
      <c r="C174" s="123"/>
      <c r="D174" s="95" t="s">
        <v>240</v>
      </c>
      <c r="E174" s="123"/>
      <c r="F174" s="123"/>
      <c r="G174" s="54">
        <v>35000</v>
      </c>
      <c r="H174" s="54">
        <f t="shared" si="87"/>
        <v>14054.156999999999</v>
      </c>
      <c r="I174" s="54">
        <f t="shared" si="88"/>
        <v>14054.156999999999</v>
      </c>
      <c r="J174" s="432"/>
      <c r="K174" s="433">
        <f>15615.73*0.4</f>
        <v>6246.2920000000004</v>
      </c>
      <c r="L174" s="457"/>
      <c r="M174" s="433"/>
      <c r="N174" s="433">
        <f>15615.73*0.5</f>
        <v>7807.8649999999998</v>
      </c>
      <c r="O174" s="433"/>
      <c r="P174" s="433"/>
      <c r="Q174" s="433"/>
      <c r="R174" s="38"/>
      <c r="S174" s="38"/>
      <c r="T174" s="38"/>
      <c r="U174" s="86"/>
      <c r="V174" s="60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  <c r="FO174"/>
      <c r="FP174"/>
      <c r="FQ174"/>
      <c r="FR174"/>
      <c r="FS174"/>
      <c r="FT174"/>
      <c r="FU174"/>
      <c r="FV174"/>
      <c r="FW174"/>
      <c r="FX174"/>
      <c r="FY174"/>
      <c r="FZ174"/>
      <c r="GA174"/>
      <c r="GB174"/>
      <c r="GC174"/>
      <c r="GD174"/>
      <c r="GE174"/>
      <c r="GF174"/>
      <c r="GG174"/>
      <c r="GH174"/>
      <c r="GI174"/>
      <c r="GJ174"/>
      <c r="GK174"/>
      <c r="GL174"/>
      <c r="GM174"/>
      <c r="GN174"/>
      <c r="GO174"/>
      <c r="GP174"/>
      <c r="GQ174"/>
      <c r="GR174"/>
      <c r="GS174"/>
      <c r="GT174"/>
      <c r="GU174"/>
      <c r="GV174"/>
      <c r="GW174"/>
      <c r="GX174"/>
      <c r="GY174"/>
      <c r="GZ174"/>
      <c r="HA174"/>
      <c r="HB174"/>
      <c r="HC174"/>
      <c r="HD174"/>
      <c r="HE174"/>
      <c r="HF174"/>
      <c r="HG174"/>
      <c r="HH174"/>
      <c r="HI174"/>
      <c r="HJ174"/>
      <c r="HK174"/>
      <c r="HL174"/>
      <c r="HM174"/>
      <c r="HN174"/>
      <c r="HO174"/>
      <c r="HP174"/>
      <c r="HQ174"/>
      <c r="HR174"/>
      <c r="HS174"/>
      <c r="HT174"/>
      <c r="HU174"/>
      <c r="HV174"/>
      <c r="HW174"/>
      <c r="HX174"/>
      <c r="HY174"/>
      <c r="HZ174"/>
      <c r="IA174"/>
      <c r="IB174"/>
      <c r="IC174"/>
      <c r="ID174"/>
      <c r="IE174"/>
      <c r="IF174"/>
      <c r="IG174"/>
      <c r="IH174"/>
      <c r="II174"/>
      <c r="IJ174"/>
      <c r="IK174"/>
      <c r="IL174"/>
      <c r="IM174"/>
      <c r="IN174"/>
      <c r="IO174"/>
      <c r="IP174"/>
      <c r="IQ174"/>
      <c r="IR174"/>
      <c r="IS174"/>
      <c r="IT174"/>
    </row>
    <row r="175" spans="1:254" x14ac:dyDescent="0.2">
      <c r="A175"/>
      <c r="B175" s="123"/>
      <c r="C175" s="123"/>
      <c r="D175" s="95" t="s">
        <v>580</v>
      </c>
      <c r="E175" s="123"/>
      <c r="F175" s="123"/>
      <c r="G175" s="54">
        <v>70000</v>
      </c>
      <c r="H175" s="54">
        <v>70000</v>
      </c>
      <c r="I175" s="54"/>
      <c r="J175" s="432"/>
      <c r="K175" s="433"/>
      <c r="L175" s="457"/>
      <c r="M175" s="433"/>
      <c r="N175" s="433"/>
      <c r="O175" s="433"/>
      <c r="P175" s="433"/>
      <c r="Q175" s="433"/>
      <c r="R175" s="38"/>
      <c r="S175" s="38"/>
      <c r="T175" s="38"/>
      <c r="U175" s="86"/>
      <c r="V175" s="60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  <c r="FO175"/>
      <c r="FP175"/>
      <c r="FQ175"/>
      <c r="FR175"/>
      <c r="FS175"/>
      <c r="FT175"/>
      <c r="FU175"/>
      <c r="FV175"/>
      <c r="FW175"/>
      <c r="FX175"/>
      <c r="FY175"/>
      <c r="FZ175"/>
      <c r="GA175"/>
      <c r="GB175"/>
      <c r="GC175"/>
      <c r="GD175"/>
      <c r="GE175"/>
      <c r="GF175"/>
      <c r="GG175"/>
      <c r="GH175"/>
      <c r="GI175"/>
      <c r="GJ175"/>
      <c r="GK175"/>
      <c r="GL175"/>
      <c r="GM175"/>
      <c r="GN175"/>
      <c r="GO175"/>
      <c r="GP175"/>
      <c r="GQ175"/>
      <c r="GR175"/>
      <c r="GS175"/>
      <c r="GT175"/>
      <c r="GU175"/>
      <c r="GV175"/>
      <c r="GW175"/>
      <c r="GX175"/>
      <c r="GY175"/>
      <c r="GZ175"/>
      <c r="HA175"/>
      <c r="HB175"/>
      <c r="HC175"/>
      <c r="HD175"/>
      <c r="HE175"/>
      <c r="HF175"/>
      <c r="HG175"/>
      <c r="HH175"/>
      <c r="HI175"/>
      <c r="HJ175"/>
      <c r="HK175"/>
      <c r="HL175"/>
      <c r="HM175"/>
      <c r="HN175"/>
      <c r="HO175"/>
      <c r="HP175"/>
      <c r="HQ175"/>
      <c r="HR175"/>
      <c r="HS175"/>
      <c r="HT175"/>
      <c r="HU175"/>
      <c r="HV175"/>
      <c r="HW175"/>
      <c r="HX175"/>
      <c r="HY175"/>
      <c r="HZ175"/>
      <c r="IA175"/>
      <c r="IB175"/>
      <c r="IC175"/>
      <c r="ID175"/>
      <c r="IE175"/>
      <c r="IF175"/>
      <c r="IG175"/>
      <c r="IH175"/>
      <c r="II175"/>
      <c r="IJ175"/>
      <c r="IK175"/>
      <c r="IL175"/>
      <c r="IM175"/>
      <c r="IN175"/>
      <c r="IO175"/>
      <c r="IP175"/>
      <c r="IQ175"/>
      <c r="IR175"/>
      <c r="IS175"/>
      <c r="IT175"/>
    </row>
    <row r="176" spans="1:254" x14ac:dyDescent="0.2">
      <c r="A176"/>
      <c r="B176" s="86"/>
      <c r="C176" s="86"/>
      <c r="D176" s="95" t="s">
        <v>392</v>
      </c>
      <c r="E176" s="123"/>
      <c r="F176" s="123"/>
      <c r="G176" s="54">
        <v>108000</v>
      </c>
      <c r="H176" s="54">
        <f t="shared" si="87"/>
        <v>33000</v>
      </c>
      <c r="I176" s="54">
        <f t="shared" si="88"/>
        <v>33000</v>
      </c>
      <c r="J176" s="432"/>
      <c r="K176" s="86"/>
      <c r="L176" s="86"/>
      <c r="M176" s="86"/>
      <c r="N176" s="86"/>
      <c r="O176" s="86"/>
      <c r="P176" s="86"/>
      <c r="Q176" s="388">
        <f>110000*0.1</f>
        <v>11000</v>
      </c>
      <c r="R176" s="388"/>
      <c r="S176" s="388"/>
      <c r="T176" s="388"/>
      <c r="U176" s="388">
        <f>110000*0.2</f>
        <v>22000</v>
      </c>
      <c r="V176" s="8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  <c r="FO176"/>
      <c r="FP176"/>
      <c r="FQ176"/>
      <c r="FR176"/>
      <c r="FS176"/>
      <c r="FT176"/>
      <c r="FU176"/>
      <c r="FV176"/>
      <c r="FW176"/>
      <c r="FX176"/>
      <c r="FY176"/>
      <c r="FZ176"/>
      <c r="GA176"/>
      <c r="GB176"/>
      <c r="GC176"/>
      <c r="GD176"/>
      <c r="GE176"/>
      <c r="GF176"/>
      <c r="GG176"/>
      <c r="GH176"/>
      <c r="GI176"/>
      <c r="GJ176"/>
      <c r="GK176"/>
      <c r="GL176"/>
      <c r="GM176"/>
      <c r="GN176"/>
      <c r="GO176"/>
      <c r="GP176"/>
      <c r="GQ176"/>
      <c r="GR176"/>
      <c r="GS176"/>
      <c r="GT176"/>
      <c r="GU176"/>
      <c r="GV176"/>
      <c r="GW176"/>
      <c r="GX176"/>
      <c r="GY176"/>
      <c r="GZ176"/>
      <c r="HA176"/>
      <c r="HB176"/>
      <c r="HC176"/>
      <c r="HD176"/>
      <c r="HE176"/>
      <c r="HF176"/>
      <c r="HG176"/>
      <c r="HH176"/>
      <c r="HI176"/>
      <c r="HJ176"/>
      <c r="HK176"/>
      <c r="HL176"/>
      <c r="HM176"/>
      <c r="HN176"/>
      <c r="HO176"/>
      <c r="HP176"/>
      <c r="HQ176"/>
      <c r="HR176"/>
      <c r="HS176"/>
      <c r="HT176"/>
      <c r="HU176"/>
      <c r="HV176"/>
      <c r="HW176"/>
      <c r="HX176"/>
      <c r="HY176"/>
      <c r="HZ176"/>
      <c r="IA176"/>
      <c r="IB176"/>
      <c r="IC176"/>
      <c r="ID176"/>
      <c r="IE176"/>
      <c r="IF176"/>
      <c r="IG176"/>
      <c r="IH176"/>
      <c r="II176"/>
      <c r="IJ176"/>
      <c r="IK176"/>
      <c r="IL176"/>
      <c r="IM176"/>
      <c r="IN176"/>
      <c r="IO176"/>
      <c r="IP176"/>
      <c r="IQ176"/>
      <c r="IR176"/>
      <c r="IS176"/>
      <c r="IT176"/>
    </row>
    <row r="177" spans="1:254" x14ac:dyDescent="0.2">
      <c r="A177"/>
      <c r="B177" s="86"/>
      <c r="C177" s="86"/>
      <c r="D177" s="95" t="s">
        <v>393</v>
      </c>
      <c r="E177" s="123"/>
      <c r="F177" s="123"/>
      <c r="G177" s="54">
        <v>20000</v>
      </c>
      <c r="H177" s="54">
        <f t="shared" si="87"/>
        <v>7000</v>
      </c>
      <c r="I177" s="54">
        <f t="shared" si="88"/>
        <v>7000</v>
      </c>
      <c r="J177" s="432"/>
      <c r="K177" s="86"/>
      <c r="L177" s="86"/>
      <c r="M177" s="86"/>
      <c r="N177" s="86"/>
      <c r="O177" s="86"/>
      <c r="P177" s="86"/>
      <c r="Q177" s="388">
        <f>35000*0.1</f>
        <v>3500</v>
      </c>
      <c r="R177" s="388"/>
      <c r="S177" s="388"/>
      <c r="T177" s="388"/>
      <c r="U177" s="388">
        <f>35000*0.1</f>
        <v>3500</v>
      </c>
      <c r="V177" s="86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  <c r="FO177"/>
      <c r="FP177"/>
      <c r="FQ177"/>
      <c r="FR177"/>
      <c r="FS177"/>
      <c r="FT177"/>
      <c r="FU177"/>
      <c r="FV177"/>
      <c r="FW177"/>
      <c r="FX177"/>
      <c r="FY177"/>
      <c r="FZ177"/>
      <c r="GA177"/>
      <c r="GB177"/>
      <c r="GC177"/>
      <c r="GD177"/>
      <c r="GE177"/>
      <c r="GF177"/>
      <c r="GG177"/>
      <c r="GH177"/>
      <c r="GI177"/>
      <c r="GJ177"/>
      <c r="GK177"/>
      <c r="GL177"/>
      <c r="GM177"/>
      <c r="GN177"/>
      <c r="GO177"/>
      <c r="GP177"/>
      <c r="GQ177"/>
      <c r="GR177"/>
      <c r="GS177"/>
      <c r="GT177"/>
      <c r="GU177"/>
      <c r="GV177"/>
      <c r="GW177"/>
      <c r="GX177"/>
      <c r="GY177"/>
      <c r="GZ177"/>
      <c r="HA177"/>
      <c r="HB177"/>
      <c r="HC177"/>
      <c r="HD177"/>
      <c r="HE177"/>
      <c r="HF177"/>
      <c r="HG177"/>
      <c r="HH177"/>
      <c r="HI177"/>
      <c r="HJ177"/>
      <c r="HK177"/>
      <c r="HL177"/>
      <c r="HM177"/>
      <c r="HN177"/>
      <c r="HO177"/>
      <c r="HP177"/>
      <c r="HQ177"/>
      <c r="HR177"/>
      <c r="HS177"/>
      <c r="HT177"/>
      <c r="HU177"/>
      <c r="HV177"/>
      <c r="HW177"/>
      <c r="HX177"/>
      <c r="HY177"/>
      <c r="HZ177"/>
      <c r="IA177"/>
      <c r="IB177"/>
      <c r="IC177"/>
      <c r="ID177"/>
      <c r="IE177"/>
      <c r="IF177"/>
      <c r="IG177"/>
      <c r="IH177"/>
      <c r="II177"/>
      <c r="IJ177"/>
      <c r="IK177"/>
      <c r="IL177"/>
      <c r="IM177"/>
      <c r="IN177"/>
      <c r="IO177"/>
      <c r="IP177"/>
      <c r="IQ177"/>
      <c r="IR177"/>
      <c r="IS177"/>
      <c r="IT177"/>
    </row>
    <row r="178" spans="1:254" x14ac:dyDescent="0.2">
      <c r="A178"/>
      <c r="B178" s="86"/>
      <c r="C178" s="86"/>
      <c r="D178" s="95" t="s">
        <v>581</v>
      </c>
      <c r="E178" s="123"/>
      <c r="F178" s="123"/>
      <c r="G178" s="54">
        <v>36000</v>
      </c>
      <c r="H178" s="54">
        <f t="shared" si="87"/>
        <v>0</v>
      </c>
      <c r="I178" s="54">
        <f t="shared" si="88"/>
        <v>0</v>
      </c>
      <c r="J178" s="432"/>
      <c r="K178" s="86"/>
      <c r="L178" s="86"/>
      <c r="M178" s="86"/>
      <c r="N178" s="86"/>
      <c r="O178" s="86"/>
      <c r="P178" s="86"/>
      <c r="Q178" s="388"/>
      <c r="R178" s="388"/>
      <c r="S178" s="388"/>
      <c r="T178" s="388"/>
      <c r="U178" s="388"/>
      <c r="V178" s="86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  <c r="FO178"/>
      <c r="FP178"/>
      <c r="FQ178"/>
      <c r="FR178"/>
      <c r="FS178"/>
      <c r="FT178"/>
      <c r="FU178"/>
      <c r="FV178"/>
      <c r="FW178"/>
      <c r="FX178"/>
      <c r="FY178"/>
      <c r="FZ178"/>
      <c r="GA178"/>
      <c r="GB178"/>
      <c r="GC178"/>
      <c r="GD178"/>
      <c r="GE178"/>
      <c r="GF178"/>
      <c r="GG178"/>
      <c r="GH178"/>
      <c r="GI178"/>
      <c r="GJ178"/>
      <c r="GK178"/>
      <c r="GL178"/>
      <c r="GM178"/>
      <c r="GN178"/>
      <c r="GO178"/>
      <c r="GP178"/>
      <c r="GQ178"/>
      <c r="GR178"/>
      <c r="GS178"/>
      <c r="GT178"/>
      <c r="GU178"/>
      <c r="GV178"/>
      <c r="GW178"/>
      <c r="GX178"/>
      <c r="GY178"/>
      <c r="GZ178"/>
      <c r="HA178"/>
      <c r="HB178"/>
      <c r="HC178"/>
      <c r="HD178"/>
      <c r="HE178"/>
      <c r="HF178"/>
      <c r="HG178"/>
      <c r="HH178"/>
      <c r="HI178"/>
      <c r="HJ178"/>
      <c r="HK178"/>
      <c r="HL178"/>
      <c r="HM178"/>
      <c r="HN178"/>
      <c r="HO178"/>
      <c r="HP178"/>
      <c r="HQ178"/>
      <c r="HR178"/>
      <c r="HS178"/>
      <c r="HT178"/>
      <c r="HU178"/>
      <c r="HV178"/>
      <c r="HW178"/>
      <c r="HX178"/>
      <c r="HY178"/>
      <c r="HZ178"/>
      <c r="IA178"/>
      <c r="IB178"/>
      <c r="IC178"/>
      <c r="ID178"/>
      <c r="IE178"/>
      <c r="IF178"/>
      <c r="IG178"/>
      <c r="IH178"/>
      <c r="II178"/>
      <c r="IJ178"/>
      <c r="IK178"/>
      <c r="IL178"/>
      <c r="IM178"/>
      <c r="IN178"/>
      <c r="IO178"/>
      <c r="IP178"/>
      <c r="IQ178"/>
      <c r="IR178"/>
      <c r="IS178"/>
      <c r="IT178"/>
    </row>
    <row r="179" spans="1:254" x14ac:dyDescent="0.2">
      <c r="A179"/>
      <c r="B179" s="86"/>
      <c r="C179" s="86"/>
      <c r="D179" s="95" t="s">
        <v>238</v>
      </c>
      <c r="E179" s="123"/>
      <c r="F179" s="123"/>
      <c r="G179" s="54">
        <v>36000</v>
      </c>
      <c r="H179" s="54"/>
      <c r="I179" s="54"/>
      <c r="J179" s="432"/>
      <c r="K179" s="86"/>
      <c r="L179" s="86"/>
      <c r="M179" s="86"/>
      <c r="N179" s="86"/>
      <c r="O179" s="86"/>
      <c r="P179" s="86"/>
      <c r="Q179" s="388"/>
      <c r="R179" s="388"/>
      <c r="S179" s="388"/>
      <c r="T179" s="388"/>
      <c r="U179" s="388"/>
      <c r="V179" s="86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  <c r="HR179"/>
      <c r="HS179"/>
      <c r="HT179"/>
      <c r="HU179"/>
      <c r="HV179"/>
      <c r="HW179"/>
      <c r="HX179"/>
      <c r="HY179"/>
      <c r="HZ179"/>
      <c r="IA179"/>
      <c r="IB179"/>
      <c r="IC179"/>
      <c r="ID179"/>
      <c r="IE179"/>
      <c r="IF179"/>
      <c r="IG179"/>
      <c r="IH179"/>
      <c r="II179"/>
      <c r="IJ179"/>
      <c r="IK179"/>
      <c r="IL179"/>
      <c r="IM179"/>
      <c r="IN179"/>
      <c r="IO179"/>
      <c r="IP179"/>
      <c r="IQ179"/>
      <c r="IR179"/>
      <c r="IS179"/>
      <c r="IT179"/>
    </row>
  </sheetData>
  <mergeCells count="19">
    <mergeCell ref="D75:E75"/>
    <mergeCell ref="D63:E63"/>
    <mergeCell ref="D124:E124"/>
    <mergeCell ref="D48:E48"/>
    <mergeCell ref="D62:E62"/>
    <mergeCell ref="D123:E123"/>
    <mergeCell ref="D84:E84"/>
    <mergeCell ref="D74:E74"/>
    <mergeCell ref="D121:E121"/>
    <mergeCell ref="D85:E85"/>
    <mergeCell ref="D49:E49"/>
    <mergeCell ref="D53:E53"/>
    <mergeCell ref="D54:E54"/>
    <mergeCell ref="D43:E43"/>
    <mergeCell ref="D45:E45"/>
    <mergeCell ref="D46:E46"/>
    <mergeCell ref="D37:E37"/>
    <mergeCell ref="D38:E38"/>
    <mergeCell ref="D42:E42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63734"/>
  </sheetPr>
  <dimension ref="A1:L61"/>
  <sheetViews>
    <sheetView topLeftCell="A47" workbookViewId="0">
      <selection sqref="A1:L61"/>
    </sheetView>
  </sheetViews>
  <sheetFormatPr defaultColWidth="11" defaultRowHeight="15" x14ac:dyDescent="0.25"/>
  <sheetData>
    <row r="1" spans="1:12" x14ac:dyDescent="0.25">
      <c r="A1" s="126"/>
      <c r="B1" s="127"/>
      <c r="C1" s="128"/>
      <c r="D1" s="129"/>
      <c r="E1" s="127"/>
      <c r="F1" s="127"/>
      <c r="G1" s="127"/>
      <c r="H1" s="127"/>
      <c r="I1" s="127"/>
      <c r="J1" s="127"/>
      <c r="K1" s="127"/>
      <c r="L1" s="127"/>
    </row>
    <row r="2" spans="1:12" x14ac:dyDescent="0.25">
      <c r="A2" s="126"/>
      <c r="B2" s="127"/>
      <c r="C2" s="128"/>
      <c r="D2" s="129"/>
      <c r="E2" s="127"/>
      <c r="F2" s="127"/>
      <c r="G2" s="127"/>
      <c r="H2" s="127"/>
      <c r="I2" s="127"/>
      <c r="J2" s="127"/>
      <c r="K2" s="127"/>
      <c r="L2" s="127"/>
    </row>
    <row r="3" spans="1:12" x14ac:dyDescent="0.25">
      <c r="A3" s="126"/>
      <c r="B3" s="127"/>
      <c r="C3" s="128"/>
      <c r="D3" s="129"/>
      <c r="E3" s="127"/>
      <c r="F3" s="127"/>
      <c r="G3" s="127"/>
      <c r="H3" s="127"/>
      <c r="I3" s="127"/>
      <c r="J3" s="127"/>
      <c r="K3" s="127"/>
      <c r="L3" s="127"/>
    </row>
    <row r="4" spans="1:12" ht="26.1" customHeight="1" x14ac:dyDescent="0.25">
      <c r="A4" s="130"/>
      <c r="B4" s="131" t="s">
        <v>54</v>
      </c>
      <c r="C4" s="628" t="s">
        <v>287</v>
      </c>
      <c r="D4" s="629"/>
      <c r="E4" s="629"/>
      <c r="F4" s="629"/>
      <c r="G4" s="629"/>
      <c r="H4" s="630"/>
      <c r="I4" s="132"/>
      <c r="J4" s="132"/>
      <c r="K4" s="126"/>
      <c r="L4" s="126"/>
    </row>
    <row r="5" spans="1:12" x14ac:dyDescent="0.25">
      <c r="A5" s="127"/>
      <c r="B5" s="133" t="s">
        <v>39</v>
      </c>
      <c r="C5" s="631" t="s">
        <v>288</v>
      </c>
      <c r="D5" s="632"/>
      <c r="E5" s="632"/>
      <c r="F5" s="632"/>
      <c r="G5" s="632"/>
      <c r="H5" s="633"/>
      <c r="I5" s="130"/>
      <c r="J5" s="130"/>
      <c r="K5" s="126"/>
      <c r="L5" s="126"/>
    </row>
    <row r="6" spans="1:12" x14ac:dyDescent="0.25">
      <c r="A6" s="127"/>
      <c r="B6" s="133" t="s">
        <v>2</v>
      </c>
      <c r="C6" s="631" t="s">
        <v>269</v>
      </c>
      <c r="D6" s="632"/>
      <c r="E6" s="632"/>
      <c r="F6" s="632"/>
      <c r="G6" s="632"/>
      <c r="H6" s="633"/>
      <c r="I6" s="134"/>
      <c r="J6" s="134"/>
      <c r="K6" s="134"/>
      <c r="L6" s="134"/>
    </row>
    <row r="7" spans="1:12" x14ac:dyDescent="0.25">
      <c r="A7" s="127"/>
      <c r="B7" s="133" t="s">
        <v>348</v>
      </c>
      <c r="C7" s="135"/>
      <c r="D7" s="135"/>
      <c r="E7" s="135"/>
      <c r="F7" s="135"/>
      <c r="G7" s="135"/>
      <c r="H7" s="135"/>
      <c r="I7" s="134"/>
      <c r="J7" s="134"/>
      <c r="K7" s="134"/>
      <c r="L7" s="134"/>
    </row>
    <row r="8" spans="1:12" x14ac:dyDescent="0.25">
      <c r="A8" s="127"/>
      <c r="B8" s="136"/>
      <c r="C8" s="128"/>
      <c r="D8" s="129"/>
      <c r="E8" s="127"/>
      <c r="F8" s="127"/>
      <c r="G8" s="127"/>
      <c r="H8" s="127"/>
      <c r="I8" s="134"/>
      <c r="J8" s="134"/>
      <c r="K8" s="134"/>
      <c r="L8" s="134"/>
    </row>
    <row r="9" spans="1:12" x14ac:dyDescent="0.25">
      <c r="A9" s="127"/>
      <c r="B9" s="634" t="s">
        <v>330</v>
      </c>
      <c r="C9" s="635"/>
      <c r="D9" s="635"/>
      <c r="E9" s="635"/>
      <c r="F9" s="635"/>
      <c r="G9" s="635"/>
      <c r="H9" s="636"/>
      <c r="I9" s="130"/>
      <c r="J9" s="130"/>
      <c r="K9" s="134"/>
      <c r="L9" s="134"/>
    </row>
    <row r="10" spans="1:12" x14ac:dyDescent="0.25">
      <c r="A10" s="127"/>
      <c r="B10" s="137"/>
      <c r="C10" s="138"/>
      <c r="D10" s="139"/>
      <c r="E10" s="137"/>
      <c r="F10" s="137"/>
      <c r="G10" s="137"/>
      <c r="H10" s="137"/>
      <c r="I10" s="137"/>
      <c r="J10" s="137"/>
      <c r="K10" s="134"/>
      <c r="L10" s="134"/>
    </row>
    <row r="11" spans="1:12" x14ac:dyDescent="0.25">
      <c r="A11" s="637" t="s">
        <v>40</v>
      </c>
      <c r="B11" s="638"/>
      <c r="C11" s="638"/>
      <c r="D11" s="638"/>
      <c r="E11" s="638"/>
      <c r="F11" s="638"/>
      <c r="G11" s="638"/>
      <c r="H11" s="638"/>
      <c r="I11" s="638"/>
      <c r="J11" s="638"/>
      <c r="K11" s="638"/>
      <c r="L11" s="639"/>
    </row>
    <row r="12" spans="1:12" x14ac:dyDescent="0.25">
      <c r="A12" s="613" t="s">
        <v>55</v>
      </c>
      <c r="B12" s="613" t="s">
        <v>41</v>
      </c>
      <c r="C12" s="613" t="s">
        <v>42</v>
      </c>
      <c r="D12" s="613" t="s">
        <v>43</v>
      </c>
      <c r="E12" s="613" t="s">
        <v>44</v>
      </c>
      <c r="F12" s="621" t="s">
        <v>252</v>
      </c>
      <c r="G12" s="622"/>
      <c r="H12" s="622"/>
      <c r="I12" s="643"/>
      <c r="J12" s="644"/>
      <c r="K12" s="645" t="s">
        <v>35</v>
      </c>
      <c r="L12" s="613" t="s">
        <v>45</v>
      </c>
    </row>
    <row r="13" spans="1:12" ht="114" x14ac:dyDescent="0.25">
      <c r="A13" s="614"/>
      <c r="B13" s="614"/>
      <c r="C13" s="626"/>
      <c r="D13" s="614"/>
      <c r="E13" s="614"/>
      <c r="F13" s="140" t="s">
        <v>253</v>
      </c>
      <c r="G13" s="140" t="s">
        <v>46</v>
      </c>
      <c r="H13" s="140" t="s">
        <v>254</v>
      </c>
      <c r="I13" s="141" t="s">
        <v>47</v>
      </c>
      <c r="J13" s="141" t="s">
        <v>255</v>
      </c>
      <c r="K13" s="646"/>
      <c r="L13" s="614"/>
    </row>
    <row r="14" spans="1:12" x14ac:dyDescent="0.25">
      <c r="A14" s="142" t="s">
        <v>5</v>
      </c>
      <c r="B14" s="143"/>
      <c r="C14" s="144"/>
      <c r="D14" s="145"/>
      <c r="E14" s="146"/>
      <c r="F14" s="146"/>
      <c r="G14" s="146"/>
      <c r="H14" s="146"/>
      <c r="I14" s="146"/>
      <c r="J14" s="146"/>
      <c r="K14" s="144"/>
      <c r="L14" s="147"/>
    </row>
    <row r="15" spans="1:12" ht="180" x14ac:dyDescent="0.25">
      <c r="A15" s="148">
        <v>1</v>
      </c>
      <c r="B15" s="149" t="s">
        <v>244</v>
      </c>
      <c r="C15" s="150" t="s">
        <v>349</v>
      </c>
      <c r="D15" s="151" t="s">
        <v>331</v>
      </c>
      <c r="E15" s="152" t="s">
        <v>48</v>
      </c>
      <c r="F15" s="153">
        <v>250000</v>
      </c>
      <c r="G15" s="154">
        <v>1</v>
      </c>
      <c r="H15" s="155">
        <v>0</v>
      </c>
      <c r="I15" s="156" t="s">
        <v>256</v>
      </c>
      <c r="J15" s="156" t="s">
        <v>332</v>
      </c>
      <c r="K15" s="157" t="s">
        <v>333</v>
      </c>
      <c r="L15" s="158" t="s">
        <v>49</v>
      </c>
    </row>
    <row r="16" spans="1:12" ht="45" x14ac:dyDescent="0.25">
      <c r="A16" s="159">
        <v>2</v>
      </c>
      <c r="B16" s="149" t="s">
        <v>64</v>
      </c>
      <c r="C16" s="150" t="s">
        <v>258</v>
      </c>
      <c r="D16" s="151" t="s">
        <v>331</v>
      </c>
      <c r="E16" s="160" t="s">
        <v>48</v>
      </c>
      <c r="F16" s="161">
        <v>100000</v>
      </c>
      <c r="G16" s="162">
        <v>1</v>
      </c>
      <c r="H16" s="163">
        <v>0</v>
      </c>
      <c r="I16" s="164" t="s">
        <v>264</v>
      </c>
      <c r="J16" s="164" t="s">
        <v>275</v>
      </c>
      <c r="K16" s="165"/>
      <c r="L16" s="160" t="s">
        <v>49</v>
      </c>
    </row>
    <row r="17" spans="1:12" ht="90" x14ac:dyDescent="0.25">
      <c r="A17" s="148">
        <v>3</v>
      </c>
      <c r="B17" s="149" t="s">
        <v>21</v>
      </c>
      <c r="C17" s="150" t="s">
        <v>261</v>
      </c>
      <c r="D17" s="166" t="s">
        <v>6</v>
      </c>
      <c r="E17" s="160" t="s">
        <v>48</v>
      </c>
      <c r="F17" s="153">
        <v>20000</v>
      </c>
      <c r="G17" s="154">
        <v>1</v>
      </c>
      <c r="H17" s="155">
        <v>0</v>
      </c>
      <c r="I17" s="156" t="s">
        <v>263</v>
      </c>
      <c r="J17" s="156" t="s">
        <v>334</v>
      </c>
      <c r="K17" s="167"/>
      <c r="L17" s="152" t="s">
        <v>49</v>
      </c>
    </row>
    <row r="18" spans="1:12" x14ac:dyDescent="0.25">
      <c r="A18" s="615" t="s">
        <v>1</v>
      </c>
      <c r="B18" s="617"/>
      <c r="C18" s="168"/>
      <c r="D18" s="169"/>
      <c r="E18" s="170"/>
      <c r="F18" s="171">
        <v>370000</v>
      </c>
      <c r="G18" s="170"/>
      <c r="H18" s="170"/>
      <c r="I18" s="170"/>
      <c r="J18" s="170"/>
      <c r="K18" s="170"/>
      <c r="L18" s="170"/>
    </row>
    <row r="19" spans="1:12" x14ac:dyDescent="0.25">
      <c r="A19" s="172" t="s">
        <v>7</v>
      </c>
      <c r="B19" s="144"/>
      <c r="C19" s="144"/>
      <c r="D19" s="173"/>
      <c r="E19" s="144"/>
      <c r="F19" s="144"/>
      <c r="G19" s="144"/>
      <c r="H19" s="144"/>
      <c r="I19" s="144"/>
      <c r="J19" s="144"/>
      <c r="K19" s="144"/>
      <c r="L19" s="144"/>
    </row>
    <row r="20" spans="1:12" ht="150" x14ac:dyDescent="0.25">
      <c r="A20" s="174">
        <v>1</v>
      </c>
      <c r="B20" s="175" t="s">
        <v>21</v>
      </c>
      <c r="C20" s="176" t="s">
        <v>335</v>
      </c>
      <c r="D20" s="166" t="s">
        <v>57</v>
      </c>
      <c r="E20" s="175" t="s">
        <v>48</v>
      </c>
      <c r="F20" s="177">
        <v>3680000</v>
      </c>
      <c r="G20" s="178">
        <v>1</v>
      </c>
      <c r="H20" s="179">
        <v>0</v>
      </c>
      <c r="I20" s="180" t="s">
        <v>262</v>
      </c>
      <c r="J20" s="135" t="s">
        <v>336</v>
      </c>
      <c r="K20" s="181"/>
      <c r="L20" s="182" t="s">
        <v>279</v>
      </c>
    </row>
    <row r="21" spans="1:12" ht="135" x14ac:dyDescent="0.25">
      <c r="A21" s="148">
        <v>2</v>
      </c>
      <c r="B21" s="149" t="s">
        <v>64</v>
      </c>
      <c r="C21" s="183" t="s">
        <v>266</v>
      </c>
      <c r="D21" s="166" t="s">
        <v>57</v>
      </c>
      <c r="E21" s="135" t="s">
        <v>48</v>
      </c>
      <c r="F21" s="177">
        <v>9000000</v>
      </c>
      <c r="G21" s="184">
        <v>1</v>
      </c>
      <c r="H21" s="179">
        <v>0</v>
      </c>
      <c r="I21" s="185" t="s">
        <v>260</v>
      </c>
      <c r="J21" s="135" t="s">
        <v>257</v>
      </c>
      <c r="K21" s="181"/>
      <c r="L21" s="182" t="s">
        <v>49</v>
      </c>
    </row>
    <row r="22" spans="1:12" ht="285" x14ac:dyDescent="0.25">
      <c r="A22" s="148">
        <v>3</v>
      </c>
      <c r="B22" s="160" t="s">
        <v>21</v>
      </c>
      <c r="C22" s="186" t="s">
        <v>337</v>
      </c>
      <c r="D22" s="187" t="s">
        <v>196</v>
      </c>
      <c r="E22" s="152" t="s">
        <v>48</v>
      </c>
      <c r="F22" s="161">
        <v>544868</v>
      </c>
      <c r="G22" s="162">
        <v>0</v>
      </c>
      <c r="H22" s="155">
        <v>1</v>
      </c>
      <c r="I22" s="156" t="s">
        <v>268</v>
      </c>
      <c r="J22" s="152" t="s">
        <v>275</v>
      </c>
      <c r="K22" s="188"/>
      <c r="L22" s="158" t="s">
        <v>49</v>
      </c>
    </row>
    <row r="23" spans="1:12" ht="75" x14ac:dyDescent="0.25">
      <c r="A23" s="148">
        <v>4</v>
      </c>
      <c r="B23" s="175" t="s">
        <v>21</v>
      </c>
      <c r="C23" s="176" t="s">
        <v>338</v>
      </c>
      <c r="D23" s="166" t="s">
        <v>6</v>
      </c>
      <c r="E23" s="135" t="s">
        <v>48</v>
      </c>
      <c r="F23" s="177">
        <v>22000</v>
      </c>
      <c r="G23" s="178">
        <v>1</v>
      </c>
      <c r="H23" s="179">
        <v>0</v>
      </c>
      <c r="I23" s="189" t="s">
        <v>256</v>
      </c>
      <c r="J23" s="135" t="s">
        <v>264</v>
      </c>
      <c r="K23" s="135"/>
      <c r="L23" s="135" t="s">
        <v>49</v>
      </c>
    </row>
    <row r="24" spans="1:12" x14ac:dyDescent="0.25">
      <c r="A24" s="615" t="s">
        <v>1</v>
      </c>
      <c r="B24" s="617"/>
      <c r="C24" s="168"/>
      <c r="D24" s="169"/>
      <c r="E24" s="170"/>
      <c r="F24" s="171">
        <v>13224868</v>
      </c>
      <c r="G24" s="170"/>
      <c r="H24" s="170"/>
      <c r="I24" s="170"/>
      <c r="J24" s="170"/>
      <c r="K24" s="170"/>
      <c r="L24" s="170"/>
    </row>
    <row r="25" spans="1:12" x14ac:dyDescent="0.25">
      <c r="A25" s="190" t="s">
        <v>50</v>
      </c>
      <c r="B25" s="191"/>
      <c r="C25" s="191"/>
      <c r="D25" s="192"/>
      <c r="E25" s="193"/>
      <c r="F25" s="193"/>
      <c r="G25" s="193"/>
      <c r="H25" s="193"/>
      <c r="I25" s="193"/>
      <c r="J25" s="194"/>
      <c r="K25" s="194"/>
      <c r="L25" s="194"/>
    </row>
    <row r="26" spans="1:12" x14ac:dyDescent="0.25">
      <c r="A26" s="615" t="s">
        <v>1</v>
      </c>
      <c r="B26" s="617"/>
      <c r="C26" s="168"/>
      <c r="D26" s="169"/>
      <c r="E26" s="170"/>
      <c r="F26" s="171"/>
      <c r="G26" s="170"/>
      <c r="H26" s="170"/>
      <c r="I26" s="170"/>
      <c r="J26" s="170"/>
      <c r="K26" s="170"/>
      <c r="L26" s="170"/>
    </row>
    <row r="27" spans="1:12" x14ac:dyDescent="0.25">
      <c r="A27" s="190" t="s">
        <v>51</v>
      </c>
      <c r="B27" s="191"/>
      <c r="C27" s="191"/>
      <c r="D27" s="192"/>
      <c r="E27" s="193"/>
      <c r="F27" s="193"/>
      <c r="G27" s="193"/>
      <c r="H27" s="193"/>
      <c r="I27" s="193"/>
      <c r="J27" s="194"/>
      <c r="K27" s="194"/>
      <c r="L27" s="194"/>
    </row>
    <row r="28" spans="1:12" ht="195" x14ac:dyDescent="0.25">
      <c r="A28" s="195">
        <v>1</v>
      </c>
      <c r="B28" s="196" t="s">
        <v>20</v>
      </c>
      <c r="C28" s="150" t="s">
        <v>270</v>
      </c>
      <c r="D28" s="187" t="s">
        <v>89</v>
      </c>
      <c r="E28" s="152" t="s">
        <v>48</v>
      </c>
      <c r="F28" s="153">
        <v>1800000</v>
      </c>
      <c r="G28" s="154">
        <v>0</v>
      </c>
      <c r="H28" s="155">
        <v>1</v>
      </c>
      <c r="I28" s="197" t="s">
        <v>256</v>
      </c>
      <c r="J28" s="156" t="s">
        <v>259</v>
      </c>
      <c r="K28" s="188" t="s">
        <v>339</v>
      </c>
      <c r="L28" s="158" t="s">
        <v>49</v>
      </c>
    </row>
    <row r="29" spans="1:12" ht="165" x14ac:dyDescent="0.25">
      <c r="A29" s="195">
        <v>2</v>
      </c>
      <c r="B29" s="196" t="s">
        <v>21</v>
      </c>
      <c r="C29" s="150" t="s">
        <v>272</v>
      </c>
      <c r="D29" s="187" t="s">
        <v>197</v>
      </c>
      <c r="E29" s="152" t="s">
        <v>48</v>
      </c>
      <c r="F29" s="153">
        <v>1200000</v>
      </c>
      <c r="G29" s="154">
        <v>1</v>
      </c>
      <c r="H29" s="155">
        <v>0</v>
      </c>
      <c r="I29" s="197" t="s">
        <v>263</v>
      </c>
      <c r="J29" s="156" t="s">
        <v>273</v>
      </c>
      <c r="K29" s="196" t="s">
        <v>340</v>
      </c>
      <c r="L29" s="158" t="s">
        <v>49</v>
      </c>
    </row>
    <row r="30" spans="1:12" ht="225" x14ac:dyDescent="0.25">
      <c r="A30" s="195">
        <v>3</v>
      </c>
      <c r="B30" s="196" t="s">
        <v>20</v>
      </c>
      <c r="C30" s="150" t="s">
        <v>274</v>
      </c>
      <c r="D30" s="187" t="s">
        <v>89</v>
      </c>
      <c r="E30" s="152" t="s">
        <v>48</v>
      </c>
      <c r="F30" s="161">
        <v>800000</v>
      </c>
      <c r="G30" s="162">
        <v>1</v>
      </c>
      <c r="H30" s="155">
        <v>0</v>
      </c>
      <c r="I30" s="197" t="s">
        <v>257</v>
      </c>
      <c r="J30" s="156" t="s">
        <v>271</v>
      </c>
      <c r="K30" s="188"/>
      <c r="L30" s="158" t="s">
        <v>49</v>
      </c>
    </row>
    <row r="31" spans="1:12" ht="105" x14ac:dyDescent="0.25">
      <c r="A31" s="195">
        <v>4</v>
      </c>
      <c r="B31" s="149" t="s">
        <v>21</v>
      </c>
      <c r="C31" s="183" t="s">
        <v>341</v>
      </c>
      <c r="D31" s="166" t="s">
        <v>89</v>
      </c>
      <c r="E31" s="135" t="s">
        <v>48</v>
      </c>
      <c r="F31" s="177">
        <v>992000</v>
      </c>
      <c r="G31" s="184">
        <v>1</v>
      </c>
      <c r="H31" s="155">
        <v>0</v>
      </c>
      <c r="I31" s="180" t="s">
        <v>264</v>
      </c>
      <c r="J31" s="135" t="s">
        <v>265</v>
      </c>
      <c r="K31" s="181"/>
      <c r="L31" s="182" t="s">
        <v>279</v>
      </c>
    </row>
    <row r="32" spans="1:12" ht="105" x14ac:dyDescent="0.25">
      <c r="A32" s="195">
        <v>5</v>
      </c>
      <c r="B32" s="149" t="s">
        <v>64</v>
      </c>
      <c r="C32" s="183" t="s">
        <v>276</v>
      </c>
      <c r="D32" s="166" t="s">
        <v>89</v>
      </c>
      <c r="E32" s="135" t="s">
        <v>48</v>
      </c>
      <c r="F32" s="177">
        <v>720000</v>
      </c>
      <c r="G32" s="184">
        <v>1</v>
      </c>
      <c r="H32" s="155">
        <v>0</v>
      </c>
      <c r="I32" s="185" t="s">
        <v>267</v>
      </c>
      <c r="J32" s="135" t="s">
        <v>263</v>
      </c>
      <c r="K32" s="181"/>
      <c r="L32" s="182" t="s">
        <v>279</v>
      </c>
    </row>
    <row r="33" spans="1:12" ht="135" x14ac:dyDescent="0.25">
      <c r="A33" s="195">
        <v>6</v>
      </c>
      <c r="B33" s="149" t="s">
        <v>21</v>
      </c>
      <c r="C33" s="183" t="s">
        <v>277</v>
      </c>
      <c r="D33" s="166" t="s">
        <v>89</v>
      </c>
      <c r="E33" s="135" t="s">
        <v>48</v>
      </c>
      <c r="F33" s="177">
        <v>425000</v>
      </c>
      <c r="G33" s="184">
        <v>1</v>
      </c>
      <c r="H33" s="155">
        <v>0</v>
      </c>
      <c r="I33" s="180" t="s">
        <v>278</v>
      </c>
      <c r="J33" s="135" t="s">
        <v>256</v>
      </c>
      <c r="K33" s="181"/>
      <c r="L33" s="182" t="s">
        <v>279</v>
      </c>
    </row>
    <row r="34" spans="1:12" ht="60" x14ac:dyDescent="0.25">
      <c r="A34" s="195">
        <v>7</v>
      </c>
      <c r="B34" s="149" t="s">
        <v>9</v>
      </c>
      <c r="C34" s="183" t="s">
        <v>281</v>
      </c>
      <c r="D34" s="166" t="s">
        <v>89</v>
      </c>
      <c r="E34" s="135" t="s">
        <v>48</v>
      </c>
      <c r="F34" s="177">
        <v>300000</v>
      </c>
      <c r="G34" s="184">
        <v>1</v>
      </c>
      <c r="H34" s="155">
        <v>0</v>
      </c>
      <c r="I34" s="198" t="s">
        <v>256</v>
      </c>
      <c r="J34" s="189" t="s">
        <v>257</v>
      </c>
      <c r="K34" s="149"/>
      <c r="L34" s="182" t="s">
        <v>49</v>
      </c>
    </row>
    <row r="35" spans="1:12" ht="105" x14ac:dyDescent="0.25">
      <c r="A35" s="195">
        <v>8</v>
      </c>
      <c r="B35" s="196" t="s">
        <v>20</v>
      </c>
      <c r="C35" s="150" t="s">
        <v>342</v>
      </c>
      <c r="D35" s="187" t="s">
        <v>343</v>
      </c>
      <c r="E35" s="152" t="s">
        <v>48</v>
      </c>
      <c r="F35" s="153">
        <v>300000</v>
      </c>
      <c r="G35" s="162">
        <v>1</v>
      </c>
      <c r="H35" s="155">
        <v>0</v>
      </c>
      <c r="I35" s="199" t="s">
        <v>256</v>
      </c>
      <c r="J35" s="156" t="s">
        <v>273</v>
      </c>
      <c r="K35" s="188" t="s">
        <v>350</v>
      </c>
      <c r="L35" s="158" t="s">
        <v>49</v>
      </c>
    </row>
    <row r="36" spans="1:12" ht="210" x14ac:dyDescent="0.25">
      <c r="A36" s="195">
        <v>9</v>
      </c>
      <c r="B36" s="196" t="s">
        <v>20</v>
      </c>
      <c r="C36" s="183" t="s">
        <v>282</v>
      </c>
      <c r="D36" s="151" t="s">
        <v>89</v>
      </c>
      <c r="E36" s="175" t="s">
        <v>48</v>
      </c>
      <c r="F36" s="200">
        <v>200000</v>
      </c>
      <c r="G36" s="178">
        <v>1</v>
      </c>
      <c r="H36" s="163">
        <v>0</v>
      </c>
      <c r="I36" s="201" t="s">
        <v>268</v>
      </c>
      <c r="J36" s="202" t="s">
        <v>275</v>
      </c>
      <c r="K36" s="149"/>
      <c r="L36" s="203" t="s">
        <v>49</v>
      </c>
    </row>
    <row r="37" spans="1:12" ht="75" x14ac:dyDescent="0.25">
      <c r="A37" s="195">
        <v>10</v>
      </c>
      <c r="B37" s="149" t="s">
        <v>64</v>
      </c>
      <c r="C37" s="183" t="s">
        <v>188</v>
      </c>
      <c r="D37" s="166" t="s">
        <v>351</v>
      </c>
      <c r="E37" s="135" t="s">
        <v>48</v>
      </c>
      <c r="F37" s="177">
        <v>80000</v>
      </c>
      <c r="G37" s="184">
        <v>1</v>
      </c>
      <c r="H37" s="155">
        <v>0</v>
      </c>
      <c r="I37" s="189" t="s">
        <v>260</v>
      </c>
      <c r="J37" s="135" t="s">
        <v>264</v>
      </c>
      <c r="K37" s="149"/>
      <c r="L37" s="182" t="s">
        <v>49</v>
      </c>
    </row>
    <row r="38" spans="1:12" ht="240" x14ac:dyDescent="0.25">
      <c r="A38" s="195">
        <v>11</v>
      </c>
      <c r="B38" s="196" t="s">
        <v>21</v>
      </c>
      <c r="C38" s="150" t="s">
        <v>352</v>
      </c>
      <c r="D38" s="166" t="s">
        <v>89</v>
      </c>
      <c r="E38" s="152" t="s">
        <v>48</v>
      </c>
      <c r="F38" s="153">
        <v>60000</v>
      </c>
      <c r="G38" s="162">
        <v>1</v>
      </c>
      <c r="H38" s="155">
        <v>0</v>
      </c>
      <c r="I38" s="156" t="s">
        <v>268</v>
      </c>
      <c r="J38" s="152" t="s">
        <v>275</v>
      </c>
      <c r="K38" s="188"/>
      <c r="L38" s="158" t="s">
        <v>49</v>
      </c>
    </row>
    <row r="39" spans="1:12" x14ac:dyDescent="0.25">
      <c r="A39" s="615" t="s">
        <v>1</v>
      </c>
      <c r="B39" s="616"/>
      <c r="C39" s="204"/>
      <c r="D39" s="204"/>
      <c r="E39" s="170"/>
      <c r="F39" s="205">
        <v>6817000</v>
      </c>
      <c r="G39" s="170"/>
      <c r="H39" s="170"/>
      <c r="I39" s="170"/>
      <c r="J39" s="170"/>
      <c r="K39" s="170"/>
      <c r="L39" s="170"/>
    </row>
    <row r="40" spans="1:12" x14ac:dyDescent="0.25">
      <c r="A40" s="190" t="s">
        <v>52</v>
      </c>
      <c r="B40" s="191"/>
      <c r="C40" s="191"/>
      <c r="D40" s="192"/>
      <c r="E40" s="193"/>
      <c r="F40" s="193"/>
      <c r="G40" s="193"/>
      <c r="H40" s="193"/>
      <c r="I40" s="193"/>
      <c r="J40" s="194"/>
      <c r="K40" s="194"/>
      <c r="L40" s="194"/>
    </row>
    <row r="41" spans="1:12" ht="60" x14ac:dyDescent="0.25">
      <c r="A41" s="206">
        <v>1</v>
      </c>
      <c r="B41" s="207" t="s">
        <v>37</v>
      </c>
      <c r="C41" s="183" t="s">
        <v>344</v>
      </c>
      <c r="D41" s="166" t="s">
        <v>283</v>
      </c>
      <c r="E41" s="135" t="s">
        <v>48</v>
      </c>
      <c r="F41" s="200">
        <v>195000</v>
      </c>
      <c r="G41" s="184">
        <v>1</v>
      </c>
      <c r="H41" s="155">
        <v>0</v>
      </c>
      <c r="I41" s="156" t="s">
        <v>260</v>
      </c>
      <c r="J41" s="202" t="s">
        <v>268</v>
      </c>
      <c r="K41" s="181"/>
      <c r="L41" s="182" t="s">
        <v>49</v>
      </c>
    </row>
    <row r="42" spans="1:12" ht="60" x14ac:dyDescent="0.25">
      <c r="A42" s="206">
        <v>2</v>
      </c>
      <c r="B42" s="208" t="s">
        <v>21</v>
      </c>
      <c r="C42" s="183" t="s">
        <v>353</v>
      </c>
      <c r="D42" s="151" t="s">
        <v>103</v>
      </c>
      <c r="E42" s="175" t="s">
        <v>48</v>
      </c>
      <c r="F42" s="200">
        <v>120000</v>
      </c>
      <c r="G42" s="178">
        <v>1</v>
      </c>
      <c r="H42" s="163">
        <v>0</v>
      </c>
      <c r="I42" s="175" t="s">
        <v>263</v>
      </c>
      <c r="J42" s="175" t="s">
        <v>257</v>
      </c>
      <c r="K42" s="149"/>
      <c r="L42" s="182" t="s">
        <v>49</v>
      </c>
    </row>
    <row r="43" spans="1:12" ht="195" x14ac:dyDescent="0.25">
      <c r="A43" s="206">
        <v>3</v>
      </c>
      <c r="B43" s="208" t="s">
        <v>21</v>
      </c>
      <c r="C43" s="183" t="s">
        <v>362</v>
      </c>
      <c r="D43" s="187" t="s">
        <v>354</v>
      </c>
      <c r="E43" s="152" t="s">
        <v>48</v>
      </c>
      <c r="F43" s="161">
        <v>121600</v>
      </c>
      <c r="G43" s="162">
        <v>1</v>
      </c>
      <c r="H43" s="155">
        <v>0</v>
      </c>
      <c r="I43" s="156" t="s">
        <v>260</v>
      </c>
      <c r="J43" s="152" t="s">
        <v>263</v>
      </c>
      <c r="K43" s="188"/>
      <c r="L43" s="158" t="s">
        <v>49</v>
      </c>
    </row>
    <row r="44" spans="1:12" ht="120" x14ac:dyDescent="0.25">
      <c r="A44" s="206">
        <v>4</v>
      </c>
      <c r="B44" s="207" t="s">
        <v>38</v>
      </c>
      <c r="C44" s="183" t="s">
        <v>284</v>
      </c>
      <c r="D44" s="166" t="s">
        <v>91</v>
      </c>
      <c r="E44" s="135" t="s">
        <v>48</v>
      </c>
      <c r="F44" s="177">
        <v>90000</v>
      </c>
      <c r="G44" s="184">
        <v>1</v>
      </c>
      <c r="H44" s="155">
        <v>0</v>
      </c>
      <c r="I44" s="135" t="s">
        <v>264</v>
      </c>
      <c r="J44" s="175" t="s">
        <v>259</v>
      </c>
      <c r="K44" s="181" t="s">
        <v>285</v>
      </c>
      <c r="L44" s="182" t="s">
        <v>49</v>
      </c>
    </row>
    <row r="45" spans="1:12" ht="60" x14ac:dyDescent="0.25">
      <c r="A45" s="206">
        <v>5</v>
      </c>
      <c r="B45" s="208" t="s">
        <v>21</v>
      </c>
      <c r="C45" s="183" t="s">
        <v>286</v>
      </c>
      <c r="D45" s="166" t="s">
        <v>91</v>
      </c>
      <c r="E45" s="135" t="s">
        <v>48</v>
      </c>
      <c r="F45" s="177">
        <v>70000</v>
      </c>
      <c r="G45" s="184">
        <v>1</v>
      </c>
      <c r="H45" s="155">
        <v>0</v>
      </c>
      <c r="I45" s="135" t="s">
        <v>273</v>
      </c>
      <c r="J45" s="175" t="s">
        <v>280</v>
      </c>
      <c r="K45" s="181"/>
      <c r="L45" s="182" t="s">
        <v>49</v>
      </c>
    </row>
    <row r="46" spans="1:12" ht="45" x14ac:dyDescent="0.25">
      <c r="A46" s="206">
        <v>6</v>
      </c>
      <c r="B46" s="208" t="s">
        <v>21</v>
      </c>
      <c r="C46" s="183" t="s">
        <v>345</v>
      </c>
      <c r="D46" s="151" t="s">
        <v>103</v>
      </c>
      <c r="E46" s="175" t="s">
        <v>48</v>
      </c>
      <c r="F46" s="200">
        <v>70000</v>
      </c>
      <c r="G46" s="178">
        <v>1</v>
      </c>
      <c r="H46" s="163">
        <v>0</v>
      </c>
      <c r="I46" s="175" t="s">
        <v>256</v>
      </c>
      <c r="J46" s="175" t="s">
        <v>257</v>
      </c>
      <c r="K46" s="149"/>
      <c r="L46" s="182" t="s">
        <v>49</v>
      </c>
    </row>
    <row r="47" spans="1:12" ht="105" x14ac:dyDescent="0.25">
      <c r="A47" s="206">
        <v>7</v>
      </c>
      <c r="B47" s="203" t="s">
        <v>20</v>
      </c>
      <c r="C47" s="209" t="s">
        <v>346</v>
      </c>
      <c r="D47" s="151" t="s">
        <v>283</v>
      </c>
      <c r="E47" s="175" t="s">
        <v>48</v>
      </c>
      <c r="F47" s="200">
        <v>40000</v>
      </c>
      <c r="G47" s="178">
        <v>1</v>
      </c>
      <c r="H47" s="163">
        <v>0</v>
      </c>
      <c r="I47" s="175" t="s">
        <v>262</v>
      </c>
      <c r="J47" s="175" t="s">
        <v>268</v>
      </c>
      <c r="K47" s="175"/>
      <c r="L47" s="175" t="s">
        <v>49</v>
      </c>
    </row>
    <row r="48" spans="1:12" ht="60" x14ac:dyDescent="0.25">
      <c r="A48" s="206">
        <v>8</v>
      </c>
      <c r="B48" s="203" t="s">
        <v>20</v>
      </c>
      <c r="C48" s="209" t="s">
        <v>355</v>
      </c>
      <c r="D48" s="151" t="s">
        <v>283</v>
      </c>
      <c r="E48" s="175" t="s">
        <v>48</v>
      </c>
      <c r="F48" s="200">
        <v>25000</v>
      </c>
      <c r="G48" s="178">
        <v>1</v>
      </c>
      <c r="H48" s="163">
        <v>0</v>
      </c>
      <c r="I48" s="175" t="s">
        <v>256</v>
      </c>
      <c r="J48" s="175" t="s">
        <v>264</v>
      </c>
      <c r="K48" s="210"/>
      <c r="L48" s="203" t="s">
        <v>49</v>
      </c>
    </row>
    <row r="49" spans="1:12" ht="150" x14ac:dyDescent="0.25">
      <c r="A49" s="206">
        <v>9</v>
      </c>
      <c r="B49" s="203" t="s">
        <v>21</v>
      </c>
      <c r="C49" s="209" t="s">
        <v>356</v>
      </c>
      <c r="D49" s="151" t="s">
        <v>357</v>
      </c>
      <c r="E49" s="175" t="s">
        <v>48</v>
      </c>
      <c r="F49" s="200">
        <v>3000</v>
      </c>
      <c r="G49" s="178">
        <v>1</v>
      </c>
      <c r="H49" s="163">
        <v>0</v>
      </c>
      <c r="I49" s="189" t="s">
        <v>256</v>
      </c>
      <c r="J49" s="135" t="s">
        <v>264</v>
      </c>
      <c r="K49" s="198"/>
      <c r="L49" s="135" t="s">
        <v>49</v>
      </c>
    </row>
    <row r="50" spans="1:12" x14ac:dyDescent="0.25">
      <c r="A50" s="615" t="s">
        <v>1</v>
      </c>
      <c r="B50" s="617"/>
      <c r="C50" s="168"/>
      <c r="D50" s="169"/>
      <c r="E50" s="170"/>
      <c r="F50" s="171">
        <v>706600</v>
      </c>
      <c r="G50" s="170"/>
      <c r="H50" s="170"/>
      <c r="I50" s="170"/>
      <c r="J50" s="170"/>
      <c r="K50" s="170"/>
      <c r="L50" s="170"/>
    </row>
    <row r="51" spans="1:12" x14ac:dyDescent="0.25">
      <c r="A51" s="211" t="s">
        <v>53</v>
      </c>
      <c r="B51" s="212"/>
      <c r="C51" s="213"/>
      <c r="D51" s="214"/>
      <c r="E51" s="213"/>
      <c r="F51" s="213"/>
      <c r="G51" s="213"/>
      <c r="H51" s="213"/>
      <c r="I51" s="213"/>
      <c r="J51" s="213"/>
      <c r="K51" s="213"/>
      <c r="L51" s="213"/>
    </row>
    <row r="52" spans="1:12" ht="30" x14ac:dyDescent="0.25">
      <c r="A52" s="215"/>
      <c r="B52" s="216" t="s">
        <v>37</v>
      </c>
      <c r="C52" s="216" t="s">
        <v>358</v>
      </c>
      <c r="D52" s="217"/>
      <c r="E52" s="216" t="s">
        <v>48</v>
      </c>
      <c r="F52" s="218">
        <v>801106</v>
      </c>
      <c r="G52" s="178">
        <v>1</v>
      </c>
      <c r="H52" s="163">
        <v>0</v>
      </c>
      <c r="I52" s="216" t="s">
        <v>359</v>
      </c>
      <c r="J52" s="216" t="s">
        <v>359</v>
      </c>
      <c r="K52" s="219"/>
      <c r="L52" s="216" t="s">
        <v>360</v>
      </c>
    </row>
    <row r="53" spans="1:12" ht="45" x14ac:dyDescent="0.25">
      <c r="A53" s="215"/>
      <c r="B53" s="216" t="s">
        <v>37</v>
      </c>
      <c r="C53" s="216" t="s">
        <v>361</v>
      </c>
      <c r="D53" s="217"/>
      <c r="E53" s="216" t="s">
        <v>48</v>
      </c>
      <c r="F53" s="218">
        <v>250000</v>
      </c>
      <c r="G53" s="178">
        <v>1</v>
      </c>
      <c r="H53" s="163">
        <v>0</v>
      </c>
      <c r="I53" s="216" t="s">
        <v>359</v>
      </c>
      <c r="J53" s="216" t="s">
        <v>359</v>
      </c>
      <c r="K53" s="219"/>
      <c r="L53" s="219"/>
    </row>
    <row r="54" spans="1:12" x14ac:dyDescent="0.25">
      <c r="A54" s="615" t="s">
        <v>1</v>
      </c>
      <c r="B54" s="617"/>
      <c r="C54" s="168"/>
      <c r="D54" s="169"/>
      <c r="E54" s="170"/>
      <c r="F54" s="220">
        <v>1051106</v>
      </c>
      <c r="G54" s="170"/>
      <c r="H54" s="170"/>
      <c r="I54" s="170"/>
      <c r="J54" s="170"/>
      <c r="K54" s="170"/>
      <c r="L54" s="170"/>
    </row>
    <row r="55" spans="1:12" x14ac:dyDescent="0.25">
      <c r="A55" s="615" t="s">
        <v>56</v>
      </c>
      <c r="B55" s="617"/>
      <c r="C55" s="168"/>
      <c r="D55" s="169"/>
      <c r="E55" s="170"/>
      <c r="F55" s="170"/>
      <c r="G55" s="170"/>
      <c r="H55" s="170"/>
      <c r="I55" s="170"/>
      <c r="J55" s="170"/>
      <c r="K55" s="168"/>
      <c r="L55" s="221"/>
    </row>
    <row r="56" spans="1:12" x14ac:dyDescent="0.25">
      <c r="A56" s="618" t="s">
        <v>1</v>
      </c>
      <c r="B56" s="618"/>
      <c r="C56" s="619"/>
      <c r="D56" s="222"/>
      <c r="E56" s="222"/>
      <c r="F56" s="223">
        <v>22169574</v>
      </c>
      <c r="G56" s="627"/>
      <c r="H56" s="618"/>
      <c r="I56" s="619"/>
      <c r="J56" s="620"/>
      <c r="K56" s="618"/>
      <c r="L56" s="619"/>
    </row>
    <row r="57" spans="1:12" x14ac:dyDescent="0.25">
      <c r="A57" s="224"/>
      <c r="B57" s="224"/>
      <c r="C57" s="225"/>
      <c r="D57" s="217"/>
      <c r="E57" s="224"/>
      <c r="F57" s="224"/>
      <c r="G57" s="224"/>
      <c r="H57" s="224"/>
      <c r="I57" s="224"/>
      <c r="J57" s="224"/>
      <c r="K57" s="226"/>
      <c r="L57" s="227"/>
    </row>
    <row r="58" spans="1:12" x14ac:dyDescent="0.25">
      <c r="A58" s="640" t="s">
        <v>347</v>
      </c>
      <c r="B58" s="641"/>
      <c r="C58" s="641"/>
      <c r="D58" s="641"/>
      <c r="E58" s="641"/>
      <c r="F58" s="641"/>
      <c r="G58" s="641"/>
      <c r="H58" s="641"/>
      <c r="I58" s="641"/>
      <c r="J58" s="641"/>
      <c r="K58" s="641"/>
      <c r="L58" s="642"/>
    </row>
    <row r="59" spans="1:12" ht="39" customHeight="1" x14ac:dyDescent="0.25">
      <c r="A59" s="623" t="s">
        <v>363</v>
      </c>
      <c r="B59" s="624"/>
      <c r="C59" s="624"/>
      <c r="D59" s="624"/>
      <c r="E59" s="624"/>
      <c r="F59" s="624"/>
      <c r="G59" s="624"/>
      <c r="H59" s="624"/>
      <c r="I59" s="624"/>
      <c r="J59" s="624"/>
      <c r="K59" s="624"/>
      <c r="L59" s="625"/>
    </row>
    <row r="60" spans="1:12" ht="26.1" customHeight="1" x14ac:dyDescent="0.25">
      <c r="A60" s="623" t="s">
        <v>364</v>
      </c>
      <c r="B60" s="624"/>
      <c r="C60" s="624"/>
      <c r="D60" s="624"/>
      <c r="E60" s="624"/>
      <c r="F60" s="624"/>
      <c r="G60" s="624"/>
      <c r="H60" s="624"/>
      <c r="I60" s="624"/>
      <c r="J60" s="624"/>
      <c r="K60" s="624"/>
      <c r="L60" s="625"/>
    </row>
    <row r="61" spans="1:12" x14ac:dyDescent="0.25">
      <c r="A61" s="611"/>
      <c r="B61" s="612"/>
      <c r="C61" s="612"/>
      <c r="D61" s="612"/>
      <c r="E61" s="612"/>
      <c r="F61" s="612"/>
      <c r="G61" s="612"/>
      <c r="H61" s="612"/>
      <c r="I61" s="612"/>
      <c r="J61" s="612"/>
      <c r="K61" s="612"/>
      <c r="L61" s="612"/>
    </row>
  </sheetData>
  <mergeCells count="28">
    <mergeCell ref="A26:B26"/>
    <mergeCell ref="A24:B24"/>
    <mergeCell ref="D12:D13"/>
    <mergeCell ref="A58:L58"/>
    <mergeCell ref="I12:J12"/>
    <mergeCell ref="K12:K13"/>
    <mergeCell ref="L12:L13"/>
    <mergeCell ref="C4:H4"/>
    <mergeCell ref="C5:H5"/>
    <mergeCell ref="C6:H6"/>
    <mergeCell ref="B9:H9"/>
    <mergeCell ref="A11:L11"/>
    <mergeCell ref="A61:L61"/>
    <mergeCell ref="B12:B13"/>
    <mergeCell ref="A39:B39"/>
    <mergeCell ref="E12:E13"/>
    <mergeCell ref="A50:B50"/>
    <mergeCell ref="A54:B54"/>
    <mergeCell ref="A55:B55"/>
    <mergeCell ref="A56:C56"/>
    <mergeCell ref="J56:L56"/>
    <mergeCell ref="A18:B18"/>
    <mergeCell ref="F12:H12"/>
    <mergeCell ref="A60:L60"/>
    <mergeCell ref="C12:C13"/>
    <mergeCell ref="A12:A13"/>
    <mergeCell ref="A59:L59"/>
    <mergeCell ref="G56:I5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963734"/>
  </sheetPr>
  <dimension ref="A1:L66"/>
  <sheetViews>
    <sheetView tabSelected="1" zoomScale="90" workbookViewId="0">
      <selection activeCell="C12" sqref="C12"/>
    </sheetView>
  </sheetViews>
  <sheetFormatPr defaultColWidth="11" defaultRowHeight="15" x14ac:dyDescent="0.25"/>
  <cols>
    <col min="1" max="1" width="18.7109375" customWidth="1"/>
    <col min="2" max="2" width="12.140625" customWidth="1"/>
    <col min="3" max="3" width="34" customWidth="1"/>
    <col min="4" max="4" width="12.140625" style="452" bestFit="1" customWidth="1"/>
    <col min="5" max="5" width="11" style="452"/>
    <col min="6" max="6" width="14" style="452" bestFit="1" customWidth="1"/>
    <col min="7" max="7" width="9.28515625" style="452" customWidth="1"/>
    <col min="8" max="8" width="10.85546875" style="564" customWidth="1"/>
    <col min="9" max="9" width="14.85546875" style="452" customWidth="1"/>
    <col min="10" max="10" width="12.42578125" style="452" customWidth="1"/>
    <col min="11" max="11" width="17.42578125" customWidth="1"/>
    <col min="12" max="12" width="13.85546875" style="452" customWidth="1"/>
  </cols>
  <sheetData>
    <row r="1" spans="1:12" ht="15.75" thickBot="1" x14ac:dyDescent="0.3"/>
    <row r="2" spans="1:12" ht="24.75" customHeight="1" x14ac:dyDescent="0.25">
      <c r="A2" s="491" t="s">
        <v>508</v>
      </c>
      <c r="B2" s="647" t="s">
        <v>509</v>
      </c>
      <c r="C2" s="647"/>
      <c r="D2" s="647"/>
      <c r="E2" s="647"/>
      <c r="F2" s="647"/>
      <c r="G2" s="647"/>
      <c r="H2" s="647"/>
      <c r="I2" s="648"/>
      <c r="J2" s="547"/>
      <c r="K2" s="448"/>
      <c r="L2" s="547"/>
    </row>
    <row r="3" spans="1:12" ht="18.75" customHeight="1" x14ac:dyDescent="0.25">
      <c r="A3" s="492" t="s">
        <v>510</v>
      </c>
      <c r="B3" s="649" t="s">
        <v>511</v>
      </c>
      <c r="C3" s="649"/>
      <c r="D3" s="649"/>
      <c r="E3" s="649"/>
      <c r="F3" s="649"/>
      <c r="G3" s="649"/>
      <c r="H3" s="649"/>
      <c r="I3" s="650"/>
      <c r="J3" s="547"/>
      <c r="K3" s="448"/>
      <c r="L3" s="547"/>
    </row>
    <row r="4" spans="1:12" ht="27" customHeight="1" x14ac:dyDescent="0.25">
      <c r="A4" s="579" t="s">
        <v>39</v>
      </c>
      <c r="B4" s="651" t="s">
        <v>512</v>
      </c>
      <c r="C4" s="651"/>
      <c r="D4" s="651"/>
      <c r="E4" s="651"/>
      <c r="F4" s="651"/>
      <c r="G4" s="651"/>
      <c r="H4" s="651"/>
      <c r="I4" s="652"/>
      <c r="J4" s="563"/>
      <c r="K4" s="448"/>
      <c r="L4" s="547"/>
    </row>
    <row r="5" spans="1:12" ht="18.95" customHeight="1" x14ac:dyDescent="0.25">
      <c r="A5" s="492" t="s">
        <v>513</v>
      </c>
      <c r="B5" s="651" t="s">
        <v>514</v>
      </c>
      <c r="C5" s="651"/>
      <c r="D5" s="651"/>
      <c r="E5" s="651"/>
      <c r="F5" s="651"/>
      <c r="G5" s="651"/>
      <c r="H5" s="651"/>
      <c r="I5" s="652"/>
      <c r="J5" s="563"/>
      <c r="K5" s="448"/>
      <c r="L5" s="547"/>
    </row>
    <row r="6" spans="1:12" ht="14.25" customHeight="1" x14ac:dyDescent="0.25">
      <c r="A6" s="492" t="s">
        <v>515</v>
      </c>
      <c r="B6" s="651" t="s">
        <v>505</v>
      </c>
      <c r="C6" s="651"/>
      <c r="D6" s="651"/>
      <c r="E6" s="651"/>
      <c r="F6" s="651"/>
      <c r="G6" s="651"/>
      <c r="H6" s="651"/>
      <c r="I6" s="652"/>
      <c r="J6" s="547"/>
      <c r="K6" s="448"/>
      <c r="L6" s="547"/>
    </row>
    <row r="7" spans="1:12" ht="27" customHeight="1" thickBot="1" x14ac:dyDescent="0.3">
      <c r="A7" s="493" t="s">
        <v>516</v>
      </c>
      <c r="B7" s="653" t="s">
        <v>566</v>
      </c>
      <c r="C7" s="653"/>
      <c r="D7" s="653"/>
      <c r="E7" s="653"/>
      <c r="F7" s="653"/>
      <c r="G7" s="653"/>
      <c r="H7" s="653"/>
      <c r="I7" s="654"/>
      <c r="J7" s="563"/>
      <c r="K7" s="448"/>
      <c r="L7" s="547"/>
    </row>
    <row r="8" spans="1:12" ht="15.75" thickBot="1" x14ac:dyDescent="0.3">
      <c r="A8" s="494"/>
      <c r="B8" s="448"/>
      <c r="C8" s="448"/>
      <c r="D8" s="547"/>
      <c r="E8" s="547"/>
      <c r="F8" s="547"/>
      <c r="G8" s="547"/>
      <c r="H8" s="547"/>
      <c r="I8" s="547"/>
      <c r="J8" s="547"/>
      <c r="K8" s="448"/>
      <c r="L8" s="547"/>
    </row>
    <row r="9" spans="1:12" ht="15" customHeight="1" x14ac:dyDescent="0.25">
      <c r="A9" s="655" t="s">
        <v>517</v>
      </c>
      <c r="B9" s="657" t="s">
        <v>41</v>
      </c>
      <c r="C9" s="657" t="s">
        <v>42</v>
      </c>
      <c r="D9" s="657" t="s">
        <v>518</v>
      </c>
      <c r="E9" s="657" t="s">
        <v>44</v>
      </c>
      <c r="F9" s="657" t="s">
        <v>252</v>
      </c>
      <c r="G9" s="657"/>
      <c r="H9" s="657"/>
      <c r="I9" s="657" t="s">
        <v>47</v>
      </c>
      <c r="J9" s="657" t="s">
        <v>255</v>
      </c>
      <c r="K9" s="657" t="s">
        <v>519</v>
      </c>
      <c r="L9" s="659" t="s">
        <v>520</v>
      </c>
    </row>
    <row r="10" spans="1:12" ht="18.75" customHeight="1" x14ac:dyDescent="0.25">
      <c r="A10" s="656"/>
      <c r="B10" s="658"/>
      <c r="C10" s="658"/>
      <c r="D10" s="658"/>
      <c r="E10" s="658"/>
      <c r="F10" s="495" t="s">
        <v>521</v>
      </c>
      <c r="G10" s="495" t="s">
        <v>46</v>
      </c>
      <c r="H10" s="495" t="s">
        <v>366</v>
      </c>
      <c r="I10" s="658"/>
      <c r="J10" s="658"/>
      <c r="K10" s="658"/>
      <c r="L10" s="660"/>
    </row>
    <row r="11" spans="1:12" ht="21.75" customHeight="1" x14ac:dyDescent="0.25">
      <c r="A11" s="668" t="s">
        <v>564</v>
      </c>
      <c r="B11" s="669"/>
      <c r="C11" s="669"/>
      <c r="D11" s="669"/>
      <c r="E11" s="669"/>
      <c r="F11" s="669"/>
      <c r="G11" s="669"/>
      <c r="H11" s="669"/>
      <c r="I11" s="669"/>
      <c r="J11" s="669"/>
      <c r="K11" s="669"/>
      <c r="L11" s="670"/>
    </row>
    <row r="12" spans="1:12" ht="80.25" customHeight="1" x14ac:dyDescent="0.25">
      <c r="A12" s="496" t="s">
        <v>522</v>
      </c>
      <c r="B12" s="497" t="s">
        <v>21</v>
      </c>
      <c r="C12" s="498" t="s">
        <v>523</v>
      </c>
      <c r="D12" s="500" t="s">
        <v>57</v>
      </c>
      <c r="E12" s="500" t="s">
        <v>48</v>
      </c>
      <c r="F12" s="591"/>
      <c r="G12" s="565">
        <v>0.85</v>
      </c>
      <c r="H12" s="565">
        <v>0.14499999999999999</v>
      </c>
      <c r="I12" s="500" t="s">
        <v>397</v>
      </c>
      <c r="J12" s="500" t="s">
        <v>505</v>
      </c>
      <c r="K12" s="499"/>
      <c r="L12" s="552" t="s">
        <v>576</v>
      </c>
    </row>
    <row r="13" spans="1:12" ht="87" customHeight="1" x14ac:dyDescent="0.25">
      <c r="A13" s="496" t="s">
        <v>553</v>
      </c>
      <c r="B13" s="497" t="s">
        <v>21</v>
      </c>
      <c r="C13" s="498" t="s">
        <v>552</v>
      </c>
      <c r="D13" s="500" t="s">
        <v>57</v>
      </c>
      <c r="E13" s="500" t="s">
        <v>48</v>
      </c>
      <c r="F13" s="572">
        <v>1440210</v>
      </c>
      <c r="G13" s="565">
        <v>0.85</v>
      </c>
      <c r="H13" s="565">
        <v>0.14499999999999999</v>
      </c>
      <c r="I13" s="500" t="s">
        <v>567</v>
      </c>
      <c r="J13" s="500" t="s">
        <v>399</v>
      </c>
      <c r="K13" s="499"/>
      <c r="L13" s="501" t="s">
        <v>279</v>
      </c>
    </row>
    <row r="14" spans="1:12" ht="48" x14ac:dyDescent="0.25">
      <c r="A14" s="496" t="s">
        <v>524</v>
      </c>
      <c r="B14" s="497" t="s">
        <v>21</v>
      </c>
      <c r="C14" s="498" t="s">
        <v>525</v>
      </c>
      <c r="D14" s="500" t="s">
        <v>6</v>
      </c>
      <c r="E14" s="500" t="s">
        <v>48</v>
      </c>
      <c r="F14" s="572"/>
      <c r="G14" s="565">
        <v>0.85</v>
      </c>
      <c r="H14" s="565">
        <v>0.14499999999999999</v>
      </c>
      <c r="I14" s="500" t="s">
        <v>397</v>
      </c>
      <c r="J14" s="500" t="s">
        <v>505</v>
      </c>
      <c r="K14" s="499"/>
      <c r="L14" s="552" t="s">
        <v>576</v>
      </c>
    </row>
    <row r="15" spans="1:12" ht="48" x14ac:dyDescent="0.25">
      <c r="A15" s="496" t="s">
        <v>554</v>
      </c>
      <c r="B15" s="497" t="s">
        <v>21</v>
      </c>
      <c r="C15" s="498" t="s">
        <v>555</v>
      </c>
      <c r="D15" s="500" t="s">
        <v>6</v>
      </c>
      <c r="E15" s="500" t="s">
        <v>48</v>
      </c>
      <c r="F15" s="572">
        <v>92850</v>
      </c>
      <c r="G15" s="565">
        <v>0.85</v>
      </c>
      <c r="H15" s="565">
        <v>0.14499999999999999</v>
      </c>
      <c r="I15" s="500" t="s">
        <v>529</v>
      </c>
      <c r="J15" s="500" t="s">
        <v>551</v>
      </c>
      <c r="K15" s="499"/>
      <c r="L15" s="501" t="s">
        <v>279</v>
      </c>
    </row>
    <row r="16" spans="1:12" ht="24" x14ac:dyDescent="0.25">
      <c r="A16" s="496" t="s">
        <v>578</v>
      </c>
      <c r="B16" s="497" t="s">
        <v>20</v>
      </c>
      <c r="C16" s="498" t="s">
        <v>396</v>
      </c>
      <c r="D16" s="500" t="s">
        <v>6</v>
      </c>
      <c r="E16" s="500" t="s">
        <v>365</v>
      </c>
      <c r="F16" s="572">
        <v>20000</v>
      </c>
      <c r="G16" s="565">
        <v>1</v>
      </c>
      <c r="H16" s="565">
        <v>0</v>
      </c>
      <c r="I16" s="500" t="s">
        <v>399</v>
      </c>
      <c r="J16" s="500" t="s">
        <v>538</v>
      </c>
      <c r="K16" s="498"/>
      <c r="L16" s="501" t="s">
        <v>49</v>
      </c>
    </row>
    <row r="17" spans="1:12" x14ac:dyDescent="0.25">
      <c r="A17" s="496"/>
      <c r="B17" s="497"/>
      <c r="C17" s="499"/>
      <c r="D17" s="500"/>
      <c r="E17" s="500"/>
      <c r="F17" s="572"/>
      <c r="G17" s="571"/>
      <c r="H17" s="565"/>
      <c r="I17" s="500"/>
      <c r="J17" s="500"/>
      <c r="K17" s="499"/>
      <c r="L17" s="501"/>
    </row>
    <row r="18" spans="1:12" x14ac:dyDescent="0.25">
      <c r="A18" s="502" t="s">
        <v>568</v>
      </c>
      <c r="B18" s="503"/>
      <c r="C18" s="504"/>
      <c r="D18" s="505"/>
      <c r="E18" s="505"/>
      <c r="F18" s="573">
        <f>SUM(F12:F17)</f>
        <v>1553060</v>
      </c>
      <c r="G18" s="505"/>
      <c r="H18" s="505"/>
      <c r="I18" s="505"/>
      <c r="J18" s="505"/>
      <c r="K18" s="504"/>
      <c r="L18" s="553"/>
    </row>
    <row r="19" spans="1:12" x14ac:dyDescent="0.25">
      <c r="A19" s="668" t="s">
        <v>526</v>
      </c>
      <c r="B19" s="669"/>
      <c r="C19" s="669"/>
      <c r="D19" s="669"/>
      <c r="E19" s="669"/>
      <c r="F19" s="669"/>
      <c r="G19" s="669"/>
      <c r="H19" s="669"/>
      <c r="I19" s="669"/>
      <c r="J19" s="669"/>
      <c r="K19" s="669"/>
      <c r="L19" s="670"/>
    </row>
    <row r="20" spans="1:12" s="540" customFormat="1" ht="24" x14ac:dyDescent="0.25">
      <c r="A20" s="538" t="s">
        <v>549</v>
      </c>
      <c r="B20" s="497" t="s">
        <v>398</v>
      </c>
      <c r="C20" s="537" t="s">
        <v>550</v>
      </c>
      <c r="D20" s="539" t="s">
        <v>57</v>
      </c>
      <c r="E20" s="539" t="s">
        <v>48</v>
      </c>
      <c r="F20" s="572">
        <v>3500000</v>
      </c>
      <c r="G20" s="565">
        <v>1</v>
      </c>
      <c r="H20" s="565">
        <v>0</v>
      </c>
      <c r="I20" s="500" t="s">
        <v>397</v>
      </c>
      <c r="J20" s="539" t="s">
        <v>399</v>
      </c>
      <c r="K20" s="537"/>
      <c r="L20" s="554" t="s">
        <v>279</v>
      </c>
    </row>
    <row r="21" spans="1:12" ht="75" customHeight="1" x14ac:dyDescent="0.25">
      <c r="A21" s="538" t="s">
        <v>527</v>
      </c>
      <c r="B21" s="541" t="s">
        <v>398</v>
      </c>
      <c r="C21" s="537" t="s">
        <v>528</v>
      </c>
      <c r="D21" s="548" t="s">
        <v>354</v>
      </c>
      <c r="E21" s="548" t="s">
        <v>48</v>
      </c>
      <c r="F21" s="574">
        <v>1313494</v>
      </c>
      <c r="G21" s="566">
        <v>0.39</v>
      </c>
      <c r="H21" s="566">
        <v>0.61</v>
      </c>
      <c r="I21" s="548" t="s">
        <v>551</v>
      </c>
      <c r="J21" s="548" t="s">
        <v>399</v>
      </c>
      <c r="K21" s="542"/>
      <c r="L21" s="555" t="s">
        <v>530</v>
      </c>
    </row>
    <row r="22" spans="1:12" ht="36.75" customHeight="1" x14ac:dyDescent="0.25">
      <c r="A22" s="538" t="s">
        <v>527</v>
      </c>
      <c r="B22" s="541" t="s">
        <v>398</v>
      </c>
      <c r="C22" s="537" t="s">
        <v>531</v>
      </c>
      <c r="D22" s="548" t="s">
        <v>354</v>
      </c>
      <c r="E22" s="548" t="s">
        <v>365</v>
      </c>
      <c r="F22" s="574">
        <v>1214730</v>
      </c>
      <c r="G22" s="566">
        <v>1</v>
      </c>
      <c r="H22" s="566">
        <v>0</v>
      </c>
      <c r="I22" s="548" t="s">
        <v>399</v>
      </c>
      <c r="J22" s="548" t="s">
        <v>538</v>
      </c>
      <c r="K22" s="537"/>
      <c r="L22" s="555" t="s">
        <v>530</v>
      </c>
    </row>
    <row r="23" spans="1:12" x14ac:dyDescent="0.25">
      <c r="A23" s="496"/>
      <c r="B23" s="497"/>
      <c r="C23" s="499"/>
      <c r="D23" s="500"/>
      <c r="E23" s="500"/>
      <c r="F23" s="572"/>
      <c r="G23" s="565"/>
      <c r="H23" s="565"/>
      <c r="I23" s="500"/>
      <c r="J23" s="500"/>
      <c r="K23" s="499"/>
      <c r="L23" s="501"/>
    </row>
    <row r="24" spans="1:12" x14ac:dyDescent="0.25">
      <c r="A24" s="502" t="s">
        <v>569</v>
      </c>
      <c r="B24" s="503"/>
      <c r="C24" s="504"/>
      <c r="D24" s="505"/>
      <c r="E24" s="505"/>
      <c r="F24" s="573">
        <f>SUM(F20:F23)</f>
        <v>6028224</v>
      </c>
      <c r="G24" s="505"/>
      <c r="H24" s="505"/>
      <c r="I24" s="505"/>
      <c r="J24" s="505"/>
      <c r="K24" s="504"/>
      <c r="L24" s="553"/>
    </row>
    <row r="25" spans="1:12" ht="21.75" customHeight="1" x14ac:dyDescent="0.25">
      <c r="A25" s="668" t="s">
        <v>532</v>
      </c>
      <c r="B25" s="669"/>
      <c r="C25" s="669"/>
      <c r="D25" s="669"/>
      <c r="E25" s="669"/>
      <c r="F25" s="669"/>
      <c r="G25" s="669"/>
      <c r="H25" s="669"/>
      <c r="I25" s="669"/>
      <c r="J25" s="669"/>
      <c r="K25" s="669"/>
      <c r="L25" s="670"/>
    </row>
    <row r="26" spans="1:12" x14ac:dyDescent="0.25">
      <c r="A26" s="506"/>
      <c r="B26" s="507"/>
      <c r="C26" s="508"/>
      <c r="D26" s="509"/>
      <c r="E26" s="509"/>
      <c r="F26" s="509"/>
      <c r="G26" s="509"/>
      <c r="H26" s="509"/>
      <c r="I26" s="509"/>
      <c r="J26" s="509"/>
      <c r="K26" s="508"/>
      <c r="L26" s="556"/>
    </row>
    <row r="27" spans="1:12" x14ac:dyDescent="0.25">
      <c r="A27" s="506"/>
      <c r="B27" s="507"/>
      <c r="C27" s="508"/>
      <c r="D27" s="509"/>
      <c r="E27" s="509"/>
      <c r="F27" s="509"/>
      <c r="G27" s="509"/>
      <c r="H27" s="509"/>
      <c r="I27" s="509"/>
      <c r="J27" s="509"/>
      <c r="K27" s="508"/>
      <c r="L27" s="556"/>
    </row>
    <row r="28" spans="1:12" x14ac:dyDescent="0.25">
      <c r="A28" s="506"/>
      <c r="B28" s="507"/>
      <c r="C28" s="508"/>
      <c r="D28" s="509"/>
      <c r="E28" s="509"/>
      <c r="F28" s="509"/>
      <c r="G28" s="509"/>
      <c r="H28" s="509"/>
      <c r="I28" s="509"/>
      <c r="J28" s="509"/>
      <c r="K28" s="508"/>
      <c r="L28" s="556"/>
    </row>
    <row r="29" spans="1:12" x14ac:dyDescent="0.25">
      <c r="A29" s="502" t="s">
        <v>570</v>
      </c>
      <c r="B29" s="503"/>
      <c r="C29" s="504"/>
      <c r="D29" s="505"/>
      <c r="E29" s="505"/>
      <c r="F29" s="505">
        <f>SUM(F26:F28)</f>
        <v>0</v>
      </c>
      <c r="G29" s="505"/>
      <c r="H29" s="505"/>
      <c r="I29" s="505"/>
      <c r="J29" s="505"/>
      <c r="K29" s="504"/>
      <c r="L29" s="553"/>
    </row>
    <row r="30" spans="1:12" x14ac:dyDescent="0.25">
      <c r="A30" s="668" t="s">
        <v>533</v>
      </c>
      <c r="B30" s="669"/>
      <c r="C30" s="669"/>
      <c r="D30" s="669"/>
      <c r="E30" s="669"/>
      <c r="F30" s="669"/>
      <c r="G30" s="669"/>
      <c r="H30" s="669"/>
      <c r="I30" s="669"/>
      <c r="J30" s="669"/>
      <c r="K30" s="669"/>
      <c r="L30" s="670"/>
    </row>
    <row r="31" spans="1:12" ht="53.25" customHeight="1" x14ac:dyDescent="0.25">
      <c r="A31" s="496" t="s">
        <v>556</v>
      </c>
      <c r="B31" s="497" t="s">
        <v>20</v>
      </c>
      <c r="C31" s="510" t="s">
        <v>274</v>
      </c>
      <c r="D31" s="499" t="s">
        <v>89</v>
      </c>
      <c r="E31" s="499" t="s">
        <v>48</v>
      </c>
      <c r="F31" s="572">
        <v>1100000</v>
      </c>
      <c r="G31" s="567">
        <v>1</v>
      </c>
      <c r="H31" s="567">
        <v>0</v>
      </c>
      <c r="I31" s="499" t="s">
        <v>259</v>
      </c>
      <c r="J31" s="499" t="s">
        <v>551</v>
      </c>
      <c r="K31" s="498"/>
      <c r="L31" s="552" t="s">
        <v>279</v>
      </c>
    </row>
    <row r="32" spans="1:12" ht="39.75" customHeight="1" x14ac:dyDescent="0.25">
      <c r="A32" s="496" t="s">
        <v>565</v>
      </c>
      <c r="B32" s="511" t="s">
        <v>20</v>
      </c>
      <c r="C32" s="510" t="s">
        <v>534</v>
      </c>
      <c r="D32" s="499" t="s">
        <v>197</v>
      </c>
      <c r="E32" s="499" t="s">
        <v>48</v>
      </c>
      <c r="F32" s="572">
        <v>900000</v>
      </c>
      <c r="G32" s="567">
        <v>0</v>
      </c>
      <c r="H32" s="567">
        <v>1</v>
      </c>
      <c r="I32" s="499" t="s">
        <v>577</v>
      </c>
      <c r="J32" s="499" t="s">
        <v>551</v>
      </c>
      <c r="K32" s="499"/>
      <c r="L32" s="552" t="s">
        <v>535</v>
      </c>
    </row>
    <row r="33" spans="1:12" ht="38.25" customHeight="1" x14ac:dyDescent="0.25">
      <c r="A33" s="496" t="s">
        <v>556</v>
      </c>
      <c r="B33" s="511" t="s">
        <v>21</v>
      </c>
      <c r="C33" s="510" t="s">
        <v>558</v>
      </c>
      <c r="D33" s="499" t="s">
        <v>89</v>
      </c>
      <c r="E33" s="499" t="s">
        <v>48</v>
      </c>
      <c r="F33" s="572">
        <v>350000</v>
      </c>
      <c r="G33" s="567">
        <v>1</v>
      </c>
      <c r="H33" s="567">
        <v>0</v>
      </c>
      <c r="I33" s="499" t="s">
        <v>551</v>
      </c>
      <c r="J33" s="499" t="s">
        <v>538</v>
      </c>
      <c r="K33" s="499"/>
      <c r="L33" s="552" t="s">
        <v>49</v>
      </c>
    </row>
    <row r="34" spans="1:12" ht="50.25" customHeight="1" x14ac:dyDescent="0.25">
      <c r="A34" s="496" t="s">
        <v>559</v>
      </c>
      <c r="B34" s="511" t="s">
        <v>20</v>
      </c>
      <c r="C34" s="510" t="s">
        <v>536</v>
      </c>
      <c r="D34" s="500" t="s">
        <v>343</v>
      </c>
      <c r="E34" s="549" t="s">
        <v>48</v>
      </c>
      <c r="F34" s="572">
        <v>300000</v>
      </c>
      <c r="G34" s="565">
        <v>0.5</v>
      </c>
      <c r="H34" s="565">
        <v>0.5</v>
      </c>
      <c r="I34" s="500" t="s">
        <v>505</v>
      </c>
      <c r="J34" s="499" t="s">
        <v>561</v>
      </c>
      <c r="K34" s="498"/>
      <c r="L34" s="501" t="s">
        <v>49</v>
      </c>
    </row>
    <row r="35" spans="1:12" ht="24" x14ac:dyDescent="0.25">
      <c r="A35" s="496" t="s">
        <v>556</v>
      </c>
      <c r="B35" s="512" t="s">
        <v>9</v>
      </c>
      <c r="C35" s="510" t="s">
        <v>281</v>
      </c>
      <c r="D35" s="549" t="s">
        <v>89</v>
      </c>
      <c r="E35" s="549" t="s">
        <v>48</v>
      </c>
      <c r="F35" s="572">
        <v>123000</v>
      </c>
      <c r="G35" s="565">
        <v>1</v>
      </c>
      <c r="H35" s="565">
        <v>0</v>
      </c>
      <c r="I35" s="500" t="s">
        <v>551</v>
      </c>
      <c r="J35" s="500" t="s">
        <v>538</v>
      </c>
      <c r="K35" s="498"/>
      <c r="L35" s="501" t="s">
        <v>49</v>
      </c>
    </row>
    <row r="36" spans="1:12" ht="24" x14ac:dyDescent="0.25">
      <c r="A36" s="496" t="s">
        <v>557</v>
      </c>
      <c r="B36" s="511" t="s">
        <v>401</v>
      </c>
      <c r="C36" s="510" t="s">
        <v>539</v>
      </c>
      <c r="D36" s="500" t="s">
        <v>351</v>
      </c>
      <c r="E36" s="549" t="s">
        <v>48</v>
      </c>
      <c r="F36" s="572">
        <v>80000</v>
      </c>
      <c r="G36" s="565">
        <v>1</v>
      </c>
      <c r="H36" s="565">
        <v>0</v>
      </c>
      <c r="I36" s="500" t="s">
        <v>537</v>
      </c>
      <c r="J36" s="500" t="s">
        <v>505</v>
      </c>
      <c r="K36" s="498"/>
      <c r="L36" s="501" t="s">
        <v>279</v>
      </c>
    </row>
    <row r="37" spans="1:12" s="712" customFormat="1" ht="24" x14ac:dyDescent="0.25">
      <c r="A37" s="713" t="s">
        <v>557</v>
      </c>
      <c r="B37" s="714" t="s">
        <v>21</v>
      </c>
      <c r="C37" s="715" t="s">
        <v>540</v>
      </c>
      <c r="D37" s="716" t="s">
        <v>351</v>
      </c>
      <c r="E37" s="716" t="s">
        <v>48</v>
      </c>
      <c r="F37" s="717">
        <v>60000</v>
      </c>
      <c r="G37" s="718">
        <v>1</v>
      </c>
      <c r="H37" s="718">
        <v>0</v>
      </c>
      <c r="I37" s="716" t="s">
        <v>551</v>
      </c>
      <c r="J37" s="719" t="s">
        <v>560</v>
      </c>
      <c r="K37" s="720"/>
      <c r="L37" s="721" t="s">
        <v>49</v>
      </c>
    </row>
    <row r="38" spans="1:12" s="546" customFormat="1" ht="36" customHeight="1" x14ac:dyDescent="0.25">
      <c r="A38" s="543" t="s">
        <v>557</v>
      </c>
      <c r="B38" s="544" t="s">
        <v>401</v>
      </c>
      <c r="C38" s="544" t="s">
        <v>575</v>
      </c>
      <c r="D38" s="545" t="s">
        <v>351</v>
      </c>
      <c r="E38" s="545" t="s">
        <v>48</v>
      </c>
      <c r="F38" s="576">
        <v>40000</v>
      </c>
      <c r="G38" s="570">
        <v>1</v>
      </c>
      <c r="H38" s="570">
        <v>0</v>
      </c>
      <c r="I38" s="545" t="s">
        <v>551</v>
      </c>
      <c r="J38" s="545" t="s">
        <v>538</v>
      </c>
      <c r="K38" s="545"/>
      <c r="L38" s="558" t="s">
        <v>49</v>
      </c>
    </row>
    <row r="39" spans="1:12" x14ac:dyDescent="0.25">
      <c r="A39" s="513"/>
      <c r="B39" s="514"/>
      <c r="C39" s="517"/>
      <c r="D39" s="550"/>
      <c r="E39" s="578"/>
      <c r="F39" s="571"/>
      <c r="G39" s="569"/>
      <c r="H39" s="569"/>
      <c r="I39" s="550"/>
      <c r="J39" s="515"/>
      <c r="K39" s="516"/>
      <c r="L39" s="518"/>
    </row>
    <row r="40" spans="1:12" x14ac:dyDescent="0.25">
      <c r="A40" s="502" t="s">
        <v>571</v>
      </c>
      <c r="B40" s="503"/>
      <c r="C40" s="519"/>
      <c r="D40" s="505"/>
      <c r="E40" s="505"/>
      <c r="F40" s="573">
        <f>SUM(F31:F39)</f>
        <v>2953000</v>
      </c>
      <c r="G40" s="505"/>
      <c r="H40" s="505"/>
      <c r="I40" s="505"/>
      <c r="J40" s="505"/>
      <c r="K40" s="504"/>
      <c r="L40" s="553"/>
    </row>
    <row r="41" spans="1:12" x14ac:dyDescent="0.25">
      <c r="A41" s="668" t="s">
        <v>541</v>
      </c>
      <c r="B41" s="669"/>
      <c r="C41" s="669"/>
      <c r="D41" s="669"/>
      <c r="E41" s="669"/>
      <c r="F41" s="669"/>
      <c r="G41" s="669"/>
      <c r="H41" s="669"/>
      <c r="I41" s="669"/>
      <c r="J41" s="669"/>
      <c r="K41" s="669"/>
      <c r="L41" s="670"/>
    </row>
    <row r="42" spans="1:12" x14ac:dyDescent="0.25">
      <c r="A42" s="599"/>
      <c r="B42" s="382"/>
      <c r="C42" s="382"/>
      <c r="D42" s="591"/>
      <c r="E42" s="591"/>
      <c r="F42" s="591"/>
      <c r="G42" s="591"/>
      <c r="H42" s="592"/>
      <c r="I42" s="591"/>
      <c r="J42" s="591"/>
      <c r="K42" s="382"/>
      <c r="L42" s="600"/>
    </row>
    <row r="43" spans="1:12" ht="96" customHeight="1" x14ac:dyDescent="0.25">
      <c r="A43" s="598" t="s">
        <v>562</v>
      </c>
      <c r="B43" s="593" t="s">
        <v>398</v>
      </c>
      <c r="C43" s="594" t="s">
        <v>588</v>
      </c>
      <c r="D43" s="595" t="s">
        <v>563</v>
      </c>
      <c r="E43" s="595" t="s">
        <v>48</v>
      </c>
      <c r="F43" s="575">
        <f>12*1313494/100</f>
        <v>157619.28</v>
      </c>
      <c r="G43" s="596">
        <v>1</v>
      </c>
      <c r="H43" s="596">
        <v>0</v>
      </c>
      <c r="I43" s="595" t="s">
        <v>505</v>
      </c>
      <c r="J43" s="595" t="s">
        <v>560</v>
      </c>
      <c r="K43" s="594"/>
      <c r="L43" s="597" t="s">
        <v>589</v>
      </c>
    </row>
    <row r="44" spans="1:12" ht="38.25" customHeight="1" x14ac:dyDescent="0.25">
      <c r="A44" s="520" t="s">
        <v>562</v>
      </c>
      <c r="B44" s="521" t="s">
        <v>401</v>
      </c>
      <c r="C44" s="521" t="s">
        <v>542</v>
      </c>
      <c r="D44" s="522" t="s">
        <v>563</v>
      </c>
      <c r="E44" s="522" t="s">
        <v>365</v>
      </c>
      <c r="F44" s="577">
        <v>30000</v>
      </c>
      <c r="G44" s="568">
        <v>1</v>
      </c>
      <c r="H44" s="568">
        <v>0</v>
      </c>
      <c r="I44" s="522" t="s">
        <v>551</v>
      </c>
      <c r="J44" s="522" t="s">
        <v>399</v>
      </c>
      <c r="K44" s="521"/>
      <c r="L44" s="557" t="s">
        <v>530</v>
      </c>
    </row>
    <row r="45" spans="1:12" x14ac:dyDescent="0.25">
      <c r="A45" s="496"/>
      <c r="B45" s="497"/>
      <c r="C45" s="499"/>
      <c r="D45" s="500"/>
      <c r="E45" s="500"/>
      <c r="F45" s="572"/>
      <c r="G45" s="565"/>
      <c r="H45" s="565"/>
      <c r="I45" s="500"/>
      <c r="J45" s="500"/>
      <c r="K45" s="499"/>
      <c r="L45" s="501"/>
    </row>
    <row r="46" spans="1:12" x14ac:dyDescent="0.25">
      <c r="A46" s="502" t="s">
        <v>572</v>
      </c>
      <c r="B46" s="503"/>
      <c r="C46" s="504"/>
      <c r="D46" s="505"/>
      <c r="E46" s="505"/>
      <c r="F46" s="573">
        <f>SUM(F38:F45)</f>
        <v>3180619.28</v>
      </c>
      <c r="G46" s="505"/>
      <c r="H46" s="505"/>
      <c r="I46" s="505"/>
      <c r="J46" s="505"/>
      <c r="K46" s="504"/>
      <c r="L46" s="553"/>
    </row>
    <row r="47" spans="1:12" ht="24" x14ac:dyDescent="0.25">
      <c r="A47" s="523" t="s">
        <v>543</v>
      </c>
      <c r="B47" s="524"/>
      <c r="C47" s="525"/>
      <c r="D47" s="526"/>
      <c r="E47" s="526"/>
      <c r="F47" s="526"/>
      <c r="G47" s="526"/>
      <c r="H47" s="526"/>
      <c r="I47" s="526"/>
      <c r="J47" s="526"/>
      <c r="K47" s="525"/>
      <c r="L47" s="559"/>
    </row>
    <row r="48" spans="1:12" ht="24" customHeight="1" x14ac:dyDescent="0.25">
      <c r="A48" s="496"/>
      <c r="B48" s="497"/>
      <c r="C48" s="498" t="s">
        <v>544</v>
      </c>
      <c r="D48" s="500"/>
      <c r="E48" s="500"/>
      <c r="F48" s="572">
        <f>58601937.6/70.03</f>
        <v>836811.90346994146</v>
      </c>
      <c r="G48" s="500"/>
      <c r="H48" s="500"/>
      <c r="I48" s="500"/>
      <c r="J48" s="500"/>
      <c r="K48" s="498"/>
      <c r="L48" s="560" t="s">
        <v>360</v>
      </c>
    </row>
    <row r="49" spans="1:12" x14ac:dyDescent="0.25">
      <c r="A49" s="496"/>
      <c r="B49" s="497"/>
      <c r="C49" s="498"/>
      <c r="D49" s="500"/>
      <c r="E49" s="500"/>
      <c r="F49" s="572"/>
      <c r="G49" s="500"/>
      <c r="H49" s="500"/>
      <c r="I49" s="500"/>
      <c r="J49" s="500"/>
      <c r="K49" s="498"/>
      <c r="L49" s="560"/>
    </row>
    <row r="50" spans="1:12" x14ac:dyDescent="0.25">
      <c r="A50" s="502" t="s">
        <v>574</v>
      </c>
      <c r="B50" s="503"/>
      <c r="C50" s="504"/>
      <c r="D50" s="505"/>
      <c r="E50" s="505"/>
      <c r="F50" s="573">
        <f>SUM(F48:F49)</f>
        <v>836811.90346994146</v>
      </c>
      <c r="G50" s="505"/>
      <c r="H50" s="505"/>
      <c r="I50" s="505"/>
      <c r="J50" s="505"/>
      <c r="K50" s="504"/>
      <c r="L50" s="553"/>
    </row>
    <row r="51" spans="1:12" x14ac:dyDescent="0.25">
      <c r="A51" s="502" t="s">
        <v>56</v>
      </c>
      <c r="B51" s="503"/>
      <c r="C51" s="504"/>
      <c r="D51" s="505"/>
      <c r="E51" s="505"/>
      <c r="F51" s="505"/>
      <c r="G51" s="505"/>
      <c r="H51" s="505"/>
      <c r="I51" s="505"/>
      <c r="J51" s="505"/>
      <c r="K51" s="504"/>
      <c r="L51" s="553"/>
    </row>
    <row r="52" spans="1:12" ht="15.75" thickBot="1" x14ac:dyDescent="0.3">
      <c r="A52" s="527" t="s">
        <v>545</v>
      </c>
      <c r="B52" s="528"/>
      <c r="C52" s="528"/>
      <c r="D52" s="551"/>
      <c r="E52" s="551"/>
      <c r="F52" s="529">
        <f>SUM(F50,F46,F40,F29,F24,F18)</f>
        <v>14551715.183469942</v>
      </c>
      <c r="G52" s="551"/>
      <c r="H52" s="551"/>
      <c r="I52" s="551"/>
      <c r="J52" s="551"/>
      <c r="K52" s="528"/>
      <c r="L52" s="561"/>
    </row>
    <row r="53" spans="1:12" x14ac:dyDescent="0.25">
      <c r="A53" s="530"/>
      <c r="B53" s="531"/>
      <c r="C53" s="531"/>
      <c r="D53" s="532"/>
      <c r="E53" s="532"/>
      <c r="F53" s="532"/>
      <c r="G53" s="532"/>
      <c r="H53" s="532"/>
      <c r="I53" s="532"/>
      <c r="J53" s="532"/>
      <c r="K53" s="531"/>
      <c r="L53" s="532"/>
    </row>
    <row r="54" spans="1:12" x14ac:dyDescent="0.25">
      <c r="A54" s="662" t="s">
        <v>546</v>
      </c>
      <c r="B54" s="662"/>
      <c r="C54" s="662"/>
      <c r="D54" s="662"/>
      <c r="E54" s="662"/>
      <c r="F54" s="662"/>
      <c r="G54" s="662"/>
      <c r="H54" s="662"/>
      <c r="I54" s="662"/>
      <c r="J54" s="662"/>
      <c r="K54" s="662"/>
      <c r="L54" s="662"/>
    </row>
    <row r="55" spans="1:12" x14ac:dyDescent="0.25">
      <c r="A55" s="663"/>
      <c r="B55" s="664"/>
      <c r="C55" s="664"/>
      <c r="D55" s="664"/>
      <c r="E55" s="664"/>
      <c r="F55" s="664"/>
      <c r="G55" s="664"/>
      <c r="H55" s="664"/>
      <c r="I55" s="664"/>
      <c r="J55" s="664"/>
      <c r="K55" s="664"/>
      <c r="L55" s="665"/>
    </row>
    <row r="56" spans="1:12" ht="62.25" customHeight="1" x14ac:dyDescent="0.25">
      <c r="A56" s="666" t="s">
        <v>573</v>
      </c>
      <c r="B56" s="666"/>
      <c r="C56" s="666"/>
      <c r="D56" s="666"/>
      <c r="E56" s="666"/>
      <c r="F56" s="666"/>
      <c r="G56" s="666"/>
      <c r="H56" s="666"/>
      <c r="I56" s="666"/>
      <c r="J56" s="666"/>
      <c r="K56" s="666"/>
      <c r="L56" s="666"/>
    </row>
    <row r="57" spans="1:12" x14ac:dyDescent="0.25">
      <c r="A57" s="667"/>
      <c r="B57" s="667"/>
      <c r="C57" s="667"/>
      <c r="D57" s="667"/>
      <c r="E57" s="667"/>
      <c r="F57" s="667"/>
      <c r="G57" s="667"/>
      <c r="H57" s="667"/>
      <c r="I57" s="667"/>
      <c r="J57" s="667"/>
      <c r="K57" s="667"/>
      <c r="L57" s="667"/>
    </row>
    <row r="58" spans="1:12" ht="25.5" customHeight="1" x14ac:dyDescent="0.25">
      <c r="A58" s="661" t="s">
        <v>547</v>
      </c>
      <c r="B58" s="661"/>
      <c r="C58" s="661"/>
      <c r="D58" s="661"/>
      <c r="E58" s="661"/>
      <c r="F58" s="661"/>
      <c r="G58" s="661"/>
      <c r="H58" s="661"/>
      <c r="I58" s="661"/>
      <c r="J58" s="661"/>
      <c r="K58" s="661"/>
      <c r="L58" s="661"/>
    </row>
    <row r="59" spans="1:12" x14ac:dyDescent="0.2">
      <c r="A59" s="533"/>
      <c r="B59" s="534"/>
      <c r="C59" s="535"/>
      <c r="D59" s="534"/>
      <c r="E59" s="534"/>
      <c r="F59" s="534"/>
      <c r="G59" s="534"/>
      <c r="H59" s="534"/>
      <c r="I59" s="534"/>
      <c r="J59" s="562"/>
      <c r="K59" s="536"/>
      <c r="L59" s="562"/>
    </row>
    <row r="60" spans="1:12" ht="23.25" customHeight="1" x14ac:dyDescent="0.25">
      <c r="A60" s="661" t="s">
        <v>548</v>
      </c>
      <c r="B60" s="661"/>
      <c r="C60" s="661"/>
      <c r="D60" s="661"/>
      <c r="E60" s="661"/>
      <c r="F60" s="661"/>
      <c r="G60" s="661"/>
      <c r="H60" s="661"/>
      <c r="I60" s="661"/>
      <c r="J60" s="661"/>
      <c r="K60" s="661"/>
      <c r="L60" s="661"/>
    </row>
    <row r="63" spans="1:12" x14ac:dyDescent="0.25">
      <c r="D63"/>
      <c r="E63"/>
      <c r="F63"/>
      <c r="G63"/>
      <c r="H63"/>
      <c r="I63"/>
      <c r="J63"/>
      <c r="L63"/>
    </row>
    <row r="64" spans="1:12" x14ac:dyDescent="0.25">
      <c r="D64"/>
      <c r="E64"/>
      <c r="F64"/>
      <c r="G64"/>
      <c r="H64"/>
      <c r="I64"/>
      <c r="J64"/>
      <c r="L64"/>
    </row>
    <row r="65" spans="4:12" x14ac:dyDescent="0.25">
      <c r="D65"/>
      <c r="E65"/>
      <c r="F65"/>
      <c r="G65"/>
      <c r="H65"/>
      <c r="I65"/>
      <c r="J65"/>
      <c r="L65"/>
    </row>
    <row r="66" spans="4:12" x14ac:dyDescent="0.25">
      <c r="D66"/>
      <c r="E66"/>
      <c r="F66"/>
      <c r="G66"/>
      <c r="H66"/>
      <c r="I66"/>
      <c r="J66"/>
      <c r="L66"/>
    </row>
  </sheetData>
  <mergeCells count="27">
    <mergeCell ref="J9:J10"/>
    <mergeCell ref="K9:K10"/>
    <mergeCell ref="L9:L10"/>
    <mergeCell ref="A60:L60"/>
    <mergeCell ref="A54:L54"/>
    <mergeCell ref="A55:L55"/>
    <mergeCell ref="A56:L56"/>
    <mergeCell ref="A57:L57"/>
    <mergeCell ref="A58:L58"/>
    <mergeCell ref="A11:L11"/>
    <mergeCell ref="A19:L19"/>
    <mergeCell ref="A25:L25"/>
    <mergeCell ref="A30:L30"/>
    <mergeCell ref="A41:L41"/>
    <mergeCell ref="B7:I7"/>
    <mergeCell ref="A9:A10"/>
    <mergeCell ref="B9:B10"/>
    <mergeCell ref="C9:C10"/>
    <mergeCell ref="D9:D10"/>
    <mergeCell ref="E9:E10"/>
    <mergeCell ref="F9:H9"/>
    <mergeCell ref="I9:I10"/>
    <mergeCell ref="B2:I2"/>
    <mergeCell ref="B3:I3"/>
    <mergeCell ref="B4:I4"/>
    <mergeCell ref="B5:I5"/>
    <mergeCell ref="B6:I6"/>
  </mergeCells>
  <pageMargins left="0.75" right="0.75" top="1" bottom="1" header="0.5" footer="0.5"/>
  <pageSetup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4BD97"/>
  </sheetPr>
  <dimension ref="A1:R116"/>
  <sheetViews>
    <sheetView topLeftCell="F3" workbookViewId="0">
      <selection activeCell="R16" sqref="R16"/>
    </sheetView>
  </sheetViews>
  <sheetFormatPr defaultColWidth="11" defaultRowHeight="15" x14ac:dyDescent="0.25"/>
  <cols>
    <col min="3" max="3" width="78" customWidth="1"/>
    <col min="4" max="4" width="10.140625" customWidth="1"/>
    <col min="5" max="5" width="16.85546875" customWidth="1"/>
    <col min="6" max="6" width="29" bestFit="1" customWidth="1"/>
    <col min="7" max="7" width="15.28515625" bestFit="1" customWidth="1"/>
    <col min="8" max="9" width="12.140625" bestFit="1" customWidth="1"/>
    <col min="10" max="10" width="12.140625" style="228" bestFit="1" customWidth="1"/>
    <col min="11" max="11" width="15.28515625" bestFit="1" customWidth="1"/>
    <col min="12" max="13" width="12.140625" bestFit="1" customWidth="1"/>
    <col min="14" max="14" width="12.85546875" bestFit="1" customWidth="1"/>
    <col min="15" max="15" width="15.28515625" bestFit="1" customWidth="1"/>
    <col min="16" max="17" width="11.140625" bestFit="1" customWidth="1"/>
    <col min="18" max="18" width="15.28515625" style="228" bestFit="1" customWidth="1"/>
  </cols>
  <sheetData>
    <row r="1" spans="1:18" hidden="1" x14ac:dyDescent="0.25"/>
    <row r="2" spans="1:18" hidden="1" x14ac:dyDescent="0.25"/>
    <row r="3" spans="1:18" ht="18.75" x14ac:dyDescent="0.3">
      <c r="A3" s="671" t="s">
        <v>313</v>
      </c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  <c r="M3" s="671"/>
      <c r="N3" s="671"/>
      <c r="O3" s="671"/>
      <c r="P3" s="671"/>
      <c r="Q3" s="671"/>
      <c r="R3" s="671"/>
    </row>
    <row r="4" spans="1:18" s="228" customFormat="1" x14ac:dyDescent="0.25">
      <c r="C4" s="229"/>
      <c r="K4" s="580"/>
    </row>
    <row r="5" spans="1:18" s="228" customFormat="1" x14ac:dyDescent="0.25">
      <c r="A5" s="672" t="s">
        <v>507</v>
      </c>
      <c r="B5" s="672"/>
      <c r="C5" s="672"/>
      <c r="D5" s="672"/>
      <c r="E5" s="672"/>
      <c r="F5" s="672"/>
      <c r="G5" s="672"/>
      <c r="H5" s="672"/>
      <c r="I5" s="672"/>
      <c r="J5" s="672"/>
      <c r="K5" s="672"/>
      <c r="L5" s="672"/>
      <c r="M5" s="672"/>
      <c r="N5" s="672"/>
      <c r="O5" s="672"/>
      <c r="P5" s="672"/>
      <c r="Q5" s="672"/>
      <c r="R5" s="672"/>
    </row>
    <row r="6" spans="1:18" s="228" customFormat="1" x14ac:dyDescent="0.25">
      <c r="C6" s="229"/>
      <c r="F6" s="580">
        <v>5862201.7599999998</v>
      </c>
      <c r="R6" s="435"/>
    </row>
    <row r="7" spans="1:18" x14ac:dyDescent="0.2">
      <c r="A7" s="230" t="str">
        <f>POA!B3</f>
        <v>Composante</v>
      </c>
      <c r="B7" s="230" t="str">
        <f>POA!C3</f>
        <v>Produits</v>
      </c>
      <c r="C7" s="230" t="str">
        <f>POA!D3</f>
        <v>Activités</v>
      </c>
      <c r="D7" s="230" t="str">
        <f>POA!E3</f>
        <v>Responsable</v>
      </c>
      <c r="E7" s="230" t="str">
        <f>POA!G3</f>
        <v>Total (durée projet)</v>
      </c>
      <c r="F7" s="586" t="s">
        <v>492</v>
      </c>
      <c r="G7" s="586" t="s">
        <v>493</v>
      </c>
      <c r="H7" s="587" t="s">
        <v>494</v>
      </c>
      <c r="I7" s="233" t="s">
        <v>495</v>
      </c>
      <c r="J7" s="234" t="s">
        <v>496</v>
      </c>
      <c r="K7" s="233" t="s">
        <v>497</v>
      </c>
      <c r="L7" s="233" t="s">
        <v>498</v>
      </c>
      <c r="M7" s="233" t="s">
        <v>499</v>
      </c>
      <c r="N7" s="234" t="s">
        <v>500</v>
      </c>
      <c r="O7" s="235" t="s">
        <v>501</v>
      </c>
      <c r="P7" s="235" t="s">
        <v>502</v>
      </c>
      <c r="Q7" s="235" t="s">
        <v>503</v>
      </c>
      <c r="R7" s="236" t="s">
        <v>449</v>
      </c>
    </row>
    <row r="8" spans="1:18" ht="21" customHeight="1" x14ac:dyDescent="0.25">
      <c r="A8" s="49" t="str">
        <f>POA!B4</f>
        <v>Composante 1</v>
      </c>
      <c r="B8" s="49"/>
      <c r="C8" s="49"/>
      <c r="D8" s="49"/>
      <c r="E8" s="584">
        <f>E23</f>
        <v>891000</v>
      </c>
      <c r="F8" s="588">
        <f>F23</f>
        <v>33430.475333333336</v>
      </c>
      <c r="G8" s="588">
        <f t="shared" ref="G8:Q8" si="0">G23</f>
        <v>54235.617333333335</v>
      </c>
      <c r="H8" s="588">
        <f t="shared" si="0"/>
        <v>54235.617333333335</v>
      </c>
      <c r="I8" s="588">
        <f t="shared" si="0"/>
        <v>54235.617333333335</v>
      </c>
      <c r="J8" s="588">
        <f t="shared" si="0"/>
        <v>1525.3333333333333</v>
      </c>
      <c r="K8" s="588">
        <f t="shared" si="0"/>
        <v>61058.046333333332</v>
      </c>
      <c r="L8" s="588">
        <f t="shared" si="0"/>
        <v>46608.046333333332</v>
      </c>
      <c r="M8" s="588">
        <f t="shared" si="0"/>
        <v>1525.3333333333333</v>
      </c>
      <c r="N8" s="588">
        <f t="shared" si="0"/>
        <v>1525.3333333333333</v>
      </c>
      <c r="O8" s="588">
        <f t="shared" si="0"/>
        <v>1525.3333333333333</v>
      </c>
      <c r="P8" s="588">
        <f t="shared" si="0"/>
        <v>1525.3333333333333</v>
      </c>
      <c r="Q8" s="588">
        <f t="shared" si="0"/>
        <v>3050.6666666666665</v>
      </c>
      <c r="R8" s="588">
        <f>R23</f>
        <v>314480.75333333324</v>
      </c>
    </row>
    <row r="9" spans="1:18" ht="21" customHeight="1" x14ac:dyDescent="0.25">
      <c r="A9" s="49" t="str">
        <f>POA!B5</f>
        <v>Composante 2</v>
      </c>
      <c r="B9" s="49"/>
      <c r="C9" s="49"/>
      <c r="D9" s="49"/>
      <c r="E9" s="584">
        <f>E34</f>
        <v>23199000</v>
      </c>
      <c r="F9" s="588">
        <f>F34</f>
        <v>990064.51945526514</v>
      </c>
      <c r="G9" s="588">
        <f t="shared" ref="G9:Q9" si="1">G34</f>
        <v>207391.20345080909</v>
      </c>
      <c r="H9" s="588">
        <f t="shared" si="1"/>
        <v>507391.20345080906</v>
      </c>
      <c r="I9" s="588">
        <f t="shared" si="1"/>
        <v>178831.20345080909</v>
      </c>
      <c r="J9" s="588">
        <f t="shared" si="1"/>
        <v>2149799.532451923</v>
      </c>
      <c r="K9" s="588">
        <f t="shared" si="1"/>
        <v>649513.03245192312</v>
      </c>
      <c r="L9" s="588">
        <f t="shared" si="1"/>
        <v>1723151.5861095539</v>
      </c>
      <c r="M9" s="588">
        <f t="shared" si="1"/>
        <v>405667.84789937944</v>
      </c>
      <c r="N9" s="588">
        <f t="shared" si="1"/>
        <v>405668.84789937944</v>
      </c>
      <c r="O9" s="588">
        <f t="shared" si="1"/>
        <v>371595.84789937944</v>
      </c>
      <c r="P9" s="588">
        <f t="shared" si="1"/>
        <v>22718.032451923078</v>
      </c>
      <c r="Q9" s="588">
        <f t="shared" si="1"/>
        <v>1388059.141826923</v>
      </c>
      <c r="R9" s="588">
        <f>R34</f>
        <v>8999851.9987980761</v>
      </c>
    </row>
    <row r="10" spans="1:18" ht="20.100000000000001" customHeight="1" x14ac:dyDescent="0.25">
      <c r="A10" s="49" t="str">
        <f>POA!B6</f>
        <v>Composante 3</v>
      </c>
      <c r="B10" s="49"/>
      <c r="C10" s="49"/>
      <c r="D10" s="49"/>
      <c r="E10" s="584">
        <f>E41</f>
        <v>13000000</v>
      </c>
      <c r="F10" s="588">
        <f>F41</f>
        <v>550000</v>
      </c>
      <c r="G10" s="588">
        <f t="shared" ref="G10:Q10" si="2">G41</f>
        <v>500000</v>
      </c>
      <c r="H10" s="588">
        <f t="shared" si="2"/>
        <v>520000</v>
      </c>
      <c r="I10" s="588">
        <f t="shared" si="2"/>
        <v>500000</v>
      </c>
      <c r="J10" s="588">
        <f t="shared" si="2"/>
        <v>500000</v>
      </c>
      <c r="K10" s="588">
        <f t="shared" si="2"/>
        <v>550000</v>
      </c>
      <c r="L10" s="588">
        <f t="shared" si="2"/>
        <v>500000</v>
      </c>
      <c r="M10" s="588">
        <f t="shared" si="2"/>
        <v>500000</v>
      </c>
      <c r="N10" s="588">
        <f t="shared" si="2"/>
        <v>550000</v>
      </c>
      <c r="O10" s="588">
        <f t="shared" si="2"/>
        <v>500000</v>
      </c>
      <c r="P10" s="588">
        <f t="shared" si="2"/>
        <v>500000</v>
      </c>
      <c r="Q10" s="588">
        <f t="shared" si="2"/>
        <v>550000</v>
      </c>
      <c r="R10" s="588">
        <f>R41</f>
        <v>6220000</v>
      </c>
    </row>
    <row r="11" spans="1:18" x14ac:dyDescent="0.25">
      <c r="A11" s="49" t="str">
        <f>POA!B7</f>
        <v>Gestion</v>
      </c>
      <c r="B11" s="49"/>
      <c r="C11" s="49"/>
      <c r="D11" s="49"/>
      <c r="E11" s="584">
        <f t="shared" ref="E11:F13" si="3">E46</f>
        <v>4200000</v>
      </c>
      <c r="F11" s="588">
        <f t="shared" si="3"/>
        <v>38817.666641865078</v>
      </c>
      <c r="G11" s="588">
        <f t="shared" ref="G11:Q11" si="4">G46</f>
        <v>42617.666641865078</v>
      </c>
      <c r="H11" s="588">
        <f t="shared" si="4"/>
        <v>38617.666641865078</v>
      </c>
      <c r="I11" s="588">
        <f t="shared" si="4"/>
        <v>45572.666641865078</v>
      </c>
      <c r="J11" s="588">
        <f t="shared" si="4"/>
        <v>38617.666641865078</v>
      </c>
      <c r="K11" s="588">
        <f t="shared" si="4"/>
        <v>38617.666641865078</v>
      </c>
      <c r="L11" s="588">
        <f t="shared" si="4"/>
        <v>38617.666641865078</v>
      </c>
      <c r="M11" s="588">
        <f t="shared" si="4"/>
        <v>43572.666641865078</v>
      </c>
      <c r="N11" s="588">
        <f t="shared" si="4"/>
        <v>38617.666641865078</v>
      </c>
      <c r="O11" s="588">
        <f t="shared" si="4"/>
        <v>38617.666641865078</v>
      </c>
      <c r="P11" s="588">
        <f t="shared" si="4"/>
        <v>38617.666641865078</v>
      </c>
      <c r="Q11" s="588">
        <f t="shared" si="4"/>
        <v>70865.333283730157</v>
      </c>
      <c r="R11" s="588">
        <f>R46</f>
        <v>511769.66634424607</v>
      </c>
    </row>
    <row r="12" spans="1:18" x14ac:dyDescent="0.25">
      <c r="A12" s="49" t="str">
        <f>POA!B8</f>
        <v>Audits</v>
      </c>
      <c r="B12" s="49"/>
      <c r="C12" s="49"/>
      <c r="D12" s="49"/>
      <c r="E12" s="584">
        <f t="shared" si="3"/>
        <v>250000</v>
      </c>
      <c r="F12" s="588">
        <f t="shared" si="3"/>
        <v>40959.183673469386</v>
      </c>
      <c r="G12" s="588">
        <f t="shared" ref="G12:Q12" si="5">G47</f>
        <v>0</v>
      </c>
      <c r="H12" s="588">
        <f t="shared" si="5"/>
        <v>0</v>
      </c>
      <c r="I12" s="588">
        <f t="shared" si="5"/>
        <v>0</v>
      </c>
      <c r="J12" s="588">
        <f t="shared" si="5"/>
        <v>0</v>
      </c>
      <c r="K12" s="588">
        <f t="shared" si="5"/>
        <v>0</v>
      </c>
      <c r="L12" s="588">
        <f t="shared" si="5"/>
        <v>0</v>
      </c>
      <c r="M12" s="588">
        <f t="shared" si="5"/>
        <v>0</v>
      </c>
      <c r="N12" s="588">
        <f t="shared" si="5"/>
        <v>0</v>
      </c>
      <c r="O12" s="588">
        <f t="shared" si="5"/>
        <v>38015.306122448979</v>
      </c>
      <c r="P12" s="588">
        <f t="shared" si="5"/>
        <v>0</v>
      </c>
      <c r="Q12" s="588">
        <f t="shared" si="5"/>
        <v>0</v>
      </c>
      <c r="R12" s="588">
        <f>R47</f>
        <v>78974.489795918373</v>
      </c>
    </row>
    <row r="13" spans="1:18" x14ac:dyDescent="0.25">
      <c r="A13" s="49" t="str">
        <f>POA!B9</f>
        <v>Evaluation</v>
      </c>
      <c r="B13" s="49"/>
      <c r="C13" s="49"/>
      <c r="D13" s="49"/>
      <c r="E13" s="584">
        <f t="shared" si="3"/>
        <v>460000</v>
      </c>
      <c r="F13" s="588">
        <f t="shared" si="3"/>
        <v>20498.830938053099</v>
      </c>
      <c r="G13" s="588">
        <f t="shared" ref="G13:Q13" si="6">G48</f>
        <v>8721.8889380530982</v>
      </c>
      <c r="H13" s="588">
        <f t="shared" si="6"/>
        <v>3191.2389380530976</v>
      </c>
      <c r="I13" s="588">
        <f t="shared" si="6"/>
        <v>33121.703938053099</v>
      </c>
      <c r="J13" s="588">
        <f t="shared" si="6"/>
        <v>3191.2389380530976</v>
      </c>
      <c r="K13" s="588">
        <f t="shared" si="6"/>
        <v>3191.2389380530976</v>
      </c>
      <c r="L13" s="588">
        <f t="shared" si="6"/>
        <v>17691.238938053099</v>
      </c>
      <c r="M13" s="588">
        <f t="shared" si="6"/>
        <v>3191.2389380530976</v>
      </c>
      <c r="N13" s="588">
        <f t="shared" si="6"/>
        <v>3191.2389380530976</v>
      </c>
      <c r="O13" s="588">
        <f t="shared" si="6"/>
        <v>3191.2389380530976</v>
      </c>
      <c r="P13" s="588">
        <f t="shared" si="6"/>
        <v>28691.238938053099</v>
      </c>
      <c r="Q13" s="588">
        <f t="shared" si="6"/>
        <v>6382.4778761061953</v>
      </c>
      <c r="R13" s="588">
        <f>R48</f>
        <v>134254.81319469024</v>
      </c>
    </row>
    <row r="14" spans="1:18" x14ac:dyDescent="0.25">
      <c r="A14" s="49" t="str">
        <f>POA!B10</f>
        <v>Imprévus</v>
      </c>
      <c r="B14" s="49"/>
      <c r="C14" s="49"/>
      <c r="D14" s="49"/>
      <c r="E14" s="584"/>
      <c r="F14" s="588"/>
      <c r="G14" s="588"/>
      <c r="H14" s="588"/>
      <c r="I14" s="588"/>
      <c r="J14" s="588"/>
      <c r="K14" s="588"/>
      <c r="L14" s="588"/>
      <c r="M14" s="588"/>
      <c r="N14" s="588"/>
      <c r="O14" s="588"/>
      <c r="P14" s="588"/>
      <c r="Q14" s="588"/>
      <c r="R14" s="588">
        <v>0</v>
      </c>
    </row>
    <row r="15" spans="1:18" ht="14.1" hidden="1" customHeight="1" x14ac:dyDescent="0.25">
      <c r="A15" s="436">
        <f>POA!B11</f>
        <v>0</v>
      </c>
      <c r="B15" s="436"/>
      <c r="C15" s="436">
        <f>POA!D11</f>
        <v>0</v>
      </c>
      <c r="D15" s="436">
        <f>POA!E11</f>
        <v>0</v>
      </c>
      <c r="E15" s="585">
        <f>POA!G11</f>
        <v>46500000</v>
      </c>
      <c r="F15" s="382"/>
      <c r="G15" s="382"/>
      <c r="H15" s="382"/>
      <c r="I15" s="382"/>
      <c r="J15" s="382"/>
      <c r="K15" s="382"/>
      <c r="L15" s="382"/>
      <c r="M15" s="382"/>
      <c r="N15" s="382"/>
      <c r="O15" s="382"/>
      <c r="P15" s="382"/>
      <c r="Q15" s="382"/>
      <c r="R15" s="108"/>
    </row>
    <row r="16" spans="1:18" s="237" customFormat="1" x14ac:dyDescent="0.25">
      <c r="A16" s="439"/>
      <c r="B16" s="439"/>
      <c r="C16" s="439"/>
      <c r="D16" s="439"/>
      <c r="E16" s="440">
        <f>E8+E9+E10+E11+E12+E13+E14</f>
        <v>42000000</v>
      </c>
      <c r="F16" s="589">
        <f>F8+F9+F10+F11+F12+F13+F14</f>
        <v>1673770.6760419861</v>
      </c>
      <c r="G16" s="589">
        <f t="shared" ref="G16:Q16" si="7">G8+G9+G10+G11+G12+G13+G14</f>
        <v>812966.37636406056</v>
      </c>
      <c r="H16" s="589">
        <f t="shared" si="7"/>
        <v>1123435.7263640605</v>
      </c>
      <c r="I16" s="589">
        <f t="shared" si="7"/>
        <v>811761.19136406062</v>
      </c>
      <c r="J16" s="589">
        <f t="shared" si="7"/>
        <v>2693133.7713651746</v>
      </c>
      <c r="K16" s="589">
        <f t="shared" si="7"/>
        <v>1302379.9843651748</v>
      </c>
      <c r="L16" s="589">
        <f t="shared" si="7"/>
        <v>2326068.538022805</v>
      </c>
      <c r="M16" s="589">
        <f t="shared" si="7"/>
        <v>953957.08681263088</v>
      </c>
      <c r="N16" s="589">
        <f t="shared" si="7"/>
        <v>999003.08681263088</v>
      </c>
      <c r="O16" s="589">
        <f t="shared" si="7"/>
        <v>952945.39293507987</v>
      </c>
      <c r="P16" s="589">
        <f t="shared" si="7"/>
        <v>591552.27136517467</v>
      </c>
      <c r="Q16" s="589">
        <f t="shared" si="7"/>
        <v>2018357.6196534261</v>
      </c>
      <c r="R16" s="589">
        <f>R8+R9+R10+R11+R12+R13+R14</f>
        <v>16259331.721466264</v>
      </c>
    </row>
    <row r="17" spans="1:18" s="237" customFormat="1" x14ac:dyDescent="0.25">
      <c r="A17" s="438"/>
      <c r="B17" s="438"/>
      <c r="C17" s="438"/>
      <c r="D17" s="438"/>
      <c r="E17" s="580"/>
      <c r="F17" s="397"/>
      <c r="G17" s="397"/>
      <c r="H17" s="581"/>
      <c r="I17" s="397"/>
      <c r="J17" s="397"/>
      <c r="K17" s="397"/>
      <c r="L17" s="581"/>
      <c r="M17" s="397"/>
      <c r="N17" s="397"/>
      <c r="O17" s="397"/>
      <c r="P17" s="397"/>
      <c r="Q17" s="397"/>
      <c r="R17" s="397"/>
    </row>
    <row r="18" spans="1:18" s="237" customFormat="1" x14ac:dyDescent="0.25">
      <c r="A18" s="438"/>
      <c r="B18" s="438"/>
      <c r="C18" s="438"/>
      <c r="D18" s="438"/>
      <c r="E18" s="580"/>
      <c r="F18" s="397"/>
      <c r="G18" s="397"/>
      <c r="H18" s="582" t="s">
        <v>586</v>
      </c>
      <c r="I18" s="583">
        <f>5862202-(F16+G16+H16+I16)</f>
        <v>1440268.029865833</v>
      </c>
      <c r="J18" s="583"/>
      <c r="K18" s="583"/>
      <c r="L18" s="582" t="s">
        <v>587</v>
      </c>
      <c r="M18" s="583">
        <f>I19-(J16+K16+L16+M16)</f>
        <v>100000</v>
      </c>
      <c r="N18" s="397"/>
      <c r="O18" s="397"/>
      <c r="P18" s="397"/>
      <c r="Q18" s="397"/>
      <c r="R18" s="397"/>
    </row>
    <row r="19" spans="1:18" s="237" customFormat="1" x14ac:dyDescent="0.25">
      <c r="A19" s="438"/>
      <c r="B19" s="438"/>
      <c r="C19" s="438"/>
      <c r="D19" s="438"/>
      <c r="E19" s="580"/>
      <c r="F19" s="397"/>
      <c r="G19" s="397"/>
      <c r="H19" s="582" t="s">
        <v>583</v>
      </c>
      <c r="I19" s="583">
        <f>SUM(J16:M16)+100000</f>
        <v>7375539.3805657858</v>
      </c>
      <c r="J19" s="583"/>
      <c r="K19" s="583"/>
      <c r="L19" s="582" t="s">
        <v>584</v>
      </c>
      <c r="M19" s="583">
        <f>SUM(N16:Q16)</f>
        <v>4561858.3707663119</v>
      </c>
      <c r="N19" s="397"/>
      <c r="O19" s="397"/>
      <c r="P19" s="397"/>
      <c r="Q19" s="397"/>
      <c r="R19" s="397"/>
    </row>
    <row r="20" spans="1:18" s="237" customFormat="1" x14ac:dyDescent="0.25">
      <c r="A20" s="438"/>
      <c r="B20" s="438"/>
      <c r="C20" s="438"/>
      <c r="D20" s="438"/>
      <c r="E20" s="580"/>
      <c r="F20" s="397"/>
      <c r="G20" s="397"/>
      <c r="H20" s="583" t="s">
        <v>585</v>
      </c>
      <c r="I20" s="583">
        <f>I19-I18</f>
        <v>5935271.3506999528</v>
      </c>
      <c r="J20" s="583"/>
      <c r="K20" s="583"/>
      <c r="L20" s="583" t="s">
        <v>585</v>
      </c>
      <c r="M20" s="583">
        <f>M19-M18+100000</f>
        <v>4561858.3707663119</v>
      </c>
      <c r="N20" s="397"/>
      <c r="O20" s="397"/>
      <c r="P20" s="397"/>
      <c r="Q20" s="397"/>
      <c r="R20" s="397"/>
    </row>
    <row r="21" spans="1:18" s="237" customFormat="1" x14ac:dyDescent="0.25">
      <c r="A21" s="441"/>
      <c r="B21" s="441"/>
      <c r="C21" s="441"/>
      <c r="D21" s="441"/>
      <c r="E21" s="442"/>
    </row>
    <row r="22" spans="1:18" s="237" customFormat="1" x14ac:dyDescent="0.25">
      <c r="A22" s="437" t="str">
        <f>A7</f>
        <v>Composante</v>
      </c>
      <c r="B22" s="437" t="str">
        <f>B7</f>
        <v>Produits</v>
      </c>
      <c r="C22" s="437" t="str">
        <f>C7</f>
        <v>Activités</v>
      </c>
      <c r="D22" s="437" t="str">
        <f>D7</f>
        <v>Responsable</v>
      </c>
      <c r="E22" s="437" t="str">
        <f>E7</f>
        <v>Total (durée projet)</v>
      </c>
      <c r="F22" s="231" t="s">
        <v>315</v>
      </c>
      <c r="G22" s="231" t="s">
        <v>316</v>
      </c>
      <c r="H22" s="232" t="s">
        <v>323</v>
      </c>
      <c r="I22" s="233" t="s">
        <v>317</v>
      </c>
      <c r="J22" s="234" t="s">
        <v>162</v>
      </c>
      <c r="K22" s="233" t="s">
        <v>163</v>
      </c>
      <c r="L22" s="233" t="s">
        <v>318</v>
      </c>
      <c r="M22" s="233" t="s">
        <v>161</v>
      </c>
      <c r="N22" s="234" t="s">
        <v>319</v>
      </c>
      <c r="O22" s="235" t="s">
        <v>320</v>
      </c>
      <c r="P22" s="235" t="s">
        <v>321</v>
      </c>
      <c r="Q22" s="235" t="s">
        <v>322</v>
      </c>
      <c r="R22" s="235" t="s">
        <v>17</v>
      </c>
    </row>
    <row r="23" spans="1:18" ht="25.5" x14ac:dyDescent="0.25">
      <c r="A23" s="49" t="str">
        <f>POA!B13</f>
        <v>Composante 1</v>
      </c>
      <c r="B23" s="49"/>
      <c r="C23" s="49"/>
      <c r="D23" s="49"/>
      <c r="E23" s="238">
        <f>E24+E25+E26+E30+E31+E32+E33</f>
        <v>891000</v>
      </c>
      <c r="F23" s="238">
        <f>F24+F25+F26+F30+F31+F32+F33</f>
        <v>33430.475333333336</v>
      </c>
      <c r="G23" s="238">
        <f t="shared" ref="G23:Q23" si="8">G24+G25+G26+G30+G31+G32+G33</f>
        <v>54235.617333333335</v>
      </c>
      <c r="H23" s="238">
        <f t="shared" si="8"/>
        <v>54235.617333333335</v>
      </c>
      <c r="I23" s="238">
        <f t="shared" si="8"/>
        <v>54235.617333333335</v>
      </c>
      <c r="J23" s="238">
        <f t="shared" si="8"/>
        <v>1525.3333333333333</v>
      </c>
      <c r="K23" s="238">
        <f t="shared" si="8"/>
        <v>61058.046333333332</v>
      </c>
      <c r="L23" s="238">
        <f t="shared" si="8"/>
        <v>46608.046333333332</v>
      </c>
      <c r="M23" s="238">
        <f t="shared" si="8"/>
        <v>1525.3333333333333</v>
      </c>
      <c r="N23" s="238">
        <f t="shared" si="8"/>
        <v>1525.3333333333333</v>
      </c>
      <c r="O23" s="238">
        <f t="shared" si="8"/>
        <v>1525.3333333333333</v>
      </c>
      <c r="P23" s="238">
        <f t="shared" si="8"/>
        <v>1525.3333333333333</v>
      </c>
      <c r="Q23" s="238">
        <f t="shared" si="8"/>
        <v>3050.6666666666665</v>
      </c>
      <c r="R23" s="238">
        <f>SUM(F23:Q23)</f>
        <v>314480.75333333324</v>
      </c>
    </row>
    <row r="24" spans="1:18" x14ac:dyDescent="0.2">
      <c r="A24" s="239"/>
      <c r="B24" s="239">
        <f>POA!C15</f>
        <v>1</v>
      </c>
      <c r="C24" s="239" t="str">
        <f>POA!D15</f>
        <v>Modèles d'analyses de risques climatiques développés</v>
      </c>
      <c r="D24" s="239"/>
      <c r="E24" s="230"/>
      <c r="F24" s="241">
        <f>POA!K15</f>
        <v>0</v>
      </c>
      <c r="G24" s="241">
        <f>POA!L15</f>
        <v>0</v>
      </c>
      <c r="H24" s="241">
        <f>POA!M15</f>
        <v>0</v>
      </c>
      <c r="I24" s="241">
        <f>POA!N15</f>
        <v>0</v>
      </c>
      <c r="J24" s="241">
        <f>POA!O15</f>
        <v>0</v>
      </c>
      <c r="K24" s="241">
        <f>POA!P15</f>
        <v>0</v>
      </c>
      <c r="L24" s="241">
        <f>POA!Q15</f>
        <v>0</v>
      </c>
      <c r="M24" s="241">
        <f>POA!R15</f>
        <v>0</v>
      </c>
      <c r="N24" s="241">
        <f>POA!S15</f>
        <v>0</v>
      </c>
      <c r="O24" s="241">
        <f>POA!T15</f>
        <v>0</v>
      </c>
      <c r="P24" s="241">
        <f>POA!U15</f>
        <v>0</v>
      </c>
      <c r="Q24" s="241">
        <f>POA!V15</f>
        <v>0</v>
      </c>
      <c r="R24" s="242">
        <f>SUM(F24:Q24)</f>
        <v>0</v>
      </c>
    </row>
    <row r="25" spans="1:18" x14ac:dyDescent="0.2">
      <c r="A25" s="239"/>
      <c r="B25" s="239">
        <f>POA!C19</f>
        <v>2</v>
      </c>
      <c r="C25" s="239" t="str">
        <f>POA!D19</f>
        <v>Système  d'information sur les risques climatiques en agriculture développé</v>
      </c>
      <c r="D25" s="239"/>
      <c r="E25" s="230"/>
      <c r="F25" s="241">
        <f>POA!K19</f>
        <v>0</v>
      </c>
      <c r="G25" s="241">
        <f>POA!L19</f>
        <v>0</v>
      </c>
      <c r="H25" s="241">
        <f>POA!M19</f>
        <v>0</v>
      </c>
      <c r="I25" s="241">
        <f>POA!N19</f>
        <v>0</v>
      </c>
      <c r="J25" s="241">
        <f>POA!O19</f>
        <v>0</v>
      </c>
      <c r="K25" s="241">
        <f>POA!P19</f>
        <v>0</v>
      </c>
      <c r="L25" s="241">
        <f>POA!Q19</f>
        <v>0</v>
      </c>
      <c r="M25" s="241">
        <f>POA!R19</f>
        <v>0</v>
      </c>
      <c r="N25" s="241">
        <f>POA!S19</f>
        <v>0</v>
      </c>
      <c r="O25" s="241">
        <f>POA!T19</f>
        <v>0</v>
      </c>
      <c r="P25" s="241">
        <f>POA!U19</f>
        <v>0</v>
      </c>
      <c r="Q25" s="241">
        <f>POA!V19</f>
        <v>0</v>
      </c>
      <c r="R25" s="242">
        <f t="shared" ref="R25:R45" si="9">SUM(F25:Q25)</f>
        <v>0</v>
      </c>
    </row>
    <row r="26" spans="1:18" ht="18" customHeight="1" x14ac:dyDescent="0.2">
      <c r="A26" s="239"/>
      <c r="B26" s="239">
        <f>POA!C23</f>
        <v>3</v>
      </c>
      <c r="C26" s="239" t="str">
        <f>POA!D23</f>
        <v>Programme de recherche&amp;formation agricole/resilience CC/dynamique BV mis en oeuvre</v>
      </c>
      <c r="D26" s="239"/>
      <c r="E26" s="230">
        <f>E27+E28+E29</f>
        <v>479000</v>
      </c>
      <c r="F26" s="241">
        <f>F27+F28+F29</f>
        <v>7075.333333333333</v>
      </c>
      <c r="G26" s="241">
        <f t="shared" ref="G26:Q26" si="10">G27+G28+G29</f>
        <v>1525.3333333333333</v>
      </c>
      <c r="H26" s="241">
        <f t="shared" si="10"/>
        <v>1525.3333333333333</v>
      </c>
      <c r="I26" s="241">
        <f t="shared" si="10"/>
        <v>1525.3333333333333</v>
      </c>
      <c r="J26" s="241">
        <f t="shared" si="10"/>
        <v>1525.3333333333333</v>
      </c>
      <c r="K26" s="241">
        <f t="shared" si="10"/>
        <v>1525.3333333333333</v>
      </c>
      <c r="L26" s="241">
        <f t="shared" si="10"/>
        <v>7075.333333333333</v>
      </c>
      <c r="M26" s="241">
        <f t="shared" si="10"/>
        <v>1525.3333333333333</v>
      </c>
      <c r="N26" s="241">
        <f t="shared" si="10"/>
        <v>1525.3333333333333</v>
      </c>
      <c r="O26" s="241">
        <f t="shared" si="10"/>
        <v>1525.3333333333333</v>
      </c>
      <c r="P26" s="241">
        <f t="shared" si="10"/>
        <v>1525.3333333333333</v>
      </c>
      <c r="Q26" s="241">
        <f t="shared" si="10"/>
        <v>3050.6666666666665</v>
      </c>
      <c r="R26" s="242">
        <f t="shared" si="9"/>
        <v>30929.333333333332</v>
      </c>
    </row>
    <row r="27" spans="1:18" x14ac:dyDescent="0.2">
      <c r="A27" s="382"/>
      <c r="B27" s="60"/>
      <c r="C27" s="60" t="str">
        <f>POA!D24</f>
        <v>Résilience au CC St Michel / St Raphael</v>
      </c>
      <c r="D27" s="243"/>
      <c r="E27" s="230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63">
        <f t="shared" si="9"/>
        <v>0</v>
      </c>
    </row>
    <row r="28" spans="1:18" x14ac:dyDescent="0.2">
      <c r="A28" s="382"/>
      <c r="B28" s="60"/>
      <c r="C28" s="60" t="s">
        <v>504</v>
      </c>
      <c r="D28" s="243"/>
      <c r="E28" s="230">
        <f>POA!G25</f>
        <v>0</v>
      </c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63">
        <f t="shared" si="9"/>
        <v>0</v>
      </c>
    </row>
    <row r="29" spans="1:18" x14ac:dyDescent="0.2">
      <c r="A29" s="382"/>
      <c r="B29" s="60"/>
      <c r="C29" s="60" t="str">
        <f>POA!D33</f>
        <v>Recherche et suivi hydrologique - Cavaillon</v>
      </c>
      <c r="D29" s="245"/>
      <c r="E29" s="230">
        <v>479000</v>
      </c>
      <c r="F29" s="244">
        <f>POA!K33</f>
        <v>7075.333333333333</v>
      </c>
      <c r="G29" s="244">
        <f>POA!L33</f>
        <v>1525.3333333333333</v>
      </c>
      <c r="H29" s="244">
        <f>POA!M33</f>
        <v>1525.3333333333333</v>
      </c>
      <c r="I29" s="244">
        <f>POA!N33</f>
        <v>1525.3333333333333</v>
      </c>
      <c r="J29" s="244">
        <f>POA!O33</f>
        <v>1525.3333333333333</v>
      </c>
      <c r="K29" s="244">
        <f>POA!P33</f>
        <v>1525.3333333333333</v>
      </c>
      <c r="L29" s="244">
        <f>POA!Q33</f>
        <v>7075.333333333333</v>
      </c>
      <c r="M29" s="244">
        <f>POA!R33</f>
        <v>1525.3333333333333</v>
      </c>
      <c r="N29" s="244">
        <f>POA!S33</f>
        <v>1525.3333333333333</v>
      </c>
      <c r="O29" s="244">
        <f>POA!T33</f>
        <v>1525.3333333333333</v>
      </c>
      <c r="P29" s="244">
        <f>POA!U33</f>
        <v>1525.3333333333333</v>
      </c>
      <c r="Q29" s="244">
        <f>POA!V33</f>
        <v>3050.6666666666665</v>
      </c>
      <c r="R29" s="63">
        <f t="shared" si="9"/>
        <v>30929.333333333332</v>
      </c>
    </row>
    <row r="30" spans="1:18" ht="14.1" customHeight="1" x14ac:dyDescent="0.2">
      <c r="A30" s="240"/>
      <c r="B30" s="240">
        <f>POA!C38</f>
        <v>4</v>
      </c>
      <c r="C30" s="240" t="str">
        <f>POA!D38</f>
        <v>Programme de formation en gestion de risques climatiques dans l'agriculture développé et mis en oeuvre</v>
      </c>
      <c r="D30" s="240"/>
      <c r="E30" s="230"/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246"/>
      <c r="Q30" s="246"/>
      <c r="R30" s="242">
        <f t="shared" si="9"/>
        <v>0</v>
      </c>
    </row>
    <row r="31" spans="1:18" x14ac:dyDescent="0.2">
      <c r="A31" s="240"/>
      <c r="B31" s="240">
        <f>POA!C43</f>
        <v>5</v>
      </c>
      <c r="C31" s="240" t="str">
        <f>POA!D43</f>
        <v>Formation conduite sur l’évaluation des pertes et dommages dus aux désastres naturels dans l'agriculture</v>
      </c>
      <c r="D31" s="240"/>
      <c r="E31" s="230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242">
        <f t="shared" si="9"/>
        <v>0</v>
      </c>
    </row>
    <row r="32" spans="1:18" x14ac:dyDescent="0.2">
      <c r="A32" s="240"/>
      <c r="B32" s="240">
        <f>POA!C46</f>
        <v>6</v>
      </c>
      <c r="C32" s="240" t="str">
        <f>POA!D46</f>
        <v>Plan national de contingence dans le secteur agricole en cas d'evenement climatique extreme élaboré  et diffusé</v>
      </c>
      <c r="D32" s="240"/>
      <c r="E32" s="230">
        <v>100000</v>
      </c>
      <c r="F32" s="246">
        <f>POA!K46</f>
        <v>0</v>
      </c>
      <c r="G32" s="246">
        <f>POA!L46</f>
        <v>0</v>
      </c>
      <c r="H32" s="246">
        <f>POA!M46</f>
        <v>0</v>
      </c>
      <c r="I32" s="246">
        <f>POA!N46</f>
        <v>0</v>
      </c>
      <c r="J32" s="246">
        <f>POA!O46</f>
        <v>0</v>
      </c>
      <c r="K32" s="246">
        <f>POA!P46</f>
        <v>0</v>
      </c>
      <c r="L32" s="246">
        <f>POA!Q46</f>
        <v>0</v>
      </c>
      <c r="M32" s="246">
        <f>POA!R46</f>
        <v>0</v>
      </c>
      <c r="N32" s="246">
        <f>POA!S46</f>
        <v>0</v>
      </c>
      <c r="O32" s="246">
        <f>POA!T46</f>
        <v>0</v>
      </c>
      <c r="P32" s="246">
        <f>POA!U46</f>
        <v>0</v>
      </c>
      <c r="Q32" s="246">
        <f>POA!V46</f>
        <v>0</v>
      </c>
      <c r="R32" s="242">
        <f t="shared" si="9"/>
        <v>0</v>
      </c>
    </row>
    <row r="33" spans="1:18" x14ac:dyDescent="0.2">
      <c r="A33" s="240"/>
      <c r="B33" s="240">
        <f>POA!C49</f>
        <v>7</v>
      </c>
      <c r="C33" s="240" t="str">
        <f>POA!D49</f>
        <v>Comités de Gestion de Bassins Versants (CGBV) renforces</v>
      </c>
      <c r="D33" s="240"/>
      <c r="E33" s="230">
        <v>312000</v>
      </c>
      <c r="F33" s="246">
        <f>POA!K49</f>
        <v>26355.142</v>
      </c>
      <c r="G33" s="246">
        <f>POA!L49</f>
        <v>52710.284</v>
      </c>
      <c r="H33" s="246">
        <f>POA!M49</f>
        <v>52710.284</v>
      </c>
      <c r="I33" s="246">
        <f>POA!N49</f>
        <v>52710.284</v>
      </c>
      <c r="J33" s="246">
        <f>POA!O49</f>
        <v>0</v>
      </c>
      <c r="K33" s="246">
        <f>POA!P49</f>
        <v>59532.712999999996</v>
      </c>
      <c r="L33" s="246">
        <f>POA!Q49</f>
        <v>39532.712999999996</v>
      </c>
      <c r="M33" s="246">
        <f>POA!R49</f>
        <v>0</v>
      </c>
      <c r="N33" s="246">
        <f>POA!S49</f>
        <v>0</v>
      </c>
      <c r="O33" s="246">
        <f>POA!T49</f>
        <v>0</v>
      </c>
      <c r="P33" s="246">
        <f>POA!U49</f>
        <v>0</v>
      </c>
      <c r="Q33" s="246">
        <f>POA!V49</f>
        <v>0</v>
      </c>
      <c r="R33" s="242">
        <f t="shared" si="9"/>
        <v>283551.42</v>
      </c>
    </row>
    <row r="34" spans="1:18" ht="25.5" x14ac:dyDescent="0.25">
      <c r="A34" s="49" t="str">
        <f>POA!B52</f>
        <v>Composante 2</v>
      </c>
      <c r="B34" s="49"/>
      <c r="C34" s="49"/>
      <c r="D34" s="49"/>
      <c r="E34" s="238">
        <f>E35+E36+E37+E38+E39+E40</f>
        <v>23199000</v>
      </c>
      <c r="F34" s="238">
        <f>F35+F36+F37+F38+F39+F40</f>
        <v>990064.51945526514</v>
      </c>
      <c r="G34" s="238">
        <f t="shared" ref="G34:Q34" si="11">G35+G36+G37+G38+G39+G40</f>
        <v>207391.20345080909</v>
      </c>
      <c r="H34" s="238">
        <f t="shared" si="11"/>
        <v>507391.20345080906</v>
      </c>
      <c r="I34" s="238">
        <f t="shared" si="11"/>
        <v>178831.20345080909</v>
      </c>
      <c r="J34" s="238">
        <f t="shared" si="11"/>
        <v>2149799.532451923</v>
      </c>
      <c r="K34" s="238">
        <f t="shared" si="11"/>
        <v>649513.03245192312</v>
      </c>
      <c r="L34" s="238">
        <f t="shared" si="11"/>
        <v>1723151.5861095539</v>
      </c>
      <c r="M34" s="238">
        <f t="shared" si="11"/>
        <v>405667.84789937944</v>
      </c>
      <c r="N34" s="238">
        <f t="shared" si="11"/>
        <v>405668.84789937944</v>
      </c>
      <c r="O34" s="238">
        <f t="shared" si="11"/>
        <v>371595.84789937944</v>
      </c>
      <c r="P34" s="238">
        <f t="shared" si="11"/>
        <v>22718.032451923078</v>
      </c>
      <c r="Q34" s="238">
        <f t="shared" si="11"/>
        <v>1388059.141826923</v>
      </c>
      <c r="R34" s="238">
        <f>SUM(F34:Q34)</f>
        <v>8999851.9987980761</v>
      </c>
    </row>
    <row r="35" spans="1:18" x14ac:dyDescent="0.2">
      <c r="A35" s="240"/>
      <c r="B35" s="240">
        <f>POA!C54</f>
        <v>8</v>
      </c>
      <c r="C35" s="240" t="str">
        <f>POA!D54</f>
        <v>Systèmes communautaires d'alerte précoce aux inondations développés</v>
      </c>
      <c r="D35" s="240"/>
      <c r="E35" s="230">
        <f>POA!G54</f>
        <v>1500000</v>
      </c>
      <c r="F35" s="246">
        <f>POA!K54</f>
        <v>0</v>
      </c>
      <c r="G35" s="246">
        <f>POA!L54</f>
        <v>0</v>
      </c>
      <c r="H35" s="246">
        <f>POA!M54</f>
        <v>0</v>
      </c>
      <c r="I35" s="246">
        <f>POA!N54</f>
        <v>0</v>
      </c>
      <c r="J35" s="246">
        <f>POA!O54</f>
        <v>0</v>
      </c>
      <c r="K35" s="246">
        <f>POA!P54</f>
        <v>0</v>
      </c>
      <c r="L35" s="246">
        <f>POA!Q54</f>
        <v>0</v>
      </c>
      <c r="M35" s="246">
        <f>POA!R54</f>
        <v>0</v>
      </c>
      <c r="N35" s="246">
        <f>POA!S54</f>
        <v>0</v>
      </c>
      <c r="O35" s="246">
        <f>POA!T54</f>
        <v>0</v>
      </c>
      <c r="P35" s="246">
        <f>POA!U54</f>
        <v>0</v>
      </c>
      <c r="Q35" s="246">
        <f>POA!V54</f>
        <v>0</v>
      </c>
      <c r="R35" s="242">
        <f t="shared" si="9"/>
        <v>0</v>
      </c>
    </row>
    <row r="36" spans="1:18" x14ac:dyDescent="0.2">
      <c r="A36" s="240"/>
      <c r="B36" s="240">
        <f>POA!C63</f>
        <v>9</v>
      </c>
      <c r="C36" s="240" t="str">
        <f>POA!D63</f>
        <v>Infrastructures de protection de bassins versants - Amont (Nord, Sud  et Plateau Central)</v>
      </c>
      <c r="D36" s="240"/>
      <c r="E36" s="230">
        <v>4170000</v>
      </c>
      <c r="F36" s="246">
        <f>POA!K63</f>
        <v>1261.5384615384614</v>
      </c>
      <c r="G36" s="246">
        <f>POA!L63</f>
        <v>1261.5384615384614</v>
      </c>
      <c r="H36" s="246">
        <f>POA!M63</f>
        <v>1261.5384615384614</v>
      </c>
      <c r="I36" s="246">
        <f>POA!N63</f>
        <v>1261.5384615384614</v>
      </c>
      <c r="J36" s="246">
        <f>POA!O63</f>
        <v>1261.5384615384614</v>
      </c>
      <c r="K36" s="246">
        <f>POA!P63</f>
        <v>1261.5384615384614</v>
      </c>
      <c r="L36" s="246">
        <f>POA!Q63</f>
        <v>35335.538461538461</v>
      </c>
      <c r="M36" s="246">
        <f>POA!R63</f>
        <v>35335.538461538461</v>
      </c>
      <c r="N36" s="246">
        <f>POA!S63</f>
        <v>35335.538461538461</v>
      </c>
      <c r="O36" s="246">
        <f>POA!T63</f>
        <v>1261.5384615384614</v>
      </c>
      <c r="P36" s="246">
        <f>POA!U63</f>
        <v>1261.5384615384614</v>
      </c>
      <c r="Q36" s="246">
        <f>POA!V63</f>
        <v>1261.5384615384614</v>
      </c>
      <c r="R36" s="242">
        <f t="shared" si="9"/>
        <v>117360.46153846156</v>
      </c>
    </row>
    <row r="37" spans="1:18" x14ac:dyDescent="0.2">
      <c r="A37" s="240"/>
      <c r="B37" s="240">
        <f>POA!C75</f>
        <v>10</v>
      </c>
      <c r="C37" s="240" t="str">
        <f>POA!D75</f>
        <v>Infrastructures de protection de bassins versants - Amont (St Raphael / St Michel)</v>
      </c>
      <c r="D37" s="240"/>
      <c r="E37" s="230"/>
      <c r="F37" s="246"/>
      <c r="G37" s="246"/>
      <c r="H37" s="246"/>
      <c r="I37" s="246"/>
      <c r="J37" s="246"/>
      <c r="K37" s="246"/>
      <c r="L37" s="246"/>
      <c r="M37" s="246"/>
      <c r="N37" s="246"/>
      <c r="O37" s="246"/>
      <c r="P37" s="246"/>
      <c r="Q37" s="246"/>
      <c r="R37" s="242"/>
    </row>
    <row r="38" spans="1:18" x14ac:dyDescent="0.2">
      <c r="A38" s="240"/>
      <c r="B38" s="240">
        <f>POA!C85</f>
        <v>11</v>
      </c>
      <c r="C38" s="240" t="str">
        <f>POA!D85</f>
        <v>Infrastructures de protection de bassins versants - Aval</v>
      </c>
      <c r="D38" s="240"/>
      <c r="E38" s="230">
        <v>16800000</v>
      </c>
      <c r="F38" s="246">
        <f>POA!K85</f>
        <v>988802.98099372664</v>
      </c>
      <c r="G38" s="246">
        <f>POA!L85</f>
        <v>206129.66498927062</v>
      </c>
      <c r="H38" s="246">
        <f>POA!M85</f>
        <v>506129.66498927062</v>
      </c>
      <c r="I38" s="246">
        <f>POA!N85</f>
        <v>177569.66498927062</v>
      </c>
      <c r="J38" s="246">
        <f>POA!O85</f>
        <v>2148537.9939903845</v>
      </c>
      <c r="K38" s="246">
        <f>POA!P85</f>
        <v>648251.49399038462</v>
      </c>
      <c r="L38" s="246">
        <f>POA!Q85</f>
        <v>1687816.0476480154</v>
      </c>
      <c r="M38" s="246">
        <f>POA!R85</f>
        <v>370332.309437841</v>
      </c>
      <c r="N38" s="246">
        <f>POA!S85</f>
        <v>370333.309437841</v>
      </c>
      <c r="O38" s="246">
        <f>POA!T85</f>
        <v>370334.309437841</v>
      </c>
      <c r="P38" s="246">
        <f>POA!U85</f>
        <v>21456.493990384617</v>
      </c>
      <c r="Q38" s="246">
        <f>POA!V85</f>
        <v>1386797.6033653845</v>
      </c>
      <c r="R38" s="242">
        <f t="shared" si="9"/>
        <v>8882491.537259616</v>
      </c>
    </row>
    <row r="39" spans="1:18" s="228" customFormat="1" x14ac:dyDescent="0.25">
      <c r="A39" s="240"/>
      <c r="B39" s="240">
        <v>12</v>
      </c>
      <c r="C39" s="240" t="s">
        <v>506</v>
      </c>
      <c r="D39" s="240"/>
      <c r="E39" s="230">
        <v>498000</v>
      </c>
      <c r="F39" s="246">
        <f>POA!K119</f>
        <v>0</v>
      </c>
      <c r="G39" s="246">
        <f>POA!L119</f>
        <v>0</v>
      </c>
      <c r="H39" s="246">
        <f>POA!M119</f>
        <v>0</v>
      </c>
      <c r="I39" s="246">
        <f>POA!N119</f>
        <v>0</v>
      </c>
      <c r="J39" s="246">
        <f>POA!O119</f>
        <v>0</v>
      </c>
      <c r="K39" s="246">
        <f>POA!P119</f>
        <v>0</v>
      </c>
      <c r="L39" s="246">
        <f>POA!Q119</f>
        <v>0</v>
      </c>
      <c r="M39" s="246">
        <f>POA!R119</f>
        <v>0</v>
      </c>
      <c r="N39" s="246">
        <f>POA!S119</f>
        <v>0</v>
      </c>
      <c r="O39" s="246">
        <f>POA!T119</f>
        <v>0</v>
      </c>
      <c r="P39" s="246">
        <f>POA!U119</f>
        <v>0</v>
      </c>
      <c r="Q39" s="246">
        <f>POA!V119</f>
        <v>0</v>
      </c>
      <c r="R39" s="242">
        <f t="shared" si="9"/>
        <v>0</v>
      </c>
    </row>
    <row r="40" spans="1:18" s="228" customFormat="1" x14ac:dyDescent="0.25">
      <c r="A40" s="240"/>
      <c r="B40" s="240">
        <v>13</v>
      </c>
      <c r="C40" s="240" t="s">
        <v>306</v>
      </c>
      <c r="D40" s="240"/>
      <c r="E40" s="230">
        <v>231000</v>
      </c>
      <c r="F40" s="246">
        <f>POA!K121</f>
        <v>0</v>
      </c>
      <c r="G40" s="246">
        <f>POA!L121</f>
        <v>0</v>
      </c>
      <c r="H40" s="246">
        <f>POA!M121</f>
        <v>0</v>
      </c>
      <c r="I40" s="246">
        <f>POA!N121</f>
        <v>0</v>
      </c>
      <c r="J40" s="246">
        <f>POA!O121</f>
        <v>0</v>
      </c>
      <c r="K40" s="246">
        <f>POA!P121</f>
        <v>0</v>
      </c>
      <c r="L40" s="246">
        <f>POA!Q121</f>
        <v>0</v>
      </c>
      <c r="M40" s="246">
        <f>POA!R121</f>
        <v>0</v>
      </c>
      <c r="N40" s="246">
        <f>POA!S121</f>
        <v>0</v>
      </c>
      <c r="O40" s="246">
        <f>POA!T121</f>
        <v>0</v>
      </c>
      <c r="P40" s="246">
        <f>POA!U121</f>
        <v>0</v>
      </c>
      <c r="Q40" s="246">
        <f>POA!V121</f>
        <v>0</v>
      </c>
      <c r="R40" s="242">
        <f t="shared" si="9"/>
        <v>0</v>
      </c>
    </row>
    <row r="41" spans="1:18" ht="25.5" x14ac:dyDescent="0.25">
      <c r="A41" s="49" t="str">
        <f>POA!B122</f>
        <v>Composante 3</v>
      </c>
      <c r="B41" s="49"/>
      <c r="C41" s="49"/>
      <c r="D41" s="49"/>
      <c r="E41" s="238">
        <f>E42</f>
        <v>13000000</v>
      </c>
      <c r="F41" s="238">
        <f>F42</f>
        <v>550000</v>
      </c>
      <c r="G41" s="238">
        <f t="shared" ref="G41:Q41" si="12">G42</f>
        <v>500000</v>
      </c>
      <c r="H41" s="238">
        <f t="shared" si="12"/>
        <v>520000</v>
      </c>
      <c r="I41" s="238">
        <f t="shared" si="12"/>
        <v>500000</v>
      </c>
      <c r="J41" s="238">
        <f t="shared" si="12"/>
        <v>500000</v>
      </c>
      <c r="K41" s="238">
        <f t="shared" si="12"/>
        <v>550000</v>
      </c>
      <c r="L41" s="238">
        <f t="shared" si="12"/>
        <v>500000</v>
      </c>
      <c r="M41" s="238">
        <f t="shared" si="12"/>
        <v>500000</v>
      </c>
      <c r="N41" s="238">
        <f t="shared" si="12"/>
        <v>550000</v>
      </c>
      <c r="O41" s="238">
        <f t="shared" si="12"/>
        <v>500000</v>
      </c>
      <c r="P41" s="238">
        <f t="shared" si="12"/>
        <v>500000</v>
      </c>
      <c r="Q41" s="238">
        <f t="shared" si="12"/>
        <v>550000</v>
      </c>
      <c r="R41" s="238">
        <f>SUM(F41:Q41)</f>
        <v>6220000</v>
      </c>
    </row>
    <row r="42" spans="1:18" x14ac:dyDescent="0.2">
      <c r="A42" s="240"/>
      <c r="B42" s="240">
        <f>POA!C124</f>
        <v>14</v>
      </c>
      <c r="C42" s="240" t="str">
        <f>POA!D124</f>
        <v>Faculté d'Agronomie et Médecine Vétérinaire construite et équipée</v>
      </c>
      <c r="D42" s="240"/>
      <c r="E42" s="230">
        <f>E43+E44+E45</f>
        <v>13000000</v>
      </c>
      <c r="F42" s="246">
        <f>POA!K124</f>
        <v>550000</v>
      </c>
      <c r="G42" s="246">
        <f>POA!L124</f>
        <v>500000</v>
      </c>
      <c r="H42" s="246">
        <f>POA!M124</f>
        <v>520000</v>
      </c>
      <c r="I42" s="246">
        <f>POA!N124</f>
        <v>500000</v>
      </c>
      <c r="J42" s="246">
        <f>POA!O124</f>
        <v>500000</v>
      </c>
      <c r="K42" s="246">
        <f>POA!P124</f>
        <v>550000</v>
      </c>
      <c r="L42" s="246">
        <f>POA!Q124</f>
        <v>500000</v>
      </c>
      <c r="M42" s="246">
        <f>POA!R124</f>
        <v>500000</v>
      </c>
      <c r="N42" s="246">
        <f>POA!S124</f>
        <v>550000</v>
      </c>
      <c r="O42" s="246">
        <f>POA!T124</f>
        <v>500000</v>
      </c>
      <c r="P42" s="246">
        <f>POA!U124</f>
        <v>500000</v>
      </c>
      <c r="Q42" s="246">
        <f>POA!V124</f>
        <v>550000</v>
      </c>
      <c r="R42" s="242">
        <f t="shared" si="9"/>
        <v>6220000</v>
      </c>
    </row>
    <row r="43" spans="1:18" x14ac:dyDescent="0.2">
      <c r="A43" s="382"/>
      <c r="B43" s="60"/>
      <c r="C43" s="60" t="str">
        <f>POA!D125</f>
        <v>Travaux</v>
      </c>
      <c r="D43" s="60"/>
      <c r="E43" s="230">
        <f>12000000+618000</f>
        <v>12618000</v>
      </c>
      <c r="F43" s="244">
        <f>POA!K125</f>
        <v>550000</v>
      </c>
      <c r="G43" s="244">
        <f>POA!L125</f>
        <v>500000</v>
      </c>
      <c r="H43" s="244">
        <f>POA!M125</f>
        <v>520000</v>
      </c>
      <c r="I43" s="244">
        <f>POA!N125</f>
        <v>500000</v>
      </c>
      <c r="J43" s="244">
        <f>POA!O125</f>
        <v>500000</v>
      </c>
      <c r="K43" s="244">
        <f>POA!P125</f>
        <v>550000</v>
      </c>
      <c r="L43" s="244">
        <f>POA!Q125</f>
        <v>500000</v>
      </c>
      <c r="M43" s="244">
        <f>POA!R125</f>
        <v>500000</v>
      </c>
      <c r="N43" s="244">
        <f>POA!S125</f>
        <v>550000</v>
      </c>
      <c r="O43" s="244">
        <f>POA!T125</f>
        <v>500000</v>
      </c>
      <c r="P43" s="244">
        <f>POA!U125</f>
        <v>500000</v>
      </c>
      <c r="Q43" s="244">
        <f>POA!V125</f>
        <v>550000</v>
      </c>
      <c r="R43" s="63">
        <f t="shared" si="9"/>
        <v>6220000</v>
      </c>
    </row>
    <row r="44" spans="1:18" x14ac:dyDescent="0.2">
      <c r="A44" s="382"/>
      <c r="B44" s="60"/>
      <c r="C44" s="60" t="str">
        <f>POA!D129</f>
        <v>Compensation</v>
      </c>
      <c r="D44" s="60"/>
      <c r="E44" s="230">
        <v>250000</v>
      </c>
      <c r="F44" s="244">
        <f>POA!K129</f>
        <v>0</v>
      </c>
      <c r="G44" s="244">
        <f>POA!L129</f>
        <v>0</v>
      </c>
      <c r="H44" s="244">
        <f>POA!M129</f>
        <v>0</v>
      </c>
      <c r="I44" s="244">
        <f>POA!N129</f>
        <v>0</v>
      </c>
      <c r="J44" s="244">
        <f>POA!O129</f>
        <v>0</v>
      </c>
      <c r="K44" s="244">
        <f>POA!P129</f>
        <v>0</v>
      </c>
      <c r="L44" s="244">
        <f>POA!Q129</f>
        <v>0</v>
      </c>
      <c r="M44" s="244">
        <f>POA!R129</f>
        <v>0</v>
      </c>
      <c r="N44" s="244">
        <f>POA!S129</f>
        <v>0</v>
      </c>
      <c r="O44" s="244">
        <f>POA!T129</f>
        <v>0</v>
      </c>
      <c r="P44" s="244">
        <f>POA!U129</f>
        <v>0</v>
      </c>
      <c r="Q44" s="244">
        <f>POA!V129</f>
        <v>0</v>
      </c>
      <c r="R44" s="63">
        <f t="shared" si="9"/>
        <v>0</v>
      </c>
    </row>
    <row r="45" spans="1:18" x14ac:dyDescent="0.2">
      <c r="A45" s="382"/>
      <c r="B45" s="60"/>
      <c r="C45" s="60" t="str">
        <f>POA!D132</f>
        <v>Equipements</v>
      </c>
      <c r="D45" s="60"/>
      <c r="E45" s="230">
        <v>132000</v>
      </c>
      <c r="F45" s="244">
        <f>POA!K132</f>
        <v>0</v>
      </c>
      <c r="G45" s="244">
        <f>POA!L132</f>
        <v>0</v>
      </c>
      <c r="H45" s="244">
        <f>POA!M132</f>
        <v>0</v>
      </c>
      <c r="I45" s="244">
        <f>POA!N132</f>
        <v>0</v>
      </c>
      <c r="J45" s="244">
        <f>POA!O132</f>
        <v>0</v>
      </c>
      <c r="K45" s="244">
        <f>POA!P132</f>
        <v>0</v>
      </c>
      <c r="L45" s="244">
        <f>POA!Q132</f>
        <v>0</v>
      </c>
      <c r="M45" s="244">
        <f>POA!R132</f>
        <v>0</v>
      </c>
      <c r="N45" s="244">
        <f>POA!S132</f>
        <v>0</v>
      </c>
      <c r="O45" s="244">
        <f>POA!T132</f>
        <v>0</v>
      </c>
      <c r="P45" s="244">
        <f>POA!U132</f>
        <v>0</v>
      </c>
      <c r="Q45" s="244">
        <f>POA!V132</f>
        <v>0</v>
      </c>
      <c r="R45" s="63">
        <f t="shared" si="9"/>
        <v>0</v>
      </c>
    </row>
    <row r="46" spans="1:18" x14ac:dyDescent="0.25">
      <c r="A46" s="49" t="str">
        <f>POA!B134</f>
        <v>Gestion</v>
      </c>
      <c r="B46" s="49"/>
      <c r="C46" s="49"/>
      <c r="D46" s="49"/>
      <c r="E46" s="238">
        <f>POA!G134</f>
        <v>4200000</v>
      </c>
      <c r="F46" s="238">
        <f>POA!K134</f>
        <v>38817.666641865078</v>
      </c>
      <c r="G46" s="238">
        <f>POA!L134</f>
        <v>42617.666641865078</v>
      </c>
      <c r="H46" s="238">
        <f>POA!M134</f>
        <v>38617.666641865078</v>
      </c>
      <c r="I46" s="238">
        <f>POA!N134</f>
        <v>45572.666641865078</v>
      </c>
      <c r="J46" s="238">
        <f>POA!O134</f>
        <v>38617.666641865078</v>
      </c>
      <c r="K46" s="238">
        <f>POA!P134</f>
        <v>38617.666641865078</v>
      </c>
      <c r="L46" s="238">
        <f>POA!Q134</f>
        <v>38617.666641865078</v>
      </c>
      <c r="M46" s="238">
        <f>POA!R134</f>
        <v>43572.666641865078</v>
      </c>
      <c r="N46" s="238">
        <f>POA!S134</f>
        <v>38617.666641865078</v>
      </c>
      <c r="O46" s="238">
        <f>POA!T134</f>
        <v>38617.666641865078</v>
      </c>
      <c r="P46" s="238">
        <f>POA!U134</f>
        <v>38617.666641865078</v>
      </c>
      <c r="Q46" s="238">
        <f>POA!V134</f>
        <v>70865.333283730157</v>
      </c>
      <c r="R46" s="238">
        <f>SUM(F46:Q46)</f>
        <v>511769.66634424607</v>
      </c>
    </row>
    <row r="47" spans="1:18" x14ac:dyDescent="0.25">
      <c r="A47" s="49" t="str">
        <f>POA!B169</f>
        <v>Audit</v>
      </c>
      <c r="B47" s="49"/>
      <c r="C47" s="49"/>
      <c r="D47" s="49"/>
      <c r="E47" s="238">
        <v>250000</v>
      </c>
      <c r="F47" s="238">
        <f>POA!K169</f>
        <v>40959.183673469386</v>
      </c>
      <c r="G47" s="238">
        <f>POA!L169</f>
        <v>0</v>
      </c>
      <c r="H47" s="238">
        <f>POA!M169</f>
        <v>0</v>
      </c>
      <c r="I47" s="238">
        <f>POA!N169</f>
        <v>0</v>
      </c>
      <c r="J47" s="238">
        <f>POA!O169</f>
        <v>0</v>
      </c>
      <c r="K47" s="238">
        <f>POA!P169</f>
        <v>0</v>
      </c>
      <c r="L47" s="238">
        <f>POA!Q169</f>
        <v>0</v>
      </c>
      <c r="M47" s="238">
        <f>POA!R169</f>
        <v>0</v>
      </c>
      <c r="N47" s="238">
        <f>POA!S169</f>
        <v>0</v>
      </c>
      <c r="O47" s="238">
        <f>POA!T169</f>
        <v>38015.306122448979</v>
      </c>
      <c r="P47" s="238">
        <f>POA!U169</f>
        <v>0</v>
      </c>
      <c r="Q47" s="238">
        <f>POA!V169</f>
        <v>0</v>
      </c>
      <c r="R47" s="238">
        <f>SUM(F47:Q47)</f>
        <v>78974.489795918373</v>
      </c>
    </row>
    <row r="48" spans="1:18" x14ac:dyDescent="0.25">
      <c r="A48" s="49" t="str">
        <f>POA!B171</f>
        <v>Evaluation</v>
      </c>
      <c r="B48" s="49"/>
      <c r="C48" s="49"/>
      <c r="D48" s="49"/>
      <c r="E48" s="238">
        <v>460000</v>
      </c>
      <c r="F48" s="238">
        <f>POA!K171</f>
        <v>20498.830938053099</v>
      </c>
      <c r="G48" s="238">
        <f>POA!L171</f>
        <v>8721.8889380530982</v>
      </c>
      <c r="H48" s="238">
        <f>POA!M171</f>
        <v>3191.2389380530976</v>
      </c>
      <c r="I48" s="238">
        <f>POA!N171</f>
        <v>33121.703938053099</v>
      </c>
      <c r="J48" s="238">
        <f>POA!O171</f>
        <v>3191.2389380530976</v>
      </c>
      <c r="K48" s="238">
        <f>POA!P171</f>
        <v>3191.2389380530976</v>
      </c>
      <c r="L48" s="238">
        <f>POA!Q171</f>
        <v>17691.238938053099</v>
      </c>
      <c r="M48" s="238">
        <f>POA!R171</f>
        <v>3191.2389380530976</v>
      </c>
      <c r="N48" s="238">
        <f>POA!S171</f>
        <v>3191.2389380530976</v>
      </c>
      <c r="O48" s="238">
        <f>POA!T171</f>
        <v>3191.2389380530976</v>
      </c>
      <c r="P48" s="238">
        <f>POA!U171</f>
        <v>28691.238938053099</v>
      </c>
      <c r="Q48" s="238">
        <f>POA!V171</f>
        <v>6382.4778761061953</v>
      </c>
      <c r="R48" s="238">
        <f>SUM(F48:Q48)</f>
        <v>134254.81319469024</v>
      </c>
    </row>
    <row r="49" spans="5:18" x14ac:dyDescent="0.25">
      <c r="E49" s="434">
        <f>E23+E34+E41+E46+E47+E48</f>
        <v>42000000</v>
      </c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  <c r="R49" s="590"/>
    </row>
    <row r="50" spans="5:18" x14ac:dyDescent="0.25">
      <c r="J50"/>
      <c r="R50"/>
    </row>
    <row r="51" spans="5:18" x14ac:dyDescent="0.25">
      <c r="J51"/>
      <c r="R51"/>
    </row>
    <row r="52" spans="5:18" x14ac:dyDescent="0.25">
      <c r="J52"/>
      <c r="R52"/>
    </row>
    <row r="53" spans="5:18" x14ac:dyDescent="0.25">
      <c r="J53"/>
      <c r="R53"/>
    </row>
    <row r="54" spans="5:18" x14ac:dyDescent="0.25">
      <c r="J54"/>
      <c r="R54"/>
    </row>
    <row r="55" spans="5:18" x14ac:dyDescent="0.25">
      <c r="J55"/>
      <c r="R55"/>
    </row>
    <row r="56" spans="5:18" x14ac:dyDescent="0.25">
      <c r="J56"/>
      <c r="R56"/>
    </row>
    <row r="57" spans="5:18" x14ac:dyDescent="0.25">
      <c r="J57"/>
      <c r="R57"/>
    </row>
    <row r="58" spans="5:18" ht="14.1" customHeight="1" x14ac:dyDescent="0.25">
      <c r="J58"/>
      <c r="R58"/>
    </row>
    <row r="59" spans="5:18" x14ac:dyDescent="0.25">
      <c r="J59"/>
      <c r="R59"/>
    </row>
    <row r="60" spans="5:18" x14ac:dyDescent="0.25">
      <c r="J60"/>
      <c r="R60"/>
    </row>
    <row r="61" spans="5:18" x14ac:dyDescent="0.25">
      <c r="J61"/>
      <c r="R61"/>
    </row>
    <row r="63" spans="5:18" x14ac:dyDescent="0.25">
      <c r="J63"/>
      <c r="R63"/>
    </row>
    <row r="64" spans="5:18" x14ac:dyDescent="0.25">
      <c r="J64"/>
      <c r="R64"/>
    </row>
    <row r="65" spans="10:18" x14ac:dyDescent="0.25">
      <c r="J65"/>
      <c r="R65"/>
    </row>
    <row r="66" spans="10:18" x14ac:dyDescent="0.25">
      <c r="J66"/>
      <c r="R66"/>
    </row>
    <row r="67" spans="10:18" x14ac:dyDescent="0.25">
      <c r="J67"/>
      <c r="R67"/>
    </row>
    <row r="68" spans="10:18" x14ac:dyDescent="0.25">
      <c r="J68"/>
      <c r="R68"/>
    </row>
    <row r="69" spans="10:18" x14ac:dyDescent="0.25">
      <c r="J69"/>
      <c r="R69"/>
    </row>
    <row r="70" spans="10:18" x14ac:dyDescent="0.25">
      <c r="J70"/>
      <c r="R70"/>
    </row>
    <row r="71" spans="10:18" x14ac:dyDescent="0.25">
      <c r="J71"/>
      <c r="R71"/>
    </row>
    <row r="72" spans="10:18" x14ac:dyDescent="0.25">
      <c r="J72"/>
      <c r="R72"/>
    </row>
    <row r="73" spans="10:18" x14ac:dyDescent="0.25">
      <c r="J73"/>
      <c r="R73"/>
    </row>
    <row r="74" spans="10:18" x14ac:dyDescent="0.25">
      <c r="J74"/>
      <c r="R74"/>
    </row>
    <row r="75" spans="10:18" x14ac:dyDescent="0.25">
      <c r="J75"/>
      <c r="R75"/>
    </row>
    <row r="76" spans="10:18" x14ac:dyDescent="0.25">
      <c r="J76"/>
      <c r="R76"/>
    </row>
    <row r="77" spans="10:18" x14ac:dyDescent="0.25">
      <c r="J77"/>
      <c r="R77"/>
    </row>
    <row r="78" spans="10:18" x14ac:dyDescent="0.25">
      <c r="J78"/>
      <c r="R78"/>
    </row>
    <row r="79" spans="10:18" x14ac:dyDescent="0.25">
      <c r="J79"/>
      <c r="R79"/>
    </row>
    <row r="80" spans="10:18" x14ac:dyDescent="0.25">
      <c r="J80"/>
      <c r="R80"/>
    </row>
    <row r="81" spans="10:18" x14ac:dyDescent="0.25">
      <c r="J81"/>
      <c r="R81"/>
    </row>
    <row r="82" spans="10:18" x14ac:dyDescent="0.25">
      <c r="J82"/>
      <c r="R82"/>
    </row>
    <row r="83" spans="10:18" x14ac:dyDescent="0.25">
      <c r="J83"/>
      <c r="R83"/>
    </row>
    <row r="84" spans="10:18" x14ac:dyDescent="0.25">
      <c r="J84"/>
      <c r="R84"/>
    </row>
    <row r="85" spans="10:18" x14ac:dyDescent="0.25">
      <c r="J85"/>
      <c r="R85"/>
    </row>
    <row r="86" spans="10:18" x14ac:dyDescent="0.25">
      <c r="J86"/>
      <c r="R86"/>
    </row>
    <row r="87" spans="10:18" x14ac:dyDescent="0.25">
      <c r="J87"/>
      <c r="R87"/>
    </row>
    <row r="88" spans="10:18" x14ac:dyDescent="0.25">
      <c r="J88"/>
      <c r="R88"/>
    </row>
    <row r="89" spans="10:18" x14ac:dyDescent="0.25">
      <c r="J89"/>
      <c r="R89"/>
    </row>
    <row r="90" spans="10:18" x14ac:dyDescent="0.25">
      <c r="J90"/>
      <c r="R90"/>
    </row>
    <row r="91" spans="10:18" x14ac:dyDescent="0.25">
      <c r="J91"/>
      <c r="R91"/>
    </row>
    <row r="92" spans="10:18" x14ac:dyDescent="0.25">
      <c r="J92"/>
      <c r="R92"/>
    </row>
    <row r="93" spans="10:18" x14ac:dyDescent="0.25">
      <c r="J93"/>
      <c r="R93"/>
    </row>
    <row r="94" spans="10:18" x14ac:dyDescent="0.25">
      <c r="J94"/>
      <c r="R94"/>
    </row>
    <row r="95" spans="10:18" x14ac:dyDescent="0.25">
      <c r="J95"/>
      <c r="R95"/>
    </row>
    <row r="96" spans="10:18" x14ac:dyDescent="0.25">
      <c r="J96"/>
      <c r="R96"/>
    </row>
    <row r="97" spans="4:18" x14ac:dyDescent="0.25">
      <c r="J97"/>
      <c r="R97"/>
    </row>
    <row r="98" spans="4:18" x14ac:dyDescent="0.25">
      <c r="J98"/>
      <c r="R98"/>
    </row>
    <row r="99" spans="4:18" x14ac:dyDescent="0.25">
      <c r="J99"/>
      <c r="R99"/>
    </row>
    <row r="100" spans="4:18" x14ac:dyDescent="0.25">
      <c r="J100"/>
      <c r="R100"/>
    </row>
    <row r="101" spans="4:18" x14ac:dyDescent="0.25">
      <c r="J101"/>
      <c r="R101"/>
    </row>
    <row r="102" spans="4:18" x14ac:dyDescent="0.25">
      <c r="J102"/>
      <c r="R102"/>
    </row>
    <row r="103" spans="4:18" x14ac:dyDescent="0.25">
      <c r="J103"/>
      <c r="R103"/>
    </row>
    <row r="107" spans="4:18" x14ac:dyDescent="0.25">
      <c r="D107" s="673"/>
      <c r="E107" s="452"/>
      <c r="F107" s="453"/>
      <c r="G107" s="453"/>
      <c r="H107" s="453"/>
      <c r="I107" s="453"/>
      <c r="J107" s="453"/>
      <c r="K107" s="453"/>
      <c r="L107" s="453"/>
      <c r="M107" s="453"/>
      <c r="N107" s="453"/>
      <c r="O107" s="453"/>
      <c r="P107" s="453"/>
      <c r="Q107" s="453"/>
    </row>
    <row r="108" spans="4:18" x14ac:dyDescent="0.25">
      <c r="D108" s="673"/>
      <c r="G108" s="409"/>
      <c r="K108" s="409"/>
      <c r="O108" s="409"/>
      <c r="Q108" s="409"/>
    </row>
    <row r="109" spans="4:18" x14ac:dyDescent="0.25">
      <c r="D109" s="673"/>
      <c r="G109" s="409"/>
    </row>
    <row r="110" spans="4:18" x14ac:dyDescent="0.25">
      <c r="D110" s="673"/>
      <c r="F110" s="450"/>
      <c r="G110" s="490"/>
      <c r="H110" s="247"/>
      <c r="I110" s="247"/>
      <c r="J110" s="247"/>
      <c r="K110" s="397"/>
      <c r="L110" s="247"/>
      <c r="O110" s="397"/>
      <c r="Q110" s="397"/>
    </row>
    <row r="111" spans="4:18" x14ac:dyDescent="0.25">
      <c r="D111" s="673"/>
      <c r="E111" s="449"/>
      <c r="F111" s="450"/>
      <c r="G111" s="449"/>
      <c r="H111" s="449"/>
      <c r="I111" s="449"/>
      <c r="J111" s="229"/>
      <c r="K111" s="449"/>
      <c r="L111" s="434"/>
      <c r="M111" s="449"/>
      <c r="N111" s="449"/>
      <c r="O111" s="449"/>
      <c r="P111" s="449"/>
      <c r="Q111" s="449"/>
      <c r="R111" s="229"/>
    </row>
    <row r="112" spans="4:18" x14ac:dyDescent="0.25">
      <c r="D112" s="673"/>
      <c r="F112" s="450"/>
      <c r="G112" s="409"/>
      <c r="K112" s="409"/>
      <c r="L112" s="247"/>
      <c r="O112" s="409"/>
    </row>
    <row r="113" spans="4:18" x14ac:dyDescent="0.25">
      <c r="D113" s="673"/>
      <c r="F113" s="450"/>
      <c r="G113" s="453"/>
      <c r="K113" s="397"/>
      <c r="L113" s="247"/>
      <c r="O113" s="453"/>
    </row>
    <row r="114" spans="4:18" x14ac:dyDescent="0.25">
      <c r="D114" s="673"/>
      <c r="F114" s="450"/>
      <c r="G114" s="409"/>
      <c r="K114" s="409"/>
      <c r="L114" s="247"/>
      <c r="O114" s="409"/>
    </row>
    <row r="115" spans="4:18" x14ac:dyDescent="0.25">
      <c r="D115" s="673"/>
      <c r="F115" s="450"/>
      <c r="G115" s="397"/>
      <c r="K115" s="397"/>
      <c r="O115" s="397"/>
    </row>
    <row r="116" spans="4:18" ht="18.75" x14ac:dyDescent="0.3">
      <c r="D116" s="673"/>
      <c r="E116" s="449"/>
      <c r="F116" s="450"/>
      <c r="G116" s="454"/>
      <c r="H116" s="454"/>
      <c r="I116" s="454"/>
      <c r="J116" s="454"/>
      <c r="K116" s="454"/>
      <c r="L116" s="454"/>
      <c r="M116" s="454"/>
      <c r="N116" s="454"/>
      <c r="O116" s="454"/>
      <c r="P116" s="449"/>
      <c r="Q116" s="449"/>
      <c r="R116" s="454"/>
    </row>
  </sheetData>
  <mergeCells count="3">
    <mergeCell ref="A3:R3"/>
    <mergeCell ref="A5:R5"/>
    <mergeCell ref="D107:D116"/>
  </mergeCells>
  <printOptions horizontalCentered="1"/>
  <pageMargins left="0.75" right="0.75" top="0.5" bottom="0.75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0"/>
  <sheetViews>
    <sheetView topLeftCell="B1" zoomScale="125" zoomScaleNormal="125" zoomScalePageLayoutView="125" workbookViewId="0">
      <pane xSplit="14235" topLeftCell="AW1"/>
      <selection activeCell="H5" sqref="G5:BC11"/>
      <selection pane="topRight" activeCell="BC7" sqref="BC7"/>
    </sheetView>
  </sheetViews>
  <sheetFormatPr defaultColWidth="8.85546875" defaultRowHeight="15" x14ac:dyDescent="0.25"/>
  <cols>
    <col min="1" max="1" width="14" customWidth="1"/>
    <col min="2" max="2" width="22.28515625" customWidth="1"/>
    <col min="3" max="3" width="13.140625" customWidth="1"/>
    <col min="4" max="4" width="12.140625" customWidth="1"/>
    <col min="5" max="5" width="13.85546875" customWidth="1"/>
    <col min="6" max="6" width="0.7109375" customWidth="1"/>
    <col min="7" max="7" width="14.140625" customWidth="1"/>
    <col min="8" max="12" width="5.140625" customWidth="1"/>
    <col min="13" max="13" width="6" style="228" customWidth="1"/>
    <col min="14" max="18" width="5.140625" customWidth="1"/>
    <col min="19" max="19" width="6.140625" style="228" customWidth="1"/>
    <col min="20" max="20" width="5.140625" customWidth="1"/>
    <col min="21" max="21" width="6.28515625" customWidth="1"/>
    <col min="22" max="22" width="7" customWidth="1"/>
    <col min="23" max="23" width="6.28515625" customWidth="1"/>
    <col min="24" max="24" width="5.140625" customWidth="1"/>
    <col min="25" max="25" width="5.7109375" customWidth="1"/>
    <col min="26" max="26" width="5.140625" customWidth="1"/>
    <col min="27" max="29" width="5.7109375" customWidth="1"/>
    <col min="30" max="30" width="5.140625" customWidth="1"/>
    <col min="31" max="31" width="5.7109375" customWidth="1"/>
    <col min="32" max="32" width="10.28515625" customWidth="1"/>
    <col min="33" max="33" width="9.140625" customWidth="1"/>
    <col min="34" max="34" width="12.28515625" bestFit="1" customWidth="1"/>
    <col min="35" max="35" width="9.140625" customWidth="1"/>
    <col min="36" max="36" width="13.28515625" bestFit="1" customWidth="1"/>
    <col min="37" max="37" width="9.28515625" customWidth="1"/>
    <col min="38" max="38" width="12.140625" bestFit="1" customWidth="1"/>
    <col min="39" max="39" width="9.140625" customWidth="1"/>
    <col min="40" max="40" width="14.42578125" bestFit="1" customWidth="1"/>
    <col min="41" max="49" width="9.140625" customWidth="1"/>
    <col min="50" max="50" width="9.28515625" customWidth="1"/>
    <col min="51" max="54" width="9.140625" customWidth="1"/>
    <col min="55" max="55" width="10.140625" customWidth="1"/>
  </cols>
  <sheetData>
    <row r="1" spans="1:56" s="228" customFormat="1" ht="26.25" x14ac:dyDescent="0.4">
      <c r="A1" s="249" t="s">
        <v>375</v>
      </c>
      <c r="B1" s="250" t="s">
        <v>374</v>
      </c>
      <c r="D1" s="251"/>
      <c r="E1" s="252"/>
      <c r="F1" s="247">
        <f>SUM(A1:E1)</f>
        <v>0</v>
      </c>
      <c r="G1" s="247"/>
    </row>
    <row r="3" spans="1:56" x14ac:dyDescent="0.25">
      <c r="D3" s="228"/>
      <c r="E3" s="228"/>
      <c r="H3" s="253">
        <v>0.1</v>
      </c>
      <c r="I3" s="253">
        <v>0.25</v>
      </c>
      <c r="J3" s="253">
        <v>0.25</v>
      </c>
      <c r="K3" s="253">
        <v>0.25</v>
      </c>
      <c r="L3" s="253">
        <v>0.15</v>
      </c>
    </row>
    <row r="4" spans="1:56" x14ac:dyDescent="0.25">
      <c r="H4" s="685" t="s">
        <v>371</v>
      </c>
      <c r="I4" s="686"/>
      <c r="J4" s="686"/>
      <c r="K4" s="686"/>
      <c r="L4" s="686"/>
      <c r="M4" s="687"/>
      <c r="N4" s="676" t="s">
        <v>372</v>
      </c>
      <c r="O4" s="677"/>
      <c r="P4" s="677"/>
      <c r="Q4" s="677"/>
      <c r="R4" s="677"/>
      <c r="S4" s="678"/>
      <c r="T4" s="679" t="s">
        <v>373</v>
      </c>
      <c r="U4" s="680"/>
      <c r="V4" s="680"/>
      <c r="W4" s="680"/>
      <c r="X4" s="680"/>
      <c r="Y4" s="681"/>
      <c r="Z4" s="682" t="s">
        <v>17</v>
      </c>
      <c r="AA4" s="683"/>
      <c r="AB4" s="683"/>
      <c r="AC4" s="683"/>
      <c r="AD4" s="683"/>
      <c r="AE4" s="684"/>
      <c r="AF4" s="685" t="s">
        <v>371</v>
      </c>
      <c r="AG4" s="686"/>
      <c r="AH4" s="686"/>
      <c r="AI4" s="686"/>
      <c r="AJ4" s="686"/>
      <c r="AK4" s="687"/>
      <c r="AL4" s="676" t="s">
        <v>372</v>
      </c>
      <c r="AM4" s="677"/>
      <c r="AN4" s="677"/>
      <c r="AO4" s="677"/>
      <c r="AP4" s="677"/>
      <c r="AQ4" s="678"/>
      <c r="AR4" s="679" t="s">
        <v>373</v>
      </c>
      <c r="AS4" s="680"/>
      <c r="AT4" s="680"/>
      <c r="AU4" s="680"/>
      <c r="AV4" s="680"/>
      <c r="AW4" s="681"/>
      <c r="AX4" s="682" t="s">
        <v>17</v>
      </c>
      <c r="AY4" s="683"/>
      <c r="AZ4" s="683"/>
      <c r="BA4" s="683"/>
      <c r="BB4" s="683"/>
      <c r="BC4" s="684"/>
    </row>
    <row r="5" spans="1:56" ht="39" customHeight="1" x14ac:dyDescent="0.25">
      <c r="B5" s="254"/>
      <c r="C5" s="255" t="s">
        <v>371</v>
      </c>
      <c r="D5" s="255" t="s">
        <v>372</v>
      </c>
      <c r="E5" s="255" t="s">
        <v>101</v>
      </c>
      <c r="H5" s="256">
        <v>2017</v>
      </c>
      <c r="I5" s="256">
        <v>2018</v>
      </c>
      <c r="J5" s="256">
        <v>2019</v>
      </c>
      <c r="K5" s="256">
        <v>2020</v>
      </c>
      <c r="L5" s="256">
        <v>2021</v>
      </c>
      <c r="M5" s="257" t="s">
        <v>17</v>
      </c>
      <c r="N5" s="258">
        <v>2017</v>
      </c>
      <c r="O5" s="258">
        <v>2018</v>
      </c>
      <c r="P5" s="258">
        <v>2019</v>
      </c>
      <c r="Q5" s="258">
        <v>2020</v>
      </c>
      <c r="R5" s="258">
        <v>2021</v>
      </c>
      <c r="S5" s="259" t="s">
        <v>17</v>
      </c>
      <c r="T5" s="260">
        <v>2017</v>
      </c>
      <c r="U5" s="260">
        <v>2018</v>
      </c>
      <c r="V5" s="260">
        <v>2019</v>
      </c>
      <c r="W5" s="260">
        <v>2020</v>
      </c>
      <c r="X5" s="260">
        <v>2021</v>
      </c>
      <c r="Y5" s="261" t="s">
        <v>17</v>
      </c>
      <c r="Z5" s="262">
        <v>2017</v>
      </c>
      <c r="AA5" s="262">
        <v>2018</v>
      </c>
      <c r="AB5" s="262">
        <v>2019</v>
      </c>
      <c r="AC5" s="262">
        <v>2020</v>
      </c>
      <c r="AD5" s="262">
        <v>2021</v>
      </c>
      <c r="AE5" s="262" t="s">
        <v>17</v>
      </c>
      <c r="AF5" s="256">
        <v>2017</v>
      </c>
      <c r="AG5" s="256">
        <v>2018</v>
      </c>
      <c r="AH5" s="256">
        <v>2019</v>
      </c>
      <c r="AI5" s="256">
        <v>2020</v>
      </c>
      <c r="AJ5" s="256">
        <v>2021</v>
      </c>
      <c r="AK5" s="256" t="s">
        <v>17</v>
      </c>
      <c r="AL5" s="258">
        <v>2017</v>
      </c>
      <c r="AM5" s="258">
        <v>2018</v>
      </c>
      <c r="AN5" s="258">
        <v>2019</v>
      </c>
      <c r="AO5" s="258">
        <v>2020</v>
      </c>
      <c r="AP5" s="258">
        <v>2021</v>
      </c>
      <c r="AQ5" s="258" t="s">
        <v>17</v>
      </c>
      <c r="AR5" s="263">
        <v>2017</v>
      </c>
      <c r="AS5" s="263">
        <v>2018</v>
      </c>
      <c r="AT5" s="263">
        <v>2019</v>
      </c>
      <c r="AU5" s="263">
        <v>2020</v>
      </c>
      <c r="AV5" s="263">
        <v>2021</v>
      </c>
      <c r="AW5" s="263" t="s">
        <v>17</v>
      </c>
      <c r="AX5" s="262">
        <v>2017</v>
      </c>
      <c r="AY5" s="262">
        <v>2018</v>
      </c>
      <c r="AZ5" s="262">
        <v>2019</v>
      </c>
      <c r="BA5" s="262">
        <v>2020</v>
      </c>
      <c r="BB5" s="262">
        <v>2021</v>
      </c>
      <c r="BC5" s="262" t="s">
        <v>17</v>
      </c>
    </row>
    <row r="6" spans="1:56" ht="30" x14ac:dyDescent="0.25">
      <c r="B6" s="264" t="s">
        <v>58</v>
      </c>
      <c r="C6" s="265">
        <v>116.87641213389129</v>
      </c>
      <c r="D6" s="265">
        <v>26.296783991838179</v>
      </c>
      <c r="E6" s="265">
        <v>1215.8256172839506</v>
      </c>
      <c r="G6" s="264" t="s">
        <v>58</v>
      </c>
      <c r="H6" s="266">
        <f>$C6*H$3</f>
        <v>11.68764121338913</v>
      </c>
      <c r="I6" s="266">
        <f t="shared" ref="I6:L9" si="0">$C6*I$3</f>
        <v>29.219103033472823</v>
      </c>
      <c r="J6" s="266">
        <f t="shared" si="0"/>
        <v>29.219103033472823</v>
      </c>
      <c r="K6" s="266">
        <f t="shared" si="0"/>
        <v>29.219103033472823</v>
      </c>
      <c r="L6" s="266">
        <f t="shared" si="0"/>
        <v>17.531461820083692</v>
      </c>
      <c r="M6" s="267">
        <f>SUM(H6:L6)</f>
        <v>116.87641213389129</v>
      </c>
      <c r="N6" s="268">
        <f t="shared" ref="N6:R9" si="1">$D6*H$3</f>
        <v>2.6296783991838182</v>
      </c>
      <c r="O6" s="268">
        <f t="shared" si="1"/>
        <v>6.5741959979595448</v>
      </c>
      <c r="P6" s="268">
        <f t="shared" si="1"/>
        <v>6.5741959979595448</v>
      </c>
      <c r="Q6" s="268">
        <f t="shared" si="1"/>
        <v>6.5741959979595448</v>
      </c>
      <c r="R6" s="268">
        <f t="shared" si="1"/>
        <v>3.9445175987757266</v>
      </c>
      <c r="S6" s="269">
        <f>SUM(N6:R6)</f>
        <v>26.296783991838179</v>
      </c>
      <c r="T6" s="270">
        <f t="shared" ref="T6:X9" si="2">$E6*H$3</f>
        <v>121.58256172839506</v>
      </c>
      <c r="U6" s="270">
        <f t="shared" si="2"/>
        <v>303.95640432098764</v>
      </c>
      <c r="V6" s="270">
        <f t="shared" si="2"/>
        <v>303.95640432098764</v>
      </c>
      <c r="W6" s="270">
        <f t="shared" si="2"/>
        <v>303.95640432098764</v>
      </c>
      <c r="X6" s="270">
        <f t="shared" si="2"/>
        <v>182.37384259259258</v>
      </c>
      <c r="Y6" s="271">
        <f>SUM(T6:X6)</f>
        <v>1215.8256172839506</v>
      </c>
      <c r="Z6" s="272">
        <f>H6+N6+T6</f>
        <v>135.89988134096802</v>
      </c>
      <c r="AA6" s="272">
        <f t="shared" ref="AA6:AE10" si="3">I6+O6+U6</f>
        <v>339.74970335242</v>
      </c>
      <c r="AB6" s="272">
        <f t="shared" si="3"/>
        <v>339.74970335242</v>
      </c>
      <c r="AC6" s="272">
        <f t="shared" si="3"/>
        <v>339.74970335242</v>
      </c>
      <c r="AD6" s="272">
        <f t="shared" si="3"/>
        <v>203.84982201145201</v>
      </c>
      <c r="AE6" s="272">
        <f t="shared" si="3"/>
        <v>1358.99881340968</v>
      </c>
      <c r="AF6" s="266">
        <f t="shared" ref="AF6:AJ9" si="4">H6*$C$12</f>
        <v>117811.42343096243</v>
      </c>
      <c r="AG6" s="266">
        <f t="shared" si="4"/>
        <v>294528.55857740605</v>
      </c>
      <c r="AH6" s="266">
        <f t="shared" si="4"/>
        <v>294528.55857740605</v>
      </c>
      <c r="AI6" s="266">
        <f t="shared" si="4"/>
        <v>294528.55857740605</v>
      </c>
      <c r="AJ6" s="266">
        <f t="shared" si="4"/>
        <v>176717.13514644362</v>
      </c>
      <c r="AK6" s="266">
        <f>SUM(AF6:AJ6)</f>
        <v>1178114.2343096239</v>
      </c>
      <c r="AL6" s="268">
        <f t="shared" ref="AL6:AP9" si="5">N6*$D$12</f>
        <v>13253.579131886443</v>
      </c>
      <c r="AM6" s="268">
        <f t="shared" si="5"/>
        <v>33133.947829716104</v>
      </c>
      <c r="AN6" s="268">
        <f t="shared" si="5"/>
        <v>33133.947829716104</v>
      </c>
      <c r="AO6" s="268">
        <f t="shared" si="5"/>
        <v>33133.947829716104</v>
      </c>
      <c r="AP6" s="268">
        <f t="shared" si="5"/>
        <v>19880.368697829661</v>
      </c>
      <c r="AQ6" s="268">
        <f>SUM(AL6:AP6)</f>
        <v>132535.79131886442</v>
      </c>
      <c r="AR6" s="273">
        <f t="shared" ref="AR6:AV9" si="6">T6*$E$12</f>
        <v>8170.3481481481485</v>
      </c>
      <c r="AS6" s="273">
        <f t="shared" si="6"/>
        <v>20425.870370370372</v>
      </c>
      <c r="AT6" s="273">
        <f t="shared" si="6"/>
        <v>20425.870370370372</v>
      </c>
      <c r="AU6" s="273">
        <f t="shared" si="6"/>
        <v>20425.870370370372</v>
      </c>
      <c r="AV6" s="273">
        <f t="shared" si="6"/>
        <v>12255.522222222222</v>
      </c>
      <c r="AW6" s="273">
        <f>SUM(AR6:AV6)</f>
        <v>81703.481481481489</v>
      </c>
      <c r="AX6" s="272">
        <f t="shared" ref="AX6:BC10" si="7">AF6+AL6+AR6</f>
        <v>139235.35071099704</v>
      </c>
      <c r="AY6" s="272">
        <f t="shared" si="7"/>
        <v>348088.37677749252</v>
      </c>
      <c r="AZ6" s="272">
        <f t="shared" si="7"/>
        <v>348088.37677749252</v>
      </c>
      <c r="BA6" s="272">
        <f t="shared" si="7"/>
        <v>348088.37677749252</v>
      </c>
      <c r="BB6" s="272">
        <f t="shared" si="7"/>
        <v>208853.02606649551</v>
      </c>
      <c r="BC6" s="272">
        <f t="shared" si="7"/>
        <v>1392353.5071099699</v>
      </c>
      <c r="BD6" s="247"/>
    </row>
    <row r="7" spans="1:56" ht="30" x14ac:dyDescent="0.25">
      <c r="B7" s="264" t="s">
        <v>66</v>
      </c>
      <c r="C7" s="399">
        <v>119</v>
      </c>
      <c r="D7" s="265">
        <v>37.240166149932413</v>
      </c>
      <c r="E7" s="265">
        <v>1042.1362433862435</v>
      </c>
      <c r="G7" s="264" t="s">
        <v>66</v>
      </c>
      <c r="H7" s="266">
        <f>$C7*L$3</f>
        <v>17.849999999999998</v>
      </c>
      <c r="I7" s="266">
        <f t="shared" si="0"/>
        <v>29.75</v>
      </c>
      <c r="J7" s="266">
        <f t="shared" si="0"/>
        <v>29.75</v>
      </c>
      <c r="K7" s="266">
        <f t="shared" si="0"/>
        <v>29.75</v>
      </c>
      <c r="L7" s="266">
        <f>$C7*H$3</f>
        <v>11.9</v>
      </c>
      <c r="M7" s="267">
        <f>SUM(H7:L7)</f>
        <v>119</v>
      </c>
      <c r="N7" s="268">
        <f>$D7*L$3</f>
        <v>5.5860249224898615</v>
      </c>
      <c r="O7" s="268">
        <f t="shared" si="1"/>
        <v>9.3100415374831034</v>
      </c>
      <c r="P7" s="268">
        <f t="shared" si="1"/>
        <v>9.3100415374831034</v>
      </c>
      <c r="Q7" s="268">
        <f t="shared" si="1"/>
        <v>9.3100415374831034</v>
      </c>
      <c r="R7" s="268">
        <f>$D7*H$3</f>
        <v>3.7240166149932414</v>
      </c>
      <c r="S7" s="269">
        <f>SUM(N7:R7)</f>
        <v>37.240166149932406</v>
      </c>
      <c r="T7" s="270">
        <f>$E7*L$3</f>
        <v>156.32043650793651</v>
      </c>
      <c r="U7" s="270">
        <f t="shared" si="2"/>
        <v>260.53406084656086</v>
      </c>
      <c r="V7" s="270">
        <f t="shared" si="2"/>
        <v>260.53406084656086</v>
      </c>
      <c r="W7" s="270">
        <f t="shared" si="2"/>
        <v>260.53406084656086</v>
      </c>
      <c r="X7" s="270">
        <f>$E7*H$3</f>
        <v>104.21362433862436</v>
      </c>
      <c r="Y7" s="271">
        <f>SUM(T7:X7)</f>
        <v>1042.1362433862435</v>
      </c>
      <c r="Z7" s="272">
        <f>H7+N7+T7</f>
        <v>179.75646143042636</v>
      </c>
      <c r="AA7" s="272">
        <f t="shared" si="3"/>
        <v>299.59410238404394</v>
      </c>
      <c r="AB7" s="272">
        <f t="shared" si="3"/>
        <v>299.59410238404394</v>
      </c>
      <c r="AC7" s="272">
        <f t="shared" si="3"/>
        <v>299.59410238404394</v>
      </c>
      <c r="AD7" s="272">
        <f t="shared" si="3"/>
        <v>119.83764095361759</v>
      </c>
      <c r="AE7" s="272">
        <f t="shared" si="3"/>
        <v>1198.3764095361757</v>
      </c>
      <c r="AF7" s="266">
        <f t="shared" si="4"/>
        <v>179927.99999999997</v>
      </c>
      <c r="AG7" s="266">
        <f t="shared" si="4"/>
        <v>299880</v>
      </c>
      <c r="AH7" s="266">
        <f t="shared" si="4"/>
        <v>299880</v>
      </c>
      <c r="AI7" s="266">
        <f t="shared" si="4"/>
        <v>299880</v>
      </c>
      <c r="AJ7" s="266">
        <f t="shared" si="4"/>
        <v>119952</v>
      </c>
      <c r="AK7" s="266">
        <f>SUM(AF7:AJ7)</f>
        <v>1199520</v>
      </c>
      <c r="AL7" s="268">
        <f t="shared" si="5"/>
        <v>28153.565609348901</v>
      </c>
      <c r="AM7" s="268">
        <f t="shared" si="5"/>
        <v>46922.609348914841</v>
      </c>
      <c r="AN7" s="268">
        <f t="shared" si="5"/>
        <v>46922.609348914841</v>
      </c>
      <c r="AO7" s="268">
        <f t="shared" si="5"/>
        <v>46922.609348914841</v>
      </c>
      <c r="AP7" s="268">
        <f t="shared" si="5"/>
        <v>18769.043739565936</v>
      </c>
      <c r="AQ7" s="268">
        <f>SUM(AL7:AP7)</f>
        <v>187690.43739565936</v>
      </c>
      <c r="AR7" s="273">
        <f t="shared" si="6"/>
        <v>10504.733333333334</v>
      </c>
      <c r="AS7" s="273">
        <f t="shared" si="6"/>
        <v>17507.888888888891</v>
      </c>
      <c r="AT7" s="273">
        <f t="shared" si="6"/>
        <v>17507.888888888891</v>
      </c>
      <c r="AU7" s="273">
        <f t="shared" si="6"/>
        <v>17507.888888888891</v>
      </c>
      <c r="AV7" s="273">
        <f t="shared" si="6"/>
        <v>7003.1555555555569</v>
      </c>
      <c r="AW7" s="273">
        <f>SUM(AR7:AV7)</f>
        <v>70031.555555555562</v>
      </c>
      <c r="AX7" s="272">
        <f t="shared" si="7"/>
        <v>218586.29894268222</v>
      </c>
      <c r="AY7" s="272">
        <f t="shared" si="7"/>
        <v>364310.49823780369</v>
      </c>
      <c r="AZ7" s="272">
        <f t="shared" si="7"/>
        <v>364310.49823780369</v>
      </c>
      <c r="BA7" s="272">
        <f t="shared" si="7"/>
        <v>364310.49823780369</v>
      </c>
      <c r="BB7" s="272">
        <f t="shared" si="7"/>
        <v>145724.19929512151</v>
      </c>
      <c r="BC7" s="272">
        <f t="shared" si="7"/>
        <v>1457241.9929512148</v>
      </c>
      <c r="BD7" s="247"/>
    </row>
    <row r="8" spans="1:56" x14ac:dyDescent="0.25">
      <c r="B8" s="264" t="s">
        <v>60</v>
      </c>
      <c r="C8" s="265">
        <v>116.87641213389129</v>
      </c>
      <c r="D8" s="265">
        <v>17.150076516416291</v>
      </c>
      <c r="E8" s="265">
        <v>1215.8256172839506</v>
      </c>
      <c r="G8" s="264" t="s">
        <v>60</v>
      </c>
      <c r="H8" s="266">
        <f>$C8*H$3</f>
        <v>11.68764121338913</v>
      </c>
      <c r="I8" s="266">
        <f t="shared" si="0"/>
        <v>29.219103033472823</v>
      </c>
      <c r="J8" s="266">
        <f t="shared" si="0"/>
        <v>29.219103033472823</v>
      </c>
      <c r="K8" s="266">
        <f t="shared" si="0"/>
        <v>29.219103033472823</v>
      </c>
      <c r="L8" s="266">
        <f t="shared" si="0"/>
        <v>17.531461820083692</v>
      </c>
      <c r="M8" s="267">
        <f>SUM(H8:L8)</f>
        <v>116.87641213389129</v>
      </c>
      <c r="N8" s="268">
        <f t="shared" si="1"/>
        <v>1.7150076516416293</v>
      </c>
      <c r="O8" s="268">
        <f t="shared" si="1"/>
        <v>4.2875191291040728</v>
      </c>
      <c r="P8" s="268">
        <f t="shared" si="1"/>
        <v>4.2875191291040728</v>
      </c>
      <c r="Q8" s="268">
        <f t="shared" si="1"/>
        <v>4.2875191291040728</v>
      </c>
      <c r="R8" s="268">
        <f t="shared" si="1"/>
        <v>2.5725114774624438</v>
      </c>
      <c r="S8" s="269">
        <f>SUM(N8:R8)</f>
        <v>17.150076516416291</v>
      </c>
      <c r="T8" s="270">
        <f t="shared" si="2"/>
        <v>121.58256172839506</v>
      </c>
      <c r="U8" s="270">
        <f t="shared" si="2"/>
        <v>303.95640432098764</v>
      </c>
      <c r="V8" s="270">
        <f t="shared" si="2"/>
        <v>303.95640432098764</v>
      </c>
      <c r="W8" s="270">
        <f t="shared" si="2"/>
        <v>303.95640432098764</v>
      </c>
      <c r="X8" s="270">
        <f t="shared" si="2"/>
        <v>182.37384259259258</v>
      </c>
      <c r="Y8" s="271">
        <f>SUM(T8:X8)</f>
        <v>1215.8256172839506</v>
      </c>
      <c r="Z8" s="272">
        <f>H8+N8+T8</f>
        <v>134.98521059342582</v>
      </c>
      <c r="AA8" s="272">
        <f t="shared" si="3"/>
        <v>337.46302648356453</v>
      </c>
      <c r="AB8" s="272">
        <f t="shared" si="3"/>
        <v>337.46302648356453</v>
      </c>
      <c r="AC8" s="272">
        <f t="shared" si="3"/>
        <v>337.46302648356453</v>
      </c>
      <c r="AD8" s="272">
        <f t="shared" si="3"/>
        <v>202.47781589013871</v>
      </c>
      <c r="AE8" s="272">
        <f t="shared" si="3"/>
        <v>1349.8521059342581</v>
      </c>
      <c r="AF8" s="266">
        <f t="shared" si="4"/>
        <v>117811.42343096243</v>
      </c>
      <c r="AG8" s="266">
        <f t="shared" si="4"/>
        <v>294528.55857740605</v>
      </c>
      <c r="AH8" s="266">
        <f t="shared" si="4"/>
        <v>294528.55857740605</v>
      </c>
      <c r="AI8" s="266">
        <f t="shared" si="4"/>
        <v>294528.55857740605</v>
      </c>
      <c r="AJ8" s="266">
        <f t="shared" si="4"/>
        <v>176717.13514644362</v>
      </c>
      <c r="AK8" s="266">
        <f>SUM(AF8:AJ8)</f>
        <v>1178114.2343096239</v>
      </c>
      <c r="AL8" s="268">
        <f t="shared" si="5"/>
        <v>8643.6385642738114</v>
      </c>
      <c r="AM8" s="268">
        <f t="shared" si="5"/>
        <v>21609.096410684528</v>
      </c>
      <c r="AN8" s="268">
        <f t="shared" si="5"/>
        <v>21609.096410684528</v>
      </c>
      <c r="AO8" s="268">
        <f t="shared" si="5"/>
        <v>21609.096410684528</v>
      </c>
      <c r="AP8" s="268">
        <f t="shared" si="5"/>
        <v>12965.457846410716</v>
      </c>
      <c r="AQ8" s="268">
        <f>SUM(AL8:AP8)</f>
        <v>86436.385642738111</v>
      </c>
      <c r="AR8" s="273">
        <f t="shared" si="6"/>
        <v>8170.3481481481485</v>
      </c>
      <c r="AS8" s="273">
        <f t="shared" si="6"/>
        <v>20425.870370370372</v>
      </c>
      <c r="AT8" s="273">
        <f t="shared" si="6"/>
        <v>20425.870370370372</v>
      </c>
      <c r="AU8" s="273">
        <f t="shared" si="6"/>
        <v>20425.870370370372</v>
      </c>
      <c r="AV8" s="273">
        <f t="shared" si="6"/>
        <v>12255.522222222222</v>
      </c>
      <c r="AW8" s="273">
        <f>SUM(AR8:AV8)</f>
        <v>81703.481481481489</v>
      </c>
      <c r="AX8" s="272">
        <f t="shared" si="7"/>
        <v>134625.41014338439</v>
      </c>
      <c r="AY8" s="272">
        <f t="shared" si="7"/>
        <v>336563.52535846096</v>
      </c>
      <c r="AZ8" s="272">
        <f t="shared" si="7"/>
        <v>336563.52535846096</v>
      </c>
      <c r="BA8" s="272">
        <f t="shared" si="7"/>
        <v>336563.52535846096</v>
      </c>
      <c r="BB8" s="272">
        <f t="shared" si="7"/>
        <v>201938.11521507654</v>
      </c>
      <c r="BC8" s="272">
        <f t="shared" si="7"/>
        <v>1346254.1014338436</v>
      </c>
      <c r="BD8" s="247"/>
    </row>
    <row r="9" spans="1:56" ht="30" x14ac:dyDescent="0.25">
      <c r="B9" s="264" t="s">
        <v>61</v>
      </c>
      <c r="C9" s="265">
        <v>90.903876104137751</v>
      </c>
      <c r="D9" s="265">
        <v>17.150076516416291</v>
      </c>
      <c r="E9" s="265">
        <v>1215.8256172839506</v>
      </c>
      <c r="G9" s="264" t="s">
        <v>61</v>
      </c>
      <c r="H9" s="266">
        <f>$C9*H$3</f>
        <v>9.0903876104137762</v>
      </c>
      <c r="I9" s="266">
        <f t="shared" si="0"/>
        <v>22.725969026034438</v>
      </c>
      <c r="J9" s="266">
        <f t="shared" si="0"/>
        <v>22.725969026034438</v>
      </c>
      <c r="K9" s="266">
        <f t="shared" si="0"/>
        <v>22.725969026034438</v>
      </c>
      <c r="L9" s="266">
        <f t="shared" si="0"/>
        <v>13.635581415620662</v>
      </c>
      <c r="M9" s="267">
        <f>SUM(H9:L9)</f>
        <v>90.903876104137751</v>
      </c>
      <c r="N9" s="268">
        <f t="shared" si="1"/>
        <v>1.7150076516416293</v>
      </c>
      <c r="O9" s="268">
        <f t="shared" si="1"/>
        <v>4.2875191291040728</v>
      </c>
      <c r="P9" s="268">
        <f t="shared" si="1"/>
        <v>4.2875191291040728</v>
      </c>
      <c r="Q9" s="268">
        <f t="shared" si="1"/>
        <v>4.2875191291040728</v>
      </c>
      <c r="R9" s="268">
        <f t="shared" si="1"/>
        <v>2.5725114774624438</v>
      </c>
      <c r="S9" s="269">
        <f>SUM(N9:R9)</f>
        <v>17.150076516416291</v>
      </c>
      <c r="T9" s="270">
        <f t="shared" si="2"/>
        <v>121.58256172839506</v>
      </c>
      <c r="U9" s="270">
        <f t="shared" si="2"/>
        <v>303.95640432098764</v>
      </c>
      <c r="V9" s="270">
        <f t="shared" si="2"/>
        <v>303.95640432098764</v>
      </c>
      <c r="W9" s="270">
        <f t="shared" si="2"/>
        <v>303.95640432098764</v>
      </c>
      <c r="X9" s="270">
        <f t="shared" si="2"/>
        <v>182.37384259259258</v>
      </c>
      <c r="Y9" s="271">
        <f>SUM(T9:X9)</f>
        <v>1215.8256172839506</v>
      </c>
      <c r="Z9" s="272">
        <f>H9+N9+T9</f>
        <v>132.38795699045048</v>
      </c>
      <c r="AA9" s="272">
        <f t="shared" si="3"/>
        <v>330.96989247612618</v>
      </c>
      <c r="AB9" s="272">
        <f t="shared" si="3"/>
        <v>330.96989247612618</v>
      </c>
      <c r="AC9" s="272">
        <f t="shared" si="3"/>
        <v>330.96989247612618</v>
      </c>
      <c r="AD9" s="272">
        <f t="shared" si="3"/>
        <v>198.58193548567567</v>
      </c>
      <c r="AE9" s="272">
        <f t="shared" si="3"/>
        <v>1323.8795699045047</v>
      </c>
      <c r="AF9" s="266">
        <f t="shared" si="4"/>
        <v>91631.107112970858</v>
      </c>
      <c r="AG9" s="266">
        <f t="shared" si="4"/>
        <v>229077.76778242714</v>
      </c>
      <c r="AH9" s="266">
        <f t="shared" si="4"/>
        <v>229077.76778242714</v>
      </c>
      <c r="AI9" s="266">
        <f t="shared" si="4"/>
        <v>229077.76778242714</v>
      </c>
      <c r="AJ9" s="266">
        <f t="shared" si="4"/>
        <v>137446.66066945627</v>
      </c>
      <c r="AK9" s="266">
        <f>SUM(AF9:AJ9)</f>
        <v>916311.07112970855</v>
      </c>
      <c r="AL9" s="268">
        <f t="shared" si="5"/>
        <v>8643.6385642738114</v>
      </c>
      <c r="AM9" s="268">
        <f t="shared" si="5"/>
        <v>21609.096410684528</v>
      </c>
      <c r="AN9" s="268">
        <f t="shared" si="5"/>
        <v>21609.096410684528</v>
      </c>
      <c r="AO9" s="268">
        <f t="shared" si="5"/>
        <v>21609.096410684528</v>
      </c>
      <c r="AP9" s="268">
        <f t="shared" si="5"/>
        <v>12965.457846410716</v>
      </c>
      <c r="AQ9" s="268">
        <f>SUM(AL9:AP9)</f>
        <v>86436.385642738111</v>
      </c>
      <c r="AR9" s="273">
        <f t="shared" si="6"/>
        <v>8170.3481481481485</v>
      </c>
      <c r="AS9" s="273">
        <f t="shared" si="6"/>
        <v>20425.870370370372</v>
      </c>
      <c r="AT9" s="273">
        <f t="shared" si="6"/>
        <v>20425.870370370372</v>
      </c>
      <c r="AU9" s="273">
        <f t="shared" si="6"/>
        <v>20425.870370370372</v>
      </c>
      <c r="AV9" s="273">
        <f t="shared" si="6"/>
        <v>12255.522222222222</v>
      </c>
      <c r="AW9" s="273">
        <f>SUM(AR9:AV9)</f>
        <v>81703.481481481489</v>
      </c>
      <c r="AX9" s="272">
        <f t="shared" si="7"/>
        <v>108445.09382539282</v>
      </c>
      <c r="AY9" s="272">
        <f t="shared" si="7"/>
        <v>271112.73456348205</v>
      </c>
      <c r="AZ9" s="272">
        <f t="shared" si="7"/>
        <v>271112.73456348205</v>
      </c>
      <c r="BA9" s="272">
        <f t="shared" si="7"/>
        <v>271112.73456348205</v>
      </c>
      <c r="BB9" s="272">
        <f t="shared" si="7"/>
        <v>162667.64073808922</v>
      </c>
      <c r="BC9" s="272">
        <f t="shared" si="7"/>
        <v>1084450.9382539282</v>
      </c>
      <c r="BD9" s="247"/>
    </row>
    <row r="10" spans="1:56" s="228" customFormat="1" ht="30" x14ac:dyDescent="0.25">
      <c r="B10" s="264" t="s">
        <v>368</v>
      </c>
      <c r="C10" s="274" t="s">
        <v>295</v>
      </c>
      <c r="D10" s="274" t="s">
        <v>296</v>
      </c>
      <c r="E10" s="265"/>
      <c r="G10" s="264"/>
      <c r="H10" s="266">
        <v>6</v>
      </c>
      <c r="I10" s="266"/>
      <c r="J10" s="266"/>
      <c r="K10" s="266"/>
      <c r="L10" s="266"/>
      <c r="M10" s="267">
        <f>SUM(H10:L10)</f>
        <v>6</v>
      </c>
      <c r="N10" s="268">
        <v>72</v>
      </c>
      <c r="O10" s="268"/>
      <c r="P10" s="268"/>
      <c r="Q10" s="268"/>
      <c r="R10" s="268"/>
      <c r="S10" s="269">
        <f>SUM(N10:R10)</f>
        <v>72</v>
      </c>
      <c r="T10" s="270"/>
      <c r="U10" s="270"/>
      <c r="V10" s="270"/>
      <c r="W10" s="270"/>
      <c r="X10" s="270"/>
      <c r="Y10" s="271">
        <f>SUM(T10:X10)</f>
        <v>0</v>
      </c>
      <c r="Z10" s="272">
        <f>H10+N10+T10</f>
        <v>78</v>
      </c>
      <c r="AA10" s="272"/>
      <c r="AB10" s="272"/>
      <c r="AC10" s="272"/>
      <c r="AD10" s="272"/>
      <c r="AE10" s="272">
        <f t="shared" si="3"/>
        <v>78</v>
      </c>
      <c r="AF10" s="266">
        <f>(500000/78)*6</f>
        <v>38461.538461538461</v>
      </c>
      <c r="AG10" s="266"/>
      <c r="AH10" s="266"/>
      <c r="AI10" s="266"/>
      <c r="AJ10" s="266"/>
      <c r="AK10" s="266">
        <f>SUM(AF10:AJ10)</f>
        <v>38461.538461538461</v>
      </c>
      <c r="AL10" s="268">
        <f>(500000/78)*72</f>
        <v>461538.4615384615</v>
      </c>
      <c r="AM10" s="268"/>
      <c r="AN10" s="268"/>
      <c r="AO10" s="268"/>
      <c r="AP10" s="268"/>
      <c r="AQ10" s="268">
        <f>SUM(AL10:AP10)</f>
        <v>461538.4615384615</v>
      </c>
      <c r="AR10" s="273"/>
      <c r="AS10" s="273"/>
      <c r="AT10" s="273"/>
      <c r="AU10" s="273"/>
      <c r="AV10" s="273"/>
      <c r="AW10" s="273">
        <f>SUM(AR10:AV10)</f>
        <v>0</v>
      </c>
      <c r="AX10" s="272">
        <f t="shared" si="7"/>
        <v>499999.99999999994</v>
      </c>
      <c r="AY10" s="272">
        <f t="shared" si="7"/>
        <v>0</v>
      </c>
      <c r="AZ10" s="272">
        <f t="shared" si="7"/>
        <v>0</v>
      </c>
      <c r="BA10" s="272">
        <f t="shared" si="7"/>
        <v>0</v>
      </c>
      <c r="BB10" s="272">
        <f t="shared" si="7"/>
        <v>0</v>
      </c>
      <c r="BC10" s="272">
        <f t="shared" si="7"/>
        <v>499999.99999999994</v>
      </c>
      <c r="BD10" s="247"/>
    </row>
    <row r="11" spans="1:56" s="228" customFormat="1" ht="30" x14ac:dyDescent="0.25">
      <c r="B11" s="275" t="s">
        <v>369</v>
      </c>
      <c r="C11" s="276">
        <f>SUM(C6:C9)</f>
        <v>443.65670037192029</v>
      </c>
      <c r="D11" s="276">
        <f>SUM(D6:D9)</f>
        <v>97.837103174603172</v>
      </c>
      <c r="E11" s="276">
        <f>SUM(E6:E9)</f>
        <v>4689.6130952380954</v>
      </c>
      <c r="G11" s="277" t="s">
        <v>17</v>
      </c>
      <c r="H11" s="267">
        <f t="shared" ref="H11:AE11" si="8">SUM(H6:H9)</f>
        <v>50.315670037192035</v>
      </c>
      <c r="I11" s="267">
        <f t="shared" si="8"/>
        <v>110.91417509298007</v>
      </c>
      <c r="J11" s="267">
        <f t="shared" si="8"/>
        <v>110.91417509298007</v>
      </c>
      <c r="K11" s="267">
        <f t="shared" si="8"/>
        <v>110.91417509298007</v>
      </c>
      <c r="L11" s="267">
        <f t="shared" si="8"/>
        <v>60.598505055788046</v>
      </c>
      <c r="M11" s="267">
        <f t="shared" si="8"/>
        <v>443.65670037192029</v>
      </c>
      <c r="N11" s="269">
        <f t="shared" si="8"/>
        <v>11.645718624956938</v>
      </c>
      <c r="O11" s="269">
        <f t="shared" si="8"/>
        <v>24.459275793650793</v>
      </c>
      <c r="P11" s="269">
        <f t="shared" si="8"/>
        <v>24.459275793650793</v>
      </c>
      <c r="Q11" s="269">
        <f t="shared" si="8"/>
        <v>24.459275793650793</v>
      </c>
      <c r="R11" s="269">
        <f t="shared" si="8"/>
        <v>12.813557168693855</v>
      </c>
      <c r="S11" s="269">
        <f t="shared" si="8"/>
        <v>97.837103174603172</v>
      </c>
      <c r="T11" s="271">
        <f t="shared" si="8"/>
        <v>521.06812169312161</v>
      </c>
      <c r="U11" s="271">
        <f t="shared" si="8"/>
        <v>1172.4032738095239</v>
      </c>
      <c r="V11" s="271">
        <f t="shared" si="8"/>
        <v>1172.4032738095239</v>
      </c>
      <c r="W11" s="271">
        <f t="shared" si="8"/>
        <v>1172.4032738095239</v>
      </c>
      <c r="X11" s="271">
        <f t="shared" si="8"/>
        <v>651.33515211640213</v>
      </c>
      <c r="Y11" s="271">
        <f t="shared" si="8"/>
        <v>4689.6130952380954</v>
      </c>
      <c r="Z11" s="278">
        <f t="shared" si="8"/>
        <v>583.02951035527065</v>
      </c>
      <c r="AA11" s="278">
        <f t="shared" si="8"/>
        <v>1307.7767246961548</v>
      </c>
      <c r="AB11" s="278">
        <f t="shared" si="8"/>
        <v>1307.7767246961548</v>
      </c>
      <c r="AC11" s="278">
        <f t="shared" si="8"/>
        <v>1307.7767246961548</v>
      </c>
      <c r="AD11" s="278">
        <f t="shared" si="8"/>
        <v>724.74721434088394</v>
      </c>
      <c r="AE11" s="278">
        <f t="shared" si="8"/>
        <v>5231.1068987846193</v>
      </c>
      <c r="AF11" s="267">
        <f t="shared" ref="AF11:BC11" si="9">SUM(AF6:AF10)</f>
        <v>545643.49243643414</v>
      </c>
      <c r="AG11" s="267">
        <f t="shared" si="9"/>
        <v>1118014.8849372391</v>
      </c>
      <c r="AH11" s="267">
        <f t="shared" si="9"/>
        <v>1118014.8849372391</v>
      </c>
      <c r="AI11" s="267">
        <f t="shared" si="9"/>
        <v>1118014.8849372391</v>
      </c>
      <c r="AJ11" s="267">
        <f t="shared" si="9"/>
        <v>610832.93096234347</v>
      </c>
      <c r="AK11" s="267">
        <f t="shared" si="9"/>
        <v>4510521.0782104945</v>
      </c>
      <c r="AL11" s="279">
        <f t="shared" si="9"/>
        <v>520232.88340824447</v>
      </c>
      <c r="AM11" s="279">
        <f t="shared" si="9"/>
        <v>123274.75</v>
      </c>
      <c r="AN11" s="279">
        <f t="shared" si="9"/>
        <v>123274.75</v>
      </c>
      <c r="AO11" s="279">
        <f t="shared" si="9"/>
        <v>123274.75</v>
      </c>
      <c r="AP11" s="279">
        <f t="shared" si="9"/>
        <v>64580.328130217036</v>
      </c>
      <c r="AQ11" s="279">
        <f t="shared" si="9"/>
        <v>954637.4615384615</v>
      </c>
      <c r="AR11" s="279">
        <f t="shared" si="9"/>
        <v>35015.777777777781</v>
      </c>
      <c r="AS11" s="279">
        <f t="shared" si="9"/>
        <v>78785.5</v>
      </c>
      <c r="AT11" s="279">
        <f t="shared" si="9"/>
        <v>78785.5</v>
      </c>
      <c r="AU11" s="279">
        <f t="shared" si="9"/>
        <v>78785.5</v>
      </c>
      <c r="AV11" s="279">
        <f t="shared" si="9"/>
        <v>43769.722222222219</v>
      </c>
      <c r="AW11" s="279">
        <f t="shared" si="9"/>
        <v>315142</v>
      </c>
      <c r="AX11" s="280">
        <f t="shared" si="9"/>
        <v>1100892.1536224564</v>
      </c>
      <c r="AY11" s="280">
        <f t="shared" si="9"/>
        <v>1320075.1349372393</v>
      </c>
      <c r="AZ11" s="280">
        <f t="shared" si="9"/>
        <v>1320075.1349372393</v>
      </c>
      <c r="BA11" s="280">
        <f t="shared" si="9"/>
        <v>1320075.1349372393</v>
      </c>
      <c r="BB11" s="280">
        <f t="shared" si="9"/>
        <v>719182.98131478287</v>
      </c>
      <c r="BC11" s="280">
        <f t="shared" si="9"/>
        <v>5780300.5397489564</v>
      </c>
      <c r="BD11" s="247"/>
    </row>
    <row r="12" spans="1:56" ht="30" x14ac:dyDescent="0.25">
      <c r="B12" s="275" t="s">
        <v>370</v>
      </c>
      <c r="C12" s="281">
        <f>9000+9000*0.12</f>
        <v>10080</v>
      </c>
      <c r="D12" s="281">
        <f>4500+4500*0.12</f>
        <v>5040</v>
      </c>
      <c r="E12" s="281">
        <f>60+60*0.12</f>
        <v>67.2</v>
      </c>
      <c r="Z12" s="247"/>
      <c r="AE12" s="247"/>
      <c r="AX12" s="247"/>
      <c r="AY12" s="247"/>
      <c r="AZ12" s="247"/>
      <c r="BA12" s="247"/>
      <c r="BB12" s="247"/>
      <c r="BC12" s="247"/>
    </row>
    <row r="13" spans="1:56" x14ac:dyDescent="0.25">
      <c r="B13" s="275" t="s">
        <v>367</v>
      </c>
      <c r="C13" s="278">
        <f>C12*C11</f>
        <v>4472059.5397489564</v>
      </c>
      <c r="D13" s="278">
        <f>D12*D11</f>
        <v>493099</v>
      </c>
      <c r="E13" s="278">
        <f>E12*E11</f>
        <v>315142</v>
      </c>
      <c r="Z13" s="247"/>
      <c r="AA13" s="247"/>
      <c r="AB13" s="247"/>
      <c r="AC13" s="247"/>
      <c r="AD13" s="247"/>
      <c r="AE13" s="247"/>
      <c r="AX13" s="247"/>
      <c r="AY13" s="247"/>
      <c r="AZ13" s="247"/>
      <c r="BA13" s="247"/>
      <c r="BB13" s="247"/>
    </row>
    <row r="14" spans="1:56" x14ac:dyDescent="0.25">
      <c r="C14" s="247"/>
      <c r="D14" s="247"/>
      <c r="E14" s="251">
        <f>SUM(C13:E13)</f>
        <v>5280300.5397489564</v>
      </c>
      <c r="H14" s="282"/>
      <c r="L14" s="282"/>
      <c r="M14" s="282"/>
      <c r="N14" s="282"/>
      <c r="R14" s="282">
        <f>D7*H3</f>
        <v>3.7240166149932414</v>
      </c>
      <c r="T14">
        <f>E7*L3</f>
        <v>156.32043650793651</v>
      </c>
      <c r="X14">
        <f>E7*H3</f>
        <v>104.21362433862436</v>
      </c>
    </row>
    <row r="15" spans="1:56" x14ac:dyDescent="0.25">
      <c r="A15" s="228"/>
      <c r="B15" s="228"/>
      <c r="C15" s="228"/>
      <c r="D15" s="228"/>
      <c r="E15" s="228"/>
    </row>
    <row r="16" spans="1:56" ht="15.95" customHeight="1" x14ac:dyDescent="0.25">
      <c r="A16" s="228"/>
      <c r="B16" s="228"/>
      <c r="C16" s="281"/>
      <c r="D16" s="281"/>
      <c r="E16" s="281"/>
      <c r="AN16" t="s">
        <v>376</v>
      </c>
      <c r="AX16" s="248"/>
      <c r="AY16" s="248"/>
      <c r="AZ16" s="248"/>
      <c r="BA16" s="248"/>
      <c r="BB16" s="248"/>
      <c r="BC16" s="248"/>
    </row>
    <row r="18" spans="3:40" x14ac:dyDescent="0.25">
      <c r="AG18" s="674" t="s">
        <v>381</v>
      </c>
      <c r="AH18" s="674"/>
      <c r="AI18" s="675" t="s">
        <v>382</v>
      </c>
      <c r="AJ18" s="675"/>
      <c r="AK18" s="674" t="s">
        <v>383</v>
      </c>
      <c r="AL18" s="674"/>
      <c r="AM18" s="675" t="s">
        <v>1</v>
      </c>
      <c r="AN18" s="675"/>
    </row>
    <row r="19" spans="3:40" x14ac:dyDescent="0.25">
      <c r="G19" s="425">
        <f>AY6+AY8+AY9</f>
        <v>955764.63669943553</v>
      </c>
      <c r="AF19" s="402" t="s">
        <v>386</v>
      </c>
      <c r="AG19" s="412" t="s">
        <v>384</v>
      </c>
      <c r="AH19" s="412" t="s">
        <v>385</v>
      </c>
      <c r="AI19" s="400" t="s">
        <v>384</v>
      </c>
      <c r="AJ19" s="400" t="s">
        <v>385</v>
      </c>
      <c r="AK19" s="412" t="s">
        <v>384</v>
      </c>
      <c r="AL19" s="412" t="s">
        <v>385</v>
      </c>
      <c r="AM19" s="400" t="s">
        <v>387</v>
      </c>
      <c r="AN19" s="404" t="s">
        <v>385</v>
      </c>
    </row>
    <row r="20" spans="3:40" x14ac:dyDescent="0.25">
      <c r="G20">
        <v>4</v>
      </c>
      <c r="AF20" s="403" t="s">
        <v>379</v>
      </c>
      <c r="AG20" s="413">
        <v>0</v>
      </c>
      <c r="AH20" s="413"/>
      <c r="AI20" s="382">
        <v>17</v>
      </c>
      <c r="AJ20" s="410">
        <f>3265670.92</f>
        <v>3265670.92</v>
      </c>
      <c r="AK20" s="413">
        <v>37</v>
      </c>
      <c r="AL20" s="417">
        <v>8141174.0099999998</v>
      </c>
      <c r="AM20" s="382">
        <f>AG20+AI20+AK20</f>
        <v>54</v>
      </c>
      <c r="AN20" s="400">
        <f>AH20+AJ20+AL20</f>
        <v>11406844.93</v>
      </c>
    </row>
    <row r="21" spans="3:40" ht="18.75" x14ac:dyDescent="0.25">
      <c r="E21" s="425"/>
      <c r="G21" s="426">
        <f>G19/G20</f>
        <v>238941.15917485888</v>
      </c>
      <c r="AF21" s="403" t="s">
        <v>380</v>
      </c>
      <c r="AG21" s="413">
        <v>17</v>
      </c>
      <c r="AH21" s="414">
        <v>8250965.0999999996</v>
      </c>
      <c r="AI21" s="382">
        <v>7</v>
      </c>
      <c r="AJ21" s="410">
        <v>6490023.2999999998</v>
      </c>
      <c r="AK21" s="413">
        <v>0</v>
      </c>
      <c r="AL21" s="413"/>
      <c r="AM21" s="382">
        <f t="shared" ref="AM21:AN24" si="10">AG21+AI21+AK21</f>
        <v>24</v>
      </c>
      <c r="AN21" s="405">
        <f t="shared" si="10"/>
        <v>14740988.399999999</v>
      </c>
    </row>
    <row r="22" spans="3:40" x14ac:dyDescent="0.25">
      <c r="C22" s="398"/>
      <c r="AF22" s="403" t="s">
        <v>377</v>
      </c>
      <c r="AG22" s="413">
        <v>0</v>
      </c>
      <c r="AH22" s="413"/>
      <c r="AI22" s="401">
        <v>90</v>
      </c>
      <c r="AJ22" s="410">
        <v>270000</v>
      </c>
      <c r="AK22" s="418">
        <v>138</v>
      </c>
      <c r="AL22" s="417">
        <v>166056.62</v>
      </c>
      <c r="AM22" s="382">
        <f t="shared" si="10"/>
        <v>228</v>
      </c>
      <c r="AN22" s="408">
        <f t="shared" si="10"/>
        <v>436056.62</v>
      </c>
    </row>
    <row r="23" spans="3:40" x14ac:dyDescent="0.25">
      <c r="E23" s="424"/>
      <c r="AF23" s="403" t="s">
        <v>378</v>
      </c>
      <c r="AG23" s="413">
        <v>0</v>
      </c>
      <c r="AH23" s="413"/>
      <c r="AI23" s="401">
        <v>160</v>
      </c>
      <c r="AJ23" s="411">
        <v>192000</v>
      </c>
      <c r="AK23" s="418">
        <v>369</v>
      </c>
      <c r="AL23" s="419">
        <v>1107000</v>
      </c>
      <c r="AM23" s="382">
        <f t="shared" si="10"/>
        <v>529</v>
      </c>
      <c r="AN23" s="407">
        <f t="shared" si="10"/>
        <v>1299000</v>
      </c>
    </row>
    <row r="24" spans="3:40" x14ac:dyDescent="0.25">
      <c r="AF24" s="383" t="s">
        <v>193</v>
      </c>
      <c r="AG24" s="413"/>
      <c r="AH24" s="415">
        <f>1113600/2</f>
        <v>556800</v>
      </c>
      <c r="AI24" s="382"/>
      <c r="AJ24" s="406">
        <v>556899</v>
      </c>
      <c r="AK24" s="413"/>
      <c r="AL24" s="415">
        <f>1113600/2</f>
        <v>556800</v>
      </c>
      <c r="AM24" s="382"/>
      <c r="AN24" s="407">
        <f t="shared" si="10"/>
        <v>1670499</v>
      </c>
    </row>
    <row r="25" spans="3:40" ht="18.75" x14ac:dyDescent="0.25">
      <c r="E25" s="426"/>
      <c r="AF25" s="402" t="s">
        <v>1</v>
      </c>
      <c r="AG25" s="412">
        <f>SUM(AG20:AG23)</f>
        <v>17</v>
      </c>
      <c r="AH25" s="416">
        <f>SUM(AH20:AH24)</f>
        <v>8807765.0999999996</v>
      </c>
      <c r="AI25" s="408">
        <f t="shared" ref="AI25:AN25" si="11">SUM(AI20:AI24)</f>
        <v>274</v>
      </c>
      <c r="AJ25" s="408">
        <f t="shared" si="11"/>
        <v>10774593.219999999</v>
      </c>
      <c r="AK25" s="416">
        <f t="shared" si="11"/>
        <v>544</v>
      </c>
      <c r="AL25" s="416">
        <f t="shared" si="11"/>
        <v>9971030.629999999</v>
      </c>
      <c r="AM25" s="408">
        <f t="shared" si="11"/>
        <v>835</v>
      </c>
      <c r="AN25" s="408">
        <f t="shared" si="11"/>
        <v>29553388.949999999</v>
      </c>
    </row>
    <row r="28" spans="3:40" x14ac:dyDescent="0.25">
      <c r="AJ28" s="409">
        <f>$AN25/64</f>
        <v>461771.70234374999</v>
      </c>
    </row>
    <row r="29" spans="3:40" x14ac:dyDescent="0.25">
      <c r="AJ29" s="409">
        <f>AJ25/64</f>
        <v>168353.01906249998</v>
      </c>
    </row>
    <row r="30" spans="3:40" x14ac:dyDescent="0.25">
      <c r="AJ30" s="409">
        <f>AJ28-AJ29</f>
        <v>293418.68328125001</v>
      </c>
    </row>
  </sheetData>
  <mergeCells count="12">
    <mergeCell ref="AR4:AW4"/>
    <mergeCell ref="AX4:BC4"/>
    <mergeCell ref="H4:M4"/>
    <mergeCell ref="N4:S4"/>
    <mergeCell ref="AF4:AK4"/>
    <mergeCell ref="T4:Y4"/>
    <mergeCell ref="Z4:AE4"/>
    <mergeCell ref="AG18:AH18"/>
    <mergeCell ref="AI18:AJ18"/>
    <mergeCell ref="AK18:AL18"/>
    <mergeCell ref="AM18:AN18"/>
    <mergeCell ref="AL4:AQ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3"/>
  <sheetViews>
    <sheetView workbookViewId="0">
      <selection activeCell="F11" sqref="F11"/>
    </sheetView>
  </sheetViews>
  <sheetFormatPr defaultColWidth="8.85546875" defaultRowHeight="15" x14ac:dyDescent="0.25"/>
  <cols>
    <col min="2" max="2" width="1.7109375" customWidth="1"/>
    <col min="3" max="3" width="17.28515625" customWidth="1"/>
    <col min="4" max="4" width="12.140625" customWidth="1"/>
    <col min="5" max="5" width="16.140625" customWidth="1"/>
    <col min="6" max="6" width="12.140625" customWidth="1"/>
    <col min="7" max="7" width="13.7109375" customWidth="1"/>
    <col min="8" max="8" width="14.28515625" customWidth="1"/>
  </cols>
  <sheetData>
    <row r="2" spans="3:8" x14ac:dyDescent="0.25">
      <c r="D2" t="s">
        <v>297</v>
      </c>
      <c r="E2" t="s">
        <v>301</v>
      </c>
      <c r="F2" s="283" t="s">
        <v>298</v>
      </c>
      <c r="G2" t="s">
        <v>300</v>
      </c>
      <c r="H2" t="s">
        <v>299</v>
      </c>
    </row>
    <row r="3" spans="3:8" x14ac:dyDescent="0.25">
      <c r="D3" s="284">
        <v>17180000</v>
      </c>
      <c r="E3" s="284">
        <v>2750000</v>
      </c>
      <c r="F3" s="284">
        <f>D3-E3</f>
        <v>14430000</v>
      </c>
      <c r="G3" s="285">
        <v>2133537</v>
      </c>
      <c r="H3" s="286">
        <f>F3-G3</f>
        <v>12296463</v>
      </c>
    </row>
    <row r="4" spans="3:8" x14ac:dyDescent="0.25">
      <c r="G4" s="285"/>
    </row>
    <row r="5" spans="3:8" x14ac:dyDescent="0.25">
      <c r="G5" s="286"/>
    </row>
    <row r="7" spans="3:8" x14ac:dyDescent="0.2">
      <c r="C7" s="86"/>
      <c r="D7" s="86" t="s">
        <v>194</v>
      </c>
      <c r="E7" s="86" t="s">
        <v>193</v>
      </c>
      <c r="F7" s="86" t="s">
        <v>36</v>
      </c>
      <c r="G7" s="86" t="s">
        <v>195</v>
      </c>
      <c r="H7" s="86">
        <v>2017</v>
      </c>
    </row>
    <row r="8" spans="3:8" x14ac:dyDescent="0.2">
      <c r="C8" s="85" t="s">
        <v>189</v>
      </c>
      <c r="D8" s="85">
        <f>$H$3*0.9/3</f>
        <v>3688938.9000000004</v>
      </c>
      <c r="E8" s="85">
        <f>0.1*$H$3/3</f>
        <v>409882.10000000003</v>
      </c>
      <c r="F8" s="85"/>
      <c r="G8" s="85">
        <f>SUM(D8:F8)</f>
        <v>4098821.0000000005</v>
      </c>
      <c r="H8" s="85">
        <f>0.25*G8</f>
        <v>1024705.2500000001</v>
      </c>
    </row>
    <row r="9" spans="3:8" x14ac:dyDescent="0.2">
      <c r="C9" s="85" t="s">
        <v>190</v>
      </c>
      <c r="D9" s="85">
        <f>$H$3*0.9/3-400000</f>
        <v>3288938.9000000004</v>
      </c>
      <c r="E9" s="85">
        <f>0.1*$H$3/3</f>
        <v>409882.10000000003</v>
      </c>
      <c r="F9" s="85">
        <v>400000</v>
      </c>
      <c r="G9" s="85">
        <f>SUM(D9:F9)</f>
        <v>4098821.0000000005</v>
      </c>
      <c r="H9" s="85">
        <f>0.25*G9</f>
        <v>1024705.2500000001</v>
      </c>
    </row>
    <row r="10" spans="3:8" x14ac:dyDescent="0.2">
      <c r="C10" s="85" t="s">
        <v>191</v>
      </c>
      <c r="D10" s="85">
        <f>$H$3*0.9/3-400000</f>
        <v>3288938.9000000004</v>
      </c>
      <c r="E10" s="85">
        <f>0.1*$H$3/3</f>
        <v>409882.10000000003</v>
      </c>
      <c r="F10" s="85">
        <v>400000</v>
      </c>
      <c r="G10" s="85">
        <f>SUM(D10:F10)</f>
        <v>4098821.0000000005</v>
      </c>
      <c r="H10" s="85">
        <f>0.25*G10</f>
        <v>1024705.2500000001</v>
      </c>
    </row>
    <row r="11" spans="3:8" x14ac:dyDescent="0.2">
      <c r="C11" s="85" t="s">
        <v>293</v>
      </c>
      <c r="D11" s="85">
        <f>(2750000-400000)*0.9</f>
        <v>2115000</v>
      </c>
      <c r="E11" s="85">
        <f>2750000-400000-2115000</f>
        <v>235000</v>
      </c>
      <c r="F11" s="85">
        <v>400000</v>
      </c>
      <c r="G11" s="85">
        <f>SUM(D11:F11)</f>
        <v>2750000</v>
      </c>
      <c r="H11" s="85">
        <f>0.25*G11</f>
        <v>687500</v>
      </c>
    </row>
    <row r="12" spans="3:8" x14ac:dyDescent="0.2">
      <c r="C12" s="287" t="s">
        <v>294</v>
      </c>
      <c r="D12" s="85">
        <v>2133537</v>
      </c>
      <c r="E12" s="85"/>
      <c r="F12" s="85"/>
      <c r="G12" s="85">
        <f>17180000-15046463</f>
        <v>2133537</v>
      </c>
      <c r="H12" s="85">
        <f>0.25*G12</f>
        <v>533384.25</v>
      </c>
    </row>
    <row r="13" spans="3:8" x14ac:dyDescent="0.2">
      <c r="C13" s="85" t="s">
        <v>192</v>
      </c>
      <c r="D13" s="85">
        <f>SUM(D8:D12)</f>
        <v>14515353.700000001</v>
      </c>
      <c r="E13" s="85">
        <f>SUM(E8:E12)</f>
        <v>1464646.3</v>
      </c>
      <c r="F13" s="85">
        <f>SUM(F8:F12)</f>
        <v>1200000</v>
      </c>
      <c r="G13" s="85">
        <f>SUM(G8:G12)</f>
        <v>17180000</v>
      </c>
      <c r="H13" s="85">
        <f>SUM(H8:H10)</f>
        <v>3074115.7500000005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V11"/>
  <sheetViews>
    <sheetView workbookViewId="0">
      <selection activeCell="B8" sqref="B8"/>
    </sheetView>
  </sheetViews>
  <sheetFormatPr defaultColWidth="8.85546875" defaultRowHeight="15" x14ac:dyDescent="0.25"/>
  <cols>
    <col min="1" max="1" width="2.140625" style="228" customWidth="1"/>
    <col min="2" max="2" width="32.140625" style="228" customWidth="1"/>
    <col min="3" max="8" width="9.28515625" style="228" customWidth="1"/>
    <col min="9" max="256" width="8.85546875" style="228" customWidth="1"/>
  </cols>
  <sheetData>
    <row r="3" spans="2:9" x14ac:dyDescent="0.25">
      <c r="C3" s="682" t="s">
        <v>102</v>
      </c>
      <c r="D3" s="683"/>
      <c r="E3" s="683"/>
      <c r="F3" s="683"/>
      <c r="G3" s="683"/>
      <c r="H3" s="684"/>
    </row>
    <row r="4" spans="2:9" ht="27.75" customHeight="1" x14ac:dyDescent="0.25">
      <c r="B4" s="254"/>
      <c r="C4" s="288">
        <v>2016</v>
      </c>
      <c r="D4" s="288">
        <v>2017</v>
      </c>
      <c r="E4" s="288">
        <v>2018</v>
      </c>
      <c r="F4" s="288">
        <v>2019</v>
      </c>
      <c r="G4" s="288">
        <v>2020</v>
      </c>
      <c r="H4" s="288" t="s">
        <v>17</v>
      </c>
    </row>
    <row r="5" spans="2:9" x14ac:dyDescent="0.25">
      <c r="B5" s="264" t="s">
        <v>107</v>
      </c>
      <c r="C5" s="272">
        <v>250000</v>
      </c>
      <c r="D5" s="272">
        <v>250000</v>
      </c>
      <c r="E5" s="272">
        <v>250000</v>
      </c>
      <c r="F5" s="272">
        <v>250000</v>
      </c>
      <c r="G5" s="272">
        <v>200000</v>
      </c>
      <c r="H5" s="272">
        <f>SUM(C5:G5)</f>
        <v>1200000</v>
      </c>
      <c r="I5" s="688" t="s">
        <v>115</v>
      </c>
    </row>
    <row r="6" spans="2:9" x14ac:dyDescent="0.25">
      <c r="B6" s="264" t="s">
        <v>110</v>
      </c>
      <c r="C6" s="272">
        <v>30000</v>
      </c>
      <c r="D6" s="272">
        <v>20000</v>
      </c>
      <c r="E6" s="272">
        <v>20000</v>
      </c>
      <c r="F6" s="272"/>
      <c r="G6" s="272"/>
      <c r="H6" s="272">
        <f>SUM(C6:G6)</f>
        <v>70000</v>
      </c>
      <c r="I6" s="688"/>
    </row>
    <row r="7" spans="2:9" x14ac:dyDescent="0.25">
      <c r="B7" s="264" t="s">
        <v>108</v>
      </c>
      <c r="C7" s="272">
        <f>2000*12</f>
        <v>24000</v>
      </c>
      <c r="D7" s="272">
        <f>2000*12</f>
        <v>24000</v>
      </c>
      <c r="E7" s="272">
        <f>2000*12</f>
        <v>24000</v>
      </c>
      <c r="F7" s="272">
        <f>2000*12</f>
        <v>24000</v>
      </c>
      <c r="G7" s="272">
        <f>2000*12</f>
        <v>24000</v>
      </c>
      <c r="H7" s="272">
        <f>SUM(C7:G7)</f>
        <v>120000</v>
      </c>
      <c r="I7" s="688" t="s">
        <v>116</v>
      </c>
    </row>
    <row r="8" spans="2:9" x14ac:dyDescent="0.25">
      <c r="B8" s="264" t="s">
        <v>109</v>
      </c>
      <c r="C8" s="272">
        <f>1000*12</f>
        <v>12000</v>
      </c>
      <c r="D8" s="272">
        <f>1000*12</f>
        <v>12000</v>
      </c>
      <c r="E8" s="272">
        <f>1000*12</f>
        <v>12000</v>
      </c>
      <c r="F8" s="272">
        <f>1000*12</f>
        <v>12000</v>
      </c>
      <c r="G8" s="272">
        <f>1000*12</f>
        <v>12000</v>
      </c>
      <c r="H8" s="272">
        <f>SUM(C8:G8)</f>
        <v>60000</v>
      </c>
      <c r="I8" s="688"/>
    </row>
    <row r="9" spans="2:9" ht="19.5" customHeight="1" x14ac:dyDescent="0.25">
      <c r="B9" s="264" t="s">
        <v>111</v>
      </c>
      <c r="C9" s="272">
        <v>10000</v>
      </c>
      <c r="D9" s="272">
        <v>10000</v>
      </c>
      <c r="E9" s="272">
        <v>10000</v>
      </c>
      <c r="F9" s="272">
        <v>10000</v>
      </c>
      <c r="G9" s="272">
        <v>10000</v>
      </c>
      <c r="H9" s="272">
        <f>SUM(C9:G9)</f>
        <v>50000</v>
      </c>
      <c r="I9" s="688"/>
    </row>
    <row r="10" spans="2:9" x14ac:dyDescent="0.25">
      <c r="B10" s="275" t="s">
        <v>17</v>
      </c>
      <c r="C10" s="280">
        <f t="shared" ref="C10:H10" si="0">SUM(C5:C9)</f>
        <v>326000</v>
      </c>
      <c r="D10" s="280">
        <f t="shared" si="0"/>
        <v>316000</v>
      </c>
      <c r="E10" s="280">
        <f t="shared" si="0"/>
        <v>316000</v>
      </c>
      <c r="F10" s="280">
        <f>SUM(F5:F9)</f>
        <v>296000</v>
      </c>
      <c r="G10" s="280">
        <f t="shared" si="0"/>
        <v>246000</v>
      </c>
      <c r="H10" s="280">
        <f t="shared" si="0"/>
        <v>1500000</v>
      </c>
    </row>
    <row r="11" spans="2:9" x14ac:dyDescent="0.25">
      <c r="F11" s="247"/>
      <c r="H11" s="247">
        <f>SUM(H7:H9)</f>
        <v>230000</v>
      </c>
    </row>
  </sheetData>
  <mergeCells count="3">
    <mergeCell ref="C3:H3"/>
    <mergeCell ref="I5:I6"/>
    <mergeCell ref="I7:I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74F9841D4AB314B8822B958E6D9B1EF" ma:contentTypeVersion="2298" ma:contentTypeDescription="The base project type from which other project content types inherit their information." ma:contentTypeScope="" ma:versionID="9e6e2083fcb7988f7be53f8b21a8bca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6d4fb4511889a52987efe4e20e3ba0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HA-L1097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77065D92A1D484692923F80BB79F1E3" ma:contentTypeVersion="2322" ma:contentTypeDescription="A content type to manage public (operations) IDB documents" ma:contentTypeScope="" ma:versionID="3708d4e0f24ea53da863780bc80c5a1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fd1c9e32865513bff49f1c95d41de9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09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3622/GR-HA;</Approval_x0020_Number>
    <Phase xmlns="cdc7663a-08f0-4737-9e8c-148ce897a09c">ACTIVE</Phase>
    <Document_x0020_Author xmlns="cdc7663a-08f0-4737-9e8c-148ce897a09c">Joseph, Cedrick Guy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40</Value>
      <Value>39</Value>
      <Value>42</Value>
      <Value>8</Value>
      <Value>63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HA-L1097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_dlc_DocId xmlns="cdc7663a-08f0-4737-9e8c-148ce897a09c">EZSHARE-523816180-293</_dlc_DocId>
    <_dlc_DocIdUrl xmlns="cdc7663a-08f0-4737-9e8c-148ce897a09c">
      <Url>https://idbg.sharepoint.com/teams/EZ-HA-LON/HA-L1097/_layouts/15/DocIdRedir.aspx?ID=EZSHARE-523816180-293</Url>
      <Description>EZSHARE-523816180-293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Agricultural Development;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1942FCA-6CCB-415F-A601-4759239B64CA}"/>
</file>

<file path=customXml/itemProps2.xml><?xml version="1.0" encoding="utf-8"?>
<ds:datastoreItem xmlns:ds="http://schemas.openxmlformats.org/officeDocument/2006/customXml" ds:itemID="{962A7EE2-71BD-4926-8CD1-6EC8F2EF9FB6}"/>
</file>

<file path=customXml/itemProps3.xml><?xml version="1.0" encoding="utf-8"?>
<ds:datastoreItem xmlns:ds="http://schemas.openxmlformats.org/officeDocument/2006/customXml" ds:itemID="{5ED9CF83-3FD8-46B4-B1E4-6223D4DD0DB7}"/>
</file>

<file path=customXml/itemProps4.xml><?xml version="1.0" encoding="utf-8"?>
<ds:datastoreItem xmlns:ds="http://schemas.openxmlformats.org/officeDocument/2006/customXml" ds:itemID="{4D9304F1-5FB5-4AD9-94AE-6D0280EDED6C}"/>
</file>

<file path=customXml/itemProps5.xml><?xml version="1.0" encoding="utf-8"?>
<ds:datastoreItem xmlns:ds="http://schemas.openxmlformats.org/officeDocument/2006/customXml" ds:itemID="{4CA66B5D-772D-4E27-AE28-1789DA1B54D6}"/>
</file>

<file path=customXml/itemProps6.xml><?xml version="1.0" encoding="utf-8"?>
<ds:datastoreItem xmlns:ds="http://schemas.openxmlformats.org/officeDocument/2006/customXml" ds:itemID="{C9767661-08A0-45ED-B123-4E5654C7A373}"/>
</file>

<file path=customXml/itemProps7.xml><?xml version="1.0" encoding="utf-8"?>
<ds:datastoreItem xmlns:ds="http://schemas.openxmlformats.org/officeDocument/2006/customXml" ds:itemID="{A7AE0B77-DA76-4C4D-897C-34285076B1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Impacts</vt:lpstr>
      <vt:lpstr>Résultats</vt:lpstr>
      <vt:lpstr>POA</vt:lpstr>
      <vt:lpstr>Sheet1</vt:lpstr>
      <vt:lpstr>PPM</vt:lpstr>
      <vt:lpstr>PT_PD</vt:lpstr>
      <vt:lpstr>Detail ouvrages amont</vt:lpstr>
      <vt:lpstr>Detail ouvrages aval</vt:lpstr>
      <vt:lpstr>Detail SAP</vt:lpstr>
      <vt:lpstr>Budget</vt:lpstr>
      <vt:lpstr>Evaluation</vt:lpstr>
      <vt:lpstr>Gestion</vt:lpstr>
      <vt:lpstr>FAMV</vt:lpstr>
      <vt:lpstr>Suivi-evaluation</vt:lpstr>
      <vt:lpstr>Sheet2</vt:lpstr>
      <vt:lpstr>PT_PD!Print_Area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</dc:creator>
  <cp:keywords/>
  <cp:lastModifiedBy>Coordonnatrice UPMP</cp:lastModifiedBy>
  <cp:lastPrinted>2019-02-28T17:28:29Z</cp:lastPrinted>
  <dcterms:created xsi:type="dcterms:W3CDTF">2011-09-20T00:43:15Z</dcterms:created>
  <dcterms:modified xsi:type="dcterms:W3CDTF">2019-04-04T14:39:21Z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63;#SUSTAINABLE AGRICULTURAL DEVELOPMENT|a0954e0d-8c49-4ad8-83bf-090abb274c8a</vt:lpwstr>
  </property>
  <property fmtid="{D5CDD505-2E9C-101B-9397-08002B2CF9AE}" pid="7" name="Fund IDB">
    <vt:lpwstr>40;#GRF|91c131c5-8288-4ee4-8c9c-34395b8e8fd9</vt:lpwstr>
  </property>
  <property fmtid="{D5CDD505-2E9C-101B-9397-08002B2CF9AE}" pid="8" name="Country">
    <vt:lpwstr>42;#Haiti|77a11ace-c854-4e9c-9e19-c924bca0dd43</vt:lpwstr>
  </property>
  <property fmtid="{D5CDD505-2E9C-101B-9397-08002B2CF9AE}" pid="9" name="Sector IDB">
    <vt:lpwstr>39;#AGRICULTURE AND RURAL DEVELOPMENT|d219a801-c2c3-4618-9f55-1bc987044feb</vt:lpwstr>
  </property>
  <property fmtid="{D5CDD505-2E9C-101B-9397-08002B2CF9AE}" pid="10" name="Function Operations IDB">
    <vt:lpwstr>8;#Goods and Services|5bfebf1b-9f1f-4411-b1dd-4c19b807b799</vt:lpwstr>
  </property>
  <property fmtid="{D5CDD505-2E9C-101B-9397-08002B2CF9AE}" pid="11" name="_dlc_DocIdItemGuid">
    <vt:lpwstr>9fc0cff6-6dd8-4b5c-900e-16192602cef9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0x0101001A458A224826124E8B45B1D613300CFC00677065D92A1D484692923F80BB79F1E3</vt:lpwstr>
  </property>
</Properties>
</file>