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c\Desktop\HA-L1106\Post QRR\"/>
    </mc:Choice>
  </mc:AlternateContent>
  <xr:revisionPtr revIDLastSave="0" documentId="102_{317EFD8A-004B-4F2E-9769-3BA55ECEBF41}" xr6:coauthVersionLast="37" xr6:coauthVersionMax="37" xr10:uidLastSave="{00000000-0000-0000-0000-000000000000}"/>
  <bookViews>
    <workbookView xWindow="-24" yWindow="-24" windowWidth="11520" windowHeight="8040" tabRatio="789" xr2:uid="{00000000-000D-0000-FFFF-FFFF00000000}"/>
  </bookViews>
  <sheets>
    <sheet name="Plan de Adquisiciones (2)" sheetId="69" r:id="rId1"/>
  </sheets>
  <externalReferences>
    <externalReference r:id="rId2"/>
  </externalReferences>
  <definedNames>
    <definedName name="BASE">'[1]Dominica DOM-V30'!$D$9</definedName>
  </definedNames>
  <calcPr calcId="179020"/>
  <fileRecoveryPr autoRecover="0"/>
</workbook>
</file>

<file path=xl/calcChain.xml><?xml version="1.0" encoding="utf-8"?>
<calcChain xmlns="http://schemas.openxmlformats.org/spreadsheetml/2006/main">
  <c r="J61" i="69" l="1"/>
  <c r="K61" i="69"/>
  <c r="K62" i="69"/>
  <c r="J62" i="69"/>
  <c r="B59" i="69"/>
  <c r="B60" i="69"/>
  <c r="B61" i="69"/>
  <c r="B62" i="69"/>
  <c r="D76" i="69"/>
  <c r="J48" i="69"/>
  <c r="J52" i="69"/>
  <c r="K52" i="69"/>
  <c r="B27" i="69"/>
  <c r="B36" i="69"/>
  <c r="B49" i="69"/>
  <c r="B52" i="69"/>
  <c r="J25" i="69"/>
  <c r="J26" i="69"/>
  <c r="J46" i="69"/>
  <c r="J47" i="69"/>
  <c r="B57" i="69"/>
  <c r="B58" i="69"/>
  <c r="B42" i="69"/>
  <c r="B43" i="69"/>
  <c r="B45" i="69"/>
  <c r="B46" i="69"/>
  <c r="B47" i="69"/>
  <c r="J49" i="69"/>
  <c r="K49" i="69"/>
  <c r="D54" i="69"/>
  <c r="D16" i="69"/>
  <c r="D37" i="69"/>
  <c r="D30" i="69"/>
  <c r="D85" i="69"/>
  <c r="B82" i="69"/>
  <c r="J70" i="69"/>
  <c r="K70" i="69"/>
  <c r="J50" i="69"/>
  <c r="J69" i="69"/>
  <c r="J65" i="69"/>
  <c r="K65" i="69"/>
  <c r="J64" i="69"/>
  <c r="K64" i="69"/>
  <c r="B63" i="69"/>
  <c r="B79" i="69"/>
  <c r="J51" i="69"/>
  <c r="K51" i="69"/>
  <c r="K50" i="69"/>
  <c r="K69" i="69"/>
  <c r="K48" i="69"/>
  <c r="K53" i="69"/>
  <c r="J43" i="69"/>
  <c r="J44" i="69"/>
  <c r="J41" i="69"/>
  <c r="K41" i="69"/>
  <c r="N50" i="69"/>
  <c r="B40" i="69"/>
  <c r="B41" i="69"/>
  <c r="J36" i="69"/>
  <c r="K36" i="69"/>
  <c r="J34" i="69"/>
  <c r="K34" i="69"/>
  <c r="J33" i="69"/>
  <c r="K33" i="69"/>
  <c r="B33" i="69"/>
  <c r="B34" i="69"/>
  <c r="J27" i="69"/>
  <c r="J28" i="69"/>
  <c r="B48" i="69"/>
  <c r="J24" i="69"/>
  <c r="J60" i="69"/>
  <c r="K23" i="69"/>
  <c r="K22" i="69"/>
  <c r="K42" i="69"/>
  <c r="B20" i="69"/>
  <c r="B21" i="69"/>
  <c r="B22" i="69"/>
  <c r="J19" i="69"/>
  <c r="J59" i="69"/>
  <c r="B19" i="69"/>
  <c r="J13" i="69"/>
  <c r="J14" i="69"/>
  <c r="J15" i="69"/>
  <c r="J10" i="69"/>
  <c r="J63" i="69"/>
  <c r="K63" i="69"/>
  <c r="K9" i="69"/>
  <c r="B9" i="69"/>
  <c r="B35" i="69"/>
  <c r="B26" i="69"/>
  <c r="J8" i="69"/>
  <c r="K8" i="69"/>
  <c r="J53" i="69"/>
  <c r="K19" i="69"/>
  <c r="K59" i="69"/>
  <c r="K13" i="69"/>
  <c r="K14" i="69"/>
  <c r="K15" i="69"/>
  <c r="K43" i="69"/>
  <c r="K10" i="69"/>
  <c r="K11" i="69"/>
  <c r="B68" i="69"/>
  <c r="B64" i="69"/>
  <c r="B65" i="69"/>
  <c r="B66" i="69"/>
  <c r="B67" i="69"/>
  <c r="K26" i="69"/>
  <c r="J68" i="69"/>
  <c r="J67" i="69"/>
  <c r="K67" i="69"/>
  <c r="J29" i="69"/>
  <c r="K29" i="69"/>
  <c r="K28" i="69"/>
  <c r="J45" i="69"/>
  <c r="K44" i="69"/>
  <c r="K45" i="69"/>
  <c r="B23" i="69"/>
  <c r="B24" i="69"/>
  <c r="B25" i="69"/>
  <c r="B50" i="69"/>
  <c r="B69" i="69"/>
  <c r="B70" i="69"/>
  <c r="B71" i="69"/>
  <c r="B72" i="69"/>
  <c r="B51" i="69"/>
  <c r="J66" i="69"/>
  <c r="K66" i="69"/>
  <c r="J71" i="69"/>
  <c r="K71" i="69"/>
  <c r="J72" i="69"/>
  <c r="J11" i="69"/>
  <c r="K24" i="69"/>
  <c r="K60" i="69"/>
  <c r="K25" i="69"/>
  <c r="K27" i="69"/>
  <c r="J12" i="69"/>
  <c r="K12" i="69"/>
  <c r="J20" i="69"/>
  <c r="J21" i="69"/>
  <c r="K21" i="69"/>
  <c r="B28" i="69"/>
  <c r="B29" i="69"/>
  <c r="B10" i="69"/>
  <c r="B11" i="69"/>
  <c r="J57" i="69"/>
  <c r="K57" i="69"/>
  <c r="J58" i="69"/>
  <c r="K58" i="69"/>
  <c r="J35" i="69"/>
  <c r="K35" i="69"/>
  <c r="K72" i="69"/>
  <c r="K20" i="69"/>
  <c r="J40" i="69"/>
  <c r="B44" i="69"/>
  <c r="K68" i="69"/>
  <c r="K46" i="69"/>
  <c r="J42" i="69"/>
  <c r="K40" i="69"/>
</calcChain>
</file>

<file path=xl/sharedStrings.xml><?xml version="1.0" encoding="utf-8"?>
<sst xmlns="http://schemas.openxmlformats.org/spreadsheetml/2006/main" count="333" uniqueCount="107">
  <si>
    <t>Elegible</t>
  </si>
  <si>
    <t>PROGRAMA DE COMPENSACIONES Y CONSULTAS PARA EL NORTE DE HAITI HA-L1106</t>
  </si>
  <si>
    <t>PLAN DE ADQUISICIONES INICIAL DEL PROGRAMA</t>
  </si>
  <si>
    <t>Sub-Ejecutor       o Responsable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</si>
  <si>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</si>
  <si>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</si>
  <si>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</si>
  <si>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</si>
  <si>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</si>
  <si>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</si>
  <si>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</si>
  <si>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</si>
  <si>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% BID</t>
  </si>
  <si>
    <t>% Contraparte Local</t>
  </si>
  <si>
    <t>Publicación Anuncio Específico de Adquisición</t>
  </si>
  <si>
    <t>Terminación Contrato</t>
  </si>
  <si>
    <t>1. BIENES</t>
  </si>
  <si>
    <t>UTE-MEF</t>
  </si>
  <si>
    <t>Adquisición del lote de maquinaria para el Centro de Gestión Integral de Residuos Solidos</t>
  </si>
  <si>
    <t>LPI</t>
  </si>
  <si>
    <t>exante</t>
  </si>
  <si>
    <t>No</t>
  </si>
  <si>
    <t>Previsto</t>
  </si>
  <si>
    <t>Adquisición del lote de maquinaria para la Planta de Tratamiento y Compostaje</t>
  </si>
  <si>
    <t>Adquisición del lote de maquinaria para refuerzo de la recolección</t>
  </si>
  <si>
    <t>Adquisición de Contenedores y material auxiliar para refuerzo de la recolección</t>
  </si>
  <si>
    <t>expost</t>
  </si>
  <si>
    <t>DCT/MICT</t>
  </si>
  <si>
    <t>Adquisicion y mobilialiario y hardware para el equipamiento de la SAM</t>
  </si>
  <si>
    <t>LPI/LPN</t>
  </si>
  <si>
    <t>Adquisición de un software para la gestión comercial del sistema de gestión de residuos solidos para un máximo de 120.000 clientes</t>
  </si>
  <si>
    <t>Adquisición de un software para la gestión de bases de datos para apoyo a la gestión comercial del sistema</t>
  </si>
  <si>
    <t>Adquisición de un software para la gestión de bases de un sistema de información geográfica para apoyo a la gestión comercial del sistema</t>
  </si>
  <si>
    <t>Sub Total Bienes</t>
  </si>
  <si>
    <t>2. OBRAS</t>
  </si>
  <si>
    <t>Construcción del Acceso al Centro de Gestión Integral de Residuos Solidos</t>
  </si>
  <si>
    <t>CP</t>
  </si>
  <si>
    <t>Construcción del Centro de Gestión Integral de Residuos Solidos (Celda #1)</t>
  </si>
  <si>
    <t>Si</t>
  </si>
  <si>
    <t>Extensión instalaciones producción compost de los mercados</t>
  </si>
  <si>
    <t>Construcción de la Planta de Tratamiento y Compostaje</t>
  </si>
  <si>
    <t>Construcción del Centro de Gestión Integral de Residuos Solidos (Celda #2)</t>
  </si>
  <si>
    <t>Construcción de los Puntos de Recogida Urbanos</t>
  </si>
  <si>
    <t>Ese monto tiene finaciamiento BID y AfD</t>
  </si>
  <si>
    <t>Actuaciones para la mitigación de inundaciones en la ciudad de Limonade</t>
  </si>
  <si>
    <t>Actuaciones en la zona del mercado de Limonade</t>
  </si>
  <si>
    <t xml:space="preserve"> </t>
  </si>
  <si>
    <t>Construcción de oficinas comerciales y administrativas centrales para la SAM</t>
  </si>
  <si>
    <t>Construcción de oficinas comerciales y administrativas para la sucursal de Limonade</t>
  </si>
  <si>
    <t>Construcción de oficinas comerciales y administrativas para la sucursales en otras ciudades</t>
  </si>
  <si>
    <t>Sub Total Obras</t>
  </si>
  <si>
    <t xml:space="preserve">3. SERVICIOS DE DIFERENTE A CONSULTORIA </t>
  </si>
  <si>
    <t>Apoyo iniciativas Sector privado</t>
  </si>
  <si>
    <t>Medidas de Limpieza urbana de Rápido Impacto</t>
  </si>
  <si>
    <t>Operación del Centro de Gestión Integral de Residuos Solidos</t>
  </si>
  <si>
    <t>Realizacion de la Base de datos de bienes inmuebles, industrias, servicios e instituciones publicas y privadas para la constitución de un catastro</t>
  </si>
  <si>
    <t>Sub Total Servicios de Consultoría - Firmas Consultoras</t>
  </si>
  <si>
    <t>4. SERVICIOS DE CONSULTORIA - FIRMAS CONSULTORAS</t>
  </si>
  <si>
    <t>Diseño Constructivo del Centro de Gestión Integral de Residuos Solidos</t>
  </si>
  <si>
    <t>SBCC</t>
  </si>
  <si>
    <t>Diseño Constructivo de la Planta de Tratamiento y Compostaje</t>
  </si>
  <si>
    <t>Supervisión de los trabajos de construcción del Centro de Gestión Integral Desechos Solidos y del Centro de Tratamiento y Compostaje</t>
  </si>
  <si>
    <t>Refuerzo de estudios medioambientales y sociales en las ciudades</t>
  </si>
  <si>
    <t>Estudios medioambientales y sociales para el Centro de Gestion de Residuos Solidos.</t>
  </si>
  <si>
    <t>Medidas de Mitigación Medioambiental y Social</t>
  </si>
  <si>
    <t>Supervision de trabajos para la acondicionamiento del mercado publico de Limonade</t>
  </si>
  <si>
    <t>Desarrollo de rutas de recolección y desarrollo de modelos de PDR</t>
  </si>
  <si>
    <t>Reglamentos municipales de recolección</t>
  </si>
  <si>
    <t>Diagnostico de genero</t>
  </si>
  <si>
    <t>Asistencia tecnica a la Formacion de la SAM</t>
  </si>
  <si>
    <t>Definicion e implantación de campañas de sensibilización y educación ambiental en el manejo de residuos solidos urbanos</t>
  </si>
  <si>
    <t>Asistencia tecnica a los municipios en catastro y recoleccion de impuestos</t>
  </si>
  <si>
    <t>Auditoría</t>
  </si>
  <si>
    <t>5. SERVICIOS DE CONSULTORIA INDIVIDUAL</t>
  </si>
  <si>
    <t>Diseño Constructivo de la carretera de acceso</t>
  </si>
  <si>
    <t>CCIN</t>
  </si>
  <si>
    <t>Diseño Constructivo de los puntos de recogida urbanos</t>
  </si>
  <si>
    <t>Supervisión de los trabajos de construcción de los accesos al centro de gestión integral desechos solidos</t>
  </si>
  <si>
    <t>Supervisión de los trabajos de construcción de los puntos de recogida urbanos</t>
  </si>
  <si>
    <t>Plan Estratégico para la gestión de residuos solidos urbanos en centros de menos de 50.000 personas</t>
  </si>
  <si>
    <t>Planes Maestros de recolección de residuos solidos en Terrier Rouge, Trou du Nord y Caracol</t>
  </si>
  <si>
    <t>Definición de los equipos de refuerzo de la recolección</t>
  </si>
  <si>
    <t>CCIN/CCII</t>
  </si>
  <si>
    <t>Actualización de Planes estratégicos de acuerdo al Plan de negocios</t>
  </si>
  <si>
    <t>Informe arqueológico obras de drenaje en Limonade</t>
  </si>
  <si>
    <t>Diseño Constructivo de las obras para la mitigación de inundaciones en la ciudad de Limonade</t>
  </si>
  <si>
    <t>Diseño Constructivo de las actuaciones en la zona del mercado de Limonade</t>
  </si>
  <si>
    <t>Supervisión de los trabajos de las actuaciones en la zona del mercado de Limonade, incluso componente social</t>
  </si>
  <si>
    <t>Apoyo a los salarios del personal a contratar de la SAM</t>
  </si>
  <si>
    <t>Consultoría para la formación de un equipo sanitario municipal, incluyendo apoyo en salarios</t>
  </si>
  <si>
    <t>Consultoría para la definición de los requerimientos del sistema comercial</t>
  </si>
  <si>
    <t>Consultorías para la formación de técnicos en el uso de los sistemas comerciales y plataformas asociadas</t>
  </si>
  <si>
    <t>Evaluación intermedia</t>
  </si>
  <si>
    <t>Ene-21</t>
  </si>
  <si>
    <t>Evaluación final y evaluación económica expost</t>
  </si>
  <si>
    <t>Evaluación económica intervenciones urbanas</t>
  </si>
  <si>
    <t>Sub Total Servicios de Consultoría Individual</t>
  </si>
  <si>
    <t>6. CONTINGENCIAS</t>
  </si>
  <si>
    <t>Plan de Contingencia</t>
  </si>
  <si>
    <t xml:space="preserve">7. GASTOS OPERATIVOS DEL PROGRAMA   </t>
  </si>
  <si>
    <t>Costos operativos de la UTE/MEF y UCP/DCT-MICT (por ejemplo papelería, material de escritorio, tóner, servicio de electricidad, servicio de agua potable, servicio de internet, servicio de telefonía, viáticos y pasajes para realizar viajes por parte de su personal, entre otros)</t>
  </si>
  <si>
    <t>NB-SABS</t>
  </si>
  <si>
    <t>Sub Total Gastos Operativos del Programa</t>
  </si>
  <si>
    <t>TOTAL PLAN DE ADQUISICIONES INICIAL DEL PROGRAMA</t>
  </si>
  <si>
    <r>
      <rPr>
        <b/>
        <sz val="10"/>
        <rFont val="Arial"/>
        <family val="2"/>
      </rPr>
      <t>Bienes y Obras:</t>
    </r>
    <r>
      <rPr>
        <sz val="10"/>
        <rFont val="Arial"/>
        <family val="2"/>
      </rPr>
      <t xml:space="preserve"> 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Prestamos Garantizados por el Banco; PSC: Participación de la Comunidad en las Contrataciones.</t>
    </r>
  </si>
  <si>
    <r>
      <t>Firmas Consultoras:</t>
    </r>
    <r>
      <rPr>
        <sz val="10"/>
        <rFont val="Arial"/>
        <family val="2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</si>
  <si>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Arial"/>
        <family val="2"/>
      </rPr>
      <t xml:space="preserve"> CCIN: Selección basada en la Comparación de Calificaciones Consultor Individual Nacional; CCII: Selección basada en la Comparación de Calificaciones Consultor Individual Internacional.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</si>
</sst>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-* #,##0.00_-;\-* #,##0.00_-;_-* &quot;-&quot;??_-;_-@_-"/>
    <numFmt numFmtId="166" formatCode="_-* #,##0.00\ _€_-;\-* #,##0.00\ _€_-;_-* &quot;-&quot;??\ _€_-;_-@_-"/>
    <numFmt numFmtId="167" formatCode="_ * #,##0_ ;_ * \-#,##0_ ;_ * &quot;-&quot;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rgb="FFFF0000"/>
      <name val="Verdana"/>
      <family val="2"/>
    </font>
    <font>
      <b/>
      <sz val="14"/>
      <name val="Verdana"/>
      <family val="2"/>
    </font>
    <font>
      <b/>
      <sz val="14"/>
      <name val="Arial"/>
      <family val="2"/>
    </font>
    <font>
      <b/>
      <sz val="10"/>
      <color indexed="9"/>
      <name val="Verdana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Border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7"/>
    <xf numFmtId="0" fontId="2" fillId="0" borderId="0" xfId="7" applyAlignment="1">
      <alignment horizontal="center"/>
    </xf>
    <xf numFmtId="0" fontId="2" fillId="0" borderId="19" xfId="7" applyBorder="1"/>
    <xf numFmtId="0" fontId="2" fillId="0" borderId="2" xfId="7" applyBorder="1"/>
    <xf numFmtId="0" fontId="2" fillId="0" borderId="2" xfId="7" applyBorder="1" applyAlignment="1">
      <alignment horizontal="center"/>
    </xf>
    <xf numFmtId="0" fontId="2" fillId="0" borderId="3" xfId="7" applyBorder="1"/>
    <xf numFmtId="0" fontId="2" fillId="0" borderId="4" xfId="7" applyBorder="1"/>
    <xf numFmtId="0" fontId="2" fillId="0" borderId="0" xfId="7" applyAlignment="1">
      <alignment vertical="center"/>
    </xf>
    <xf numFmtId="0" fontId="4" fillId="2" borderId="17" xfId="7" applyFont="1" applyFill="1" applyBorder="1" applyAlignment="1">
      <alignment horizontal="center" vertical="center"/>
    </xf>
    <xf numFmtId="17" fontId="5" fillId="2" borderId="0" xfId="7" applyNumberFormat="1" applyFont="1" applyFill="1" applyAlignment="1">
      <alignment horizontal="center" vertical="center"/>
    </xf>
    <xf numFmtId="0" fontId="4" fillId="2" borderId="0" xfId="7" applyFont="1" applyFill="1" applyAlignment="1">
      <alignment horizontal="center" vertical="center"/>
    </xf>
    <xf numFmtId="41" fontId="6" fillId="2" borderId="0" xfId="8" applyFont="1" applyFill="1" applyAlignment="1">
      <alignment horizontal="center" vertical="center"/>
    </xf>
    <xf numFmtId="3" fontId="4" fillId="2" borderId="0" xfId="7" applyNumberFormat="1" applyFont="1" applyFill="1" applyAlignment="1">
      <alignment horizontal="center" vertical="center"/>
    </xf>
    <xf numFmtId="0" fontId="8" fillId="2" borderId="7" xfId="7" applyFont="1" applyFill="1" applyBorder="1" applyAlignment="1">
      <alignment vertical="center" wrapText="1"/>
    </xf>
    <xf numFmtId="0" fontId="4" fillId="2" borderId="4" xfId="7" applyFont="1" applyFill="1" applyBorder="1" applyAlignment="1">
      <alignment horizontal="center" vertical="center"/>
    </xf>
    <xf numFmtId="0" fontId="2" fillId="0" borderId="4" xfId="7" applyBorder="1" applyAlignment="1">
      <alignment vertical="center"/>
    </xf>
    <xf numFmtId="0" fontId="4" fillId="2" borderId="17" xfId="7" applyFont="1" applyFill="1" applyBorder="1" applyAlignment="1">
      <alignment horizontal="center" vertical="top" wrapText="1"/>
    </xf>
    <xf numFmtId="17" fontId="5" fillId="2" borderId="0" xfId="7" applyNumberFormat="1" applyFont="1" applyFill="1" applyAlignment="1">
      <alignment horizontal="center" vertical="top" wrapText="1"/>
    </xf>
    <xf numFmtId="0" fontId="4" fillId="2" borderId="0" xfId="7" applyFont="1" applyFill="1" applyAlignment="1">
      <alignment horizontal="center" vertical="top" wrapText="1"/>
    </xf>
    <xf numFmtId="9" fontId="4" fillId="2" borderId="0" xfId="7" applyNumberFormat="1" applyFont="1" applyFill="1" applyAlignment="1">
      <alignment horizontal="center" vertical="top" wrapText="1"/>
    </xf>
    <xf numFmtId="3" fontId="4" fillId="2" borderId="0" xfId="7" applyNumberFormat="1" applyFont="1" applyFill="1" applyAlignment="1">
      <alignment horizontal="center" vertical="top" wrapText="1"/>
    </xf>
    <xf numFmtId="4" fontId="4" fillId="2" borderId="0" xfId="7" applyNumberFormat="1" applyFont="1" applyFill="1" applyAlignment="1">
      <alignment horizontal="right" vertical="top" wrapText="1"/>
    </xf>
    <xf numFmtId="0" fontId="4" fillId="2" borderId="0" xfId="7" applyFont="1" applyFill="1" applyAlignment="1">
      <alignment vertical="top" wrapText="1"/>
    </xf>
    <xf numFmtId="0" fontId="4" fillId="2" borderId="4" xfId="7" applyFont="1" applyFill="1" applyBorder="1" applyAlignment="1">
      <alignment horizontal="center" vertical="top" wrapText="1"/>
    </xf>
    <xf numFmtId="0" fontId="4" fillId="2" borderId="18" xfId="7" applyFont="1" applyFill="1" applyBorder="1" applyAlignment="1">
      <alignment horizontal="center" vertical="top" wrapText="1"/>
    </xf>
    <xf numFmtId="17" fontId="5" fillId="2" borderId="5" xfId="7" applyNumberFormat="1" applyFont="1" applyFill="1" applyBorder="1" applyAlignment="1">
      <alignment horizontal="center" vertical="top" wrapText="1"/>
    </xf>
    <xf numFmtId="0" fontId="4" fillId="2" borderId="5" xfId="7" applyFont="1" applyFill="1" applyBorder="1" applyAlignment="1">
      <alignment horizontal="center" vertical="top" wrapText="1"/>
    </xf>
    <xf numFmtId="9" fontId="4" fillId="2" borderId="5" xfId="7" applyNumberFormat="1" applyFont="1" applyFill="1" applyBorder="1" applyAlignment="1">
      <alignment horizontal="center" vertical="top" wrapText="1"/>
    </xf>
    <xf numFmtId="3" fontId="5" fillId="2" borderId="16" xfId="7" applyNumberFormat="1" applyFont="1" applyFill="1" applyBorder="1" applyAlignment="1">
      <alignment horizontal="right" vertical="top" wrapText="1"/>
    </xf>
    <xf numFmtId="0" fontId="4" fillId="0" borderId="26" xfId="7" applyFont="1" applyBorder="1" applyAlignment="1">
      <alignment horizontal="center" vertical="top" wrapText="1"/>
    </xf>
    <xf numFmtId="17" fontId="5" fillId="2" borderId="10" xfId="7" applyNumberFormat="1" applyFont="1" applyFill="1" applyBorder="1" applyAlignment="1">
      <alignment horizontal="center" vertical="top" wrapText="1"/>
    </xf>
    <xf numFmtId="0" fontId="4" fillId="0" borderId="10" xfId="7" applyFont="1" applyBorder="1" applyAlignment="1">
      <alignment horizontal="center" vertical="top" wrapText="1"/>
    </xf>
    <xf numFmtId="9" fontId="4" fillId="2" borderId="10" xfId="7" applyNumberFormat="1" applyFont="1" applyFill="1" applyBorder="1" applyAlignment="1">
      <alignment horizontal="center" vertical="top" wrapText="1"/>
    </xf>
    <xf numFmtId="4" fontId="4" fillId="2" borderId="11" xfId="7" applyNumberFormat="1" applyFont="1" applyFill="1" applyBorder="1" applyAlignment="1">
      <alignment horizontal="center" vertical="top" wrapText="1"/>
    </xf>
    <xf numFmtId="3" fontId="4" fillId="0" borderId="27" xfId="7" applyNumberFormat="1" applyFont="1" applyBorder="1" applyAlignment="1">
      <alignment horizontal="right" vertical="center" wrapText="1"/>
    </xf>
    <xf numFmtId="0" fontId="4" fillId="0" borderId="13" xfId="7" applyFont="1" applyBorder="1" applyAlignment="1">
      <alignment vertical="top" wrapText="1"/>
    </xf>
    <xf numFmtId="0" fontId="4" fillId="0" borderId="28" xfId="7" applyFont="1" applyBorder="1" applyAlignment="1">
      <alignment horizontal="center" vertical="center" wrapText="1"/>
    </xf>
    <xf numFmtId="0" fontId="2" fillId="2" borderId="0" xfId="7" applyFill="1"/>
    <xf numFmtId="0" fontId="4" fillId="2" borderId="1" xfId="7" applyFont="1" applyFill="1" applyBorder="1" applyAlignment="1">
      <alignment horizontal="center" vertical="top"/>
    </xf>
    <xf numFmtId="9" fontId="4" fillId="2" borderId="1" xfId="7" applyNumberFormat="1" applyFont="1" applyFill="1" applyBorder="1" applyAlignment="1">
      <alignment horizontal="center" vertical="center" wrapText="1"/>
    </xf>
    <xf numFmtId="4" fontId="4" fillId="2" borderId="1" xfId="7" applyNumberFormat="1" applyFont="1" applyFill="1" applyBorder="1" applyAlignment="1">
      <alignment horizontal="center" vertical="top" wrapText="1"/>
    </xf>
    <xf numFmtId="0" fontId="4" fillId="0" borderId="1" xfId="7" applyFont="1" applyBorder="1" applyAlignment="1">
      <alignment vertical="center" wrapText="1"/>
    </xf>
    <xf numFmtId="0" fontId="2" fillId="2" borderId="4" xfId="7" applyFill="1" applyBorder="1"/>
    <xf numFmtId="0" fontId="4" fillId="2" borderId="29" xfId="7" applyFont="1" applyFill="1" applyBorder="1" applyAlignment="1">
      <alignment horizontal="center" vertical="top" wrapText="1"/>
    </xf>
    <xf numFmtId="17" fontId="5" fillId="2" borderId="13" xfId="7" applyNumberFormat="1" applyFont="1" applyFill="1" applyBorder="1" applyAlignment="1">
      <alignment horizontal="center" vertical="top" wrapText="1"/>
    </xf>
    <xf numFmtId="0" fontId="4" fillId="2" borderId="13" xfId="7" applyFont="1" applyFill="1" applyBorder="1" applyAlignment="1">
      <alignment horizontal="center" vertical="top" wrapText="1"/>
    </xf>
    <xf numFmtId="9" fontId="4" fillId="2" borderId="13" xfId="7" applyNumberFormat="1" applyFont="1" applyFill="1" applyBorder="1" applyAlignment="1">
      <alignment horizontal="center" vertical="top" wrapText="1"/>
    </xf>
    <xf numFmtId="4" fontId="4" fillId="2" borderId="13" xfId="7" applyNumberFormat="1" applyFont="1" applyFill="1" applyBorder="1" applyAlignment="1">
      <alignment horizontal="center" vertical="top" wrapText="1"/>
    </xf>
    <xf numFmtId="3" fontId="5" fillId="2" borderId="1" xfId="7" applyNumberFormat="1" applyFont="1" applyFill="1" applyBorder="1" applyAlignment="1">
      <alignment horizontal="right" vertical="top" wrapText="1"/>
    </xf>
    <xf numFmtId="9" fontId="4" fillId="2" borderId="13" xfId="9" applyFont="1" applyFill="1" applyBorder="1" applyAlignment="1">
      <alignment horizontal="center" vertical="top" wrapText="1"/>
    </xf>
    <xf numFmtId="4" fontId="2" fillId="0" borderId="0" xfId="7" applyNumberFormat="1" applyAlignment="1">
      <alignment vertical="center"/>
    </xf>
    <xf numFmtId="0" fontId="5" fillId="2" borderId="13" xfId="7" applyFont="1" applyFill="1" applyBorder="1" applyAlignment="1">
      <alignment horizontal="right" vertical="top" wrapText="1"/>
    </xf>
    <xf numFmtId="0" fontId="4" fillId="2" borderId="30" xfId="7" applyFont="1" applyFill="1" applyBorder="1" applyAlignment="1">
      <alignment horizontal="center" vertical="top" wrapText="1"/>
    </xf>
    <xf numFmtId="0" fontId="5" fillId="0" borderId="0" xfId="7" applyFont="1" applyAlignment="1">
      <alignment horizontal="center"/>
    </xf>
    <xf numFmtId="0" fontId="2" fillId="0" borderId="5" xfId="7" applyBorder="1"/>
    <xf numFmtId="0" fontId="2" fillId="0" borderId="5" xfId="7" applyBorder="1" applyAlignment="1">
      <alignment horizontal="center"/>
    </xf>
    <xf numFmtId="0" fontId="2" fillId="0" borderId="6" xfId="7" applyBorder="1"/>
    <xf numFmtId="164" fontId="4" fillId="2" borderId="31" xfId="7" applyNumberFormat="1" applyFont="1" applyFill="1" applyBorder="1" applyAlignment="1">
      <alignment horizontal="center" vertical="center" wrapText="1"/>
    </xf>
    <xf numFmtId="0" fontId="9" fillId="4" borderId="11" xfId="7" applyFont="1" applyFill="1" applyBorder="1" applyAlignment="1">
      <alignment horizontal="center" vertical="center" wrapText="1"/>
    </xf>
    <xf numFmtId="0" fontId="4" fillId="2" borderId="36" xfId="7" applyFont="1" applyFill="1" applyBorder="1" applyAlignment="1">
      <alignment horizontal="center" vertical="center" wrapText="1"/>
    </xf>
    <xf numFmtId="164" fontId="5" fillId="2" borderId="1" xfId="7" applyNumberFormat="1" applyFont="1" applyFill="1" applyBorder="1" applyAlignment="1">
      <alignment horizontal="center" vertical="center" wrapText="1"/>
    </xf>
    <xf numFmtId="0" fontId="4" fillId="2" borderId="37" xfId="7" applyFont="1" applyFill="1" applyBorder="1" applyAlignment="1">
      <alignment horizontal="center" vertical="top" wrapText="1"/>
    </xf>
    <xf numFmtId="0" fontId="4" fillId="0" borderId="38" xfId="7" applyFont="1" applyBorder="1" applyAlignment="1">
      <alignment horizontal="center" vertical="center" wrapText="1"/>
    </xf>
    <xf numFmtId="0" fontId="4" fillId="0" borderId="39" xfId="7" applyFont="1" applyBorder="1" applyAlignment="1">
      <alignment vertical="center" wrapText="1"/>
    </xf>
    <xf numFmtId="41" fontId="4" fillId="2" borderId="39" xfId="8" applyFont="1" applyFill="1" applyBorder="1" applyAlignment="1">
      <alignment horizontal="right" vertical="center" wrapText="1"/>
    </xf>
    <xf numFmtId="4" fontId="4" fillId="0" borderId="39" xfId="7" applyNumberFormat="1" applyFont="1" applyBorder="1" applyAlignment="1">
      <alignment horizontal="center" vertical="center" wrapText="1"/>
    </xf>
    <xf numFmtId="9" fontId="4" fillId="0" borderId="39" xfId="9" applyFont="1" applyBorder="1" applyAlignment="1">
      <alignment horizontal="center" vertical="center" wrapText="1"/>
    </xf>
    <xf numFmtId="164" fontId="4" fillId="2" borderId="39" xfId="7" applyNumberFormat="1" applyFont="1" applyFill="1" applyBorder="1" applyAlignment="1">
      <alignment horizontal="center" vertical="center" wrapText="1"/>
    </xf>
    <xf numFmtId="0" fontId="4" fillId="0" borderId="40" xfId="7" applyFont="1" applyBorder="1" applyAlignment="1">
      <alignment horizontal="center" vertical="center" wrapText="1"/>
    </xf>
    <xf numFmtId="0" fontId="4" fillId="2" borderId="41" xfId="7" applyFont="1" applyFill="1" applyBorder="1" applyAlignment="1">
      <alignment horizontal="center" vertical="center" wrapText="1"/>
    </xf>
    <xf numFmtId="0" fontId="4" fillId="0" borderId="42" xfId="7" applyFont="1" applyBorder="1" applyAlignment="1">
      <alignment vertical="center" wrapText="1"/>
    </xf>
    <xf numFmtId="41" fontId="4" fillId="2" borderId="42" xfId="8" applyFont="1" applyFill="1" applyBorder="1" applyAlignment="1">
      <alignment horizontal="right" vertical="center" wrapText="1"/>
    </xf>
    <xf numFmtId="4" fontId="4" fillId="0" borderId="42" xfId="7" applyNumberFormat="1" applyFont="1" applyBorder="1" applyAlignment="1">
      <alignment horizontal="center" vertical="center" wrapText="1"/>
    </xf>
    <xf numFmtId="9" fontId="4" fillId="0" borderId="42" xfId="9" applyFont="1" applyBorder="1" applyAlignment="1">
      <alignment horizontal="center" vertical="center" wrapText="1"/>
    </xf>
    <xf numFmtId="164" fontId="4" fillId="2" borderId="42" xfId="7" applyNumberFormat="1" applyFont="1" applyFill="1" applyBorder="1" applyAlignment="1">
      <alignment horizontal="center" vertical="center" wrapText="1"/>
    </xf>
    <xf numFmtId="0" fontId="4" fillId="0" borderId="43" xfId="7" applyFont="1" applyBorder="1" applyAlignment="1">
      <alignment horizontal="center" vertical="center" wrapText="1"/>
    </xf>
    <xf numFmtId="0" fontId="4" fillId="0" borderId="41" xfId="7" applyFont="1" applyBorder="1" applyAlignment="1">
      <alignment horizontal="center" vertical="center" wrapText="1"/>
    </xf>
    <xf numFmtId="41" fontId="4" fillId="0" borderId="42" xfId="8" applyFont="1" applyBorder="1" applyAlignment="1">
      <alignment horizontal="right" vertical="center" wrapText="1"/>
    </xf>
    <xf numFmtId="164" fontId="4" fillId="0" borderId="42" xfId="7" applyNumberFormat="1" applyFont="1" applyBorder="1" applyAlignment="1">
      <alignment horizontal="center" vertical="center" wrapText="1"/>
    </xf>
    <xf numFmtId="0" fontId="4" fillId="0" borderId="44" xfId="7" applyFont="1" applyBorder="1" applyAlignment="1">
      <alignment horizontal="center" vertical="center" wrapText="1"/>
    </xf>
    <xf numFmtId="0" fontId="4" fillId="0" borderId="45" xfId="7" applyFont="1" applyBorder="1" applyAlignment="1">
      <alignment vertical="center" wrapText="1"/>
    </xf>
    <xf numFmtId="41" fontId="4" fillId="0" borderId="45" xfId="8" applyFont="1" applyBorder="1" applyAlignment="1">
      <alignment horizontal="right" vertical="center" wrapText="1"/>
    </xf>
    <xf numFmtId="4" fontId="4" fillId="0" borderId="45" xfId="7" applyNumberFormat="1" applyFont="1" applyBorder="1" applyAlignment="1">
      <alignment horizontal="center" vertical="center" wrapText="1"/>
    </xf>
    <xf numFmtId="9" fontId="4" fillId="0" borderId="45" xfId="9" applyFont="1" applyBorder="1" applyAlignment="1">
      <alignment horizontal="center" vertical="center" wrapText="1"/>
    </xf>
    <xf numFmtId="164" fontId="4" fillId="0" borderId="45" xfId="7" applyNumberFormat="1" applyFont="1" applyBorder="1" applyAlignment="1">
      <alignment horizontal="center" vertical="center" wrapText="1"/>
    </xf>
    <xf numFmtId="0" fontId="4" fillId="0" borderId="46" xfId="7" applyFont="1" applyBorder="1" applyAlignment="1">
      <alignment horizontal="center" vertical="center" wrapText="1"/>
    </xf>
    <xf numFmtId="0" fontId="4" fillId="0" borderId="47" xfId="7" applyFont="1" applyBorder="1" applyAlignment="1">
      <alignment vertical="center" wrapText="1"/>
    </xf>
    <xf numFmtId="3" fontId="4" fillId="0" borderId="39" xfId="7" applyNumberFormat="1" applyFont="1" applyBorder="1" applyAlignment="1">
      <alignment horizontal="right" vertical="center" wrapText="1"/>
    </xf>
    <xf numFmtId="4" fontId="4" fillId="2" borderId="39" xfId="7" applyNumberFormat="1" applyFont="1" applyFill="1" applyBorder="1" applyAlignment="1">
      <alignment horizontal="center" vertical="center" wrapText="1"/>
    </xf>
    <xf numFmtId="0" fontId="4" fillId="0" borderId="48" xfId="7" applyFont="1" applyBorder="1" applyAlignment="1">
      <alignment vertical="center" wrapText="1"/>
    </xf>
    <xf numFmtId="3" fontId="4" fillId="0" borderId="42" xfId="7" applyNumberFormat="1" applyFont="1" applyBorder="1" applyAlignment="1">
      <alignment horizontal="right" vertical="center" wrapText="1"/>
    </xf>
    <xf numFmtId="4" fontId="4" fillId="2" borderId="42" xfId="7" applyNumberFormat="1" applyFont="1" applyFill="1" applyBorder="1" applyAlignment="1">
      <alignment horizontal="center" vertical="center" wrapText="1"/>
    </xf>
    <xf numFmtId="0" fontId="4" fillId="2" borderId="44" xfId="7" applyFont="1" applyFill="1" applyBorder="1" applyAlignment="1">
      <alignment horizontal="center" vertical="center" wrapText="1"/>
    </xf>
    <xf numFmtId="0" fontId="4" fillId="0" borderId="49" xfId="7" applyFont="1" applyBorder="1" applyAlignment="1">
      <alignment vertical="center" wrapText="1"/>
    </xf>
    <xf numFmtId="3" fontId="4" fillId="0" borderId="45" xfId="7" applyNumberFormat="1" applyFont="1" applyBorder="1" applyAlignment="1">
      <alignment horizontal="right" vertical="center" wrapText="1"/>
    </xf>
    <xf numFmtId="4" fontId="4" fillId="2" borderId="45" xfId="7" applyNumberFormat="1" applyFont="1" applyFill="1" applyBorder="1" applyAlignment="1">
      <alignment horizontal="center" vertical="center" wrapText="1"/>
    </xf>
    <xf numFmtId="164" fontId="4" fillId="2" borderId="45" xfId="7" applyNumberFormat="1" applyFont="1" applyFill="1" applyBorder="1" applyAlignment="1">
      <alignment horizontal="center" vertical="center" wrapText="1"/>
    </xf>
    <xf numFmtId="0" fontId="4" fillId="2" borderId="38" xfId="7" applyFont="1" applyFill="1" applyBorder="1" applyAlignment="1">
      <alignment horizontal="center" vertical="center" wrapText="1"/>
    </xf>
    <xf numFmtId="4" fontId="4" fillId="2" borderId="39" xfId="7" applyNumberFormat="1" applyFont="1" applyFill="1" applyBorder="1" applyAlignment="1">
      <alignment horizontal="center" vertical="top" wrapText="1"/>
    </xf>
    <xf numFmtId="4" fontId="4" fillId="2" borderId="42" xfId="7" applyNumberFormat="1" applyFont="1" applyFill="1" applyBorder="1" applyAlignment="1">
      <alignment horizontal="center" vertical="top" wrapText="1"/>
    </xf>
    <xf numFmtId="0" fontId="4" fillId="0" borderId="42" xfId="7" applyFont="1" applyBorder="1" applyAlignment="1">
      <alignment horizontal="center" vertical="center"/>
    </xf>
    <xf numFmtId="9" fontId="4" fillId="2" borderId="42" xfId="7" applyNumberFormat="1" applyFont="1" applyFill="1" applyBorder="1" applyAlignment="1">
      <alignment horizontal="center" vertical="center" wrapText="1"/>
    </xf>
    <xf numFmtId="0" fontId="4" fillId="2" borderId="42" xfId="7" applyFont="1" applyFill="1" applyBorder="1" applyAlignment="1">
      <alignment horizontal="center" vertical="top"/>
    </xf>
    <xf numFmtId="0" fontId="4" fillId="2" borderId="43" xfId="7" applyFont="1" applyFill="1" applyBorder="1" applyAlignment="1">
      <alignment horizontal="center" vertical="top" wrapText="1"/>
    </xf>
    <xf numFmtId="0" fontId="4" fillId="0" borderId="42" xfId="7" applyFont="1" applyBorder="1" applyAlignment="1">
      <alignment horizontal="center" vertical="center" wrapText="1"/>
    </xf>
    <xf numFmtId="0" fontId="9" fillId="4" borderId="10" xfId="7" applyFont="1" applyFill="1" applyBorder="1" applyAlignment="1">
      <alignment horizontal="center" vertical="center" wrapText="1"/>
    </xf>
    <xf numFmtId="3" fontId="4" fillId="0" borderId="1" xfId="7" applyNumberFormat="1" applyFont="1" applyBorder="1" applyAlignment="1">
      <alignment horizontal="right" vertical="center" wrapText="1"/>
    </xf>
    <xf numFmtId="3" fontId="7" fillId="0" borderId="12" xfId="7" applyNumberFormat="1" applyFont="1" applyBorder="1" applyAlignment="1">
      <alignment horizontal="right" vertical="center"/>
    </xf>
    <xf numFmtId="0" fontId="4" fillId="0" borderId="50" xfId="7" applyFont="1" applyBorder="1" applyAlignment="1">
      <alignment horizontal="center" vertical="center" wrapText="1"/>
    </xf>
    <xf numFmtId="0" fontId="4" fillId="0" borderId="51" xfId="7" applyFont="1" applyBorder="1" applyAlignment="1">
      <alignment vertical="center" wrapText="1"/>
    </xf>
    <xf numFmtId="3" fontId="4" fillId="0" borderId="51" xfId="7" applyNumberFormat="1" applyFont="1" applyBorder="1" applyAlignment="1">
      <alignment horizontal="right" vertical="center" wrapText="1"/>
    </xf>
    <xf numFmtId="0" fontId="4" fillId="0" borderId="51" xfId="7" applyFont="1" applyBorder="1" applyAlignment="1">
      <alignment horizontal="center" vertical="center" wrapText="1"/>
    </xf>
    <xf numFmtId="4" fontId="4" fillId="0" borderId="51" xfId="7" applyNumberFormat="1" applyFont="1" applyBorder="1" applyAlignment="1">
      <alignment horizontal="center" vertical="center" wrapText="1"/>
    </xf>
    <xf numFmtId="9" fontId="4" fillId="0" borderId="51" xfId="9" applyFont="1" applyBorder="1" applyAlignment="1">
      <alignment horizontal="center" vertical="center" wrapText="1"/>
    </xf>
    <xf numFmtId="164" fontId="4" fillId="0" borderId="51" xfId="7" applyNumberFormat="1" applyFont="1" applyBorder="1" applyAlignment="1">
      <alignment horizontal="center" vertical="center" wrapText="1"/>
    </xf>
    <xf numFmtId="0" fontId="4" fillId="0" borderId="52" xfId="7" applyFont="1" applyBorder="1" applyAlignment="1">
      <alignment horizontal="center" vertical="center" wrapText="1"/>
    </xf>
    <xf numFmtId="0" fontId="4" fillId="2" borderId="53" xfId="7" applyFont="1" applyFill="1" applyBorder="1" applyAlignment="1">
      <alignment horizontal="center" vertical="center" wrapText="1"/>
    </xf>
    <xf numFmtId="0" fontId="4" fillId="0" borderId="54" xfId="7" applyFont="1" applyBorder="1" applyAlignment="1">
      <alignment vertical="center" wrapText="1"/>
    </xf>
    <xf numFmtId="3" fontId="4" fillId="0" borderId="54" xfId="7" applyNumberFormat="1" applyFont="1" applyBorder="1" applyAlignment="1">
      <alignment horizontal="right" vertical="center" wrapText="1"/>
    </xf>
    <xf numFmtId="4" fontId="4" fillId="0" borderId="54" xfId="7" applyNumberFormat="1" applyFont="1" applyBorder="1" applyAlignment="1">
      <alignment horizontal="center" vertical="center" wrapText="1"/>
    </xf>
    <xf numFmtId="9" fontId="4" fillId="0" borderId="54" xfId="9" applyFont="1" applyBorder="1" applyAlignment="1">
      <alignment horizontal="center" vertical="center" wrapText="1"/>
    </xf>
    <xf numFmtId="164" fontId="4" fillId="2" borderId="54" xfId="7" applyNumberFormat="1" applyFont="1" applyFill="1" applyBorder="1" applyAlignment="1">
      <alignment horizontal="center" vertical="center" wrapText="1"/>
    </xf>
    <xf numFmtId="0" fontId="4" fillId="0" borderId="55" xfId="7" applyFont="1" applyBorder="1" applyAlignment="1">
      <alignment horizontal="center" vertical="center" wrapText="1"/>
    </xf>
    <xf numFmtId="0" fontId="4" fillId="2" borderId="56" xfId="7" applyFont="1" applyFill="1" applyBorder="1" applyAlignment="1">
      <alignment horizontal="center" vertical="center" wrapText="1"/>
    </xf>
    <xf numFmtId="0" fontId="4" fillId="0" borderId="57" xfId="7" applyFont="1" applyBorder="1" applyAlignment="1">
      <alignment vertical="center" wrapText="1"/>
    </xf>
    <xf numFmtId="3" fontId="4" fillId="0" borderId="57" xfId="7" applyNumberFormat="1" applyFont="1" applyBorder="1" applyAlignment="1">
      <alignment horizontal="right" vertical="center" wrapText="1"/>
    </xf>
    <xf numFmtId="4" fontId="4" fillId="0" borderId="57" xfId="7" applyNumberFormat="1" applyFont="1" applyBorder="1" applyAlignment="1">
      <alignment horizontal="center" vertical="center" wrapText="1"/>
    </xf>
    <xf numFmtId="9" fontId="4" fillId="0" borderId="57" xfId="9" applyFont="1" applyBorder="1" applyAlignment="1">
      <alignment horizontal="center" vertical="center" wrapText="1"/>
    </xf>
    <xf numFmtId="164" fontId="4" fillId="2" borderId="57" xfId="7" applyNumberFormat="1" applyFont="1" applyFill="1" applyBorder="1" applyAlignment="1">
      <alignment horizontal="center" vertical="center" wrapText="1"/>
    </xf>
    <xf numFmtId="0" fontId="4" fillId="0" borderId="58" xfId="7" applyFont="1" applyBorder="1" applyAlignment="1">
      <alignment horizontal="center" vertical="center" wrapText="1"/>
    </xf>
    <xf numFmtId="0" fontId="2" fillId="5" borderId="0" xfId="7" applyFill="1" applyAlignment="1">
      <alignment vertical="center"/>
    </xf>
    <xf numFmtId="3" fontId="2" fillId="0" borderId="0" xfId="7" applyNumberFormat="1" applyAlignment="1">
      <alignment vertical="center"/>
    </xf>
    <xf numFmtId="0" fontId="2" fillId="0" borderId="4" xfId="7" applyBorder="1" applyAlignment="1">
      <alignment horizontal="left" vertical="top" wrapText="1"/>
    </xf>
    <xf numFmtId="0" fontId="2" fillId="0" borderId="0" xfId="7" applyAlignment="1">
      <alignment horizontal="left" vertical="top" wrapText="1"/>
    </xf>
    <xf numFmtId="0" fontId="2" fillId="0" borderId="17" xfId="7" applyBorder="1" applyAlignment="1">
      <alignment horizontal="left" vertical="top" wrapText="1"/>
    </xf>
    <xf numFmtId="0" fontId="3" fillId="0" borderId="4" xfId="7" applyFont="1" applyBorder="1" applyAlignment="1">
      <alignment horizontal="left" vertical="top" wrapText="1"/>
    </xf>
    <xf numFmtId="0" fontId="3" fillId="0" borderId="0" xfId="7" applyFont="1" applyAlignment="1">
      <alignment horizontal="left" vertical="top" wrapText="1"/>
    </xf>
    <xf numFmtId="0" fontId="3" fillId="0" borderId="17" xfId="7" applyFont="1" applyBorder="1" applyAlignment="1">
      <alignment horizontal="left" vertical="top" wrapText="1"/>
    </xf>
    <xf numFmtId="0" fontId="5" fillId="2" borderId="30" xfId="7" applyFont="1" applyFill="1" applyBorder="1" applyAlignment="1">
      <alignment horizontal="right" vertical="top" wrapText="1"/>
    </xf>
    <xf numFmtId="0" fontId="5" fillId="2" borderId="9" xfId="7" applyFont="1" applyFill="1" applyBorder="1" applyAlignment="1">
      <alignment horizontal="right" vertical="top" wrapText="1"/>
    </xf>
    <xf numFmtId="0" fontId="8" fillId="3" borderId="23" xfId="7" applyFont="1" applyFill="1" applyBorder="1" applyAlignment="1">
      <alignment horizontal="left" vertical="center"/>
    </xf>
    <xf numFmtId="0" fontId="8" fillId="3" borderId="8" xfId="7" applyFont="1" applyFill="1" applyBorder="1" applyAlignment="1">
      <alignment horizontal="left" vertical="center"/>
    </xf>
    <xf numFmtId="0" fontId="8" fillId="3" borderId="24" xfId="7" applyFont="1" applyFill="1" applyBorder="1" applyAlignment="1">
      <alignment horizontal="left" vertical="center"/>
    </xf>
    <xf numFmtId="0" fontId="5" fillId="2" borderId="6" xfId="7" applyFont="1" applyFill="1" applyBorder="1" applyAlignment="1">
      <alignment horizontal="right" vertical="top" wrapText="1"/>
    </xf>
    <xf numFmtId="0" fontId="5" fillId="2" borderId="25" xfId="7" applyFont="1" applyFill="1" applyBorder="1" applyAlignment="1">
      <alignment horizontal="right" vertical="top" wrapText="1"/>
    </xf>
    <xf numFmtId="0" fontId="10" fillId="0" borderId="0" xfId="7" applyFont="1" applyAlignment="1">
      <alignment horizontal="center"/>
    </xf>
    <xf numFmtId="0" fontId="9" fillId="4" borderId="20" xfId="7" applyFont="1" applyFill="1" applyBorder="1" applyAlignment="1">
      <alignment horizontal="center" vertical="center" wrapText="1"/>
    </xf>
    <xf numFmtId="0" fontId="9" fillId="4" borderId="35" xfId="7" applyFont="1" applyFill="1" applyBorder="1" applyAlignment="1">
      <alignment horizontal="center" vertical="center" wrapText="1"/>
    </xf>
    <xf numFmtId="0" fontId="9" fillId="4" borderId="16" xfId="7" applyFont="1" applyFill="1" applyBorder="1" applyAlignment="1">
      <alignment horizontal="center" vertical="center" wrapText="1"/>
    </xf>
    <xf numFmtId="0" fontId="9" fillId="4" borderId="11" xfId="7" applyFont="1" applyFill="1" applyBorder="1" applyAlignment="1">
      <alignment horizontal="center" vertical="center" wrapText="1"/>
    </xf>
    <xf numFmtId="4" fontId="9" fillId="4" borderId="16" xfId="7" applyNumberFormat="1" applyFont="1" applyFill="1" applyBorder="1" applyAlignment="1">
      <alignment horizontal="center" vertical="center" wrapText="1"/>
    </xf>
    <xf numFmtId="4" fontId="9" fillId="4" borderId="11" xfId="7" applyNumberFormat="1" applyFont="1" applyFill="1" applyBorder="1" applyAlignment="1">
      <alignment horizontal="center" vertical="center" wrapText="1"/>
    </xf>
    <xf numFmtId="0" fontId="9" fillId="4" borderId="22" xfId="7" applyFont="1" applyFill="1" applyBorder="1" applyAlignment="1">
      <alignment horizontal="center" vertical="center" wrapText="1"/>
    </xf>
    <xf numFmtId="0" fontId="9" fillId="4" borderId="14" xfId="7" applyFont="1" applyFill="1" applyBorder="1" applyAlignment="1">
      <alignment horizontal="center" vertical="center" wrapText="1"/>
    </xf>
    <xf numFmtId="0" fontId="9" fillId="4" borderId="21" xfId="7" applyFont="1" applyFill="1" applyBorder="1" applyAlignment="1">
      <alignment horizontal="center" vertical="center" wrapText="1"/>
    </xf>
    <xf numFmtId="0" fontId="9" fillId="4" borderId="34" xfId="7" applyFont="1" applyFill="1" applyBorder="1" applyAlignment="1">
      <alignment horizontal="center" vertical="center" wrapText="1"/>
    </xf>
    <xf numFmtId="0" fontId="8" fillId="3" borderId="33" xfId="7" applyFont="1" applyFill="1" applyBorder="1" applyAlignment="1">
      <alignment horizontal="left" vertical="center"/>
    </xf>
    <xf numFmtId="0" fontId="8" fillId="3" borderId="15" xfId="7" applyFont="1" applyFill="1" applyBorder="1" applyAlignment="1">
      <alignment horizontal="left" vertical="center"/>
    </xf>
    <xf numFmtId="0" fontId="8" fillId="3" borderId="32" xfId="7" applyFont="1" applyFill="1" applyBorder="1" applyAlignment="1">
      <alignment horizontal="left" vertical="center"/>
    </xf>
  </cellXfs>
  <cellStyles count="10">
    <cellStyle name="Comma [0] 2" xfId="6" xr:uid="{8D3EE7D9-450E-451D-AF95-1D1FBE4CB4CD}"/>
    <cellStyle name="Comma [0] 3" xfId="8" xr:uid="{6EA1D056-BA74-4E36-A3CA-CFC98EE1A64B}"/>
    <cellStyle name="Comma 2" xfId="3" xr:uid="{00000000-0005-0000-0000-000001000000}"/>
    <cellStyle name="Comma 2 2" xfId="5" xr:uid="{00000000-0005-0000-0000-000002000000}"/>
    <cellStyle name="Comma 3" xfId="4" xr:uid="{00000000-0005-0000-0000-000003000000}"/>
    <cellStyle name="Migliaia 2" xfId="1" xr:uid="{00000000-0005-0000-0000-000006000000}"/>
    <cellStyle name="Normal" xfId="0" builtinId="0"/>
    <cellStyle name="Normal 2" xfId="7" xr:uid="{38235E4B-54A7-4204-B2DC-08945CB9524B}"/>
    <cellStyle name="Normale 2" xfId="2" xr:uid="{00000000-0005-0000-0000-000008000000}"/>
    <cellStyle name="Percent 2" xfId="9" xr:uid="{716CCAC2-C442-421D-958E-416043F0C7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DATA.IDB/DOCS/DATA%20HUBERT/UTILS%20PRIVATE%20HUBERT/CDROMs/Arciv%20Evol%20Dossier%20Telech/ARCHIVESHQ/AFFAIRES/DOMINICA/Dominica%20DOM-V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inica DOM-V30"/>
    </sheetNames>
    <sheetDataSet>
      <sheetData sheetId="0">
        <row r="9">
          <cell r="D9">
            <v>1992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7F1EE-22F6-41EB-B7F5-73168CC6F731}">
  <dimension ref="A1:P105"/>
  <sheetViews>
    <sheetView tabSelected="1" topLeftCell="A31" workbookViewId="0" xr3:uid="{9A38DAA8-6D02-5E6F-9362-899A7B0D17A5}">
      <selection activeCell="E33" sqref="E33"/>
    </sheetView>
  </sheetViews>
  <sheetFormatPr defaultColWidth="11.42578125" defaultRowHeight="13.15"/>
  <cols>
    <col min="1" max="1" width="2.28515625" style="1" customWidth="1"/>
    <col min="2" max="2" width="18.5703125" style="1" customWidth="1"/>
    <col min="3" max="3" width="56.7109375" style="1" customWidth="1"/>
    <col min="4" max="4" width="20.28515625" style="1" customWidth="1"/>
    <col min="5" max="5" width="14.5703125" style="2" customWidth="1"/>
    <col min="6" max="6" width="13.28515625" style="1" customWidth="1"/>
    <col min="7" max="8" width="15.28515625" style="1" customWidth="1"/>
    <col min="9" max="9" width="18.28515625" style="1" customWidth="1"/>
    <col min="10" max="11" width="15.7109375" style="1" customWidth="1"/>
    <col min="12" max="12" width="18.5703125" style="1" customWidth="1"/>
    <col min="13" max="13" width="11.42578125" style="1"/>
    <col min="14" max="14" width="25" style="1" customWidth="1"/>
    <col min="15" max="16384" width="11.42578125" style="1"/>
  </cols>
  <sheetData>
    <row r="1" spans="1:16" ht="10.5" customHeight="1">
      <c r="A1" s="57"/>
      <c r="B1" s="55"/>
      <c r="C1" s="55"/>
      <c r="D1" s="55"/>
      <c r="E1" s="56"/>
      <c r="F1" s="55"/>
      <c r="G1" s="55"/>
      <c r="H1" s="55"/>
      <c r="I1" s="55"/>
      <c r="J1" s="55"/>
      <c r="K1" s="55"/>
      <c r="L1" s="55"/>
      <c r="O1" s="1" t="s">
        <v>0</v>
      </c>
      <c r="P1" s="58">
        <v>43388</v>
      </c>
    </row>
    <row r="2" spans="1:16" ht="21">
      <c r="A2" s="7"/>
      <c r="B2" s="146" t="s">
        <v>1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6" ht="21">
      <c r="A3" s="7"/>
      <c r="B3" s="146" t="s">
        <v>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6" ht="11.25" customHeight="1" thickBot="1">
      <c r="A4" s="7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6" ht="35.25" customHeight="1">
      <c r="A5" s="7"/>
      <c r="B5" s="147" t="s">
        <v>3</v>
      </c>
      <c r="C5" s="149" t="s">
        <v>4</v>
      </c>
      <c r="D5" s="151" t="s">
        <v>5</v>
      </c>
      <c r="E5" s="149" t="s">
        <v>6</v>
      </c>
      <c r="F5" s="149" t="s">
        <v>7</v>
      </c>
      <c r="G5" s="153" t="s">
        <v>8</v>
      </c>
      <c r="H5" s="154"/>
      <c r="I5" s="149" t="s">
        <v>9</v>
      </c>
      <c r="J5" s="149" t="s">
        <v>10</v>
      </c>
      <c r="K5" s="149"/>
      <c r="L5" s="155" t="s">
        <v>11</v>
      </c>
    </row>
    <row r="6" spans="1:16" ht="63.4" customHeight="1" thickBot="1">
      <c r="A6" s="7"/>
      <c r="B6" s="148"/>
      <c r="C6" s="150"/>
      <c r="D6" s="152"/>
      <c r="E6" s="150"/>
      <c r="F6" s="150"/>
      <c r="G6" s="106" t="s">
        <v>12</v>
      </c>
      <c r="H6" s="59" t="s">
        <v>13</v>
      </c>
      <c r="I6" s="150"/>
      <c r="J6" s="106" t="s">
        <v>14</v>
      </c>
      <c r="K6" s="106" t="s">
        <v>15</v>
      </c>
      <c r="L6" s="156"/>
    </row>
    <row r="7" spans="1:16" ht="27" customHeight="1">
      <c r="A7" s="7"/>
      <c r="B7" s="157" t="s">
        <v>16</v>
      </c>
      <c r="C7" s="158"/>
      <c r="D7" s="158"/>
      <c r="E7" s="158"/>
      <c r="F7" s="158"/>
      <c r="G7" s="158"/>
      <c r="H7" s="158"/>
      <c r="I7" s="158"/>
      <c r="J7" s="158"/>
      <c r="K7" s="158"/>
      <c r="L7" s="159"/>
    </row>
    <row r="8" spans="1:16" ht="34.5" customHeight="1">
      <c r="A8" s="7"/>
      <c r="B8" s="63" t="s">
        <v>17</v>
      </c>
      <c r="C8" s="64" t="s">
        <v>18</v>
      </c>
      <c r="D8" s="65">
        <v>1675000</v>
      </c>
      <c r="E8" s="66" t="s">
        <v>19</v>
      </c>
      <c r="F8" s="66" t="s">
        <v>20</v>
      </c>
      <c r="G8" s="67">
        <v>1</v>
      </c>
      <c r="H8" s="67">
        <v>0</v>
      </c>
      <c r="I8" s="66" t="s">
        <v>21</v>
      </c>
      <c r="J8" s="68">
        <f>+P1+300</f>
        <v>43688</v>
      </c>
      <c r="K8" s="68">
        <f>+J8+300</f>
        <v>43988</v>
      </c>
      <c r="L8" s="69" t="s">
        <v>22</v>
      </c>
    </row>
    <row r="9" spans="1:16" ht="34.5" customHeight="1">
      <c r="A9" s="7"/>
      <c r="B9" s="70" t="str">
        <f>+B8</f>
        <v>UTE-MEF</v>
      </c>
      <c r="C9" s="71" t="s">
        <v>23</v>
      </c>
      <c r="D9" s="72">
        <v>574000</v>
      </c>
      <c r="E9" s="73" t="s">
        <v>19</v>
      </c>
      <c r="F9" s="73" t="s">
        <v>20</v>
      </c>
      <c r="G9" s="74">
        <v>1</v>
      </c>
      <c r="H9" s="74">
        <v>0</v>
      </c>
      <c r="I9" s="73" t="s">
        <v>21</v>
      </c>
      <c r="J9" s="75">
        <v>44880</v>
      </c>
      <c r="K9" s="75">
        <f>+J9+300</f>
        <v>45180</v>
      </c>
      <c r="L9" s="76" t="s">
        <v>22</v>
      </c>
    </row>
    <row r="10" spans="1:16" ht="34.5" customHeight="1">
      <c r="A10" s="7"/>
      <c r="B10" s="70" t="str">
        <f>+B9</f>
        <v>UTE-MEF</v>
      </c>
      <c r="C10" s="71" t="s">
        <v>24</v>
      </c>
      <c r="D10" s="72">
        <v>1444000</v>
      </c>
      <c r="E10" s="73" t="s">
        <v>19</v>
      </c>
      <c r="F10" s="73" t="s">
        <v>20</v>
      </c>
      <c r="G10" s="74">
        <v>1</v>
      </c>
      <c r="H10" s="74">
        <v>0</v>
      </c>
      <c r="I10" s="73" t="s">
        <v>21</v>
      </c>
      <c r="J10" s="75">
        <f>+P1+250</f>
        <v>43638</v>
      </c>
      <c r="K10" s="75">
        <f>+J10+300</f>
        <v>43938</v>
      </c>
      <c r="L10" s="76" t="s">
        <v>22</v>
      </c>
    </row>
    <row r="11" spans="1:16" ht="35.25" customHeight="1">
      <c r="A11" s="7"/>
      <c r="B11" s="70" t="str">
        <f>+B10</f>
        <v>UTE-MEF</v>
      </c>
      <c r="C11" s="71" t="s">
        <v>25</v>
      </c>
      <c r="D11" s="72">
        <v>573000</v>
      </c>
      <c r="E11" s="73" t="s">
        <v>19</v>
      </c>
      <c r="F11" s="73" t="s">
        <v>26</v>
      </c>
      <c r="G11" s="74">
        <v>1</v>
      </c>
      <c r="H11" s="74">
        <v>0</v>
      </c>
      <c r="I11" s="73" t="s">
        <v>21</v>
      </c>
      <c r="J11" s="75">
        <f>+J10</f>
        <v>43638</v>
      </c>
      <c r="K11" s="75">
        <f>+K10</f>
        <v>43938</v>
      </c>
      <c r="L11" s="76" t="s">
        <v>22</v>
      </c>
    </row>
    <row r="12" spans="1:16" ht="35.25" customHeight="1">
      <c r="A12" s="7"/>
      <c r="B12" s="70" t="s">
        <v>27</v>
      </c>
      <c r="C12" s="71" t="s">
        <v>28</v>
      </c>
      <c r="D12" s="72">
        <v>350000</v>
      </c>
      <c r="E12" s="73" t="s">
        <v>29</v>
      </c>
      <c r="F12" s="73" t="s">
        <v>26</v>
      </c>
      <c r="G12" s="74">
        <v>1</v>
      </c>
      <c r="H12" s="74">
        <v>0</v>
      </c>
      <c r="I12" s="73" t="s">
        <v>21</v>
      </c>
      <c r="J12" s="75">
        <f>+K27-150</f>
        <v>43748</v>
      </c>
      <c r="K12" s="75">
        <f>+J12+180</f>
        <v>43928</v>
      </c>
      <c r="L12" s="76" t="s">
        <v>22</v>
      </c>
    </row>
    <row r="13" spans="1:16" ht="37.9">
      <c r="A13" s="7"/>
      <c r="B13" s="77" t="s">
        <v>27</v>
      </c>
      <c r="C13" s="71" t="s">
        <v>30</v>
      </c>
      <c r="D13" s="78">
        <v>530000</v>
      </c>
      <c r="E13" s="73" t="s">
        <v>19</v>
      </c>
      <c r="F13" s="73" t="s">
        <v>26</v>
      </c>
      <c r="G13" s="74">
        <v>1</v>
      </c>
      <c r="H13" s="74">
        <v>0</v>
      </c>
      <c r="I13" s="73" t="s">
        <v>21</v>
      </c>
      <c r="J13" s="79">
        <f>+P1+250</f>
        <v>43638</v>
      </c>
      <c r="K13" s="79">
        <f>+J13+270</f>
        <v>43908</v>
      </c>
      <c r="L13" s="76" t="s">
        <v>22</v>
      </c>
    </row>
    <row r="14" spans="1:16" ht="31.9" customHeight="1">
      <c r="A14" s="7"/>
      <c r="B14" s="77" t="s">
        <v>27</v>
      </c>
      <c r="C14" s="71" t="s">
        <v>31</v>
      </c>
      <c r="D14" s="78">
        <v>150000</v>
      </c>
      <c r="E14" s="73" t="s">
        <v>19</v>
      </c>
      <c r="F14" s="73" t="s">
        <v>26</v>
      </c>
      <c r="G14" s="74">
        <v>1</v>
      </c>
      <c r="H14" s="74">
        <v>0</v>
      </c>
      <c r="I14" s="73" t="s">
        <v>21</v>
      </c>
      <c r="J14" s="79">
        <f>+J13</f>
        <v>43638</v>
      </c>
      <c r="K14" s="79">
        <f>+K13</f>
        <v>43908</v>
      </c>
      <c r="L14" s="76" t="s">
        <v>22</v>
      </c>
    </row>
    <row r="15" spans="1:16" ht="37.9">
      <c r="A15" s="7"/>
      <c r="B15" s="80" t="s">
        <v>27</v>
      </c>
      <c r="C15" s="81" t="s">
        <v>32</v>
      </c>
      <c r="D15" s="82">
        <v>300000</v>
      </c>
      <c r="E15" s="83" t="s">
        <v>19</v>
      </c>
      <c r="F15" s="83" t="s">
        <v>26</v>
      </c>
      <c r="G15" s="84">
        <v>1</v>
      </c>
      <c r="H15" s="84">
        <v>0</v>
      </c>
      <c r="I15" s="83" t="s">
        <v>21</v>
      </c>
      <c r="J15" s="85">
        <f>+J14</f>
        <v>43638</v>
      </c>
      <c r="K15" s="85">
        <f>+K14</f>
        <v>43908</v>
      </c>
      <c r="L15" s="86" t="s">
        <v>22</v>
      </c>
    </row>
    <row r="16" spans="1:16" ht="20.100000000000001" customHeight="1">
      <c r="A16" s="7"/>
      <c r="B16" s="53"/>
      <c r="C16" s="52" t="s">
        <v>33</v>
      </c>
      <c r="D16" s="49">
        <f>SUM(D8:D15)</f>
        <v>5596000</v>
      </c>
      <c r="E16" s="46"/>
      <c r="F16" s="46"/>
      <c r="G16" s="47"/>
      <c r="H16" s="47"/>
      <c r="I16" s="46"/>
      <c r="J16" s="45"/>
      <c r="K16" s="45"/>
      <c r="L16" s="44"/>
    </row>
    <row r="17" spans="1:14" ht="5.25" customHeight="1">
      <c r="A17" s="7"/>
      <c r="B17" s="24"/>
      <c r="C17" s="23"/>
      <c r="D17" s="22"/>
      <c r="E17" s="19"/>
      <c r="F17" s="19"/>
      <c r="G17" s="20"/>
      <c r="H17" s="20"/>
      <c r="I17" s="19"/>
      <c r="J17" s="18"/>
      <c r="K17" s="18"/>
      <c r="L17" s="17"/>
    </row>
    <row r="18" spans="1:14" ht="25.5" customHeight="1">
      <c r="A18" s="7"/>
      <c r="B18" s="141" t="s">
        <v>34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3"/>
    </row>
    <row r="19" spans="1:14" s="8" customFormat="1" ht="25.15">
      <c r="A19" s="16"/>
      <c r="B19" s="63" t="str">
        <f>+B8</f>
        <v>UTE-MEF</v>
      </c>
      <c r="C19" s="87" t="s">
        <v>35</v>
      </c>
      <c r="D19" s="88">
        <v>340000</v>
      </c>
      <c r="E19" s="66" t="s">
        <v>36</v>
      </c>
      <c r="F19" s="66" t="s">
        <v>20</v>
      </c>
      <c r="G19" s="67">
        <v>1</v>
      </c>
      <c r="H19" s="67">
        <v>0</v>
      </c>
      <c r="I19" s="89" t="s">
        <v>21</v>
      </c>
      <c r="J19" s="68">
        <f>+P1+120</f>
        <v>43508</v>
      </c>
      <c r="K19" s="68">
        <f>+J19+150</f>
        <v>43658</v>
      </c>
      <c r="L19" s="69" t="s">
        <v>22</v>
      </c>
    </row>
    <row r="20" spans="1:14" s="8" customFormat="1" ht="25.15">
      <c r="A20" s="16"/>
      <c r="B20" s="77" t="str">
        <f>+B8</f>
        <v>UTE-MEF</v>
      </c>
      <c r="C20" s="90" t="s">
        <v>37</v>
      </c>
      <c r="D20" s="91">
        <v>6785000</v>
      </c>
      <c r="E20" s="73" t="s">
        <v>19</v>
      </c>
      <c r="F20" s="73" t="s">
        <v>20</v>
      </c>
      <c r="G20" s="74">
        <v>1</v>
      </c>
      <c r="H20" s="74">
        <v>0</v>
      </c>
      <c r="I20" s="92" t="s">
        <v>38</v>
      </c>
      <c r="J20" s="75">
        <f>+J19-30</f>
        <v>43478</v>
      </c>
      <c r="K20" s="75">
        <f>+J20+700</f>
        <v>44178</v>
      </c>
      <c r="L20" s="76" t="s">
        <v>22</v>
      </c>
    </row>
    <row r="21" spans="1:14" s="8" customFormat="1" ht="24.75" customHeight="1">
      <c r="A21" s="16"/>
      <c r="B21" s="70" t="str">
        <f>+B20</f>
        <v>UTE-MEF</v>
      </c>
      <c r="C21" s="90" t="s">
        <v>39</v>
      </c>
      <c r="D21" s="91">
        <v>178000</v>
      </c>
      <c r="E21" s="73" t="s">
        <v>36</v>
      </c>
      <c r="F21" s="73" t="s">
        <v>20</v>
      </c>
      <c r="G21" s="74">
        <v>1</v>
      </c>
      <c r="H21" s="74">
        <v>0</v>
      </c>
      <c r="I21" s="92" t="s">
        <v>21</v>
      </c>
      <c r="J21" s="75">
        <f>+J19</f>
        <v>43508</v>
      </c>
      <c r="K21" s="75">
        <f>+J21+180</f>
        <v>43688</v>
      </c>
      <c r="L21" s="76" t="s">
        <v>22</v>
      </c>
    </row>
    <row r="22" spans="1:14" s="8" customFormat="1" ht="30.75" customHeight="1">
      <c r="A22" s="16"/>
      <c r="B22" s="70" t="str">
        <f>+B21</f>
        <v>UTE-MEF</v>
      </c>
      <c r="C22" s="90" t="s">
        <v>40</v>
      </c>
      <c r="D22" s="91">
        <v>5017000</v>
      </c>
      <c r="E22" s="73" t="s">
        <v>19</v>
      </c>
      <c r="F22" s="73" t="s">
        <v>20</v>
      </c>
      <c r="G22" s="74">
        <v>1</v>
      </c>
      <c r="H22" s="74">
        <v>0</v>
      </c>
      <c r="I22" s="92" t="s">
        <v>38</v>
      </c>
      <c r="J22" s="75">
        <v>44362</v>
      </c>
      <c r="K22" s="75">
        <f>+J22+850</f>
        <v>45212</v>
      </c>
      <c r="L22" s="76" t="s">
        <v>22</v>
      </c>
    </row>
    <row r="23" spans="1:14" s="8" customFormat="1" ht="25.15">
      <c r="A23" s="16"/>
      <c r="B23" s="77" t="str">
        <f>+B22</f>
        <v>UTE-MEF</v>
      </c>
      <c r="C23" s="90" t="s">
        <v>41</v>
      </c>
      <c r="D23" s="91">
        <v>2228000</v>
      </c>
      <c r="E23" s="73" t="s">
        <v>19</v>
      </c>
      <c r="F23" s="73" t="s">
        <v>20</v>
      </c>
      <c r="G23" s="74">
        <v>1</v>
      </c>
      <c r="H23" s="74">
        <v>0</v>
      </c>
      <c r="I23" s="92" t="s">
        <v>38</v>
      </c>
      <c r="J23" s="75">
        <v>44576</v>
      </c>
      <c r="K23" s="75">
        <f>+J23+690</f>
        <v>45266</v>
      </c>
      <c r="L23" s="76" t="s">
        <v>22</v>
      </c>
    </row>
    <row r="24" spans="1:14" s="8" customFormat="1" ht="20.25" customHeight="1">
      <c r="A24" s="16"/>
      <c r="B24" s="70" t="str">
        <f>+B22</f>
        <v>UTE-MEF</v>
      </c>
      <c r="C24" s="90" t="s">
        <v>42</v>
      </c>
      <c r="D24" s="91">
        <v>1275000</v>
      </c>
      <c r="E24" s="73" t="s">
        <v>19</v>
      </c>
      <c r="F24" s="73" t="s">
        <v>20</v>
      </c>
      <c r="G24" s="74">
        <v>1</v>
      </c>
      <c r="H24" s="74">
        <v>0</v>
      </c>
      <c r="I24" s="92" t="s">
        <v>21</v>
      </c>
      <c r="J24" s="75">
        <f>+P1+150</f>
        <v>43538</v>
      </c>
      <c r="K24" s="75">
        <f>+J24+400</f>
        <v>43938</v>
      </c>
      <c r="L24" s="76" t="s">
        <v>22</v>
      </c>
      <c r="N24" s="131" t="s">
        <v>43</v>
      </c>
    </row>
    <row r="25" spans="1:14" s="8" customFormat="1" ht="25.15">
      <c r="A25" s="16"/>
      <c r="B25" s="70" t="str">
        <f>+B24</f>
        <v>UTE-MEF</v>
      </c>
      <c r="C25" s="90" t="s">
        <v>44</v>
      </c>
      <c r="D25" s="91">
        <v>780000</v>
      </c>
      <c r="E25" s="73" t="s">
        <v>36</v>
      </c>
      <c r="F25" s="73" t="s">
        <v>20</v>
      </c>
      <c r="G25" s="74">
        <v>1</v>
      </c>
      <c r="H25" s="74">
        <v>0</v>
      </c>
      <c r="I25" s="92" t="s">
        <v>21</v>
      </c>
      <c r="J25" s="75">
        <f>+P1+90</f>
        <v>43478</v>
      </c>
      <c r="K25" s="75">
        <f>+J25+400</f>
        <v>43878</v>
      </c>
      <c r="L25" s="76" t="s">
        <v>22</v>
      </c>
    </row>
    <row r="26" spans="1:14" s="8" customFormat="1" ht="25.15" customHeight="1">
      <c r="A26" s="16"/>
      <c r="B26" s="70" t="str">
        <f>+B35</f>
        <v>UTE-MEF</v>
      </c>
      <c r="C26" s="90" t="s">
        <v>45</v>
      </c>
      <c r="D26" s="91">
        <v>1500000</v>
      </c>
      <c r="E26" s="73" t="s">
        <v>36</v>
      </c>
      <c r="F26" s="73" t="s">
        <v>20</v>
      </c>
      <c r="G26" s="74">
        <v>1</v>
      </c>
      <c r="H26" s="74">
        <v>0</v>
      </c>
      <c r="I26" s="92" t="s">
        <v>21</v>
      </c>
      <c r="J26" s="75">
        <f>+J25</f>
        <v>43478</v>
      </c>
      <c r="K26" s="75">
        <f>+J26+850</f>
        <v>44328</v>
      </c>
      <c r="L26" s="76" t="s">
        <v>22</v>
      </c>
      <c r="N26" s="132" t="s">
        <v>46</v>
      </c>
    </row>
    <row r="27" spans="1:14" s="8" customFormat="1" ht="25.15">
      <c r="A27" s="16"/>
      <c r="B27" s="70" t="str">
        <f>+B13</f>
        <v>DCT/MICT</v>
      </c>
      <c r="C27" s="90" t="s">
        <v>47</v>
      </c>
      <c r="D27" s="91">
        <v>850000</v>
      </c>
      <c r="E27" s="73" t="s">
        <v>36</v>
      </c>
      <c r="F27" s="73" t="s">
        <v>20</v>
      </c>
      <c r="G27" s="74">
        <v>1</v>
      </c>
      <c r="H27" s="74">
        <v>0</v>
      </c>
      <c r="I27" s="92" t="s">
        <v>21</v>
      </c>
      <c r="J27" s="75">
        <f>+P1+60</f>
        <v>43448</v>
      </c>
      <c r="K27" s="75">
        <f>+J27+450</f>
        <v>43898</v>
      </c>
      <c r="L27" s="76" t="s">
        <v>22</v>
      </c>
    </row>
    <row r="28" spans="1:14" s="8" customFormat="1" ht="25.15">
      <c r="A28" s="16"/>
      <c r="B28" s="70" t="str">
        <f>+B27</f>
        <v>DCT/MICT</v>
      </c>
      <c r="C28" s="90" t="s">
        <v>48</v>
      </c>
      <c r="D28" s="91">
        <v>100000</v>
      </c>
      <c r="E28" s="73" t="s">
        <v>36</v>
      </c>
      <c r="F28" s="73" t="s">
        <v>20</v>
      </c>
      <c r="G28" s="74">
        <v>1</v>
      </c>
      <c r="H28" s="74">
        <v>0</v>
      </c>
      <c r="I28" s="92" t="s">
        <v>21</v>
      </c>
      <c r="J28" s="75">
        <f>+J27+60</f>
        <v>43508</v>
      </c>
      <c r="K28" s="75">
        <f>+J28+400</f>
        <v>43908</v>
      </c>
      <c r="L28" s="76" t="s">
        <v>22</v>
      </c>
    </row>
    <row r="29" spans="1:14" s="8" customFormat="1" ht="25.15">
      <c r="A29" s="16"/>
      <c r="B29" s="93" t="str">
        <f>+B28</f>
        <v>DCT/MICT</v>
      </c>
      <c r="C29" s="94" t="s">
        <v>49</v>
      </c>
      <c r="D29" s="95">
        <v>200000</v>
      </c>
      <c r="E29" s="83" t="s">
        <v>36</v>
      </c>
      <c r="F29" s="83" t="s">
        <v>20</v>
      </c>
      <c r="G29" s="84">
        <v>1</v>
      </c>
      <c r="H29" s="84">
        <v>0</v>
      </c>
      <c r="I29" s="96" t="s">
        <v>21</v>
      </c>
      <c r="J29" s="97">
        <f>+J28+180</f>
        <v>43688</v>
      </c>
      <c r="K29" s="97">
        <f>+J29+500</f>
        <v>44188</v>
      </c>
      <c r="L29" s="86" t="s">
        <v>22</v>
      </c>
    </row>
    <row r="30" spans="1:14" ht="20.100000000000001" customHeight="1">
      <c r="A30" s="7"/>
      <c r="B30" s="53"/>
      <c r="C30" s="52" t="s">
        <v>50</v>
      </c>
      <c r="D30" s="49">
        <f>SUM(D19:D29)</f>
        <v>19253000</v>
      </c>
      <c r="E30" s="46"/>
      <c r="F30" s="46"/>
      <c r="G30" s="47"/>
      <c r="H30" s="47"/>
      <c r="I30" s="46"/>
      <c r="J30" s="45"/>
      <c r="K30" s="45"/>
      <c r="L30" s="44"/>
    </row>
    <row r="31" spans="1:14" ht="4.5" customHeight="1">
      <c r="A31" s="7"/>
      <c r="B31" s="24"/>
      <c r="C31" s="23"/>
      <c r="D31" s="22"/>
      <c r="E31" s="19"/>
      <c r="F31" s="19"/>
      <c r="G31" s="20"/>
      <c r="H31" s="20"/>
      <c r="I31" s="19"/>
      <c r="J31" s="18"/>
      <c r="K31" s="18"/>
      <c r="L31" s="17"/>
    </row>
    <row r="32" spans="1:14" ht="30" customHeight="1">
      <c r="A32" s="7"/>
      <c r="B32" s="141" t="s">
        <v>51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3"/>
    </row>
    <row r="33" spans="1:14" s="8" customFormat="1" ht="42" customHeight="1">
      <c r="A33" s="16"/>
      <c r="B33" s="63" t="str">
        <f>+B8</f>
        <v>UTE-MEF</v>
      </c>
      <c r="C33" s="87" t="s">
        <v>52</v>
      </c>
      <c r="D33" s="88">
        <v>315000</v>
      </c>
      <c r="E33" s="89" t="s">
        <v>46</v>
      </c>
      <c r="F33" s="66" t="s">
        <v>20</v>
      </c>
      <c r="G33" s="67">
        <v>1</v>
      </c>
      <c r="H33" s="67">
        <v>0</v>
      </c>
      <c r="I33" s="66" t="s">
        <v>21</v>
      </c>
      <c r="J33" s="68">
        <f>+P1+720</f>
        <v>44108</v>
      </c>
      <c r="K33" s="68">
        <f>+J33+1080</f>
        <v>45188</v>
      </c>
      <c r="L33" s="69" t="s">
        <v>22</v>
      </c>
      <c r="N33" s="51"/>
    </row>
    <row r="34" spans="1:14" s="8" customFormat="1" ht="30" customHeight="1">
      <c r="A34" s="16"/>
      <c r="B34" s="70" t="str">
        <f>+B33</f>
        <v>UTE-MEF</v>
      </c>
      <c r="C34" s="90" t="s">
        <v>53</v>
      </c>
      <c r="D34" s="91">
        <v>460000</v>
      </c>
      <c r="E34" s="92" t="s">
        <v>46</v>
      </c>
      <c r="F34" s="73" t="s">
        <v>20</v>
      </c>
      <c r="G34" s="74">
        <v>1</v>
      </c>
      <c r="H34" s="74">
        <v>0</v>
      </c>
      <c r="I34" s="73" t="s">
        <v>21</v>
      </c>
      <c r="J34" s="75">
        <f>+P1+90</f>
        <v>43478</v>
      </c>
      <c r="K34" s="75">
        <f>+J34+400</f>
        <v>43878</v>
      </c>
      <c r="L34" s="76" t="s">
        <v>22</v>
      </c>
    </row>
    <row r="35" spans="1:14" s="8" customFormat="1" ht="25.15">
      <c r="A35" s="16"/>
      <c r="B35" s="77" t="str">
        <f>+B9</f>
        <v>UTE-MEF</v>
      </c>
      <c r="C35" s="90" t="s">
        <v>54</v>
      </c>
      <c r="D35" s="91">
        <v>2591000</v>
      </c>
      <c r="E35" s="73" t="s">
        <v>19</v>
      </c>
      <c r="F35" s="73" t="s">
        <v>20</v>
      </c>
      <c r="G35" s="74">
        <v>0.498</v>
      </c>
      <c r="H35" s="74">
        <v>0.502</v>
      </c>
      <c r="I35" s="92" t="s">
        <v>38</v>
      </c>
      <c r="J35" s="75">
        <f>+K19-360</f>
        <v>43298</v>
      </c>
      <c r="K35" s="75">
        <f>+J35+1970</f>
        <v>45268</v>
      </c>
      <c r="L35" s="76" t="s">
        <v>22</v>
      </c>
    </row>
    <row r="36" spans="1:14" s="8" customFormat="1" ht="37.9">
      <c r="A36" s="16"/>
      <c r="B36" s="93" t="str">
        <f>+B27</f>
        <v>DCT/MICT</v>
      </c>
      <c r="C36" s="94" t="s">
        <v>55</v>
      </c>
      <c r="D36" s="95">
        <v>300000</v>
      </c>
      <c r="E36" s="83" t="s">
        <v>19</v>
      </c>
      <c r="F36" s="83" t="s">
        <v>20</v>
      </c>
      <c r="G36" s="84">
        <v>1</v>
      </c>
      <c r="H36" s="84">
        <v>0</v>
      </c>
      <c r="I36" s="83" t="s">
        <v>21</v>
      </c>
      <c r="J36" s="97">
        <f>+P1+120</f>
        <v>43508</v>
      </c>
      <c r="K36" s="97">
        <f>+J36+400</f>
        <v>43908</v>
      </c>
      <c r="L36" s="86" t="s">
        <v>22</v>
      </c>
    </row>
    <row r="37" spans="1:14" ht="20.25" customHeight="1">
      <c r="A37" s="7"/>
      <c r="B37" s="139" t="s">
        <v>56</v>
      </c>
      <c r="C37" s="140"/>
      <c r="D37" s="49">
        <f>SUM(D33:D36)</f>
        <v>3666000</v>
      </c>
      <c r="E37" s="46"/>
      <c r="F37" s="46"/>
      <c r="G37" s="50"/>
      <c r="H37" s="50"/>
      <c r="I37" s="46"/>
      <c r="J37" s="45"/>
      <c r="K37" s="45"/>
      <c r="L37" s="44"/>
    </row>
    <row r="38" spans="1:14" ht="4.5" customHeight="1">
      <c r="A38" s="7"/>
      <c r="B38" s="24"/>
      <c r="C38" s="23"/>
      <c r="D38" s="22"/>
      <c r="E38" s="19"/>
      <c r="F38" s="19"/>
      <c r="G38" s="20"/>
      <c r="H38" s="20"/>
      <c r="I38" s="19"/>
      <c r="J38" s="18"/>
      <c r="K38" s="18"/>
      <c r="L38" s="17"/>
    </row>
    <row r="39" spans="1:14" ht="30.75" customHeight="1">
      <c r="A39" s="7"/>
      <c r="B39" s="141" t="s">
        <v>57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3"/>
    </row>
    <row r="40" spans="1:14" s="8" customFormat="1" ht="31.5" customHeight="1">
      <c r="A40" s="16"/>
      <c r="B40" s="63" t="str">
        <f>+B8</f>
        <v>UTE-MEF</v>
      </c>
      <c r="C40" s="87" t="s">
        <v>58</v>
      </c>
      <c r="D40" s="88">
        <v>94000</v>
      </c>
      <c r="E40" s="66" t="s">
        <v>59</v>
      </c>
      <c r="F40" s="66" t="s">
        <v>20</v>
      </c>
      <c r="G40" s="67">
        <v>1</v>
      </c>
      <c r="H40" s="67">
        <v>0</v>
      </c>
      <c r="I40" s="66" t="s">
        <v>21</v>
      </c>
      <c r="J40" s="68">
        <f>+J20-90</f>
        <v>43388</v>
      </c>
      <c r="K40" s="68">
        <f>+J40+90</f>
        <v>43478</v>
      </c>
      <c r="L40" s="69" t="s">
        <v>22</v>
      </c>
    </row>
    <row r="41" spans="1:14" s="8" customFormat="1" ht="29.25" customHeight="1">
      <c r="A41" s="16"/>
      <c r="B41" s="70" t="str">
        <f>+B40</f>
        <v>UTE-MEF</v>
      </c>
      <c r="C41" s="90" t="s">
        <v>60</v>
      </c>
      <c r="D41" s="91">
        <v>103000</v>
      </c>
      <c r="E41" s="73" t="s">
        <v>59</v>
      </c>
      <c r="F41" s="73" t="s">
        <v>20</v>
      </c>
      <c r="G41" s="74">
        <v>1</v>
      </c>
      <c r="H41" s="74">
        <v>0</v>
      </c>
      <c r="I41" s="73" t="s">
        <v>21</v>
      </c>
      <c r="J41" s="75">
        <f>+J22-180</f>
        <v>44182</v>
      </c>
      <c r="K41" s="75">
        <f>+J41+180</f>
        <v>44362</v>
      </c>
      <c r="L41" s="76" t="s">
        <v>22</v>
      </c>
    </row>
    <row r="42" spans="1:14" s="8" customFormat="1" ht="37.9">
      <c r="A42" s="16"/>
      <c r="B42" s="70" t="str">
        <f>+B58</f>
        <v>UTE-MEF</v>
      </c>
      <c r="C42" s="90" t="s">
        <v>61</v>
      </c>
      <c r="D42" s="91">
        <v>1088000</v>
      </c>
      <c r="E42" s="92" t="s">
        <v>59</v>
      </c>
      <c r="F42" s="73" t="s">
        <v>20</v>
      </c>
      <c r="G42" s="74">
        <v>1</v>
      </c>
      <c r="H42" s="74">
        <v>0</v>
      </c>
      <c r="I42" s="73" t="s">
        <v>21</v>
      </c>
      <c r="J42" s="75">
        <f>+J40</f>
        <v>43388</v>
      </c>
      <c r="K42" s="75">
        <f>+K22</f>
        <v>45212</v>
      </c>
      <c r="L42" s="76" t="s">
        <v>22</v>
      </c>
    </row>
    <row r="43" spans="1:14" s="8" customFormat="1" ht="26.25" customHeight="1">
      <c r="A43" s="16"/>
      <c r="B43" s="70" t="str">
        <f>+B42</f>
        <v>UTE-MEF</v>
      </c>
      <c r="C43" s="90" t="s">
        <v>62</v>
      </c>
      <c r="D43" s="91">
        <v>74000</v>
      </c>
      <c r="E43" s="92" t="s">
        <v>59</v>
      </c>
      <c r="F43" s="73" t="s">
        <v>20</v>
      </c>
      <c r="G43" s="74">
        <v>1</v>
      </c>
      <c r="H43" s="74">
        <v>0</v>
      </c>
      <c r="I43" s="73" t="s">
        <v>21</v>
      </c>
      <c r="J43" s="75">
        <f>+P1</f>
        <v>43388</v>
      </c>
      <c r="K43" s="75">
        <f>+J43+400</f>
        <v>43788</v>
      </c>
      <c r="L43" s="76" t="s">
        <v>22</v>
      </c>
      <c r="N43" s="51"/>
    </row>
    <row r="44" spans="1:14" s="8" customFormat="1" ht="26.25" customHeight="1">
      <c r="A44" s="16"/>
      <c r="B44" s="70" t="str">
        <f>+B43</f>
        <v>UTE-MEF</v>
      </c>
      <c r="C44" s="90" t="s">
        <v>63</v>
      </c>
      <c r="D44" s="91">
        <v>110000</v>
      </c>
      <c r="E44" s="92" t="s">
        <v>59</v>
      </c>
      <c r="F44" s="73" t="s">
        <v>20</v>
      </c>
      <c r="G44" s="74">
        <v>1</v>
      </c>
      <c r="H44" s="74">
        <v>0</v>
      </c>
      <c r="I44" s="73" t="s">
        <v>21</v>
      </c>
      <c r="J44" s="75">
        <f>+J43</f>
        <v>43388</v>
      </c>
      <c r="K44" s="75">
        <f>+J44+320</f>
        <v>43708</v>
      </c>
      <c r="L44" s="76" t="s">
        <v>22</v>
      </c>
      <c r="N44" s="51"/>
    </row>
    <row r="45" spans="1:14" s="8" customFormat="1" ht="35.25" customHeight="1">
      <c r="A45" s="16"/>
      <c r="B45" s="70" t="str">
        <f>+B43</f>
        <v>UTE-MEF</v>
      </c>
      <c r="C45" s="90" t="s">
        <v>64</v>
      </c>
      <c r="D45" s="91">
        <v>92000</v>
      </c>
      <c r="E45" s="92" t="s">
        <v>59</v>
      </c>
      <c r="F45" s="73" t="s">
        <v>20</v>
      </c>
      <c r="G45" s="74">
        <v>1</v>
      </c>
      <c r="H45" s="74">
        <v>0</v>
      </c>
      <c r="I45" s="73" t="s">
        <v>21</v>
      </c>
      <c r="J45" s="75">
        <f>+J44</f>
        <v>43388</v>
      </c>
      <c r="K45" s="75">
        <f>+K44</f>
        <v>43708</v>
      </c>
      <c r="L45" s="76" t="s">
        <v>22</v>
      </c>
    </row>
    <row r="46" spans="1:14" s="8" customFormat="1" ht="35.25" customHeight="1">
      <c r="A46" s="16"/>
      <c r="B46" s="70" t="str">
        <f>+B45</f>
        <v>UTE-MEF</v>
      </c>
      <c r="C46" s="90" t="s">
        <v>65</v>
      </c>
      <c r="D46" s="91">
        <v>150000</v>
      </c>
      <c r="E46" s="92" t="s">
        <v>59</v>
      </c>
      <c r="F46" s="73" t="s">
        <v>20</v>
      </c>
      <c r="G46" s="74">
        <v>1</v>
      </c>
      <c r="H46" s="74">
        <v>0</v>
      </c>
      <c r="I46" s="73" t="s">
        <v>21</v>
      </c>
      <c r="J46" s="75">
        <f>+J26-60</f>
        <v>43418</v>
      </c>
      <c r="K46" s="75">
        <f>+K26</f>
        <v>44328</v>
      </c>
      <c r="L46" s="76" t="s">
        <v>22</v>
      </c>
    </row>
    <row r="47" spans="1:14" s="8" customFormat="1" ht="35.25" customHeight="1">
      <c r="A47" s="16"/>
      <c r="B47" s="70" t="str">
        <f>+B46</f>
        <v>UTE-MEF</v>
      </c>
      <c r="C47" s="90" t="s">
        <v>66</v>
      </c>
      <c r="D47" s="91">
        <v>500000</v>
      </c>
      <c r="E47" s="92" t="s">
        <v>59</v>
      </c>
      <c r="F47" s="73" t="s">
        <v>20</v>
      </c>
      <c r="G47" s="74">
        <v>1</v>
      </c>
      <c r="H47" s="74">
        <v>0</v>
      </c>
      <c r="I47" s="73" t="s">
        <v>21</v>
      </c>
      <c r="J47" s="75">
        <f>+J46</f>
        <v>43418</v>
      </c>
      <c r="K47" s="75">
        <v>44180</v>
      </c>
      <c r="L47" s="76" t="s">
        <v>22</v>
      </c>
    </row>
    <row r="48" spans="1:14" s="8" customFormat="1">
      <c r="A48" s="16"/>
      <c r="B48" s="70" t="str">
        <f>+B36</f>
        <v>DCT/MICT</v>
      </c>
      <c r="C48" s="90" t="s">
        <v>67</v>
      </c>
      <c r="D48" s="91">
        <v>140000</v>
      </c>
      <c r="E48" s="92" t="s">
        <v>59</v>
      </c>
      <c r="F48" s="73" t="s">
        <v>20</v>
      </c>
      <c r="G48" s="74">
        <v>1</v>
      </c>
      <c r="H48" s="74">
        <v>0</v>
      </c>
      <c r="I48" s="73" t="s">
        <v>21</v>
      </c>
      <c r="J48" s="75">
        <f>+P1+60</f>
        <v>43448</v>
      </c>
      <c r="K48" s="75">
        <f>+J48+120</f>
        <v>43568</v>
      </c>
      <c r="L48" s="76" t="s">
        <v>22</v>
      </c>
    </row>
    <row r="49" spans="1:14" s="8" customFormat="1">
      <c r="A49" s="16"/>
      <c r="B49" s="70" t="str">
        <f>B36</f>
        <v>DCT/MICT</v>
      </c>
      <c r="C49" s="90" t="s">
        <v>68</v>
      </c>
      <c r="D49" s="91">
        <v>10000</v>
      </c>
      <c r="E49" s="92" t="s">
        <v>59</v>
      </c>
      <c r="F49" s="73" t="s">
        <v>20</v>
      </c>
      <c r="G49" s="74">
        <v>1</v>
      </c>
      <c r="H49" s="74">
        <v>0</v>
      </c>
      <c r="I49" s="73" t="s">
        <v>21</v>
      </c>
      <c r="J49" s="75">
        <f>J48</f>
        <v>43448</v>
      </c>
      <c r="K49" s="75">
        <f>+J49+120</f>
        <v>43568</v>
      </c>
      <c r="L49" s="76" t="s">
        <v>22</v>
      </c>
    </row>
    <row r="50" spans="1:14" s="8" customFormat="1" ht="28.5" customHeight="1">
      <c r="A50" s="16"/>
      <c r="B50" s="70" t="str">
        <f>+B48</f>
        <v>DCT/MICT</v>
      </c>
      <c r="C50" s="90" t="s">
        <v>69</v>
      </c>
      <c r="D50" s="91">
        <v>1000000</v>
      </c>
      <c r="E50" s="92" t="s">
        <v>59</v>
      </c>
      <c r="F50" s="73" t="s">
        <v>20</v>
      </c>
      <c r="G50" s="74">
        <v>1</v>
      </c>
      <c r="H50" s="74">
        <v>0</v>
      </c>
      <c r="I50" s="73" t="s">
        <v>21</v>
      </c>
      <c r="J50" s="75">
        <f>+P1+90</f>
        <v>43478</v>
      </c>
      <c r="K50" s="75">
        <f>+J50+1100</f>
        <v>44578</v>
      </c>
      <c r="L50" s="76" t="s">
        <v>22</v>
      </c>
      <c r="N50" s="8">
        <f>+N40</f>
        <v>0</v>
      </c>
    </row>
    <row r="51" spans="1:14" s="8" customFormat="1" ht="37.9">
      <c r="A51" s="16"/>
      <c r="B51" s="70" t="str">
        <f>+B48</f>
        <v>DCT/MICT</v>
      </c>
      <c r="C51" s="90" t="s">
        <v>70</v>
      </c>
      <c r="D51" s="91">
        <v>300000</v>
      </c>
      <c r="E51" s="92" t="s">
        <v>59</v>
      </c>
      <c r="F51" s="73" t="s">
        <v>20</v>
      </c>
      <c r="G51" s="74">
        <v>1</v>
      </c>
      <c r="H51" s="74">
        <v>0</v>
      </c>
      <c r="I51" s="73" t="s">
        <v>21</v>
      </c>
      <c r="J51" s="75">
        <f>+P1+240</f>
        <v>43628</v>
      </c>
      <c r="K51" s="75">
        <f>+J51+930</f>
        <v>44558</v>
      </c>
      <c r="L51" s="76" t="s">
        <v>22</v>
      </c>
    </row>
    <row r="52" spans="1:14" s="8" customFormat="1" ht="25.15">
      <c r="A52" s="16"/>
      <c r="B52" s="70" t="str">
        <f>+B49</f>
        <v>DCT/MICT</v>
      </c>
      <c r="C52" s="90" t="s">
        <v>71</v>
      </c>
      <c r="D52" s="91">
        <v>300000</v>
      </c>
      <c r="E52" s="92" t="s">
        <v>59</v>
      </c>
      <c r="F52" s="73" t="s">
        <v>20</v>
      </c>
      <c r="G52" s="74">
        <v>1</v>
      </c>
      <c r="H52" s="74">
        <v>0</v>
      </c>
      <c r="I52" s="73" t="s">
        <v>21</v>
      </c>
      <c r="J52" s="75">
        <f>+J48</f>
        <v>43448</v>
      </c>
      <c r="K52" s="75">
        <f>+J52+1700</f>
        <v>45148</v>
      </c>
      <c r="L52" s="76" t="s">
        <v>22</v>
      </c>
    </row>
    <row r="53" spans="1:14" s="8" customFormat="1" ht="35.25" customHeight="1">
      <c r="A53" s="16"/>
      <c r="B53" s="93" t="s">
        <v>27</v>
      </c>
      <c r="C53" s="94" t="s">
        <v>72</v>
      </c>
      <c r="D53" s="95">
        <v>250000</v>
      </c>
      <c r="E53" s="96" t="s">
        <v>59</v>
      </c>
      <c r="F53" s="83" t="s">
        <v>20</v>
      </c>
      <c r="G53" s="84">
        <v>1</v>
      </c>
      <c r="H53" s="84">
        <v>0</v>
      </c>
      <c r="I53" s="83" t="s">
        <v>21</v>
      </c>
      <c r="J53" s="97">
        <f>+J73</f>
        <v>44124</v>
      </c>
      <c r="K53" s="97" t="str">
        <f>+K73</f>
        <v>Ene-21</v>
      </c>
      <c r="L53" s="86" t="s">
        <v>22</v>
      </c>
    </row>
    <row r="54" spans="1:14" ht="20.25" customHeight="1">
      <c r="A54" s="7"/>
      <c r="B54" s="139" t="s">
        <v>56</v>
      </c>
      <c r="C54" s="140"/>
      <c r="D54" s="49">
        <f>SUM(D40:D53)</f>
        <v>4211000</v>
      </c>
      <c r="E54" s="46"/>
      <c r="F54" s="46"/>
      <c r="G54" s="50"/>
      <c r="H54" s="50"/>
      <c r="I54" s="46"/>
      <c r="J54" s="45"/>
      <c r="K54" s="45"/>
      <c r="L54" s="44"/>
    </row>
    <row r="55" spans="1:14" ht="4.5" customHeight="1">
      <c r="A55" s="7"/>
      <c r="B55" s="24"/>
      <c r="C55" s="23"/>
      <c r="D55" s="22"/>
      <c r="E55" s="19"/>
      <c r="F55" s="19"/>
      <c r="G55" s="20"/>
      <c r="H55" s="20"/>
      <c r="I55" s="19"/>
      <c r="J55" s="18"/>
      <c r="K55" s="18"/>
      <c r="L55" s="17"/>
    </row>
    <row r="56" spans="1:14" ht="29.25" customHeight="1">
      <c r="A56" s="7"/>
      <c r="B56" s="141" t="s">
        <v>73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3"/>
    </row>
    <row r="57" spans="1:14" s="8" customFormat="1" ht="28.5" customHeight="1">
      <c r="A57" s="16"/>
      <c r="B57" s="98" t="str">
        <f>+B8</f>
        <v>UTE-MEF</v>
      </c>
      <c r="C57" s="87" t="s">
        <v>74</v>
      </c>
      <c r="D57" s="88">
        <v>31000</v>
      </c>
      <c r="E57" s="99" t="s">
        <v>75</v>
      </c>
      <c r="F57" s="66" t="s">
        <v>20</v>
      </c>
      <c r="G57" s="67">
        <v>1</v>
      </c>
      <c r="H57" s="67">
        <v>0</v>
      </c>
      <c r="I57" s="66" t="s">
        <v>21</v>
      </c>
      <c r="J57" s="68">
        <f>+J19-90</f>
        <v>43418</v>
      </c>
      <c r="K57" s="68">
        <f>+J57+210</f>
        <v>43628</v>
      </c>
      <c r="L57" s="69" t="s">
        <v>22</v>
      </c>
    </row>
    <row r="58" spans="1:14" s="8" customFormat="1" ht="28.5" customHeight="1">
      <c r="A58" s="16"/>
      <c r="B58" s="70" t="str">
        <f>+B57</f>
        <v>UTE-MEF</v>
      </c>
      <c r="C58" s="90" t="s">
        <v>76</v>
      </c>
      <c r="D58" s="91">
        <v>66000</v>
      </c>
      <c r="E58" s="100" t="s">
        <v>75</v>
      </c>
      <c r="F58" s="73" t="s">
        <v>20</v>
      </c>
      <c r="G58" s="74">
        <v>1</v>
      </c>
      <c r="H58" s="74">
        <v>0</v>
      </c>
      <c r="I58" s="73" t="s">
        <v>21</v>
      </c>
      <c r="J58" s="75">
        <f>+J24-90</f>
        <v>43448</v>
      </c>
      <c r="K58" s="75">
        <f>+J58+210</f>
        <v>43658</v>
      </c>
      <c r="L58" s="76"/>
    </row>
    <row r="59" spans="1:14" s="8" customFormat="1" ht="25.15">
      <c r="A59" s="16"/>
      <c r="B59" s="77" t="str">
        <f>+B8</f>
        <v>UTE-MEF</v>
      </c>
      <c r="C59" s="90" t="s">
        <v>77</v>
      </c>
      <c r="D59" s="91">
        <v>40000</v>
      </c>
      <c r="E59" s="100" t="s">
        <v>75</v>
      </c>
      <c r="F59" s="101" t="s">
        <v>26</v>
      </c>
      <c r="G59" s="102">
        <v>1</v>
      </c>
      <c r="H59" s="102">
        <v>0</v>
      </c>
      <c r="I59" s="101" t="s">
        <v>21</v>
      </c>
      <c r="J59" s="75">
        <f>+J19-60</f>
        <v>43448</v>
      </c>
      <c r="K59" s="75">
        <f>+K19</f>
        <v>43658</v>
      </c>
      <c r="L59" s="76" t="s">
        <v>22</v>
      </c>
    </row>
    <row r="60" spans="1:14" s="38" customFormat="1" ht="25.15">
      <c r="A60" s="43"/>
      <c r="B60" s="70" t="str">
        <f t="shared" ref="B60:B66" si="0">+B59</f>
        <v>UTE-MEF</v>
      </c>
      <c r="C60" s="90" t="s">
        <v>78</v>
      </c>
      <c r="D60" s="91">
        <v>52000</v>
      </c>
      <c r="E60" s="100" t="s">
        <v>75</v>
      </c>
      <c r="F60" s="103" t="s">
        <v>20</v>
      </c>
      <c r="G60" s="102">
        <v>1</v>
      </c>
      <c r="H60" s="102">
        <v>0</v>
      </c>
      <c r="I60" s="103" t="s">
        <v>21</v>
      </c>
      <c r="J60" s="75">
        <f>+J24-60</f>
        <v>43478</v>
      </c>
      <c r="K60" s="75">
        <f>+K24</f>
        <v>43938</v>
      </c>
      <c r="L60" s="104" t="s">
        <v>22</v>
      </c>
    </row>
    <row r="61" spans="1:14" s="38" customFormat="1" ht="30.6" customHeight="1">
      <c r="A61" s="43"/>
      <c r="B61" s="70" t="str">
        <f t="shared" si="0"/>
        <v>UTE-MEF</v>
      </c>
      <c r="C61" s="90" t="s">
        <v>79</v>
      </c>
      <c r="D61" s="91">
        <v>28000</v>
      </c>
      <c r="E61" s="100" t="s">
        <v>75</v>
      </c>
      <c r="F61" s="103" t="s">
        <v>20</v>
      </c>
      <c r="G61" s="102">
        <v>1</v>
      </c>
      <c r="H61" s="102">
        <v>0</v>
      </c>
      <c r="I61" s="103" t="s">
        <v>21</v>
      </c>
      <c r="J61" s="75">
        <f>+P1+240</f>
        <v>43628</v>
      </c>
      <c r="K61" s="75">
        <f>+J61+210</f>
        <v>43838</v>
      </c>
      <c r="L61" s="104" t="s">
        <v>22</v>
      </c>
    </row>
    <row r="62" spans="1:14" s="38" customFormat="1" ht="30.6" customHeight="1">
      <c r="A62" s="43"/>
      <c r="B62" s="70" t="str">
        <f t="shared" si="0"/>
        <v>UTE-MEF</v>
      </c>
      <c r="C62" s="90" t="s">
        <v>80</v>
      </c>
      <c r="D62" s="91">
        <v>60000</v>
      </c>
      <c r="E62" s="100" t="s">
        <v>75</v>
      </c>
      <c r="F62" s="103" t="s">
        <v>20</v>
      </c>
      <c r="G62" s="102">
        <v>1</v>
      </c>
      <c r="H62" s="102">
        <v>0</v>
      </c>
      <c r="I62" s="103" t="s">
        <v>21</v>
      </c>
      <c r="J62" s="75">
        <f>+J61</f>
        <v>43628</v>
      </c>
      <c r="K62" s="75">
        <f>+K61</f>
        <v>43838</v>
      </c>
      <c r="L62" s="104" t="s">
        <v>22</v>
      </c>
    </row>
    <row r="63" spans="1:14" s="38" customFormat="1" ht="18.75" customHeight="1">
      <c r="A63" s="43"/>
      <c r="B63" s="70" t="str">
        <f>+B61</f>
        <v>UTE-MEF</v>
      </c>
      <c r="C63" s="90" t="s">
        <v>81</v>
      </c>
      <c r="D63" s="91">
        <v>37000</v>
      </c>
      <c r="E63" s="105" t="s">
        <v>82</v>
      </c>
      <c r="F63" s="103" t="s">
        <v>20</v>
      </c>
      <c r="G63" s="102">
        <v>1</v>
      </c>
      <c r="H63" s="102">
        <v>0</v>
      </c>
      <c r="I63" s="103" t="s">
        <v>21</v>
      </c>
      <c r="J63" s="75">
        <f>+J10-120</f>
        <v>43518</v>
      </c>
      <c r="K63" s="75">
        <f>+J63+90</f>
        <v>43608</v>
      </c>
      <c r="L63" s="104" t="s">
        <v>22</v>
      </c>
    </row>
    <row r="64" spans="1:14" s="38" customFormat="1" ht="25.15">
      <c r="A64" s="43"/>
      <c r="B64" s="70" t="str">
        <f t="shared" si="0"/>
        <v>UTE-MEF</v>
      </c>
      <c r="C64" s="90" t="s">
        <v>83</v>
      </c>
      <c r="D64" s="91">
        <v>55000</v>
      </c>
      <c r="E64" s="100" t="s">
        <v>75</v>
      </c>
      <c r="F64" s="103" t="s">
        <v>20</v>
      </c>
      <c r="G64" s="102">
        <v>1</v>
      </c>
      <c r="H64" s="102">
        <v>0</v>
      </c>
      <c r="I64" s="103" t="s">
        <v>21</v>
      </c>
      <c r="J64" s="75">
        <f>+P1+30</f>
        <v>43418</v>
      </c>
      <c r="K64" s="75">
        <f>+J64+240</f>
        <v>43658</v>
      </c>
      <c r="L64" s="104" t="s">
        <v>22</v>
      </c>
      <c r="N64" s="38" t="s">
        <v>46</v>
      </c>
    </row>
    <row r="65" spans="1:12" s="38" customFormat="1" ht="18.75" customHeight="1">
      <c r="A65" s="43"/>
      <c r="B65" s="70" t="str">
        <f t="shared" si="0"/>
        <v>UTE-MEF</v>
      </c>
      <c r="C65" s="90" t="s">
        <v>84</v>
      </c>
      <c r="D65" s="91">
        <v>35000</v>
      </c>
      <c r="E65" s="105" t="s">
        <v>82</v>
      </c>
      <c r="F65" s="103" t="s">
        <v>20</v>
      </c>
      <c r="G65" s="102">
        <v>1</v>
      </c>
      <c r="H65" s="102">
        <v>0</v>
      </c>
      <c r="I65" s="103" t="s">
        <v>21</v>
      </c>
      <c r="J65" s="75">
        <f>+P1+30</f>
        <v>43418</v>
      </c>
      <c r="K65" s="75">
        <f>+J65+120</f>
        <v>43538</v>
      </c>
      <c r="L65" s="104" t="s">
        <v>22</v>
      </c>
    </row>
    <row r="66" spans="1:12" s="38" customFormat="1" ht="25.15">
      <c r="A66" s="43"/>
      <c r="B66" s="70" t="str">
        <f t="shared" si="0"/>
        <v>UTE-MEF</v>
      </c>
      <c r="C66" s="90" t="s">
        <v>85</v>
      </c>
      <c r="D66" s="91">
        <v>78000</v>
      </c>
      <c r="E66" s="100" t="s">
        <v>75</v>
      </c>
      <c r="F66" s="103" t="s">
        <v>26</v>
      </c>
      <c r="G66" s="102">
        <v>1</v>
      </c>
      <c r="H66" s="102">
        <v>0</v>
      </c>
      <c r="I66" s="103" t="s">
        <v>21</v>
      </c>
      <c r="J66" s="75">
        <f>+J25-60</f>
        <v>43418</v>
      </c>
      <c r="K66" s="75">
        <f>+J66+60</f>
        <v>43478</v>
      </c>
      <c r="L66" s="104" t="s">
        <v>22</v>
      </c>
    </row>
    <row r="67" spans="1:12" s="38" customFormat="1" ht="25.15">
      <c r="A67" s="43"/>
      <c r="B67" s="70" t="str">
        <f>+B66</f>
        <v>UTE-MEF</v>
      </c>
      <c r="C67" s="90" t="s">
        <v>86</v>
      </c>
      <c r="D67" s="91">
        <v>150000</v>
      </c>
      <c r="E67" s="100" t="s">
        <v>75</v>
      </c>
      <c r="F67" s="103" t="s">
        <v>26</v>
      </c>
      <c r="G67" s="102">
        <v>1</v>
      </c>
      <c r="H67" s="102">
        <v>0</v>
      </c>
      <c r="I67" s="103" t="s">
        <v>21</v>
      </c>
      <c r="J67" s="75">
        <f>+J26-60</f>
        <v>43418</v>
      </c>
      <c r="K67" s="75">
        <f>+J67+120</f>
        <v>43538</v>
      </c>
      <c r="L67" s="104" t="s">
        <v>22</v>
      </c>
    </row>
    <row r="68" spans="1:12" s="38" customFormat="1" ht="37.9">
      <c r="A68" s="43"/>
      <c r="B68" s="70" t="str">
        <f>+B63</f>
        <v>UTE-MEF</v>
      </c>
      <c r="C68" s="90" t="s">
        <v>87</v>
      </c>
      <c r="D68" s="91">
        <v>77000</v>
      </c>
      <c r="E68" s="100" t="s">
        <v>75</v>
      </c>
      <c r="F68" s="103" t="s">
        <v>26</v>
      </c>
      <c r="G68" s="102">
        <v>1</v>
      </c>
      <c r="H68" s="102">
        <v>0</v>
      </c>
      <c r="I68" s="103" t="s">
        <v>21</v>
      </c>
      <c r="J68" s="75">
        <f>+J26-30</f>
        <v>43448</v>
      </c>
      <c r="K68" s="75">
        <f>+K26</f>
        <v>44328</v>
      </c>
      <c r="L68" s="104" t="s">
        <v>22</v>
      </c>
    </row>
    <row r="69" spans="1:12" s="38" customFormat="1">
      <c r="A69" s="43"/>
      <c r="B69" s="70" t="str">
        <f>+B48</f>
        <v>DCT/MICT</v>
      </c>
      <c r="C69" s="90" t="s">
        <v>88</v>
      </c>
      <c r="D69" s="91">
        <v>200000</v>
      </c>
      <c r="E69" s="105"/>
      <c r="F69" s="103" t="s">
        <v>20</v>
      </c>
      <c r="G69" s="102">
        <v>1</v>
      </c>
      <c r="H69" s="102">
        <v>0</v>
      </c>
      <c r="I69" s="103" t="s">
        <v>21</v>
      </c>
      <c r="J69" s="75">
        <f>+J50</f>
        <v>43478</v>
      </c>
      <c r="K69" s="75">
        <f>+K50</f>
        <v>44578</v>
      </c>
      <c r="L69" s="104" t="s">
        <v>22</v>
      </c>
    </row>
    <row r="70" spans="1:12" s="38" customFormat="1" ht="25.15">
      <c r="A70" s="43"/>
      <c r="B70" s="70" t="str">
        <f>+B69</f>
        <v>DCT/MICT</v>
      </c>
      <c r="C70" s="90" t="s">
        <v>89</v>
      </c>
      <c r="D70" s="91">
        <v>200000</v>
      </c>
      <c r="E70" s="105" t="s">
        <v>82</v>
      </c>
      <c r="F70" s="103" t="s">
        <v>20</v>
      </c>
      <c r="G70" s="102">
        <v>1</v>
      </c>
      <c r="H70" s="102">
        <v>0</v>
      </c>
      <c r="I70" s="103" t="s">
        <v>21</v>
      </c>
      <c r="J70" s="75">
        <f>+P1+120</f>
        <v>43508</v>
      </c>
      <c r="K70" s="75">
        <f>+J70+60</f>
        <v>43568</v>
      </c>
      <c r="L70" s="104" t="s">
        <v>22</v>
      </c>
    </row>
    <row r="71" spans="1:12" s="8" customFormat="1" ht="25.15">
      <c r="A71" s="16"/>
      <c r="B71" s="77" t="str">
        <f>+B70</f>
        <v>DCT/MICT</v>
      </c>
      <c r="C71" s="90" t="s">
        <v>90</v>
      </c>
      <c r="D71" s="91">
        <v>50000</v>
      </c>
      <c r="E71" s="105" t="s">
        <v>82</v>
      </c>
      <c r="F71" s="73" t="s">
        <v>20</v>
      </c>
      <c r="G71" s="74">
        <v>1</v>
      </c>
      <c r="H71" s="74">
        <v>0</v>
      </c>
      <c r="I71" s="73" t="s">
        <v>21</v>
      </c>
      <c r="J71" s="79">
        <f>+J13-180</f>
        <v>43458</v>
      </c>
      <c r="K71" s="79">
        <f>+J71+120</f>
        <v>43578</v>
      </c>
      <c r="L71" s="76" t="s">
        <v>22</v>
      </c>
    </row>
    <row r="72" spans="1:12" s="8" customFormat="1" ht="25.15">
      <c r="A72" s="16"/>
      <c r="B72" s="109" t="str">
        <f>+B71</f>
        <v>DCT/MICT</v>
      </c>
      <c r="C72" s="110" t="s">
        <v>91</v>
      </c>
      <c r="D72" s="111">
        <v>150000</v>
      </c>
      <c r="E72" s="112" t="s">
        <v>82</v>
      </c>
      <c r="F72" s="113" t="s">
        <v>20</v>
      </c>
      <c r="G72" s="114">
        <v>1</v>
      </c>
      <c r="H72" s="114">
        <v>0</v>
      </c>
      <c r="I72" s="113" t="s">
        <v>21</v>
      </c>
      <c r="J72" s="115">
        <f>+J13+120</f>
        <v>43758</v>
      </c>
      <c r="K72" s="115">
        <f>+K13+450</f>
        <v>44358</v>
      </c>
      <c r="L72" s="116" t="s">
        <v>22</v>
      </c>
    </row>
    <row r="73" spans="1:12" s="8" customFormat="1" ht="35.25" customHeight="1">
      <c r="A73" s="16"/>
      <c r="B73" s="117" t="s">
        <v>27</v>
      </c>
      <c r="C73" s="118" t="s">
        <v>92</v>
      </c>
      <c r="D73" s="119">
        <v>40000</v>
      </c>
      <c r="E73" s="112" t="s">
        <v>82</v>
      </c>
      <c r="F73" s="120" t="s">
        <v>20</v>
      </c>
      <c r="G73" s="121">
        <v>1</v>
      </c>
      <c r="H73" s="121">
        <v>0</v>
      </c>
      <c r="I73" s="120" t="s">
        <v>21</v>
      </c>
      <c r="J73" s="122">
        <v>44124</v>
      </c>
      <c r="K73" s="122" t="s">
        <v>93</v>
      </c>
      <c r="L73" s="123" t="s">
        <v>22</v>
      </c>
    </row>
    <row r="74" spans="1:12" s="8" customFormat="1" ht="35.25" customHeight="1">
      <c r="A74" s="16"/>
      <c r="B74" s="117" t="s">
        <v>27</v>
      </c>
      <c r="C74" s="118" t="s">
        <v>94</v>
      </c>
      <c r="D74" s="119">
        <v>75000</v>
      </c>
      <c r="E74" s="112" t="s">
        <v>82</v>
      </c>
      <c r="F74" s="120" t="s">
        <v>20</v>
      </c>
      <c r="G74" s="121">
        <v>1</v>
      </c>
      <c r="H74" s="121">
        <v>0</v>
      </c>
      <c r="I74" s="120" t="s">
        <v>21</v>
      </c>
      <c r="J74" s="122">
        <v>45069</v>
      </c>
      <c r="K74" s="122">
        <v>45261</v>
      </c>
      <c r="L74" s="123" t="s">
        <v>22</v>
      </c>
    </row>
    <row r="75" spans="1:12" s="8" customFormat="1" ht="35.25" customHeight="1">
      <c r="A75" s="16"/>
      <c r="B75" s="124" t="s">
        <v>17</v>
      </c>
      <c r="C75" s="125" t="s">
        <v>95</v>
      </c>
      <c r="D75" s="126">
        <v>10000</v>
      </c>
      <c r="E75" s="112" t="s">
        <v>82</v>
      </c>
      <c r="F75" s="127" t="s">
        <v>20</v>
      </c>
      <c r="G75" s="128">
        <v>1</v>
      </c>
      <c r="H75" s="128">
        <v>0</v>
      </c>
      <c r="I75" s="127" t="s">
        <v>21</v>
      </c>
      <c r="J75" s="129">
        <v>43452</v>
      </c>
      <c r="K75" s="129">
        <v>43574</v>
      </c>
      <c r="L75" s="130" t="s">
        <v>22</v>
      </c>
    </row>
    <row r="76" spans="1:12" ht="15.4" customHeight="1">
      <c r="A76" s="7"/>
      <c r="B76" s="139" t="s">
        <v>96</v>
      </c>
      <c r="C76" s="140"/>
      <c r="D76" s="49">
        <f>SUM(D57:D75)</f>
        <v>1434000</v>
      </c>
      <c r="E76" s="48"/>
      <c r="F76" s="46"/>
      <c r="G76" s="47"/>
      <c r="H76" s="47"/>
      <c r="I76" s="46"/>
      <c r="J76" s="45"/>
      <c r="K76" s="45"/>
      <c r="L76" s="44"/>
    </row>
    <row r="77" spans="1:12" ht="15.4" customHeight="1">
      <c r="A77" s="7"/>
      <c r="B77" s="24"/>
      <c r="C77" s="23"/>
      <c r="D77" s="22"/>
      <c r="E77" s="19"/>
      <c r="F77" s="19"/>
      <c r="G77" s="20"/>
      <c r="H77" s="20"/>
      <c r="I77" s="19"/>
      <c r="J77" s="18"/>
      <c r="K77" s="18"/>
      <c r="L77" s="17"/>
    </row>
    <row r="78" spans="1:12" ht="29.25" customHeight="1">
      <c r="A78" s="7"/>
      <c r="B78" s="141" t="s">
        <v>97</v>
      </c>
      <c r="C78" s="142"/>
      <c r="D78" s="142"/>
      <c r="E78" s="142"/>
      <c r="F78" s="142"/>
      <c r="G78" s="142"/>
      <c r="H78" s="142"/>
      <c r="I78" s="142"/>
      <c r="J78" s="142"/>
      <c r="K78" s="142"/>
      <c r="L78" s="143"/>
    </row>
    <row r="79" spans="1:12" s="38" customFormat="1" ht="20.25" customHeight="1">
      <c r="A79" s="43"/>
      <c r="B79" s="60" t="str">
        <f>+B57</f>
        <v>UTE-MEF</v>
      </c>
      <c r="C79" s="42" t="s">
        <v>98</v>
      </c>
      <c r="D79" s="107">
        <v>2000000</v>
      </c>
      <c r="E79" s="41"/>
      <c r="F79" s="39" t="s">
        <v>20</v>
      </c>
      <c r="G79" s="40">
        <v>1</v>
      </c>
      <c r="H79" s="40">
        <v>0</v>
      </c>
      <c r="I79" s="39" t="s">
        <v>21</v>
      </c>
      <c r="J79" s="61"/>
      <c r="K79" s="61"/>
      <c r="L79" s="62" t="s">
        <v>46</v>
      </c>
    </row>
    <row r="80" spans="1:12" ht="22.5" customHeight="1">
      <c r="A80" s="7"/>
      <c r="B80" s="24"/>
      <c r="C80" s="23"/>
      <c r="D80" s="22"/>
      <c r="E80" s="19"/>
      <c r="F80" s="19"/>
      <c r="G80" s="20"/>
      <c r="H80" s="20"/>
      <c r="I80" s="19"/>
      <c r="J80" s="18"/>
      <c r="K80" s="18"/>
      <c r="L80" s="17"/>
    </row>
    <row r="81" spans="1:12" ht="27.75" customHeight="1">
      <c r="A81" s="7"/>
      <c r="B81" s="141" t="s">
        <v>99</v>
      </c>
      <c r="C81" s="142"/>
      <c r="D81" s="142"/>
      <c r="E81" s="142"/>
      <c r="F81" s="142"/>
      <c r="G81" s="142"/>
      <c r="H81" s="142"/>
      <c r="I81" s="142"/>
      <c r="J81" s="142"/>
      <c r="K81" s="142"/>
      <c r="L81" s="143"/>
    </row>
    <row r="82" spans="1:12" ht="81" customHeight="1" thickBot="1">
      <c r="A82" s="7"/>
      <c r="B82" s="37" t="str">
        <f>+B8</f>
        <v>UTE-MEF</v>
      </c>
      <c r="C82" s="36" t="s">
        <v>100</v>
      </c>
      <c r="D82" s="35">
        <v>1000000</v>
      </c>
      <c r="E82" s="34" t="s">
        <v>101</v>
      </c>
      <c r="F82" s="32"/>
      <c r="G82" s="33">
        <v>1</v>
      </c>
      <c r="H82" s="33">
        <v>0</v>
      </c>
      <c r="I82" s="32" t="s">
        <v>21</v>
      </c>
      <c r="J82" s="31"/>
      <c r="K82" s="31"/>
      <c r="L82" s="30" t="s">
        <v>22</v>
      </c>
    </row>
    <row r="83" spans="1:12" ht="18" customHeight="1">
      <c r="A83" s="7"/>
      <c r="B83" s="144" t="s">
        <v>102</v>
      </c>
      <c r="C83" s="145"/>
      <c r="D83" s="29">
        <v>1000000</v>
      </c>
      <c r="E83" s="27"/>
      <c r="F83" s="27"/>
      <c r="G83" s="28"/>
      <c r="H83" s="28"/>
      <c r="I83" s="27"/>
      <c r="J83" s="26"/>
      <c r="K83" s="26"/>
      <c r="L83" s="25"/>
    </row>
    <row r="84" spans="1:12" ht="23.25" customHeight="1" thickBot="1">
      <c r="A84" s="7"/>
      <c r="B84" s="24"/>
      <c r="C84" s="23"/>
      <c r="D84" s="22"/>
      <c r="E84" s="19"/>
      <c r="F84" s="21"/>
      <c r="G84" s="20"/>
      <c r="H84" s="20"/>
      <c r="I84" s="19"/>
      <c r="J84" s="18"/>
      <c r="K84" s="18"/>
      <c r="L84" s="17"/>
    </row>
    <row r="85" spans="1:12" s="8" customFormat="1" ht="53.25" customHeight="1" thickBot="1">
      <c r="A85" s="16"/>
      <c r="B85" s="15"/>
      <c r="C85" s="14" t="s">
        <v>103</v>
      </c>
      <c r="D85" s="108">
        <f>D16+D30+D37+D54+D76+D79+D83</f>
        <v>37160000</v>
      </c>
      <c r="E85" s="13" t="s">
        <v>46</v>
      </c>
      <c r="F85" s="13"/>
      <c r="G85" s="12"/>
      <c r="H85" s="12"/>
      <c r="I85" s="11"/>
      <c r="J85" s="10"/>
      <c r="K85" s="10"/>
      <c r="L85" s="9"/>
    </row>
    <row r="86" spans="1:12">
      <c r="A86" s="7"/>
      <c r="B86" s="133"/>
      <c r="C86" s="134"/>
      <c r="D86" s="134"/>
      <c r="E86" s="134"/>
      <c r="F86" s="134"/>
      <c r="G86" s="134"/>
      <c r="H86" s="134"/>
      <c r="I86" s="134"/>
      <c r="J86" s="134"/>
      <c r="K86" s="134"/>
      <c r="L86" s="135"/>
    </row>
    <row r="87" spans="1:12" ht="44.25" customHeight="1">
      <c r="A87" s="7"/>
      <c r="B87" s="133" t="s">
        <v>104</v>
      </c>
      <c r="C87" s="134"/>
      <c r="D87" s="134"/>
      <c r="E87" s="134"/>
      <c r="F87" s="134"/>
      <c r="G87" s="134"/>
      <c r="H87" s="134"/>
      <c r="I87" s="134"/>
      <c r="J87" s="134"/>
      <c r="K87" s="134"/>
      <c r="L87" s="135"/>
    </row>
    <row r="88" spans="1:12" ht="30" customHeight="1">
      <c r="A88" s="7"/>
      <c r="B88" s="136" t="s">
        <v>105</v>
      </c>
      <c r="C88" s="137"/>
      <c r="D88" s="137"/>
      <c r="E88" s="137"/>
      <c r="F88" s="137"/>
      <c r="G88" s="137"/>
      <c r="H88" s="137"/>
      <c r="I88" s="137"/>
      <c r="J88" s="137"/>
      <c r="K88" s="137"/>
      <c r="L88" s="138"/>
    </row>
    <row r="89" spans="1:12" ht="19.5" customHeight="1">
      <c r="A89" s="7"/>
      <c r="B89" s="136" t="s">
        <v>106</v>
      </c>
      <c r="C89" s="137"/>
      <c r="D89" s="137"/>
      <c r="E89" s="137"/>
      <c r="F89" s="137"/>
      <c r="G89" s="137"/>
      <c r="H89" s="137"/>
      <c r="I89" s="137"/>
      <c r="J89" s="137"/>
      <c r="K89" s="137"/>
      <c r="L89" s="138"/>
    </row>
    <row r="90" spans="1:12" ht="7.5" customHeight="1" thickBot="1">
      <c r="A90" s="7"/>
      <c r="B90" s="6"/>
      <c r="C90" s="4"/>
      <c r="D90" s="4"/>
      <c r="E90" s="5"/>
      <c r="F90" s="4"/>
      <c r="G90" s="4"/>
      <c r="H90" s="4"/>
      <c r="I90" s="4"/>
      <c r="J90" s="4"/>
      <c r="K90" s="4"/>
      <c r="L90" s="3"/>
    </row>
    <row r="92" spans="1:12">
      <c r="E92" s="1"/>
    </row>
    <row r="93" spans="1:12">
      <c r="E93" s="1"/>
    </row>
    <row r="94" spans="1:12">
      <c r="E94" s="1"/>
    </row>
    <row r="95" spans="1:12">
      <c r="E95" s="1"/>
    </row>
    <row r="96" spans="1:12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</sheetData>
  <mergeCells count="26">
    <mergeCell ref="B39:L39"/>
    <mergeCell ref="B2:L2"/>
    <mergeCell ref="B3:L3"/>
    <mergeCell ref="B5:B6"/>
    <mergeCell ref="C5:C6"/>
    <mergeCell ref="D5:D6"/>
    <mergeCell ref="E5:E6"/>
    <mergeCell ref="F5:F6"/>
    <mergeCell ref="G5:H5"/>
    <mergeCell ref="I5:I6"/>
    <mergeCell ref="J5:K5"/>
    <mergeCell ref="L5:L6"/>
    <mergeCell ref="B7:L7"/>
    <mergeCell ref="B18:L18"/>
    <mergeCell ref="B32:L32"/>
    <mergeCell ref="B37:C37"/>
    <mergeCell ref="B86:L86"/>
    <mergeCell ref="B87:L87"/>
    <mergeCell ref="B88:L88"/>
    <mergeCell ref="B89:L89"/>
    <mergeCell ref="B54:C54"/>
    <mergeCell ref="B56:L56"/>
    <mergeCell ref="B76:C76"/>
    <mergeCell ref="B78:L78"/>
    <mergeCell ref="B81:L81"/>
    <mergeCell ref="B83:C83"/>
  </mergeCells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5CF45222187B24393C6E2E46F21CBA5" ma:contentTypeVersion="332" ma:contentTypeDescription="A content type to manage public (operations) IDB documents" ma:contentTypeScope="" ma:versionID="33c133e6d750c727ca8cd2bd9fab24f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c9035acea6c87b599156be98b0f2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de la Pena Ramos, Maria Eugenia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83</Value>
      <Value>60</Value>
      <Value>1</Value>
      <Value>42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HA-L1106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R0002224291</Record_x0020_Number>
    <_dlc_DocId xmlns="cdc7663a-08f0-4737-9e8c-148ce897a09c">EZSHARE-535831809-25</_dlc_DocId>
    <_dlc_DocIdUrl xmlns="cdc7663a-08f0-4737-9e8c-148ce897a09c">
      <Url>https://idbg.sharepoint.com/teams/EZ-HA-LON/HA-L1106/_layouts/15/DocIdRedir.aspx?ID=EZSHARE-535831809-25</Url>
      <Description>EZSHARE-535831809-25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7489DEA3-0E2A-4990-A627-700DD693F657}"/>
</file>

<file path=customXml/itemProps2.xml><?xml version="1.0" encoding="utf-8"?>
<ds:datastoreItem xmlns:ds="http://schemas.openxmlformats.org/officeDocument/2006/customXml" ds:itemID="{AC7F0398-AA51-4950-BDE9-432DC9A6DF86}"/>
</file>

<file path=customXml/itemProps3.xml><?xml version="1.0" encoding="utf-8"?>
<ds:datastoreItem xmlns:ds="http://schemas.openxmlformats.org/officeDocument/2006/customXml" ds:itemID="{B490F5A2-3335-4592-B971-8D461D71F495}"/>
</file>

<file path=customXml/itemProps4.xml><?xml version="1.0" encoding="utf-8"?>
<ds:datastoreItem xmlns:ds="http://schemas.openxmlformats.org/officeDocument/2006/customXml" ds:itemID="{6FC3BA79-3519-431D-A1C5-D4467FC34427}"/>
</file>

<file path=customXml/itemProps5.xml><?xml version="1.0" encoding="utf-8"?>
<ds:datastoreItem xmlns:ds="http://schemas.openxmlformats.org/officeDocument/2006/customXml" ds:itemID="{41B96400-2BEF-48CC-88FC-C8E877CBEB58}"/>
</file>

<file path=customXml/itemProps6.xml><?xml version="1.0" encoding="utf-8"?>
<ds:datastoreItem xmlns:ds="http://schemas.openxmlformats.org/officeDocument/2006/customXml" ds:itemID="{2E3578F1-35C2-45DF-BF91-EE5721AB4A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Inter-American Development Bank</dc:creator>
  <cp:keywords/>
  <dc:description/>
  <cp:lastModifiedBy>Barandiaran Salcedo, Doris Melissa</cp:lastModifiedBy>
  <cp:revision/>
  <dcterms:created xsi:type="dcterms:W3CDTF">2016-03-02T13:02:05Z</dcterms:created>
  <dcterms:modified xsi:type="dcterms:W3CDTF">2018-08-24T21:09:27Z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60;#WATER AND SANITATION|58dede58-0f72-4d2f-8205-0b2af4d108e7</vt:lpwstr>
  </property>
  <property fmtid="{D5CDD505-2E9C-101B-9397-08002B2CF9AE}" pid="7" name="Fund IDB">
    <vt:lpwstr/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83;#WATER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4f328f68-403b-497a-a135-b69f5dcb6ab1</vt:lpwstr>
  </property>
  <property fmtid="{D5CDD505-2E9C-101B-9397-08002B2CF9AE}" pid="12" name="ContentTypeId">
    <vt:lpwstr>0x0101001A458A224826124E8B45B1D613300CFC0075CF45222187B24393C6E2E46F21CBA5</vt:lpwstr>
  </property>
</Properties>
</file>