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comments1.xml" ContentType="application/vnd.openxmlformats-officedocument.spreadsheetml.comment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hag\Documents\D Drive\DATA.IDB\Documents\PROYECTOS\SU-L1054\Board\"/>
    </mc:Choice>
  </mc:AlternateContent>
  <xr:revisionPtr revIDLastSave="0" documentId="13_ncr:1_{525085E6-60FC-48AF-B9FC-60A58993C024}" xr6:coauthVersionLast="33" xr6:coauthVersionMax="33" xr10:uidLastSave="{00000000-0000-0000-0000-000000000000}"/>
  <bookViews>
    <workbookView xWindow="0" yWindow="0" windowWidth="23040" windowHeight="6765" firstSheet="2" activeTab="3" xr2:uid="{00000000-000D-0000-FFFF-FFFF00000000}"/>
  </bookViews>
  <sheets>
    <sheet name="WBS" sheetId="4" r:id="rId1"/>
    <sheet name="Pre-elegibility Timeline" sheetId="5" state="hidden" r:id="rId2"/>
    <sheet name="PEP" sheetId="1" r:id="rId3"/>
    <sheet name="AOP 2018-2019" sheetId="2" r:id="rId4"/>
    <sheet name="Financial Plan" sheetId="3" state="hidden" r:id="rId5"/>
    <sheet name="Procurement Plan" sheetId="6" state="hidden" r:id="rId6"/>
  </sheets>
  <externalReferences>
    <externalReference r:id="rId7"/>
    <externalReference r:id="rId8"/>
    <externalReference r:id="rId9"/>
  </externalReferences>
  <definedNames>
    <definedName name="Component1" localSheetId="5">'[1]Risks and Probabilities'!$C$8</definedName>
    <definedName name="Component1">#REF!</definedName>
    <definedName name="Component10" localSheetId="5">'[1]Risks and Probabilities'!$C$98</definedName>
    <definedName name="Component10">#REF!</definedName>
    <definedName name="Component11" localSheetId="5">'[1]Risks and Probabilities'!$C$108</definedName>
    <definedName name="Component11">#REF!</definedName>
    <definedName name="Component12" localSheetId="5">'[1]Risks and Probabilities'!$C$118</definedName>
    <definedName name="Component12">#REF!</definedName>
    <definedName name="Component13" localSheetId="5">'[1]Risks and Probabilities'!$C$128</definedName>
    <definedName name="Component13">#REF!</definedName>
    <definedName name="Component14" localSheetId="5">'[1]Risks and Probabilities'!$C$138</definedName>
    <definedName name="Component14">#REF!</definedName>
    <definedName name="Component15" localSheetId="5">'[1]Risks and Probabilities'!$C$148</definedName>
    <definedName name="Component15">#REF!</definedName>
    <definedName name="Component16" localSheetId="5">'[1]Risks and Probabilities'!$C$158</definedName>
    <definedName name="Component16">#REF!</definedName>
    <definedName name="Component17" localSheetId="5">'[1]Risks and Probabilities'!$C$168</definedName>
    <definedName name="Component17">#REF!</definedName>
    <definedName name="Component18" localSheetId="5">'[1]Risks and Probabilities'!$C$178</definedName>
    <definedName name="Component18">#REF!</definedName>
    <definedName name="Component19" localSheetId="5">'[1]Risks and Probabilities'!$C$188</definedName>
    <definedName name="Component19">#REF!</definedName>
    <definedName name="Component2" localSheetId="5">'[1]Risks and Probabilities'!$C$18</definedName>
    <definedName name="Component2">#REF!</definedName>
    <definedName name="Component20" localSheetId="5">'[1]Risks and Probabilities'!$C$198</definedName>
    <definedName name="Component20">#REF!</definedName>
    <definedName name="Component3" localSheetId="5">'[1]Risks and Probabilities'!$C$28</definedName>
    <definedName name="Component3">#REF!</definedName>
    <definedName name="Component4" localSheetId="5">'[1]Risks and Probabilities'!$C$38</definedName>
    <definedName name="Component4">#REF!</definedName>
    <definedName name="Component5" localSheetId="5">'[1]Risks and Probabilities'!$C$48</definedName>
    <definedName name="Component5">#REF!</definedName>
    <definedName name="Component6" localSheetId="5">'[1]Risks and Probabilities'!$C$58</definedName>
    <definedName name="Component6">#REF!</definedName>
    <definedName name="Component7" localSheetId="5">'[1]Risks and Probabilities'!$C$68</definedName>
    <definedName name="Component7">#REF!</definedName>
    <definedName name="Component8" localSheetId="5">'[1]Risks and Probabilities'!$C$78</definedName>
    <definedName name="Component8">#REF!</definedName>
    <definedName name="Component9" localSheetId="5">'[1]Risks and Probabilities'!$C$88</definedName>
    <definedName name="Component9">#REF!</definedName>
    <definedName name="Impact1" localSheetId="5">'[1]Risk Assessment Matrix'!$F$15</definedName>
    <definedName name="Impact1">#REF!</definedName>
    <definedName name="Impact10" localSheetId="5">'[1]Risk Assessment Matrix'!$F$24</definedName>
    <definedName name="Impact10">#REF!</definedName>
    <definedName name="Impact11" localSheetId="5">'[1]Risk Assessment Matrix'!$F$25</definedName>
    <definedName name="Impact11">#REF!</definedName>
    <definedName name="Impact12" localSheetId="5">'[1]Risk Assessment Matrix'!$F$26</definedName>
    <definedName name="Impact12">#REF!</definedName>
    <definedName name="Impact13" localSheetId="5">'[1]Risk Assessment Matrix'!$F$27</definedName>
    <definedName name="Impact13">#REF!</definedName>
    <definedName name="Impact14" localSheetId="5">'[1]Risk Assessment Matrix'!$F$28</definedName>
    <definedName name="Impact14">#REF!</definedName>
    <definedName name="Impact15" localSheetId="5">'[1]Risk Assessment Matrix'!$F$29</definedName>
    <definedName name="Impact15">#REF!</definedName>
    <definedName name="Impact16" localSheetId="5">'[1]Risk Assessment Matrix'!$F$30</definedName>
    <definedName name="Impact16">#REF!</definedName>
    <definedName name="Impact17" localSheetId="5">'[1]Risk Assessment Matrix'!$F$31</definedName>
    <definedName name="Impact17">#REF!</definedName>
    <definedName name="Impact18" localSheetId="5">'[1]Risk Assessment Matrix'!$F$32</definedName>
    <definedName name="Impact18">#REF!</definedName>
    <definedName name="Impact19" localSheetId="5">'[1]Risk Assessment Matrix'!$F$33</definedName>
    <definedName name="Impact19">#REF!</definedName>
    <definedName name="Impact2" localSheetId="5">'[1]Risk Assessment Matrix'!$F$16</definedName>
    <definedName name="Impact2">#REF!</definedName>
    <definedName name="Impact20" localSheetId="5">'[1]Risk Assessment Matrix'!$F$34</definedName>
    <definedName name="Impact20">#REF!</definedName>
    <definedName name="Impact3" localSheetId="5">'[1]Risk Assessment Matrix'!$F$17</definedName>
    <definedName name="Impact3">#REF!</definedName>
    <definedName name="Impact4" localSheetId="5">'[1]Risk Assessment Matrix'!$F$18</definedName>
    <definedName name="Impact4">#REF!</definedName>
    <definedName name="Impact5" localSheetId="5">'[1]Risk Assessment Matrix'!$F$19</definedName>
    <definedName name="Impact5">#REF!</definedName>
    <definedName name="Impact6" localSheetId="5">'[1]Risk Assessment Matrix'!$F$20</definedName>
    <definedName name="Impact6">#REF!</definedName>
    <definedName name="Impact7" localSheetId="5">'[1]Risk Assessment Matrix'!$F$21</definedName>
    <definedName name="Impact7">#REF!</definedName>
    <definedName name="Impact8" localSheetId="5">'[1]Risk Assessment Matrix'!$F$22</definedName>
    <definedName name="Impact8">#REF!</definedName>
    <definedName name="Impact9" localSheetId="5">'[1]Risk Assessment Matrix'!$F$23</definedName>
    <definedName name="Impact9">#REF!</definedName>
    <definedName name="Level1" localSheetId="5">'[1]Risk Assessment Matrix'!$J$15</definedName>
    <definedName name="Level1">#REF!</definedName>
    <definedName name="Level10" localSheetId="5">'[1]Risk Assessment Matrix'!$J$24</definedName>
    <definedName name="Level10">#REF!</definedName>
    <definedName name="Level11" localSheetId="5">'[1]Risk Assessment Matrix'!$J$25</definedName>
    <definedName name="Level11">#REF!</definedName>
    <definedName name="Level12" localSheetId="5">'[1]Risk Assessment Matrix'!$J$26</definedName>
    <definedName name="Level12">#REF!</definedName>
    <definedName name="Level13" localSheetId="5">'[1]Risk Assessment Matrix'!$J$27</definedName>
    <definedName name="Level13">#REF!</definedName>
    <definedName name="Level14" localSheetId="5">'[1]Risk Assessment Matrix'!$J$28</definedName>
    <definedName name="Level14">#REF!</definedName>
    <definedName name="Level15" localSheetId="5">'[1]Risk Assessment Matrix'!$J$29</definedName>
    <definedName name="Level15">#REF!</definedName>
    <definedName name="Level16" localSheetId="5">'[1]Risk Assessment Matrix'!$J$30</definedName>
    <definedName name="Level16">#REF!</definedName>
    <definedName name="Level17" localSheetId="5">'[1]Risk Assessment Matrix'!$J$31</definedName>
    <definedName name="Level17">#REF!</definedName>
    <definedName name="Level18" localSheetId="5">'[1]Risk Assessment Matrix'!$J$32</definedName>
    <definedName name="Level18">#REF!</definedName>
    <definedName name="Level19" localSheetId="5">'[1]Risk Assessment Matrix'!$J$33</definedName>
    <definedName name="Level19">#REF!</definedName>
    <definedName name="Level2" localSheetId="5">'[1]Risk Assessment Matrix'!$J$16</definedName>
    <definedName name="Level2">#REF!</definedName>
    <definedName name="Level20" localSheetId="5">'[1]Risk Assessment Matrix'!$J$34</definedName>
    <definedName name="Level20">#REF!</definedName>
    <definedName name="Level3" localSheetId="5">'[1]Risk Assessment Matrix'!$J$17</definedName>
    <definedName name="Level3">#REF!</definedName>
    <definedName name="Level4" localSheetId="5">'[1]Risk Assessment Matrix'!$J$18</definedName>
    <definedName name="Level4">#REF!</definedName>
    <definedName name="Level5" localSheetId="5">'[1]Risk Assessment Matrix'!$J$19</definedName>
    <definedName name="Level5">#REF!</definedName>
    <definedName name="Level6" localSheetId="5">'[1]Risk Assessment Matrix'!$J$20</definedName>
    <definedName name="Level6">#REF!</definedName>
    <definedName name="Level7" localSheetId="5">'[1]Risk Assessment Matrix'!$J$21</definedName>
    <definedName name="Level7">#REF!</definedName>
    <definedName name="Level8" localSheetId="5">'[1]Risk Assessment Matrix'!$J$22</definedName>
    <definedName name="Level8">#REF!</definedName>
    <definedName name="Level9" localSheetId="5">'[1]Risk Assessment Matrix'!$J$23</definedName>
    <definedName name="Level9">#REF!</definedName>
    <definedName name="Probability1" localSheetId="5">'[1]Risk Assessment Matrix'!$G$15</definedName>
    <definedName name="Probability1">#REF!</definedName>
    <definedName name="Probability10" localSheetId="5">'[1]Risk Assessment Matrix'!$G$24</definedName>
    <definedName name="Probability10">#REF!</definedName>
    <definedName name="Probability11" localSheetId="5">'[1]Risk Assessment Matrix'!$G$25</definedName>
    <definedName name="Probability11">#REF!</definedName>
    <definedName name="Probability12" localSheetId="5">'[1]Risk Assessment Matrix'!$G$26</definedName>
    <definedName name="Probability12">#REF!</definedName>
    <definedName name="Probability13" localSheetId="5">'[1]Risk Assessment Matrix'!$G$27</definedName>
    <definedName name="Probability13">#REF!</definedName>
    <definedName name="Probability14" localSheetId="5">'[1]Risk Assessment Matrix'!$G$28</definedName>
    <definedName name="Probability14">#REF!</definedName>
    <definedName name="Probability15" localSheetId="5">'[1]Risk Assessment Matrix'!$G$29</definedName>
    <definedName name="Probability15">#REF!</definedName>
    <definedName name="Probability16" localSheetId="5">'[1]Risk Assessment Matrix'!$G$30</definedName>
    <definedName name="Probability16">#REF!</definedName>
    <definedName name="Probability17" localSheetId="5">'[1]Risk Assessment Matrix'!$G$31</definedName>
    <definedName name="Probability17">#REF!</definedName>
    <definedName name="Probability18" localSheetId="5">'[1]Risk Assessment Matrix'!$G$32</definedName>
    <definedName name="Probability18">#REF!</definedName>
    <definedName name="Probability19" localSheetId="5">'[1]Risk Assessment Matrix'!$G$33</definedName>
    <definedName name="Probability19">#REF!</definedName>
    <definedName name="Probability2" localSheetId="5">'[1]Risk Assessment Matrix'!$G$16</definedName>
    <definedName name="Probability2">#REF!</definedName>
    <definedName name="Probability20" localSheetId="5">'[1]Risk Assessment Matrix'!$G$34</definedName>
    <definedName name="Probability20">#REF!</definedName>
    <definedName name="Probability3" localSheetId="5">'[1]Risk Assessment Matrix'!$G$17</definedName>
    <definedName name="Probability3">#REF!</definedName>
    <definedName name="Probability4" localSheetId="5">'[1]Risk Assessment Matrix'!$G$18</definedName>
    <definedName name="Probability4">#REF!</definedName>
    <definedName name="Probability5" localSheetId="5">'[1]Risk Assessment Matrix'!$G$19</definedName>
    <definedName name="Probability5">#REF!</definedName>
    <definedName name="Probability6" localSheetId="5">'[1]Risk Assessment Matrix'!$G$20</definedName>
    <definedName name="Probability6">#REF!</definedName>
    <definedName name="Probability7" localSheetId="5">'[1]Risk Assessment Matrix'!$G$21</definedName>
    <definedName name="Probability7">#REF!</definedName>
    <definedName name="Probability8" localSheetId="5">'[1]Risk Assessment Matrix'!$G$22</definedName>
    <definedName name="Probability8">#REF!</definedName>
    <definedName name="Probability9" localSheetId="5">'[1]Risk Assessment Matrix'!$G$23</definedName>
    <definedName name="Probability9">#REF!</definedName>
    <definedName name="Risk1" localSheetId="5">'[1]Risks and Probabilities'!$E$8</definedName>
    <definedName name="Risk1">#REF!</definedName>
    <definedName name="Risk10" localSheetId="5">'[1]Risks and Probabilities'!$E$98</definedName>
    <definedName name="Risk10">#REF!</definedName>
    <definedName name="Risk11" localSheetId="5">'[1]Risks and Probabilities'!$E$108</definedName>
    <definedName name="Risk11">#REF!</definedName>
    <definedName name="Risk12" localSheetId="5">'[1]Risks and Probabilities'!$E$118</definedName>
    <definedName name="Risk12">#REF!</definedName>
    <definedName name="Risk13" localSheetId="5">'[1]Risks and Probabilities'!$E$128</definedName>
    <definedName name="Risk13">#REF!</definedName>
    <definedName name="Risk14" localSheetId="5">'[1]Risks and Probabilities'!$E$138</definedName>
    <definedName name="Risk14">#REF!</definedName>
    <definedName name="Risk15" localSheetId="5">'[1]Risks and Probabilities'!$E$148</definedName>
    <definedName name="Risk15">#REF!</definedName>
    <definedName name="Risk16" localSheetId="5">'[1]Risks and Probabilities'!$E$158</definedName>
    <definedName name="Risk16">#REF!</definedName>
    <definedName name="Risk17" localSheetId="5">'[1]Risks and Probabilities'!$E$168</definedName>
    <definedName name="Risk17">#REF!</definedName>
    <definedName name="Risk18" localSheetId="5">'[1]Risks and Probabilities'!$E$178</definedName>
    <definedName name="Risk18">#REF!</definedName>
    <definedName name="Risk19" localSheetId="5">'[1]Risks and Probabilities'!$E$188</definedName>
    <definedName name="Risk19">#REF!</definedName>
    <definedName name="Risk2" localSheetId="5">'[1]Risks and Probabilities'!$E$18</definedName>
    <definedName name="Risk2">#REF!</definedName>
    <definedName name="Risk20" localSheetId="5">'[1]Risks and Probabilities'!$E$198</definedName>
    <definedName name="Risk20">#REF!</definedName>
    <definedName name="Risk3" localSheetId="5">'[1]Risks and Probabilities'!$E$28</definedName>
    <definedName name="Risk3">#REF!</definedName>
    <definedName name="Risk4" localSheetId="5">'[1]Risks and Probabilities'!$E$38</definedName>
    <definedName name="Risk4">#REF!</definedName>
    <definedName name="Risk5" localSheetId="5">'[1]Risks and Probabilities'!$E$48</definedName>
    <definedName name="Risk5">#REF!</definedName>
    <definedName name="Risk6" localSheetId="5">'[1]Risks and Probabilities'!$E$58</definedName>
    <definedName name="Risk6">#REF!</definedName>
    <definedName name="Risk7" localSheetId="5">'[1]Risks and Probabilities'!$E$68</definedName>
    <definedName name="Risk7">#REF!</definedName>
    <definedName name="Risk8" localSheetId="5">'[1]Risks and Probabilities'!$E$78</definedName>
    <definedName name="Risk8">#REF!</definedName>
    <definedName name="Risk9" localSheetId="5">'[1]Risks and Probabilities'!$E$88</definedName>
    <definedName name="Risk9">#REF!</definedName>
    <definedName name="Typeofrisk1" localSheetId="5">'[1]Risks and Probabilities'!$D$8</definedName>
    <definedName name="Typeofrisk1">#REF!</definedName>
    <definedName name="Typeofrisk10" localSheetId="5">'[1]Risks and Probabilities'!$D$98</definedName>
    <definedName name="Typeofrisk10">#REF!</definedName>
    <definedName name="Typeofrisk11" localSheetId="5">'[1]Risks and Probabilities'!$D$108</definedName>
    <definedName name="Typeofrisk11">#REF!</definedName>
    <definedName name="Typeofrisk12" localSheetId="5">'[1]Risks and Probabilities'!$D$118</definedName>
    <definedName name="Typeofrisk12">#REF!</definedName>
    <definedName name="Typeofrisk13" localSheetId="5">'[1]Risks and Probabilities'!$D$128</definedName>
    <definedName name="Typeofrisk13">#REF!</definedName>
    <definedName name="Typeofrisk14" localSheetId="5">'[1]Risks and Probabilities'!$D$138</definedName>
    <definedName name="Typeofrisk14">#REF!</definedName>
    <definedName name="Typeofrisk15" localSheetId="5">'[1]Risks and Probabilities'!$D$148</definedName>
    <definedName name="Typeofrisk15">#REF!</definedName>
    <definedName name="Typeofrisk16" localSheetId="5">'[1]Risks and Probabilities'!$D$158</definedName>
    <definedName name="Typeofrisk16">#REF!</definedName>
    <definedName name="Typeofrisk17" localSheetId="5">'[1]Risks and Probabilities'!$D$168</definedName>
    <definedName name="Typeofrisk17">#REF!</definedName>
    <definedName name="Typeofrisk18" localSheetId="5">'[1]Risks and Probabilities'!$D$178</definedName>
    <definedName name="Typeofrisk18">#REF!</definedName>
    <definedName name="Typeofrisk19" localSheetId="5">'[1]Risks and Probabilities'!$D$188</definedName>
    <definedName name="Typeofrisk19">#REF!</definedName>
    <definedName name="Typeofrisk2" localSheetId="5">'[1]Risks and Probabilities'!$D$18</definedName>
    <definedName name="Typeofrisk2">#REF!</definedName>
    <definedName name="Typeofrisk20" localSheetId="5">'[1]Risks and Probabilities'!$D$198</definedName>
    <definedName name="Typeofrisk20">#REF!</definedName>
    <definedName name="Typeofrisk3" localSheetId="5">'[1]Risks and Probabilities'!$D$28</definedName>
    <definedName name="Typeofrisk3">#REF!</definedName>
    <definedName name="Typeofrisk4" localSheetId="5">'[1]Risks and Probabilities'!$D$38</definedName>
    <definedName name="Typeofrisk4">#REF!</definedName>
    <definedName name="Typeofrisk5" localSheetId="5">'[1]Risks and Probabilities'!$D$48</definedName>
    <definedName name="Typeofrisk5">#REF!</definedName>
    <definedName name="Typeofrisk6" localSheetId="5">'[1]Risks and Probabilities'!$D$58</definedName>
    <definedName name="Typeofrisk6">#REF!</definedName>
    <definedName name="Typeofrisk7" localSheetId="5">'[1]Risks and Probabilities'!$D$68</definedName>
    <definedName name="Typeofrisk7">#REF!</definedName>
    <definedName name="Typeofrisk8" localSheetId="5">'[1]Risks and Probabilities'!$D$78</definedName>
    <definedName name="Typeofrisk8">#REF!</definedName>
    <definedName name="Typeofrisk9" localSheetId="5">'[1]Risks and Probabilities'!$D$88</definedName>
    <definedName name="Typeofrisk9">#REF!</definedName>
    <definedName name="Value1" localSheetId="5">'[1]Risk Assessment Matrix'!$I$15</definedName>
    <definedName name="Value1">#REF!</definedName>
    <definedName name="Value10" localSheetId="5">'[1]Risk Assessment Matrix'!$I$24</definedName>
    <definedName name="Value10">#REF!</definedName>
    <definedName name="Value11" localSheetId="5">'[1]Risk Assessment Matrix'!$I$25</definedName>
    <definedName name="Value11">#REF!</definedName>
    <definedName name="Value12" localSheetId="5">'[1]Risk Assessment Matrix'!$I$26</definedName>
    <definedName name="Value12">#REF!</definedName>
    <definedName name="Value13" localSheetId="5">'[1]Risk Assessment Matrix'!$I$27</definedName>
    <definedName name="Value13">#REF!</definedName>
    <definedName name="Value14" localSheetId="5">'[1]Risk Assessment Matrix'!$I$28</definedName>
    <definedName name="Value14">#REF!</definedName>
    <definedName name="Value15" localSheetId="5">'[1]Risk Assessment Matrix'!$I$29</definedName>
    <definedName name="Value15">#REF!</definedName>
    <definedName name="Value16" localSheetId="5">'[1]Risk Assessment Matrix'!$I$30</definedName>
    <definedName name="Value16">#REF!</definedName>
    <definedName name="Value17" localSheetId="5">'[1]Risk Assessment Matrix'!$I$31</definedName>
    <definedName name="Value17">#REF!</definedName>
    <definedName name="Value18" localSheetId="5">'[1]Risk Assessment Matrix'!$I$32</definedName>
    <definedName name="Value18">#REF!</definedName>
    <definedName name="Value19" localSheetId="5">'[1]Risk Assessment Matrix'!$I$33</definedName>
    <definedName name="Value19">#REF!</definedName>
    <definedName name="Value2" localSheetId="5">'[1]Risk Assessment Matrix'!$I$16</definedName>
    <definedName name="Value2">#REF!</definedName>
    <definedName name="Value20" localSheetId="5">'[1]Risk Assessment Matrix'!$I$34</definedName>
    <definedName name="Value20">#REF!</definedName>
    <definedName name="Value3" localSheetId="5">'[1]Risk Assessment Matrix'!$I$17</definedName>
    <definedName name="Value3">#REF!</definedName>
    <definedName name="Value4" localSheetId="5">'[1]Risk Assessment Matrix'!$I$18</definedName>
    <definedName name="Value4">#REF!</definedName>
    <definedName name="Value5" localSheetId="5">'[1]Risk Assessment Matrix'!$I$19</definedName>
    <definedName name="Value5">#REF!</definedName>
    <definedName name="Value6" localSheetId="5">'[1]Risk Assessment Matrix'!$I$20</definedName>
    <definedName name="Value6">#REF!</definedName>
    <definedName name="Value7" localSheetId="5">'[1]Risk Assessment Matrix'!$I$21</definedName>
    <definedName name="Value7">#REF!</definedName>
    <definedName name="Value8" localSheetId="5">'[1]Risk Assessment Matrix'!$I$22</definedName>
    <definedName name="Value8">#REF!</definedName>
    <definedName name="Value9" localSheetId="5">'[1]Risk Assessment Matrix'!$I$23</definedName>
    <definedName name="Value9">#REF!</definedName>
  </definedNames>
  <calcPr calcId="179017"/>
</workbook>
</file>

<file path=xl/calcChain.xml><?xml version="1.0" encoding="utf-8"?>
<calcChain xmlns="http://schemas.openxmlformats.org/spreadsheetml/2006/main">
  <c r="F232" i="3" l="1"/>
  <c r="F250" i="1"/>
  <c r="F232" i="1"/>
  <c r="G77" i="6" l="1"/>
  <c r="G76" i="6"/>
  <c r="G75" i="6"/>
  <c r="G74" i="6"/>
  <c r="G73" i="6"/>
  <c r="G72" i="6"/>
  <c r="G71" i="6"/>
  <c r="F65" i="6"/>
  <c r="F64" i="6"/>
  <c r="F63" i="6"/>
  <c r="F62" i="6"/>
  <c r="F61" i="6"/>
  <c r="F60" i="6"/>
  <c r="F59" i="6"/>
  <c r="G53" i="6"/>
  <c r="G52" i="6"/>
  <c r="G51" i="6"/>
  <c r="G49" i="6"/>
  <c r="F47" i="1"/>
  <c r="G48" i="6" s="1"/>
  <c r="H32" i="6"/>
  <c r="H31" i="6"/>
  <c r="H30" i="6"/>
  <c r="H29" i="6"/>
  <c r="H28" i="6"/>
  <c r="H27" i="6"/>
  <c r="H26" i="6"/>
  <c r="H25" i="6"/>
  <c r="H24" i="6"/>
  <c r="H13" i="6"/>
  <c r="G50" i="6"/>
  <c r="H23" i="6"/>
  <c r="H22" i="6"/>
  <c r="H12" i="6"/>
  <c r="O77" i="6"/>
  <c r="K77" i="6"/>
  <c r="C77" i="6"/>
  <c r="A77" i="6"/>
  <c r="O76" i="6"/>
  <c r="K76" i="6"/>
  <c r="C76" i="6"/>
  <c r="A76" i="6"/>
  <c r="O75" i="6"/>
  <c r="K75" i="6"/>
  <c r="C75" i="6"/>
  <c r="A75" i="6"/>
  <c r="O74" i="6"/>
  <c r="K74" i="6"/>
  <c r="C74" i="6"/>
  <c r="A74" i="6"/>
  <c r="O73" i="6"/>
  <c r="K73" i="6"/>
  <c r="C73" i="6"/>
  <c r="A73" i="6"/>
  <c r="O72" i="6"/>
  <c r="K72" i="6"/>
  <c r="C72" i="6"/>
  <c r="A72" i="6"/>
  <c r="O71" i="6"/>
  <c r="K71" i="6"/>
  <c r="C71" i="6"/>
  <c r="A71" i="6"/>
  <c r="O65" i="6"/>
  <c r="M65" i="6"/>
  <c r="K65" i="6"/>
  <c r="C65" i="6"/>
  <c r="A65" i="6"/>
  <c r="O64" i="6"/>
  <c r="M64" i="6"/>
  <c r="K64" i="6"/>
  <c r="C64" i="6"/>
  <c r="A64" i="6"/>
  <c r="O63" i="6"/>
  <c r="M63" i="6"/>
  <c r="K63" i="6"/>
  <c r="C63" i="6"/>
  <c r="A63" i="6"/>
  <c r="O62" i="6"/>
  <c r="M62" i="6"/>
  <c r="K62" i="6"/>
  <c r="C62" i="6"/>
  <c r="A62" i="6"/>
  <c r="O61" i="6"/>
  <c r="M61" i="6"/>
  <c r="K61" i="6"/>
  <c r="A61" i="6"/>
  <c r="O60" i="6"/>
  <c r="M60" i="6"/>
  <c r="K60" i="6"/>
  <c r="C60" i="6"/>
  <c r="A60" i="6"/>
  <c r="O59" i="6"/>
  <c r="M59" i="6"/>
  <c r="K59" i="6"/>
  <c r="C59" i="6"/>
  <c r="A59" i="6"/>
  <c r="AE53" i="6"/>
  <c r="AC53" i="6"/>
  <c r="K53" i="6"/>
  <c r="C53" i="6"/>
  <c r="A53" i="6"/>
  <c r="AE52" i="6"/>
  <c r="AC52" i="6"/>
  <c r="K52" i="6"/>
  <c r="C52" i="6"/>
  <c r="A52" i="6"/>
  <c r="AE51" i="6"/>
  <c r="AC51" i="6"/>
  <c r="K51" i="6"/>
  <c r="C51" i="6"/>
  <c r="A51" i="6"/>
  <c r="AE50" i="6"/>
  <c r="AC50" i="6"/>
  <c r="K50" i="6"/>
  <c r="A50" i="6"/>
  <c r="AE49" i="6"/>
  <c r="AC49" i="6"/>
  <c r="K49" i="6"/>
  <c r="A49" i="6"/>
  <c r="AE48" i="6"/>
  <c r="AC48" i="6"/>
  <c r="K48" i="6"/>
  <c r="A48" i="6"/>
  <c r="Z39" i="6"/>
  <c r="X39" i="6"/>
  <c r="L39" i="6"/>
  <c r="A39" i="6"/>
  <c r="Z38" i="6"/>
  <c r="X38" i="6"/>
  <c r="L38" i="6"/>
  <c r="A38" i="6"/>
  <c r="Z32" i="6"/>
  <c r="X32" i="6"/>
  <c r="L32" i="6"/>
  <c r="C32" i="6"/>
  <c r="A32" i="6"/>
  <c r="Z31" i="6"/>
  <c r="X31" i="6"/>
  <c r="L31" i="6"/>
  <c r="C31" i="6"/>
  <c r="A31" i="6"/>
  <c r="Z30" i="6"/>
  <c r="X30" i="6"/>
  <c r="L30" i="6"/>
  <c r="C30" i="6"/>
  <c r="A30" i="6"/>
  <c r="Z29" i="6"/>
  <c r="X29" i="6"/>
  <c r="L29" i="6"/>
  <c r="C29" i="6"/>
  <c r="A29" i="6"/>
  <c r="Z28" i="6"/>
  <c r="X28" i="6"/>
  <c r="L28" i="6"/>
  <c r="C28" i="6"/>
  <c r="A28" i="6"/>
  <c r="Z27" i="6"/>
  <c r="X27" i="6"/>
  <c r="L27" i="6"/>
  <c r="C27" i="6"/>
  <c r="A27" i="6"/>
  <c r="Z26" i="6"/>
  <c r="X26" i="6"/>
  <c r="L26" i="6"/>
  <c r="C26" i="6"/>
  <c r="A26" i="6"/>
  <c r="Z25" i="6"/>
  <c r="X25" i="6"/>
  <c r="L25" i="6"/>
  <c r="C25" i="6"/>
  <c r="A25" i="6"/>
  <c r="Z24" i="6"/>
  <c r="X24" i="6"/>
  <c r="L24" i="6"/>
  <c r="C24" i="6"/>
  <c r="A24" i="6"/>
  <c r="Z23" i="6"/>
  <c r="X23" i="6"/>
  <c r="L23" i="6"/>
  <c r="A23" i="6"/>
  <c r="Z22" i="6"/>
  <c r="X22" i="6"/>
  <c r="L22" i="6"/>
  <c r="A22" i="6"/>
  <c r="Z13" i="6"/>
  <c r="X13" i="6"/>
  <c r="L13" i="6"/>
  <c r="C13" i="6"/>
  <c r="A13" i="6"/>
  <c r="Z12" i="6"/>
  <c r="X12" i="6"/>
  <c r="L12" i="6"/>
  <c r="A12" i="6"/>
  <c r="F88" i="3" l="1"/>
  <c r="F84" i="3"/>
  <c r="L230" i="3"/>
  <c r="K230" i="3"/>
  <c r="I230" i="3"/>
  <c r="H230" i="3"/>
  <c r="G230" i="3"/>
  <c r="J230" i="3"/>
  <c r="F250" i="3"/>
  <c r="F79" i="3"/>
  <c r="F78" i="3"/>
  <c r="F77" i="3"/>
  <c r="F76" i="3"/>
  <c r="F75" i="3"/>
  <c r="F74" i="3"/>
  <c r="F73" i="3"/>
  <c r="F80" i="1"/>
  <c r="F79" i="1"/>
  <c r="F76" i="1"/>
  <c r="F75" i="1"/>
  <c r="J96" i="3" l="1"/>
  <c r="H96" i="3"/>
  <c r="I96" i="3"/>
  <c r="I76" i="3"/>
  <c r="H76" i="3"/>
  <c r="L249" i="3"/>
  <c r="K249" i="3"/>
  <c r="J249" i="3"/>
  <c r="I249" i="3"/>
  <c r="H249" i="3"/>
  <c r="G249" i="3"/>
  <c r="H120" i="3"/>
  <c r="I120" i="3"/>
  <c r="G120" i="3"/>
  <c r="L250" i="3"/>
  <c r="M250" i="3" s="1"/>
  <c r="L248" i="3"/>
  <c r="L247" i="3"/>
  <c r="I246" i="3"/>
  <c r="L245" i="3"/>
  <c r="K245" i="3"/>
  <c r="K244" i="3" s="1"/>
  <c r="J245" i="3"/>
  <c r="J244" i="3" s="1"/>
  <c r="I245" i="3"/>
  <c r="I244" i="3" s="1"/>
  <c r="H245" i="3"/>
  <c r="H244" i="3" s="1"/>
  <c r="G245" i="3"/>
  <c r="G244" i="3" s="1"/>
  <c r="I229" i="3"/>
  <c r="G228" i="3"/>
  <c r="J225" i="3"/>
  <c r="G224" i="3"/>
  <c r="J221" i="3"/>
  <c r="H220" i="3"/>
  <c r="I218" i="3"/>
  <c r="G217" i="3"/>
  <c r="G214" i="3"/>
  <c r="H212" i="3"/>
  <c r="H209" i="3"/>
  <c r="G206" i="3"/>
  <c r="K203" i="3"/>
  <c r="J202" i="3"/>
  <c r="I201" i="3"/>
  <c r="H200" i="3"/>
  <c r="G197" i="3"/>
  <c r="H194" i="3"/>
  <c r="H191" i="3"/>
  <c r="J188" i="3"/>
  <c r="I187" i="3"/>
  <c r="H186" i="3"/>
  <c r="G185" i="3"/>
  <c r="H182" i="3"/>
  <c r="J183" i="3"/>
  <c r="K179" i="3"/>
  <c r="J178" i="3"/>
  <c r="I177" i="3"/>
  <c r="H176" i="3"/>
  <c r="J172" i="3"/>
  <c r="I172" i="3"/>
  <c r="K169" i="3"/>
  <c r="J168" i="3"/>
  <c r="I167" i="3"/>
  <c r="K164" i="3"/>
  <c r="J163" i="3"/>
  <c r="I162" i="3"/>
  <c r="H161" i="3"/>
  <c r="K158" i="3"/>
  <c r="J154" i="3"/>
  <c r="I150" i="3"/>
  <c r="H146" i="3"/>
  <c r="G140" i="3"/>
  <c r="I119" i="3"/>
  <c r="L103" i="3"/>
  <c r="K102" i="3"/>
  <c r="G99" i="3"/>
  <c r="G92" i="3" s="1"/>
  <c r="J91" i="3"/>
  <c r="J87" i="3"/>
  <c r="F71" i="3"/>
  <c r="K70" i="3"/>
  <c r="L70" i="3"/>
  <c r="J79" i="3"/>
  <c r="M79" i="3" s="1"/>
  <c r="J78" i="3"/>
  <c r="I78" i="3"/>
  <c r="I77" i="3"/>
  <c r="M77" i="3" s="1"/>
  <c r="H75" i="3"/>
  <c r="M75" i="3" s="1"/>
  <c r="K69" i="3"/>
  <c r="K66" i="3" s="1"/>
  <c r="H68" i="3"/>
  <c r="H66" i="3" s="1"/>
  <c r="K65" i="3"/>
  <c r="L65" i="3"/>
  <c r="K62" i="3"/>
  <c r="L59" i="3"/>
  <c r="K59" i="3"/>
  <c r="K58" i="3"/>
  <c r="J58" i="3"/>
  <c r="M233" i="3"/>
  <c r="L226" i="3"/>
  <c r="K226" i="3"/>
  <c r="J226" i="3"/>
  <c r="L222" i="3"/>
  <c r="K222" i="3"/>
  <c r="I222" i="3"/>
  <c r="H222" i="3"/>
  <c r="L213" i="3"/>
  <c r="K213" i="3"/>
  <c r="L210" i="3"/>
  <c r="K210" i="3"/>
  <c r="J210" i="3"/>
  <c r="I210" i="3"/>
  <c r="G210" i="3"/>
  <c r="L207" i="3"/>
  <c r="K207" i="3"/>
  <c r="J207" i="3"/>
  <c r="I207" i="3"/>
  <c r="G207" i="3"/>
  <c r="L204" i="3"/>
  <c r="K204" i="3"/>
  <c r="J204" i="3"/>
  <c r="I204" i="3"/>
  <c r="H204" i="3"/>
  <c r="L198" i="3"/>
  <c r="G198" i="3"/>
  <c r="L195" i="3"/>
  <c r="K195" i="3"/>
  <c r="J195" i="3"/>
  <c r="I195" i="3"/>
  <c r="H195" i="3"/>
  <c r="L192" i="3"/>
  <c r="K192" i="3"/>
  <c r="J192" i="3"/>
  <c r="I192" i="3"/>
  <c r="G192" i="3"/>
  <c r="L189" i="3"/>
  <c r="K189" i="3"/>
  <c r="J189" i="3"/>
  <c r="I189" i="3"/>
  <c r="G189" i="3"/>
  <c r="L173" i="3"/>
  <c r="L104" i="3"/>
  <c r="M97" i="3"/>
  <c r="L83" i="3"/>
  <c r="K83" i="3"/>
  <c r="I83" i="3"/>
  <c r="H83" i="3"/>
  <c r="G83" i="3"/>
  <c r="M81" i="3"/>
  <c r="M80" i="3"/>
  <c r="M74" i="3"/>
  <c r="L66" i="3"/>
  <c r="J66" i="3"/>
  <c r="I66" i="3"/>
  <c r="G66" i="3"/>
  <c r="L56" i="3"/>
  <c r="K56" i="3"/>
  <c r="J56" i="3"/>
  <c r="J55" i="3"/>
  <c r="I55" i="3"/>
  <c r="I46" i="3" s="1"/>
  <c r="I45" i="3" s="1"/>
  <c r="H55" i="3"/>
  <c r="M54" i="3"/>
  <c r="M53" i="3"/>
  <c r="I52" i="3"/>
  <c r="H52" i="3"/>
  <c r="M51" i="3"/>
  <c r="M50" i="3"/>
  <c r="I49" i="3"/>
  <c r="H49" i="3"/>
  <c r="H48" i="3"/>
  <c r="M48" i="3" s="1"/>
  <c r="L46" i="3"/>
  <c r="L45" i="3" s="1"/>
  <c r="L44" i="3" s="1"/>
  <c r="K46" i="3"/>
  <c r="K45" i="3" s="1"/>
  <c r="G46" i="3"/>
  <c r="G45" i="3" s="1"/>
  <c r="F244" i="3"/>
  <c r="F243" i="3"/>
  <c r="J243" i="3" s="1"/>
  <c r="F242" i="3"/>
  <c r="L242" i="3" s="1"/>
  <c r="L240" i="3" s="1"/>
  <c r="F241" i="3"/>
  <c r="J241" i="3" s="1"/>
  <c r="F236" i="3"/>
  <c r="F235" i="3"/>
  <c r="F234" i="3"/>
  <c r="F233" i="3"/>
  <c r="F226" i="3"/>
  <c r="F222" i="3"/>
  <c r="F219" i="3"/>
  <c r="F216" i="3"/>
  <c r="F213" i="3"/>
  <c r="F210" i="3"/>
  <c r="F207" i="3"/>
  <c r="F204" i="3"/>
  <c r="F198" i="3"/>
  <c r="F195" i="3"/>
  <c r="F192" i="3"/>
  <c r="F189" i="3"/>
  <c r="F184" i="3"/>
  <c r="F180" i="3"/>
  <c r="F174" i="3"/>
  <c r="F165" i="3"/>
  <c r="F159" i="3"/>
  <c r="F141" i="3"/>
  <c r="F120" i="3"/>
  <c r="F123" i="3" s="1"/>
  <c r="F119" i="3"/>
  <c r="F116" i="3"/>
  <c r="J116" i="3" s="1"/>
  <c r="F113" i="3"/>
  <c r="I113" i="3" s="1"/>
  <c r="F110" i="3"/>
  <c r="F107" i="3"/>
  <c r="I107" i="3" s="1"/>
  <c r="F100" i="3"/>
  <c r="F97" i="3"/>
  <c r="F94" i="3"/>
  <c r="F83" i="3"/>
  <c r="F82" i="3"/>
  <c r="H73" i="3"/>
  <c r="F66" i="3"/>
  <c r="F46" i="3"/>
  <c r="F45" i="3" s="1"/>
  <c r="F41" i="3"/>
  <c r="F31" i="3"/>
  <c r="F25" i="3"/>
  <c r="F19" i="3"/>
  <c r="F13" i="3"/>
  <c r="F8" i="3"/>
  <c r="F4" i="2"/>
  <c r="F44" i="2"/>
  <c r="F45" i="2"/>
  <c r="F58" i="2"/>
  <c r="F65" i="2"/>
  <c r="F66" i="2"/>
  <c r="F93" i="2"/>
  <c r="F117" i="2"/>
  <c r="F116" i="2"/>
  <c r="F114" i="2"/>
  <c r="F113" i="2"/>
  <c r="F112" i="2"/>
  <c r="F110" i="2"/>
  <c r="F109" i="2"/>
  <c r="F108" i="2"/>
  <c r="F107" i="2"/>
  <c r="F115" i="2"/>
  <c r="F101" i="2"/>
  <c r="F98" i="2"/>
  <c r="F96" i="2"/>
  <c r="F88" i="2"/>
  <c r="F85" i="2"/>
  <c r="F82" i="2"/>
  <c r="F62" i="2"/>
  <c r="F41" i="2"/>
  <c r="F31" i="2"/>
  <c r="F25" i="2"/>
  <c r="F19" i="2"/>
  <c r="F13" i="2"/>
  <c r="F8" i="2"/>
  <c r="F244" i="1"/>
  <c r="F243" i="1"/>
  <c r="F242" i="1"/>
  <c r="F241" i="1"/>
  <c r="F236" i="1"/>
  <c r="F235" i="1"/>
  <c r="F234" i="1"/>
  <c r="F233" i="1"/>
  <c r="F226" i="1"/>
  <c r="F222" i="1"/>
  <c r="F219" i="1"/>
  <c r="F216" i="1"/>
  <c r="F210" i="1"/>
  <c r="F207" i="1"/>
  <c r="F204" i="1"/>
  <c r="F198" i="1"/>
  <c r="F195" i="1"/>
  <c r="F192" i="1"/>
  <c r="F189" i="1"/>
  <c r="F184" i="1"/>
  <c r="F180" i="1"/>
  <c r="F174" i="1"/>
  <c r="F165" i="1"/>
  <c r="F159" i="1"/>
  <c r="F141" i="1"/>
  <c r="F120" i="1"/>
  <c r="F119" i="1"/>
  <c r="F116" i="1"/>
  <c r="F113" i="1"/>
  <c r="F110" i="1"/>
  <c r="F107" i="1"/>
  <c r="F100" i="1"/>
  <c r="F97" i="1"/>
  <c r="F94" i="1"/>
  <c r="F83" i="1"/>
  <c r="F74" i="1"/>
  <c r="F73" i="1" s="1"/>
  <c r="F55" i="2" s="1"/>
  <c r="F66" i="1"/>
  <c r="F46" i="1"/>
  <c r="F45" i="1" s="1"/>
  <c r="F41" i="1"/>
  <c r="F31" i="1"/>
  <c r="F25" i="1"/>
  <c r="F19" i="1"/>
  <c r="F13" i="1"/>
  <c r="F8" i="1"/>
  <c r="M56" i="3" l="1"/>
  <c r="M94" i="3"/>
  <c r="K44" i="3"/>
  <c r="F137" i="3"/>
  <c r="L244" i="3"/>
  <c r="M49" i="3"/>
  <c r="H46" i="3"/>
  <c r="H45" i="3" s="1"/>
  <c r="K123" i="3"/>
  <c r="J123" i="3"/>
  <c r="J120" i="3" s="1"/>
  <c r="F104" i="3"/>
  <c r="F92" i="3"/>
  <c r="F173" i="3"/>
  <c r="F136" i="3" s="1"/>
  <c r="M55" i="3"/>
  <c r="F126" i="3"/>
  <c r="F135" i="3"/>
  <c r="I136" i="3"/>
  <c r="I242" i="3"/>
  <c r="G243" i="3"/>
  <c r="G241" i="3"/>
  <c r="H92" i="3"/>
  <c r="I116" i="3"/>
  <c r="F129" i="3"/>
  <c r="J136" i="3"/>
  <c r="J242" i="3"/>
  <c r="J240" i="3" s="1"/>
  <c r="H243" i="3"/>
  <c r="H241" i="3"/>
  <c r="F5" i="3"/>
  <c r="F240" i="3"/>
  <c r="M52" i="3"/>
  <c r="M100" i="3"/>
  <c r="L136" i="3"/>
  <c r="F132" i="3"/>
  <c r="L132" i="3" s="1"/>
  <c r="G136" i="3"/>
  <c r="K136" i="3"/>
  <c r="G242" i="3"/>
  <c r="K242" i="3"/>
  <c r="K240" i="3" s="1"/>
  <c r="I243" i="3"/>
  <c r="I241" i="3"/>
  <c r="I240" i="3" s="1"/>
  <c r="I110" i="3"/>
  <c r="I92" i="3" s="1"/>
  <c r="H136" i="3"/>
  <c r="H242" i="3"/>
  <c r="J110" i="3"/>
  <c r="J92" i="3" s="1"/>
  <c r="M78" i="3"/>
  <c r="F70" i="3"/>
  <c r="F44" i="3" s="1"/>
  <c r="J82" i="3"/>
  <c r="I82" i="3"/>
  <c r="H82" i="3"/>
  <c r="H70" i="3" s="1"/>
  <c r="H44" i="3" s="1"/>
  <c r="M76" i="3"/>
  <c r="J70" i="3"/>
  <c r="F173" i="1"/>
  <c r="F137" i="1"/>
  <c r="F104" i="1"/>
  <c r="F240" i="1"/>
  <c r="F82" i="1"/>
  <c r="J83" i="3"/>
  <c r="M83" i="3" s="1"/>
  <c r="G73" i="3"/>
  <c r="G70" i="3" s="1"/>
  <c r="G44" i="3" s="1"/>
  <c r="J46" i="3"/>
  <c r="J45" i="3" s="1"/>
  <c r="M73" i="3"/>
  <c r="M189" i="3"/>
  <c r="M173" i="3"/>
  <c r="M204" i="3"/>
  <c r="M195" i="3"/>
  <c r="M192" i="3"/>
  <c r="M66" i="3"/>
  <c r="M210" i="3"/>
  <c r="M222" i="3"/>
  <c r="M226" i="3"/>
  <c r="M137" i="3"/>
  <c r="M198" i="3"/>
  <c r="M46" i="3"/>
  <c r="M207" i="3"/>
  <c r="M213" i="3"/>
  <c r="F111" i="2"/>
  <c r="F5" i="2"/>
  <c r="F106" i="2"/>
  <c r="F5" i="1"/>
  <c r="F70" i="1"/>
  <c r="F44" i="1" s="1"/>
  <c r="F231" i="1"/>
  <c r="F92" i="1"/>
  <c r="F71" i="1"/>
  <c r="F213" i="1"/>
  <c r="M82" i="3" l="1"/>
  <c r="G240" i="3"/>
  <c r="L129" i="3"/>
  <c r="K129" i="3"/>
  <c r="L135" i="3"/>
  <c r="K135" i="3"/>
  <c r="H240" i="3"/>
  <c r="K126" i="3"/>
  <c r="K120" i="3" s="1"/>
  <c r="L126" i="3"/>
  <c r="M104" i="3"/>
  <c r="F231" i="3"/>
  <c r="F4" i="3" s="1"/>
  <c r="K232" i="3"/>
  <c r="K231" i="3" s="1"/>
  <c r="G232" i="3"/>
  <c r="J232" i="3"/>
  <c r="J231" i="3" s="1"/>
  <c r="I232" i="3"/>
  <c r="I231" i="3" s="1"/>
  <c r="L232" i="3"/>
  <c r="L231" i="3" s="1"/>
  <c r="H232" i="3"/>
  <c r="I70" i="3"/>
  <c r="I44" i="3" s="1"/>
  <c r="J44" i="3"/>
  <c r="J4" i="3" s="1"/>
  <c r="F136" i="1"/>
  <c r="F4" i="1" s="1"/>
  <c r="M45" i="3"/>
  <c r="M136" i="3"/>
  <c r="F105" i="2"/>
  <c r="L120" i="3" l="1"/>
  <c r="L92" i="3" s="1"/>
  <c r="K92" i="3"/>
  <c r="M120" i="3"/>
  <c r="L4" i="3"/>
  <c r="M44" i="3"/>
  <c r="H231" i="3"/>
  <c r="H4" i="3" s="1"/>
  <c r="G231" i="3"/>
  <c r="M232" i="3"/>
  <c r="I4" i="3"/>
  <c r="M70" i="3"/>
  <c r="M231" i="3" l="1"/>
  <c r="G4" i="3"/>
  <c r="K4" i="3"/>
  <c r="M92" i="3"/>
  <c r="M4" i="3" l="1"/>
  <c r="G2" i="3" l="1"/>
  <c r="H2" i="3" s="1"/>
  <c r="I2" i="3" s="1"/>
  <c r="J2" i="3" s="1"/>
  <c r="K2" i="3" s="1"/>
  <c r="L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Vanessa</author>
  </authors>
  <commentList>
    <comment ref="B4" authorId="0" shapeId="0" xr:uid="{00000000-0006-0000-0000-000001000000}">
      <text>
        <r>
          <rPr>
            <sz val="11"/>
            <rFont val="Calibri"/>
            <family val="2"/>
          </rPr>
          <t xml:space="preserve">1- Percentage of people tested positive known to be on treatment twelve months after initiation of ART; 2- % of total hospitalization with ambulatory care sensitive conditions as the main cause;  3- Major lower extremity amputations in adults with diabetes; 4- Eradicate Malaria by EOP </t>
        </r>
      </text>
    </comment>
    <comment ref="B44" authorId="0" shapeId="0" xr:uid="{00000000-0006-0000-0000-000002000000}">
      <text>
        <r>
          <rPr>
            <sz val="11"/>
            <rFont val="Calibri"/>
            <family val="2"/>
          </rPr>
          <t xml:space="preserve">1- % of MOH civil servants who declare to be satisfied with working environment; 2- % of clinics reporting core patient data to MOH;  </t>
        </r>
      </text>
    </comment>
    <comment ref="B45" authorId="0" shapeId="0" xr:uid="{00000000-0006-0000-0000-000003000000}">
      <text>
        <r>
          <rPr>
            <sz val="11"/>
            <rFont val="Calibri"/>
            <family val="2"/>
          </rPr>
          <t>This includes needs assessment; process flowchart design; electronic support; and training  (Including clinical information registration system)  Diana va a averiguar si se pueden establecer fases genéricas de desarrollo del sistema de información</t>
        </r>
      </text>
    </comment>
    <comment ref="B46" authorId="0" shapeId="0" xr:uid="{00000000-0006-0000-0000-000004000000}">
      <text>
        <r>
          <rPr>
            <sz val="11"/>
            <rFont val="Calibri"/>
            <family val="2"/>
          </rPr>
          <t>Phase 1 is conformed by: a) Electronic patients registries at CCM, renal dialysis center and cancer center;  b) MOH-BOG information system upgraded and connected to phase 1 facilities</t>
        </r>
      </text>
    </comment>
    <comment ref="B47" authorId="0" shapeId="0" xr:uid="{00000000-0006-0000-0000-000005000000}">
      <text>
        <r>
          <rPr>
            <sz val="11"/>
            <rFont val="Calibri"/>
            <family val="2"/>
          </rPr>
          <t>Implementation includes: capacity building maintenance and warranty.</t>
        </r>
      </text>
    </comment>
    <comment ref="B55" authorId="0" shapeId="0" xr:uid="{00000000-0006-0000-0000-000006000000}">
      <text>
        <r>
          <rPr>
            <sz val="11"/>
            <rFont val="Calibri"/>
            <family val="2"/>
          </rPr>
          <t>Includes: 1- strategy designed for evidence based decisions (3 meses); 2- material developed (3 meses); 3- strategy implemented (1 year); 4- strategy monitored and evaluated (1 year)</t>
        </r>
      </text>
    </comment>
    <comment ref="B57" authorId="0" shapeId="0" xr:uid="{00000000-0006-0000-0000-000007000000}">
      <text>
        <r>
          <rPr>
            <sz val="11"/>
            <rFont val="Calibri"/>
            <family val="2"/>
          </rPr>
          <t>Implementation includes: capacity building maintenance and warranty.</t>
        </r>
      </text>
    </comment>
    <comment ref="B65" authorId="0" shapeId="0" xr:uid="{00000000-0006-0000-0000-000008000000}">
      <text>
        <r>
          <rPr>
            <sz val="11"/>
            <rFont val="Calibri"/>
            <family val="2"/>
          </rPr>
          <t>Includes: 1- strategy designed for evidence based decisions (3 meses); 2- material developed (3 meses); 3- strategy implemented (1 year); 4- strategy monitored and evaluated (1 year)</t>
        </r>
      </text>
    </comment>
    <comment ref="B70" authorId="0" shapeId="0" xr:uid="{00000000-0006-0000-0000-000009000000}">
      <text>
        <r>
          <rPr>
            <sz val="11"/>
            <rFont val="Calibri"/>
            <family val="2"/>
          </rPr>
          <t>Accessibility; Time on parking; Fire safety; Security control; Distance between buildings;  Survey monkey not more than 10 questiones to get baseline.  Medir con metros cuadrados y poner dos milestones para diseño y supervisión</t>
        </r>
      </text>
    </comment>
    <comment ref="B92" authorId="0" shapeId="0" xr:uid="{00000000-0006-0000-0000-00000A000000}">
      <text>
        <r>
          <rPr>
            <sz val="11"/>
            <rFont val="Calibri"/>
            <family val="2"/>
          </rPr>
          <t xml:space="preserve">A revisar con ellos:  1- Patients referral from primary health care centers to Chronic care model centers; 2- % of diabetic patients receiving fundoscopy per year at CCM+ 3- Rate of ulcers per patient per year  </t>
        </r>
      </text>
    </comment>
    <comment ref="B93" authorId="0" shapeId="0" xr:uid="{00000000-0006-0000-0000-00000B000000}">
      <text>
        <r>
          <rPr>
            <sz val="11"/>
            <rFont val="Calibri"/>
            <family val="2"/>
          </rPr>
          <t>TBD before loan approval (Augost 29th)</t>
        </r>
      </text>
    </comment>
    <comment ref="B105" authorId="0" shapeId="0" xr:uid="{00000000-0006-0000-0000-00000C000000}">
      <text>
        <r>
          <rPr>
            <sz val="11"/>
            <rFont val="Calibri"/>
            <family val="2"/>
          </rPr>
          <t xml:space="preserve">2 centros ya existentes se upgrade 5 o 6 actualmente son RGD clinics que se tonarán de alto nivel CCM </t>
        </r>
      </text>
    </comment>
    <comment ref="B121" authorId="0" shapeId="0" xr:uid="{00000000-0006-0000-0000-00000D000000}">
      <text>
        <r>
          <rPr>
            <sz val="11"/>
            <rFont val="Calibri"/>
            <family val="2"/>
          </rPr>
          <t xml:space="preserve">2 centros ya existentes se upgrade 5 o 6 actualmente son RGD clinics que se tonarán de alto nivel CCM </t>
        </r>
      </text>
    </comment>
    <comment ref="B136" authorId="0" shapeId="0" xr:uid="{00000000-0006-0000-0000-00000E000000}">
      <text>
        <r>
          <rPr>
            <sz val="11"/>
            <rFont val="Calibri"/>
            <family val="2"/>
          </rPr>
          <t xml:space="preserve">Success metrics: Outcomes: 1- People screened per annum for HIV at TropClinic 2- % of people visiting TropClinic who are elegible for testing are actually tested 3- % people screened that received counseling 4- Percentage of respondance who displayed optimal malaria knowledge; 5- % of people who report usage of bed nets on the previous night  </t>
        </r>
      </text>
    </comment>
    <comment ref="B143" authorId="0" shapeId="0" xr:uid="{00000000-0006-0000-0000-00000F000000}">
      <text>
        <r>
          <rPr>
            <sz val="11"/>
            <rFont val="Calibri"/>
            <family val="2"/>
          </rPr>
          <t>This contract should include budget and responsibility for logistics to deliver the campaigns</t>
        </r>
      </text>
    </comment>
    <comment ref="B196" authorId="0" shapeId="0" xr:uid="{00000000-0006-0000-0000-000010000000}">
      <text>
        <r>
          <rPr>
            <sz val="11"/>
            <rFont val="Calibri"/>
            <family val="2"/>
          </rPr>
          <t>This ToR include the delivery of annual training on Q&amp;A</t>
        </r>
      </text>
    </comment>
    <comment ref="B214" authorId="0" shapeId="0" xr:uid="{00000000-0006-0000-0000-000011000000}">
      <text>
        <r>
          <rPr>
            <sz val="11"/>
            <rFont val="Calibri"/>
            <family val="2"/>
          </rPr>
          <t>Date of the meeting attendance to be defined for Year 1 and Year 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Vanessa</author>
  </authors>
  <commentList>
    <comment ref="B4" authorId="0" shapeId="0" xr:uid="{DD49E209-0076-428F-860A-2CA3F3A98195}">
      <text>
        <r>
          <rPr>
            <sz val="11"/>
            <rFont val="Calibri"/>
            <family val="2"/>
          </rPr>
          <t xml:space="preserve">1- Percentage of people tested positive known to be on treatment twelve months after initiation of ART; 2- % of total hospitalization with ambulatory care sensitive conditions as the main cause;  3- Major lower extremity amputations in adults with diabetes; 4- Eradicate Malaria by EOP </t>
        </r>
      </text>
    </comment>
    <comment ref="B44" authorId="0" shapeId="0" xr:uid="{E3CC2B0C-8F9A-4C26-884E-E764806F0C53}">
      <text>
        <r>
          <rPr>
            <sz val="11"/>
            <rFont val="Calibri"/>
            <family val="2"/>
          </rPr>
          <t xml:space="preserve">1- % of MOH civil servants who declare to be satisfied with working environment; 2- % of clinics reporting core patient data to MOH;  </t>
        </r>
      </text>
    </comment>
    <comment ref="B45" authorId="0" shapeId="0" xr:uid="{D4249537-9F5B-47AA-92DE-1B6A5148DFEC}">
      <text>
        <r>
          <rPr>
            <sz val="11"/>
            <rFont val="Calibri"/>
            <family val="2"/>
          </rPr>
          <t>This includes needs assessment; process flowchart design; electronic support; and training  (Including clinical information registration system)  Diana va a averiguar si se pueden establecer fases genéricas de desarrollo del sistema de información</t>
        </r>
      </text>
    </comment>
    <comment ref="B46" authorId="0" shapeId="0" xr:uid="{3F93AB00-16D8-4130-8FBF-21F0B05F1A9B}">
      <text>
        <r>
          <rPr>
            <sz val="11"/>
            <rFont val="Calibri"/>
            <family val="2"/>
          </rPr>
          <t>Phase 1 is conformed by: a) Electronic patients registries at CCM, renal dialysis center and cancer center;  b) MOH-BOG information system upgraded and connected to phase 1 facilities</t>
        </r>
      </text>
    </comment>
    <comment ref="B47" authorId="0" shapeId="0" xr:uid="{7977DB9E-1174-4BA7-B9D6-A9D4AB661701}">
      <text>
        <r>
          <rPr>
            <sz val="11"/>
            <rFont val="Calibri"/>
            <family val="2"/>
          </rPr>
          <t>Implementation includes: capacity building maintenance and warranty.</t>
        </r>
      </text>
    </comment>
    <comment ref="B52" authorId="0" shapeId="0" xr:uid="{362304A0-00A9-4B2D-85C2-44821D8D4415}">
      <text>
        <r>
          <rPr>
            <sz val="11"/>
            <rFont val="Calibri"/>
            <family val="2"/>
          </rPr>
          <t>Accessibility; Time on parking; Fire safety; Security control; Distance between buildings;  Survey monkey not more than 10 questiones to get baseline.  Medir con metros cuadrados y poner dos milestones para diseño y supervisión</t>
        </r>
      </text>
    </comment>
    <comment ref="B58" authorId="0" shapeId="0" xr:uid="{40B4111F-DE27-48B1-BB25-A9604718FF2E}">
      <text>
        <r>
          <rPr>
            <sz val="11"/>
            <rFont val="Calibri"/>
            <family val="2"/>
          </rPr>
          <t xml:space="preserve">A revisar con ellos:  1- Patients referral from primary health care centers to Chronic care model centers; 2- % of diabetic patients receiving fundoscopy per year at CCM+ 3- Rate of ulcers per patient per year  </t>
        </r>
      </text>
    </comment>
    <comment ref="B59" authorId="0" shapeId="0" xr:uid="{5096FBF5-DE68-4428-AE45-F787D8448097}">
      <text>
        <r>
          <rPr>
            <sz val="11"/>
            <rFont val="Calibri"/>
            <family val="2"/>
          </rPr>
          <t>TBD before loan approval (Augost 29th)</t>
        </r>
      </text>
    </comment>
    <comment ref="B65" authorId="0" shapeId="0" xr:uid="{359834D0-7FFF-4EC5-BA90-499BF5D9BB1F}">
      <text>
        <r>
          <rPr>
            <sz val="11"/>
            <rFont val="Calibri"/>
            <family val="2"/>
          </rPr>
          <t xml:space="preserve">Success metrics: Outcomes: 1- People screened per annum for HIV at TropClinic 2- % of people visiting TropClinic who are elegible for testing are actually tested 3- % people screened that received counseling 4- Percentage of respondance who displayed optimal malaria knowledge; 5- % of people who report usage of bed nets on the previous night  </t>
        </r>
      </text>
    </comment>
    <comment ref="B72" authorId="0" shapeId="0" xr:uid="{B01F106D-91AA-4E26-80ED-4877934B54CB}">
      <text>
        <r>
          <rPr>
            <sz val="11"/>
            <rFont val="Calibri"/>
            <family val="2"/>
          </rPr>
          <t>This contract should include budget and responsibility for logistics to deliver the campaigns</t>
        </r>
      </text>
    </comment>
    <comment ref="B86" authorId="0" shapeId="0" xr:uid="{74FE81A6-0393-49E4-B9B8-ACE9309782E9}">
      <text>
        <r>
          <rPr>
            <sz val="11"/>
            <rFont val="Calibri"/>
            <family val="2"/>
          </rPr>
          <t>This ToR include the delivery of annual training on Q&amp;A</t>
        </r>
      </text>
    </comment>
    <comment ref="B94" authorId="0" shapeId="0" xr:uid="{4BE5A3CB-7652-48D4-BC02-7B7282A37B86}">
      <text>
        <r>
          <rPr>
            <sz val="11"/>
            <rFont val="Calibri"/>
            <family val="2"/>
          </rPr>
          <t>Date of the meeting attendance to be defined for Year 1 and Year 3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Vanessa</author>
  </authors>
  <commentList>
    <comment ref="B4" authorId="0" shapeId="0" xr:uid="{DEDEBA5A-7A9C-4BF0-854B-2E26DD27BBC9}">
      <text>
        <r>
          <rPr>
            <sz val="11"/>
            <rFont val="Calibri"/>
            <family val="2"/>
          </rPr>
          <t xml:space="preserve">1- Percentage of people tested positive known to be on treatment twelve months after initiation of ART; 2- % of total hospitalization with ambulatory care sensitive conditions as the main cause;  3- Major lower extremity amputations in adults with diabetes; 4- Eradicate Malaria by EOP </t>
        </r>
      </text>
    </comment>
    <comment ref="B44" authorId="0" shapeId="0" xr:uid="{2D5DEE23-F65F-43C1-950C-257AA7E6E067}">
      <text>
        <r>
          <rPr>
            <sz val="11"/>
            <rFont val="Calibri"/>
            <family val="2"/>
          </rPr>
          <t xml:space="preserve">1- % of MOH civil servants who declare to be satisfied with working environment; 2- % of clinics reporting core patient data to MOH;  </t>
        </r>
      </text>
    </comment>
    <comment ref="B45" authorId="0" shapeId="0" xr:uid="{7B67CB08-2A69-4803-A478-EFDDFEEC7FF7}">
      <text>
        <r>
          <rPr>
            <sz val="11"/>
            <rFont val="Calibri"/>
            <family val="2"/>
          </rPr>
          <t>This includes needs assessment; process flowchart design; electronic support; and training  (Including clinical information registration system)  Diana va a averiguar si se pueden establecer fases genéricas de desarrollo del sistema de información</t>
        </r>
      </text>
    </comment>
    <comment ref="B46" authorId="0" shapeId="0" xr:uid="{0055E5CF-94D5-4E9F-8E8E-EAE3299FF89E}">
      <text>
        <r>
          <rPr>
            <sz val="11"/>
            <rFont val="Calibri"/>
            <family val="2"/>
          </rPr>
          <t>Phase 1 is conformed by: a) Electronic patients registries at CCM, renal dialysis center and cancer center;  b) MOH-BOG information system upgraded and connected to phase 1 facilities</t>
        </r>
      </text>
    </comment>
    <comment ref="B47" authorId="0" shapeId="0" xr:uid="{674CAB94-D50A-428E-96E8-6FBD72024DB5}">
      <text>
        <r>
          <rPr>
            <sz val="11"/>
            <rFont val="Calibri"/>
            <family val="2"/>
          </rPr>
          <t>Implementation includes: capacity building maintenance and warranty.</t>
        </r>
      </text>
    </comment>
    <comment ref="B55" authorId="0" shapeId="0" xr:uid="{6D049D9F-B462-454C-BA31-4B79C2627554}">
      <text>
        <r>
          <rPr>
            <sz val="11"/>
            <rFont val="Calibri"/>
            <family val="2"/>
          </rPr>
          <t>Includes: 1- strategy designed for evidence based decisions (3 meses); 2- material developed (3 meses); 3- strategy implemented (1 year); 4- strategy monitored and evaluated (1 year)</t>
        </r>
      </text>
    </comment>
    <comment ref="B57" authorId="0" shapeId="0" xr:uid="{51C84937-D960-4F95-99C3-F9D2DAB29D8A}">
      <text>
        <r>
          <rPr>
            <sz val="11"/>
            <rFont val="Calibri"/>
            <family val="2"/>
          </rPr>
          <t>Implementation includes: capacity building maintenance and warranty.</t>
        </r>
      </text>
    </comment>
    <comment ref="B65" authorId="0" shapeId="0" xr:uid="{44C13627-22A4-401B-A699-4FAAFCF9C8C5}">
      <text>
        <r>
          <rPr>
            <sz val="11"/>
            <rFont val="Calibri"/>
            <family val="2"/>
          </rPr>
          <t>Includes: 1- strategy designed for evidence based decisions (3 meses); 2- material developed (3 meses); 3- strategy implemented (1 year); 4- strategy monitored and evaluated (1 year)</t>
        </r>
      </text>
    </comment>
    <comment ref="B70" authorId="0" shapeId="0" xr:uid="{6D2DCD15-D9F2-4AB2-990D-A5E4E27BCBB3}">
      <text>
        <r>
          <rPr>
            <sz val="11"/>
            <rFont val="Calibri"/>
            <family val="2"/>
          </rPr>
          <t>Accessibility; Time on parking; Fire safety; Security control; Distance between buildings;  Survey monkey not more than 10 questiones to get baseline.  Medir con metros cuadrados y poner dos milestones para diseño y supervisión</t>
        </r>
      </text>
    </comment>
    <comment ref="B92" authorId="0" shapeId="0" xr:uid="{1F219499-08E7-4C46-81BE-D4D60040F65B}">
      <text>
        <r>
          <rPr>
            <sz val="11"/>
            <rFont val="Calibri"/>
            <family val="2"/>
          </rPr>
          <t xml:space="preserve">A revisar con ellos:  1- Patients referral from primary health care centers to Chronic care model centers; 2- % of diabetic patients receiving fundoscopy per year at CCM+ 3- Rate of ulcers per patient per year  </t>
        </r>
      </text>
    </comment>
    <comment ref="B93" authorId="0" shapeId="0" xr:uid="{1BFE8FAB-F9CC-4B1D-970E-2B40433B9469}">
      <text>
        <r>
          <rPr>
            <sz val="11"/>
            <rFont val="Calibri"/>
            <family val="2"/>
          </rPr>
          <t>TBD before loan approval (Augost 29th)</t>
        </r>
      </text>
    </comment>
    <comment ref="B105" authorId="0" shapeId="0" xr:uid="{99113712-D182-4EBF-B25E-A7B023FA8308}">
      <text>
        <r>
          <rPr>
            <sz val="11"/>
            <rFont val="Calibri"/>
            <family val="2"/>
          </rPr>
          <t xml:space="preserve">2 centros ya existentes se upgrade 5 o 6 actualmente son RGD clinics que se tonarán de alto nivel CCM </t>
        </r>
      </text>
    </comment>
    <comment ref="B121" authorId="0" shapeId="0" xr:uid="{18A2B3D1-C1CA-45BC-B036-9F934D4E90BC}">
      <text>
        <r>
          <rPr>
            <sz val="11"/>
            <rFont val="Calibri"/>
            <family val="2"/>
          </rPr>
          <t xml:space="preserve">2 centros ya existentes se upgrade 5 o 6 actualmente son RGD clinics que se tonarán de alto nivel CCM </t>
        </r>
      </text>
    </comment>
    <comment ref="B136" authorId="0" shapeId="0" xr:uid="{A0BB7EF4-FB12-46E6-90E3-B3935C615DCB}">
      <text>
        <r>
          <rPr>
            <sz val="11"/>
            <rFont val="Calibri"/>
            <family val="2"/>
          </rPr>
          <t xml:space="preserve">Success metrics: Outcomes: 1- People screened per annum for HIV at TropClinic 2- % of people visiting TropClinic who are elegible for testing are actually tested 3- % people screened that received counseling 4- Percentage of respondance who displayed optimal malaria knowledge; 5- % of people who report usage of bed nets on the previous night  </t>
        </r>
      </text>
    </comment>
    <comment ref="B143" authorId="0" shapeId="0" xr:uid="{D13362E3-2478-461B-8185-6C55D5C3FB5A}">
      <text>
        <r>
          <rPr>
            <sz val="11"/>
            <rFont val="Calibri"/>
            <family val="2"/>
          </rPr>
          <t>This contract should include budget and responsibility for logistics to deliver the campaigns</t>
        </r>
      </text>
    </comment>
    <comment ref="B196" authorId="0" shapeId="0" xr:uid="{94153A15-DD65-43ED-9762-EF65B5204EB0}">
      <text>
        <r>
          <rPr>
            <sz val="11"/>
            <rFont val="Calibri"/>
            <family val="2"/>
          </rPr>
          <t>This ToR include the delivery of annual training on Q&amp;A</t>
        </r>
      </text>
    </comment>
    <comment ref="B214" authorId="0" shapeId="0" xr:uid="{2A13AE48-C462-424C-9F9F-7BA6044A8F46}">
      <text>
        <r>
          <rPr>
            <sz val="11"/>
            <rFont val="Calibri"/>
            <family val="2"/>
          </rPr>
          <t>Date of the meeting attendance to be defined for Year 1 and Year 3</t>
        </r>
      </text>
    </comment>
  </commentList>
</comments>
</file>

<file path=xl/sharedStrings.xml><?xml version="1.0" encoding="utf-8"?>
<sst xmlns="http://schemas.openxmlformats.org/spreadsheetml/2006/main" count="2253" uniqueCount="591">
  <si>
    <t/>
  </si>
  <si>
    <t>Start</t>
  </si>
  <si>
    <t>End</t>
  </si>
  <si>
    <t>Duration</t>
  </si>
  <si>
    <t>ﾠ</t>
  </si>
  <si>
    <t xml:space="preserve">Enhance the effectiveness of the health sector to address priority epidemiological challenges.   </t>
  </si>
  <si>
    <t>1726 days</t>
  </si>
  <si>
    <t>1ﾠ</t>
  </si>
  <si>
    <t>Pre-eligibility activities</t>
  </si>
  <si>
    <t>233 days</t>
  </si>
  <si>
    <t>1.1ﾠ</t>
  </si>
  <si>
    <t>Proposal for Operation Development (POD) approved</t>
  </si>
  <si>
    <t>15 days</t>
  </si>
  <si>
    <t>1.2ﾠ</t>
  </si>
  <si>
    <t>Key experts hired from TC funds</t>
  </si>
  <si>
    <t>208 days</t>
  </si>
  <si>
    <t>1.2.1ﾠ</t>
  </si>
  <si>
    <t>PIU Project Manager</t>
  </si>
  <si>
    <t>168 days</t>
  </si>
  <si>
    <t>1.2.1.1ﾠ</t>
  </si>
  <si>
    <t>Procurement process (IC)</t>
  </si>
  <si>
    <t>108 days</t>
  </si>
  <si>
    <t>1.2.1.2ﾠ</t>
  </si>
  <si>
    <t>Consultancy execution</t>
  </si>
  <si>
    <t>60 days</t>
  </si>
  <si>
    <t>1.2.1.2.1ﾠ</t>
  </si>
  <si>
    <t>PIU ToR preparation</t>
  </si>
  <si>
    <t>20 days</t>
  </si>
  <si>
    <t>1.2.1.2.2ﾠ</t>
  </si>
  <si>
    <t>Operations Manual approved</t>
  </si>
  <si>
    <t>40 days</t>
  </si>
  <si>
    <t>1.2.2ﾠ</t>
  </si>
  <si>
    <t>Architecture specialist</t>
  </si>
  <si>
    <t>188 days</t>
  </si>
  <si>
    <t>1.2.2.1ﾠ</t>
  </si>
  <si>
    <t>Procurement process IC)</t>
  </si>
  <si>
    <t>1.2.2.2ﾠ</t>
  </si>
  <si>
    <t>80 days</t>
  </si>
  <si>
    <t>1.2.2.2.1ﾠ</t>
  </si>
  <si>
    <t>Technical specifications for Design and Construction of the MOH</t>
  </si>
  <si>
    <t>1.2.2.2.2ﾠ</t>
  </si>
  <si>
    <t>Feasibility studies elaborated</t>
  </si>
  <si>
    <t>1.2.2.2.3ﾠ</t>
  </si>
  <si>
    <t>Basic /initial design elaborated</t>
  </si>
  <si>
    <t>1.2.3ﾠ</t>
  </si>
  <si>
    <t>Information system specialist</t>
  </si>
  <si>
    <t>1.2.3.1ﾠ</t>
  </si>
  <si>
    <t>1.2.3.2ﾠ</t>
  </si>
  <si>
    <t>Consultancy execution (NHIS)</t>
  </si>
  <si>
    <t>100 days</t>
  </si>
  <si>
    <t>1.2.3.2.1ﾠ</t>
  </si>
  <si>
    <t>Needs assessment (NHIS)</t>
  </si>
  <si>
    <t>1.2.3.2.2ﾠ</t>
  </si>
  <si>
    <t>NHIS Design proposal approved</t>
  </si>
  <si>
    <t>1.2.3.2.3ﾠ</t>
  </si>
  <si>
    <t>Technical specifications for procurement process approved (NHIS)</t>
  </si>
  <si>
    <t>1.2.4ﾠ</t>
  </si>
  <si>
    <t>Senior procurement specialist</t>
  </si>
  <si>
    <t>1.2.4.1ﾠ</t>
  </si>
  <si>
    <t>Procurement process (IIC)</t>
  </si>
  <si>
    <t>1.2.4.2ﾠ</t>
  </si>
  <si>
    <t>1.2.4.2.1ﾠ</t>
  </si>
  <si>
    <t>Bidding documents for NHIS approved</t>
  </si>
  <si>
    <t>1.2.4.2.2ﾠ</t>
  </si>
  <si>
    <t>Bidding documents for building approved</t>
  </si>
  <si>
    <t>1.2.4.2.3ﾠ</t>
  </si>
  <si>
    <t>National procurement expert trained</t>
  </si>
  <si>
    <t>1.2.5ﾠ</t>
  </si>
  <si>
    <t>Financial specialist</t>
  </si>
  <si>
    <t>148 days</t>
  </si>
  <si>
    <t>1.2.5.1ﾠ</t>
  </si>
  <si>
    <t>1.2.5.2ﾠ</t>
  </si>
  <si>
    <t>Financial system installed</t>
  </si>
  <si>
    <t>1.3ﾠ</t>
  </si>
  <si>
    <t>Loan approved by IDB</t>
  </si>
  <si>
    <t>0 day</t>
  </si>
  <si>
    <t>1.4ﾠ</t>
  </si>
  <si>
    <t>Loan signed by Suriname Government</t>
  </si>
  <si>
    <t>1.5ﾠ</t>
  </si>
  <si>
    <t>Complete PIU hired</t>
  </si>
  <si>
    <t>90 days</t>
  </si>
  <si>
    <t>1.5.1ﾠ</t>
  </si>
  <si>
    <t>Procurement processes (IC)</t>
  </si>
  <si>
    <t>1.5.2ﾠ</t>
  </si>
  <si>
    <t>M&amp;E specialist</t>
  </si>
  <si>
    <t>1.5.3ﾠ</t>
  </si>
  <si>
    <t>Sub-component 1.3 Coordinator (architect)</t>
  </si>
  <si>
    <t>1.5.4ﾠ</t>
  </si>
  <si>
    <t xml:space="preserve">Sub-component 1.1 Coordinator (NHIS) </t>
  </si>
  <si>
    <t>1.5.5ﾠ</t>
  </si>
  <si>
    <t>National procurement specialist</t>
  </si>
  <si>
    <t>1.6ﾠ</t>
  </si>
  <si>
    <t>Authorized signatures approved</t>
  </si>
  <si>
    <t>10 days</t>
  </si>
  <si>
    <t>1.7ﾠ</t>
  </si>
  <si>
    <t>Full eligibility reached</t>
  </si>
  <si>
    <t>2ﾠ</t>
  </si>
  <si>
    <t>Component 1: Institutional strengthening of the MoH for evidence based policy making</t>
  </si>
  <si>
    <t>1390 days</t>
  </si>
  <si>
    <t>2.1ﾠ</t>
  </si>
  <si>
    <t>Health Information System operational in MOH and CCM centers</t>
  </si>
  <si>
    <t>2.1.1ﾠ</t>
  </si>
  <si>
    <t xml:space="preserve">Phase 1: Priority epidemiological challenges sub-system (MOH-BOG process data from CCM &amp; Cancer registries &amp; Dialysis registries) </t>
  </si>
  <si>
    <t>755 days</t>
  </si>
  <si>
    <t>2.1.1.1ﾠ</t>
  </si>
  <si>
    <t>Procurement process for design and implementation (QCBS)</t>
  </si>
  <si>
    <t>215 days</t>
  </si>
  <si>
    <t>2.1.1.2ﾠ</t>
  </si>
  <si>
    <t>Design of Phase 1 NHIS</t>
  </si>
  <si>
    <t>180 days</t>
  </si>
  <si>
    <t>2.1.1.3ﾠ</t>
  </si>
  <si>
    <t>Implementation of phase 1 NHIS</t>
  </si>
  <si>
    <t>240 days</t>
  </si>
  <si>
    <t>2.1.1.4ﾠ</t>
  </si>
  <si>
    <t>Equipment to run Phase 1 NHIS installed</t>
  </si>
  <si>
    <t>171 days</t>
  </si>
  <si>
    <t>2.1.1.4.1ﾠ</t>
  </si>
  <si>
    <t>Procurement process (ICB)</t>
  </si>
  <si>
    <t>131 days</t>
  </si>
  <si>
    <t>2.1.1.4.2ﾠ</t>
  </si>
  <si>
    <t>Delivery and distribution of the equipment</t>
  </si>
  <si>
    <t>2.1.1.5ﾠ</t>
  </si>
  <si>
    <t xml:space="preserve">Personnel from MOH and CCM units trained in data analysis </t>
  </si>
  <si>
    <t>575 days</t>
  </si>
  <si>
    <t>2.1.1.5.1ﾠ</t>
  </si>
  <si>
    <t>Procurement process (QCBS)</t>
  </si>
  <si>
    <t>2.1.1.5.2ﾠ</t>
  </si>
  <si>
    <t>360 days</t>
  </si>
  <si>
    <t>2.1.2ﾠ</t>
  </si>
  <si>
    <t>Phase 2: Expansion to additional health care centers (to be defined after mid-term evaluation)</t>
  </si>
  <si>
    <t>2.1.2.1ﾠ</t>
  </si>
  <si>
    <t>2.1.2.2ﾠ</t>
  </si>
  <si>
    <t>Design of Phase 2 NHIS</t>
  </si>
  <si>
    <t>2.1.2.3ﾠ</t>
  </si>
  <si>
    <t>Implementation of phase 2 NHIS</t>
  </si>
  <si>
    <t>2.1.2.4ﾠ</t>
  </si>
  <si>
    <t>Equipment to run Phase 2 NHIS installed</t>
  </si>
  <si>
    <t>2.1.2.4.1ﾠ</t>
  </si>
  <si>
    <t>2.1.2.4.2ﾠ</t>
  </si>
  <si>
    <t>2.1.2.5ﾠ</t>
  </si>
  <si>
    <t>MOH-BOG staff trained to process and analyse data from NHIS</t>
  </si>
  <si>
    <t>2.1.2.5.1ﾠ</t>
  </si>
  <si>
    <t>2.1.2.5.2ﾠ</t>
  </si>
  <si>
    <t>2.2ﾠ</t>
  </si>
  <si>
    <t xml:space="preserve">Steps survey administered  </t>
  </si>
  <si>
    <t>1095 days</t>
  </si>
  <si>
    <t>2.2.1ﾠ</t>
  </si>
  <si>
    <t>2.2.2ﾠ</t>
  </si>
  <si>
    <t>Consultancy execution (first survey)</t>
  </si>
  <si>
    <t>2.2.3ﾠ</t>
  </si>
  <si>
    <t>Consultancy execution (second survey)</t>
  </si>
  <si>
    <t>2.3ﾠ</t>
  </si>
  <si>
    <t>Ministry of Health infrastructure improved</t>
  </si>
  <si>
    <t>880 days</t>
  </si>
  <si>
    <t>2.3.1ﾠ</t>
  </si>
  <si>
    <t>Design &amp; Construction</t>
  </si>
  <si>
    <t>2.3.1.1ﾠ</t>
  </si>
  <si>
    <t>140 days</t>
  </si>
  <si>
    <t>2.3.1.2ﾠ</t>
  </si>
  <si>
    <t>Design execution</t>
  </si>
  <si>
    <t>160 days</t>
  </si>
  <si>
    <t>2.3.1.3ﾠ</t>
  </si>
  <si>
    <t>Construction execution</t>
  </si>
  <si>
    <t>580 days</t>
  </si>
  <si>
    <t>2.3.1.3.1ﾠ</t>
  </si>
  <si>
    <t>Rehabilitation first building</t>
  </si>
  <si>
    <t>120 days</t>
  </si>
  <si>
    <t>2.3.1.3.2ﾠ</t>
  </si>
  <si>
    <t>Rehabilitation second building</t>
  </si>
  <si>
    <t>2.3.1.3.3ﾠ</t>
  </si>
  <si>
    <t>Demolition and land preparation</t>
  </si>
  <si>
    <t>2.3.1.3.4ﾠ</t>
  </si>
  <si>
    <t>Construction of new building</t>
  </si>
  <si>
    <t>2.3.1.3.5ﾠ</t>
  </si>
  <si>
    <t>2.3.2ﾠ</t>
  </si>
  <si>
    <t>Supervision</t>
  </si>
  <si>
    <t>818 days</t>
  </si>
  <si>
    <t>2.3.2.1ﾠ</t>
  </si>
  <si>
    <t>218 days</t>
  </si>
  <si>
    <t>2.3.2.2ﾠ</t>
  </si>
  <si>
    <t>Supervision execution</t>
  </si>
  <si>
    <t>600 days</t>
  </si>
  <si>
    <t>2.4ﾠ</t>
  </si>
  <si>
    <t>Ministry of Health offices equipped</t>
  </si>
  <si>
    <t>210 days</t>
  </si>
  <si>
    <t>2.4.1ﾠ</t>
  </si>
  <si>
    <t>Hardware</t>
  </si>
  <si>
    <t>2.4.1.1ﾠ</t>
  </si>
  <si>
    <t>Needs assessment</t>
  </si>
  <si>
    <t>2.4.1.2ﾠ</t>
  </si>
  <si>
    <t>2.4.1.3ﾠ</t>
  </si>
  <si>
    <t>Delivery &amp; distribution of equipment</t>
  </si>
  <si>
    <t>2.4.2ﾠ</t>
  </si>
  <si>
    <t>Office furniture</t>
  </si>
  <si>
    <t>170 days</t>
  </si>
  <si>
    <t>2.4.2.1ﾠ</t>
  </si>
  <si>
    <t>2.4.2.2ﾠ</t>
  </si>
  <si>
    <t>2.4.2.3ﾠ</t>
  </si>
  <si>
    <t>Delivery &amp; distribution of office furniture</t>
  </si>
  <si>
    <t>3ﾠ</t>
  </si>
  <si>
    <t>Component 2: Expansion of the chronic care model</t>
  </si>
  <si>
    <t>1654 days</t>
  </si>
  <si>
    <t>3.1ﾠ</t>
  </si>
  <si>
    <t>Needs assessment &amp; Scope definition approved</t>
  </si>
  <si>
    <t>3.2ﾠ</t>
  </si>
  <si>
    <t>Continuous Quality Improvement strategy designed and implemented in CCM centers</t>
  </si>
  <si>
    <t>815 days</t>
  </si>
  <si>
    <t>3.2.1ﾠ</t>
  </si>
  <si>
    <t>3.2.2ﾠ</t>
  </si>
  <si>
    <t>3.3ﾠ</t>
  </si>
  <si>
    <t>CCM model guidelines updated</t>
  </si>
  <si>
    <t>3.3.1ﾠ</t>
  </si>
  <si>
    <t>Procurement process (CQII)</t>
  </si>
  <si>
    <t>3.3.2ﾠ</t>
  </si>
  <si>
    <t>3.4ﾠ</t>
  </si>
  <si>
    <t>CCM centers with behavioral change and patient activation strategy implemented</t>
  </si>
  <si>
    <t>415 days</t>
  </si>
  <si>
    <t>3.4.1ﾠ</t>
  </si>
  <si>
    <t>3.4.2ﾠ</t>
  </si>
  <si>
    <t>Assessment of current strategies and design</t>
  </si>
  <si>
    <t>3.4.3ﾠ</t>
  </si>
  <si>
    <t>Training for strategy implementation</t>
  </si>
  <si>
    <t>3.5ﾠ</t>
  </si>
  <si>
    <t>Phase 1: Expansion to 5 or 6 full service centers</t>
  </si>
  <si>
    <t>400 days</t>
  </si>
  <si>
    <t>3.5.1ﾠ</t>
  </si>
  <si>
    <t>CCM centers with infrastructure upgraded</t>
  </si>
  <si>
    <t>250 days</t>
  </si>
  <si>
    <t>3.5.1.1ﾠ</t>
  </si>
  <si>
    <t>130 days</t>
  </si>
  <si>
    <t>3.5.1.2ﾠ</t>
  </si>
  <si>
    <t>Works implemented</t>
  </si>
  <si>
    <t>3.5.2ﾠ</t>
  </si>
  <si>
    <t>CCM centers with Clinical Equipment upgraded</t>
  </si>
  <si>
    <t>190 days</t>
  </si>
  <si>
    <t>3.5.2.1ﾠ</t>
  </si>
  <si>
    <t>3.5.2.2ﾠ</t>
  </si>
  <si>
    <t>Equipment delivered</t>
  </si>
  <si>
    <t>3.5.3ﾠ</t>
  </si>
  <si>
    <t>CCM centers with Non-Clinical Equipment upgraded</t>
  </si>
  <si>
    <t>3.5.3.1ﾠ</t>
  </si>
  <si>
    <t>3.5.3.2ﾠ</t>
  </si>
  <si>
    <t>Non clinical equipment delivered</t>
  </si>
  <si>
    <t>30 days</t>
  </si>
  <si>
    <t>3.5.4ﾠ</t>
  </si>
  <si>
    <t>Centers with clinical staff at CCM trained on guidelines application</t>
  </si>
  <si>
    <t>3.5.4.1ﾠ</t>
  </si>
  <si>
    <t>3.5.4.2ﾠ</t>
  </si>
  <si>
    <t>Training delivered</t>
  </si>
  <si>
    <t>3.5.5ﾠ</t>
  </si>
  <si>
    <t>Centers with medical supplies for chronic care start up available</t>
  </si>
  <si>
    <t>150 days</t>
  </si>
  <si>
    <t>3.5.5.1ﾠ</t>
  </si>
  <si>
    <t>3.5.5.2ﾠ</t>
  </si>
  <si>
    <t>Medical supplies for start up delivered</t>
  </si>
  <si>
    <t>3.6ﾠ</t>
  </si>
  <si>
    <t>Primary care centers upgraded for CCM basic services provision (expansion phase 2)</t>
  </si>
  <si>
    <t>730 days</t>
  </si>
  <si>
    <t>3.6.1ﾠ</t>
  </si>
  <si>
    <t>Centers with infrastructure upgraded</t>
  </si>
  <si>
    <t>370 days</t>
  </si>
  <si>
    <t>3.6.1.1ﾠ</t>
  </si>
  <si>
    <t>3.6.1.2ﾠ</t>
  </si>
  <si>
    <t>3.6.2ﾠ</t>
  </si>
  <si>
    <t>Centers with clinical equipment upgraded</t>
  </si>
  <si>
    <t>3.6.2.1ﾠ</t>
  </si>
  <si>
    <t>3.6.2.2ﾠ</t>
  </si>
  <si>
    <t>3.6.3ﾠ</t>
  </si>
  <si>
    <t>Centers with Non-Clinical Equipment upgraded</t>
  </si>
  <si>
    <t>3.6.3.1ﾠ</t>
  </si>
  <si>
    <t>3.6.3.2ﾠ</t>
  </si>
  <si>
    <t>3.6.4ﾠ</t>
  </si>
  <si>
    <t>Centers with clinical staff trained on guidelines application</t>
  </si>
  <si>
    <t>3.6.4.1ﾠ</t>
  </si>
  <si>
    <t>3.6.4.2ﾠ</t>
  </si>
  <si>
    <t>3.6.5ﾠ</t>
  </si>
  <si>
    <t>3.6.5.1ﾠ</t>
  </si>
  <si>
    <t>3.6.5.2ﾠ</t>
  </si>
  <si>
    <t>4ﾠ</t>
  </si>
  <si>
    <t>Component 3: Increase the access to priority CD preventive services for targeted population</t>
  </si>
  <si>
    <t>1217 days</t>
  </si>
  <si>
    <t>4.1ﾠ</t>
  </si>
  <si>
    <t xml:space="preserve">Communication and behavior change strategy implemented </t>
  </si>
  <si>
    <t>1202 days</t>
  </si>
  <si>
    <t>4.1.1ﾠ</t>
  </si>
  <si>
    <t>BCC campaign designed</t>
  </si>
  <si>
    <t>138 days</t>
  </si>
  <si>
    <t>4.1.1.1ﾠ</t>
  </si>
  <si>
    <t>Procurement process (CQNI)</t>
  </si>
  <si>
    <t>4.1.1.2ﾠ</t>
  </si>
  <si>
    <t>Design execution and introduction</t>
  </si>
  <si>
    <t>4.1.2ﾠ</t>
  </si>
  <si>
    <t>BCC annual campaigns implemented</t>
  </si>
  <si>
    <t>4.1.2.1ﾠ</t>
  </si>
  <si>
    <t>Year 2 campaign</t>
  </si>
  <si>
    <t>422 days</t>
  </si>
  <si>
    <t>4.1.2.1.1ﾠ</t>
  </si>
  <si>
    <t>Procurement process for Coordinator (CQNI)</t>
  </si>
  <si>
    <t>4.1.2.1.2ﾠ</t>
  </si>
  <si>
    <t>Procurement process for broadcasting time (PC)</t>
  </si>
  <si>
    <t>84 days</t>
  </si>
  <si>
    <t>4.1.2.1.3ﾠ</t>
  </si>
  <si>
    <t>Procurement process for  material development (PC)</t>
  </si>
  <si>
    <t>4.1.2.1.4ﾠ</t>
  </si>
  <si>
    <t>Campaign activities implementation</t>
  </si>
  <si>
    <t>200 days</t>
  </si>
  <si>
    <t>4.1.2.2ﾠ</t>
  </si>
  <si>
    <t>Year 3 campaign</t>
  </si>
  <si>
    <t>350 days</t>
  </si>
  <si>
    <t>4.1.2.2.1ﾠ</t>
  </si>
  <si>
    <t>4.1.2.2.2ﾠ</t>
  </si>
  <si>
    <t>4.1.2.2.3ﾠ</t>
  </si>
  <si>
    <t>260 days</t>
  </si>
  <si>
    <t>4.1.2.3ﾠ</t>
  </si>
  <si>
    <t>Year 4 campaign</t>
  </si>
  <si>
    <t>4.1.2.3.1ﾠ</t>
  </si>
  <si>
    <t>4.1.2.3.2ﾠ</t>
  </si>
  <si>
    <t>4.1.2.3.3ﾠ</t>
  </si>
  <si>
    <t>4.1.2.4ﾠ</t>
  </si>
  <si>
    <t>Year 5 campaign</t>
  </si>
  <si>
    <t>4.1.2.4.1ﾠ</t>
  </si>
  <si>
    <t>4.1.2.4.2ﾠ</t>
  </si>
  <si>
    <t>4.1.2.4.3ﾠ</t>
  </si>
  <si>
    <t>4.1.3ﾠ</t>
  </si>
  <si>
    <t>Training MSDs and outreach personnel for outreach activities</t>
  </si>
  <si>
    <t>968 days</t>
  </si>
  <si>
    <t>4.1.3.1ﾠ</t>
  </si>
  <si>
    <t>4.1.3.2ﾠ</t>
  </si>
  <si>
    <t xml:space="preserve">Year 2 outreach training </t>
  </si>
  <si>
    <t>4.1.3.3ﾠ</t>
  </si>
  <si>
    <t>Year 3 outreach training</t>
  </si>
  <si>
    <t>4.1.3.4ﾠ</t>
  </si>
  <si>
    <t>Year 4 outreach training</t>
  </si>
  <si>
    <t>4.1.3.5ﾠ</t>
  </si>
  <si>
    <t>Year 5 outreach training</t>
  </si>
  <si>
    <t>4.1.4ﾠ</t>
  </si>
  <si>
    <t>KAP studies conducted</t>
  </si>
  <si>
    <t>675 days</t>
  </si>
  <si>
    <t>4.1.4.1ﾠ</t>
  </si>
  <si>
    <t>4.1.4.2ﾠ</t>
  </si>
  <si>
    <t>Evaluation implementation Year 3</t>
  </si>
  <si>
    <t>45 days</t>
  </si>
  <si>
    <t>4.1.4.3ﾠ</t>
  </si>
  <si>
    <t>Evaluation implementation Year 4</t>
  </si>
  <si>
    <t>4.1.4.4ﾠ</t>
  </si>
  <si>
    <t>Evaluation implementation Year 5</t>
  </si>
  <si>
    <t>4.1.5ﾠ</t>
  </si>
  <si>
    <t>Longlasting mosquito bednets distributed (20.000 units)</t>
  </si>
  <si>
    <t>4.1.5.1ﾠ</t>
  </si>
  <si>
    <t>4.1.5.2ﾠ</t>
  </si>
  <si>
    <t>Delivery and distribution</t>
  </si>
  <si>
    <t>4.2ﾠ</t>
  </si>
  <si>
    <t>Specialized training for data collection, processing and analysis at the national reference laboratory delivered</t>
  </si>
  <si>
    <t>914 days</t>
  </si>
  <si>
    <t>4.2.1ﾠ</t>
  </si>
  <si>
    <t>2 Annual training program for microscopists (basic laboratory level, national public and private labs, around 40 people)</t>
  </si>
  <si>
    <t>4.2.1.1ﾠ</t>
  </si>
  <si>
    <t>Procurement process (NCB)</t>
  </si>
  <si>
    <t>121 days</t>
  </si>
  <si>
    <t>4.2.1.2ﾠ</t>
  </si>
  <si>
    <t>Year 2 Training</t>
  </si>
  <si>
    <t>14 days</t>
  </si>
  <si>
    <t>4.2.1.3ﾠ</t>
  </si>
  <si>
    <t>Year 3 Training</t>
  </si>
  <si>
    <t>4.2.1.4ﾠ</t>
  </si>
  <si>
    <t>Year 4 Training</t>
  </si>
  <si>
    <t>4.2.1.5ﾠ</t>
  </si>
  <si>
    <t>Year 5 Training</t>
  </si>
  <si>
    <t>4.2.2ﾠ</t>
  </si>
  <si>
    <t>1 Bi-annual Expert training of microscopists (reference level for quality control, 5-10 persons)</t>
  </si>
  <si>
    <t>646 days</t>
  </si>
  <si>
    <t>4.2.2.1ﾠ</t>
  </si>
  <si>
    <t>4.2.2.2ﾠ</t>
  </si>
  <si>
    <t>5 days</t>
  </si>
  <si>
    <t>4.2.2.3ﾠ</t>
  </si>
  <si>
    <t>4.2.3ﾠ</t>
  </si>
  <si>
    <t>Annual Training for MSDs and lab staff in QA and QC</t>
  </si>
  <si>
    <t>785 days</t>
  </si>
  <si>
    <t>4.2.3.1ﾠ</t>
  </si>
  <si>
    <t>Year 1 training</t>
  </si>
  <si>
    <t>4.2.3.2ﾠ</t>
  </si>
  <si>
    <t>Year 2 training</t>
  </si>
  <si>
    <t>4.2.3.3ﾠ</t>
  </si>
  <si>
    <t>Year 3 training</t>
  </si>
  <si>
    <t>4.2.3.4ﾠ</t>
  </si>
  <si>
    <t>Year 4 training</t>
  </si>
  <si>
    <t>4.3ﾠ</t>
  </si>
  <si>
    <t>TropicClinic equipped (software and hardware)for data analysis and processing</t>
  </si>
  <si>
    <t>161 days</t>
  </si>
  <si>
    <t>4.3.1ﾠ</t>
  </si>
  <si>
    <t>4.3.2ﾠ</t>
  </si>
  <si>
    <t>Software and hardware installed</t>
  </si>
  <si>
    <t>4.4ﾠ</t>
  </si>
  <si>
    <t>Parasitological microscopes available</t>
  </si>
  <si>
    <t>124 days</t>
  </si>
  <si>
    <t>4.4.1ﾠ</t>
  </si>
  <si>
    <t>Procurement process (PC)</t>
  </si>
  <si>
    <t>4.4.2ﾠ</t>
  </si>
  <si>
    <t>Deliverance and distribution</t>
  </si>
  <si>
    <t>4.5ﾠ</t>
  </si>
  <si>
    <t>Quality Assurance and Quality Control Guide developed</t>
  </si>
  <si>
    <t>114 days</t>
  </si>
  <si>
    <t>4.5.1ﾠ</t>
  </si>
  <si>
    <t>4.5.2ﾠ</t>
  </si>
  <si>
    <t>Consultancy execution to deliver Q&amp;A Guideline</t>
  </si>
  <si>
    <t>4.6ﾠ</t>
  </si>
  <si>
    <t>Basic Language Training (Portuguese) provided to Medical Mission clinics personnel located near mining areas</t>
  </si>
  <si>
    <t>1001 days</t>
  </si>
  <si>
    <t>4.6.1ﾠ</t>
  </si>
  <si>
    <t>4.6.2ﾠ</t>
  </si>
  <si>
    <t>Year 2 training course</t>
  </si>
  <si>
    <t>4.6.3ﾠ</t>
  </si>
  <si>
    <t>Year 3 training course</t>
  </si>
  <si>
    <t>4.6.4ﾠ</t>
  </si>
  <si>
    <t>Year 4 training course</t>
  </si>
  <si>
    <t>4.6.5ﾠ</t>
  </si>
  <si>
    <t>Year 5 training course</t>
  </si>
  <si>
    <t>4.7ﾠ</t>
  </si>
  <si>
    <t>National strategy for provision of health services for priority infectious diseases to (mobile) migrant populations designed</t>
  </si>
  <si>
    <t>4.7.1ﾠ</t>
  </si>
  <si>
    <t>4.7.2ﾠ</t>
  </si>
  <si>
    <t>Consultancy execution for national strategy for migrant population</t>
  </si>
  <si>
    <t>4.8ﾠ</t>
  </si>
  <si>
    <t>Baseline prevalence study in migrant populations(HIV/Leishmaniasis, TB/Leprosy) elaborated</t>
  </si>
  <si>
    <t>198 days</t>
  </si>
  <si>
    <t>4.8.1ﾠ</t>
  </si>
  <si>
    <t>4.8.2ﾠ</t>
  </si>
  <si>
    <t>Consultancy execution for baseline prevalence study</t>
  </si>
  <si>
    <t>4.9ﾠ</t>
  </si>
  <si>
    <t xml:space="preserve">Migrant study on population size, migration, turnover and health priorities elaborated </t>
  </si>
  <si>
    <t>4.9.1ﾠ</t>
  </si>
  <si>
    <t>4.9.2ﾠ</t>
  </si>
  <si>
    <t>Consultancy execution for migrant study</t>
  </si>
  <si>
    <t>4.10ﾠ</t>
  </si>
  <si>
    <t>HIV staff in TropClinic and national counterparts trained annually</t>
  </si>
  <si>
    <t>916 days</t>
  </si>
  <si>
    <t>4.10.1ﾠ</t>
  </si>
  <si>
    <t>Participation in international (regional)  meeting  for HIV or Leishmaniasis to establish/strengthen regional networking (1 or 2 people)</t>
  </si>
  <si>
    <t>4.10.2ﾠ</t>
  </si>
  <si>
    <t>4.10.3ﾠ</t>
  </si>
  <si>
    <t>HIV counselor refreshment bi-annual training</t>
  </si>
  <si>
    <t>530 days</t>
  </si>
  <si>
    <t>4.10.3.1ﾠ</t>
  </si>
  <si>
    <t>4.10.3.2ﾠ</t>
  </si>
  <si>
    <t>4.10.4ﾠ</t>
  </si>
  <si>
    <t>HIV bi-annual training program</t>
  </si>
  <si>
    <t>4.10.4.1ﾠ</t>
  </si>
  <si>
    <t>4.10.4.2ﾠ</t>
  </si>
  <si>
    <t>4.11ﾠ</t>
  </si>
  <si>
    <t>Laboratory and field equipment for HIV screening in gold mining areas available for field visits</t>
  </si>
  <si>
    <t>721 days</t>
  </si>
  <si>
    <t>4.11.1ﾠ</t>
  </si>
  <si>
    <t>4.11.2ﾠ</t>
  </si>
  <si>
    <t>Year 1 and 2 delivery</t>
  </si>
  <si>
    <t>4.11.3ﾠ</t>
  </si>
  <si>
    <t>Year 3 - 5 delivery</t>
  </si>
  <si>
    <t>4.12ﾠ</t>
  </si>
  <si>
    <t>National Reference Laboratory equipped (Bureau of Public Health)</t>
  </si>
  <si>
    <t>681 days</t>
  </si>
  <si>
    <t>4.12.1ﾠ</t>
  </si>
  <si>
    <t xml:space="preserve">Procurement process (NCB) </t>
  </si>
  <si>
    <t>4.12.2ﾠ</t>
  </si>
  <si>
    <t>Distributions for Year 1 and 2</t>
  </si>
  <si>
    <t>4.12.3ﾠ</t>
  </si>
  <si>
    <t>Distribution for year 3-5</t>
  </si>
  <si>
    <t xml:space="preserve">Suriname L-1054: Enhance effectiveness of the health sector to address priority epidemiological challenges effectiveness of the health sector to address priority epidemiological challenges.   </t>
  </si>
  <si>
    <t>Administration &amp; Management</t>
  </si>
  <si>
    <t>PIU basic staff salaries</t>
  </si>
  <si>
    <t>PM (PIU Coordinator)</t>
  </si>
  <si>
    <t>Procurement specialist (national)</t>
  </si>
  <si>
    <t>Component 1 specialists</t>
  </si>
  <si>
    <t>Information technology specialist</t>
  </si>
  <si>
    <t>Procurement International specialist</t>
  </si>
  <si>
    <t>Monitoring &amp; Evaluation</t>
  </si>
  <si>
    <t>Financial audits</t>
  </si>
  <si>
    <t>Mid term evaluation</t>
  </si>
  <si>
    <t>Final Evaluation (PCR report)</t>
  </si>
  <si>
    <t xml:space="preserve">Impact Evaluation </t>
  </si>
  <si>
    <t>Logistics and minor management costs</t>
  </si>
  <si>
    <t>Contingency reserve</t>
  </si>
  <si>
    <t>Total Budget (loan)</t>
  </si>
  <si>
    <t>EOP</t>
  </si>
  <si>
    <t>Landscaping &amp; Maintenance Plan</t>
  </si>
  <si>
    <t>Landscaping and Maintenance plan</t>
  </si>
  <si>
    <t>4.12.4</t>
  </si>
  <si>
    <t xml:space="preserve">Minor payments </t>
  </si>
  <si>
    <t>Project Number: SU-L1054</t>
  </si>
  <si>
    <t>Executing Agency : Ministry of Health</t>
  </si>
  <si>
    <t>PROCUREMENT PLAN PERIOD: 2019 - 2021</t>
  </si>
  <si>
    <t>WORKS</t>
  </si>
  <si>
    <t>Ref. #</t>
  </si>
  <si>
    <t xml:space="preserve">Component </t>
  </si>
  <si>
    <t>Description/Contract Name:</t>
  </si>
  <si>
    <t>Procurement method</t>
  </si>
  <si>
    <t>Lots Quantity:</t>
  </si>
  <si>
    <t xml:space="preserve">Baseline Document 
</t>
  </si>
  <si>
    <t xml:space="preserve">Contract Type
</t>
  </si>
  <si>
    <t>Estimated Amount,
 in u$s :</t>
  </si>
  <si>
    <t>Associated Component:(if applicable)</t>
  </si>
  <si>
    <t xml:space="preserve"> Review Method (Ex-ante or Ex-post)</t>
  </si>
  <si>
    <r>
      <t xml:space="preserve">Process Status </t>
    </r>
    <r>
      <rPr>
        <i/>
        <sz val="10"/>
        <rFont val="Calibri"/>
        <family val="2"/>
      </rPr>
      <t/>
    </r>
  </si>
  <si>
    <t>Dates (If it does not apply, use N/A)</t>
  </si>
  <si>
    <t>Bidder</t>
  </si>
  <si>
    <t>Proposal Price 
(Currency)</t>
  </si>
  <si>
    <t>Comments</t>
  </si>
  <si>
    <t>Bidding Document</t>
  </si>
  <si>
    <t>No objection to the Documents</t>
  </si>
  <si>
    <t>Publication</t>
  </si>
  <si>
    <t>Opening</t>
  </si>
  <si>
    <t>Evaluation</t>
  </si>
  <si>
    <t>No Objection to the Evaluation</t>
  </si>
  <si>
    <t xml:space="preserve">Contract Signing </t>
  </si>
  <si>
    <t>End of Contract</t>
  </si>
  <si>
    <t>Estimated</t>
  </si>
  <si>
    <t>Real</t>
  </si>
  <si>
    <t>MOH infrastructure improved (design and Construction)</t>
  </si>
  <si>
    <t>ICB</t>
  </si>
  <si>
    <t>6 CCM centers</t>
  </si>
  <si>
    <t>GOODS</t>
  </si>
  <si>
    <r>
      <t xml:space="preserve">Baseline Document 
</t>
    </r>
    <r>
      <rPr>
        <i/>
        <sz val="10"/>
        <rFont val="Calibri"/>
        <family val="2"/>
      </rPr>
      <t/>
    </r>
  </si>
  <si>
    <r>
      <t xml:space="preserve">Contract Type
</t>
    </r>
    <r>
      <rPr>
        <i/>
        <sz val="10"/>
        <rFont val="Calibri"/>
        <family val="2"/>
      </rPr>
      <t/>
    </r>
  </si>
  <si>
    <t>Associated Component:</t>
  </si>
  <si>
    <t>Review Method (Ex-ante or Ex-post)</t>
  </si>
  <si>
    <t>MOH equipped with hardware</t>
  </si>
  <si>
    <t>MOH equipped with office furniture</t>
  </si>
  <si>
    <t>NCB</t>
  </si>
  <si>
    <t>Shopping</t>
  </si>
  <si>
    <t>Distribution of equipement planned to be delivered twice, year 1 of the project and year 3 of the project.</t>
  </si>
  <si>
    <t>8 CCM centers</t>
  </si>
  <si>
    <t>NON CONSULTING SERVICES</t>
  </si>
  <si>
    <t>Broadcasting time for BBC Campaign Year 1</t>
  </si>
  <si>
    <t>TBD</t>
  </si>
  <si>
    <t>This is to be implemented every year during project execution</t>
  </si>
  <si>
    <t>Material development for BBC campaign Year 1</t>
  </si>
  <si>
    <t>CONSULTING FIRMS</t>
  </si>
  <si>
    <t>Process Number:</t>
  </si>
  <si>
    <t>Process Status</t>
  </si>
  <si>
    <t>Short List Members</t>
  </si>
  <si>
    <t>Technical Score Assigned</t>
  </si>
  <si>
    <t>Evaluated Price Proposal (Currency ####)</t>
  </si>
  <si>
    <t>Combined Score</t>
  </si>
  <si>
    <t>Expression of Interest Notice</t>
  </si>
  <si>
    <t>RFP and Short List</t>
  </si>
  <si>
    <t>No Objection to RFP and Short List</t>
  </si>
  <si>
    <t>RFP Submission</t>
  </si>
  <si>
    <t>Technical Evaluation</t>
  </si>
  <si>
    <t>No Objection to the Technical Evaluation</t>
  </si>
  <si>
    <t>Final Evaluation and Negotiation</t>
  </si>
  <si>
    <t>No Objection to the Contract</t>
  </si>
  <si>
    <t>NHIS (phase 1) Designed and implemented</t>
  </si>
  <si>
    <t>QCBS</t>
  </si>
  <si>
    <t>MOH design and construction supervised</t>
  </si>
  <si>
    <t>Survey carried out in 2020 and 2023</t>
  </si>
  <si>
    <t>INDIVIDUAL CONSULTANTS</t>
  </si>
  <si>
    <t>Estimated Number of Consultants:</t>
  </si>
  <si>
    <t>Consultant's Name</t>
  </si>
  <si>
    <t>Period</t>
  </si>
  <si>
    <t>Title</t>
  </si>
  <si>
    <t>No Objection to the TORs</t>
  </si>
  <si>
    <t>Hiring Deadline</t>
  </si>
  <si>
    <t>End of Activity</t>
  </si>
  <si>
    <t>From</t>
  </si>
  <si>
    <t>Until</t>
  </si>
  <si>
    <t>CQII</t>
  </si>
  <si>
    <t>CQNI</t>
  </si>
  <si>
    <t>KAP study conducted (first study of three to be conducted)</t>
  </si>
  <si>
    <t>To be conducted 3 times during project execution</t>
  </si>
  <si>
    <t>Includes dellivery of annual training</t>
  </si>
  <si>
    <t>TRAINING</t>
  </si>
  <si>
    <t>Detail</t>
  </si>
  <si>
    <t>Amount (Currency )</t>
  </si>
  <si>
    <t>Annual Training Plan (ATP)</t>
  </si>
  <si>
    <t>No Objection to the ATP</t>
  </si>
  <si>
    <t>To be delivered annually</t>
  </si>
  <si>
    <t>To be delivered twice during project exceution</t>
  </si>
  <si>
    <t>TRANSFERS</t>
  </si>
  <si>
    <t>Transfer Purpose:</t>
  </si>
  <si>
    <t>Estimated Number of Transfers:</t>
  </si>
  <si>
    <t xml:space="preserve">Amount (Currency) </t>
  </si>
  <si>
    <t>Contract Signing / Transfer Award Agreement</t>
  </si>
  <si>
    <t>Transfer Date</t>
  </si>
  <si>
    <t xml:space="preserve">  </t>
  </si>
  <si>
    <t>Committed Budget (loan)</t>
  </si>
  <si>
    <t xml:space="preserve">Health Information System operational in MOH and CCM centers according to contract specifications </t>
  </si>
  <si>
    <t>MOH work stations  furnished and equipped according to contract specifications</t>
  </si>
  <si>
    <t>Environment specialist</t>
  </si>
  <si>
    <t>Social specialist</t>
  </si>
  <si>
    <t>Administrative assistant</t>
  </si>
  <si>
    <t xml:space="preserve">Suriname L-1054: Health Services Improvement Project </t>
  </si>
  <si>
    <t xml:space="preserve">Project Name:   Health Services Improvement Project </t>
  </si>
  <si>
    <t xml:space="preserve">Suriname L-1054:Health Services Improvement Project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</si>
</sst>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USD]_-;\-* #,##0.00\ [$USD]_-;_-* &quot;-&quot;??\ [$USD]_-;_-@_-"/>
    <numFmt numFmtId="165" formatCode="_-* #,##0\ [$USD]_-;\-* #,##0\ [$USD]_-;_-* &quot;-&quot;??\ [$USD]_-;_-@_-"/>
    <numFmt numFmtId="166" formatCode="[$-409]d\-mmm\-yy;@"/>
    <numFmt numFmtId="167" formatCode="_([$USD]\ * #,##0.00_);_([$USD]\ * \(#,##0.00\);_([$USD]\ * &quot;-&quot;??_);_(@_)"/>
  </numFmts>
  <fonts count="39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onstantia"/>
      <family val="1"/>
    </font>
    <font>
      <sz val="11"/>
      <color indexed="10"/>
      <name val="Calibri"/>
      <family val="2"/>
    </font>
    <font>
      <sz val="22"/>
      <color indexed="63"/>
      <name val="Constantia"/>
      <family val="1"/>
    </font>
    <font>
      <sz val="11"/>
      <color indexed="8"/>
      <name val="Constantia"/>
      <family val="1"/>
    </font>
    <font>
      <b/>
      <sz val="11"/>
      <color indexed="9"/>
      <name val="Cambria"/>
      <family val="1"/>
    </font>
    <font>
      <b/>
      <sz val="11"/>
      <name val="Cambria"/>
      <family val="1"/>
    </font>
    <font>
      <sz val="9"/>
      <color indexed="23"/>
      <name val="Constantia"/>
      <family val="1"/>
    </font>
    <font>
      <sz val="10"/>
      <color indexed="8"/>
      <name val="Cambria"/>
      <family val="1"/>
    </font>
    <font>
      <b/>
      <sz val="10"/>
      <name val="Cambria"/>
      <family val="1"/>
    </font>
    <font>
      <sz val="10"/>
      <color indexed="63"/>
      <name val="Cambria"/>
      <family val="1"/>
    </font>
    <font>
      <i/>
      <sz val="10"/>
      <color indexed="63"/>
      <name val="Cambria"/>
      <family val="1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b/>
      <sz val="16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7EE"/>
        <bgColor indexed="64"/>
      </patternFill>
    </fill>
    <fill>
      <patternFill patternType="solid">
        <fgColor rgb="FF39434D"/>
        <bgColor indexed="64"/>
      </patternFill>
    </fill>
    <fill>
      <patternFill patternType="solid">
        <fgColor rgb="FFC4D0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776A5B"/>
      </bottom>
      <diagonal/>
    </border>
    <border>
      <left/>
      <right/>
      <top/>
      <bottom style="medium">
        <color rgb="FF39434D"/>
      </bottom>
      <diagonal/>
    </border>
    <border>
      <left/>
      <right/>
      <top/>
      <bottom style="medium">
        <color rgb="FF2F4157"/>
      </bottom>
      <diagonal/>
    </border>
    <border>
      <left style="dotted">
        <color rgb="FF2F4157"/>
      </left>
      <right style="dotted">
        <color rgb="FF2F4157"/>
      </right>
      <top style="medium">
        <color rgb="FF2F4157"/>
      </top>
      <bottom style="medium">
        <color rgb="FF2F4157"/>
      </bottom>
      <diagonal/>
    </border>
    <border>
      <left/>
      <right/>
      <top style="medium">
        <color rgb="FF2F4157"/>
      </top>
      <bottom style="medium">
        <color rgb="FF2F4157"/>
      </bottom>
      <diagonal/>
    </border>
    <border>
      <left style="dotted">
        <color rgb="FF2F4157"/>
      </left>
      <right style="dotted">
        <color rgb="FF2F4157"/>
      </right>
      <top style="medium">
        <color rgb="FF2F4157"/>
      </top>
      <bottom style="thin">
        <color rgb="FF2F4157"/>
      </bottom>
      <diagonal/>
    </border>
    <border>
      <left/>
      <right/>
      <top style="medium">
        <color rgb="FF2F4157"/>
      </top>
      <bottom style="thin">
        <color rgb="FF2F4157"/>
      </bottom>
      <diagonal/>
    </border>
    <border>
      <left style="dotted">
        <color rgb="FF2F4157"/>
      </left>
      <right style="dotted">
        <color rgb="FF2F4157"/>
      </right>
      <top style="thin">
        <color rgb="FF2F4157"/>
      </top>
      <bottom style="thin">
        <color rgb="FF2F4157"/>
      </bottom>
      <diagonal/>
    </border>
    <border>
      <left/>
      <right/>
      <top style="thin">
        <color rgb="FF2F4157"/>
      </top>
      <bottom style="thin">
        <color rgb="FF2F4157"/>
      </bottom>
      <diagonal/>
    </border>
    <border>
      <left style="dotted">
        <color rgb="FF2F4157"/>
      </left>
      <right style="dotted">
        <color rgb="FF2F4157"/>
      </right>
      <top/>
      <bottom style="thin">
        <color rgb="FFD4DFE0"/>
      </bottom>
      <diagonal/>
    </border>
    <border>
      <left/>
      <right/>
      <top/>
      <bottom style="thin">
        <color rgb="FFD4DFE0"/>
      </bottom>
      <diagonal/>
    </border>
    <border>
      <left style="dotted">
        <color rgb="FF2F4157"/>
      </left>
      <right style="dotted">
        <color rgb="FF2F4157"/>
      </right>
      <top style="thin">
        <color rgb="FFFFFFFF"/>
      </top>
      <bottom style="thin">
        <color rgb="FFD4DFE0"/>
      </bottom>
      <diagonal/>
    </border>
    <border>
      <left/>
      <right/>
      <top style="thin">
        <color rgb="FFFFFFFF"/>
      </top>
      <bottom style="thin">
        <color rgb="FFD4DFE0"/>
      </bottom>
      <diagonal/>
    </border>
    <border>
      <left/>
      <right/>
      <top style="thin">
        <color rgb="FFD4DFE0"/>
      </top>
      <bottom style="medium">
        <color rgb="FF96ACC4"/>
      </bottom>
      <diagonal/>
    </border>
    <border>
      <left/>
      <right/>
      <top style="thin">
        <color rgb="FF2F4157"/>
      </top>
      <bottom style="thin">
        <color indexed="64"/>
      </bottom>
      <diagonal/>
    </border>
    <border>
      <left/>
      <right/>
      <top/>
      <bottom style="hair">
        <color rgb="FF2F4157"/>
      </bottom>
      <diagonal/>
    </border>
    <border>
      <left/>
      <right/>
      <top style="thin">
        <color rgb="FFFFFFFF"/>
      </top>
      <bottom/>
      <diagonal/>
    </border>
    <border>
      <left/>
      <right/>
      <top style="hair">
        <color rgb="FF2F4157"/>
      </top>
      <bottom style="hair">
        <color rgb="FF2F4157"/>
      </bottom>
      <diagonal/>
    </border>
    <border>
      <left/>
      <right/>
      <top style="thin">
        <color rgb="FF2F4157"/>
      </top>
      <bottom style="hair">
        <color rgb="FF2F4157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rgb="FF2F4157"/>
      </left>
      <right style="dotted">
        <color rgb="FF2F4157"/>
      </right>
      <top style="thin">
        <color rgb="FF2F4157"/>
      </top>
      <bottom style="hair">
        <color rgb="FF2F4157"/>
      </bottom>
      <diagonal/>
    </border>
    <border>
      <left style="dotted">
        <color rgb="FF2F4157"/>
      </left>
      <right style="dotted">
        <color rgb="FF2F4157"/>
      </right>
      <top style="thin">
        <color rgb="FFFFFFFF"/>
      </top>
      <bottom/>
      <diagonal/>
    </border>
    <border>
      <left style="dotted">
        <color rgb="FF2F4157"/>
      </left>
      <right style="dotted">
        <color rgb="FF2F4157"/>
      </right>
      <top style="hair">
        <color rgb="FF2F4157"/>
      </top>
      <bottom style="hair">
        <color rgb="FF2F4157"/>
      </bottom>
      <diagonal/>
    </border>
    <border>
      <left style="dotted">
        <color rgb="FF2F4157"/>
      </left>
      <right style="dotted">
        <color rgb="FF2F4157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2F4157"/>
      </bottom>
      <diagonal/>
    </border>
    <border>
      <left style="dotted">
        <color rgb="FF2F4157"/>
      </left>
      <right style="dotted">
        <color rgb="FF2F4157"/>
      </right>
      <top/>
      <bottom style="thin">
        <color indexed="64"/>
      </bottom>
      <diagonal/>
    </border>
    <border>
      <left style="dotted">
        <color rgb="FF2F4157"/>
      </left>
      <right style="dotted">
        <color rgb="FF2F4157"/>
      </right>
      <top style="thin">
        <color rgb="FF2F4157"/>
      </top>
      <bottom style="thin">
        <color indexed="64"/>
      </bottom>
      <diagonal/>
    </border>
    <border>
      <left style="dotted">
        <color rgb="FF2F4157"/>
      </left>
      <right style="dotted">
        <color rgb="FF2F4157"/>
      </right>
      <top/>
      <bottom style="hair">
        <color rgb="FF2F4157"/>
      </bottom>
      <diagonal/>
    </border>
    <border>
      <left/>
      <right/>
      <top style="thin">
        <color indexed="64"/>
      </top>
      <bottom style="hair">
        <color rgb="FF2F4157"/>
      </bottom>
      <diagonal/>
    </border>
    <border>
      <left style="dotted">
        <color rgb="FF2F4157"/>
      </left>
      <right style="dotted">
        <color rgb="FF2F4157"/>
      </right>
      <top style="thin">
        <color rgb="FF2F4157"/>
      </top>
      <bottom/>
      <diagonal/>
    </border>
    <border>
      <left/>
      <right/>
      <top style="thin">
        <color rgb="FF2F4157"/>
      </top>
      <bottom/>
      <diagonal/>
    </border>
    <border>
      <left style="dotted">
        <color rgb="FF2F4157"/>
      </left>
      <right style="dotted">
        <color rgb="FF2F4157"/>
      </right>
      <top style="thin">
        <color indexed="64"/>
      </top>
      <bottom style="hair">
        <color rgb="FF2F4157"/>
      </bottom>
      <diagonal/>
    </border>
    <border>
      <left style="dotted">
        <color rgb="FF2F4157"/>
      </left>
      <right style="dotted">
        <color rgb="FF2F4157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3" applyNumberFormat="0" applyAlignment="0" applyProtection="0"/>
    <xf numFmtId="0" fontId="10" fillId="6" borderId="4" applyNumberFormat="0" applyAlignment="0" applyProtection="0"/>
    <xf numFmtId="0" fontId="11" fillId="6" borderId="3" applyNumberFormat="0" applyAlignment="0" applyProtection="0"/>
    <xf numFmtId="0" fontId="12" fillId="0" borderId="5" applyNumberFormat="0" applyFill="0" applyAlignment="0" applyProtection="0"/>
    <xf numFmtId="0" fontId="13" fillId="7" borderId="6" applyNumberFormat="0" applyAlignment="0" applyProtection="0"/>
    <xf numFmtId="0" fontId="2" fillId="8" borderId="7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9" fontId="29" fillId="0" borderId="0" applyFont="0" applyFill="0" applyBorder="0" applyAlignment="0" applyProtection="0"/>
    <xf numFmtId="0" fontId="30" fillId="0" borderId="0"/>
    <xf numFmtId="0" fontId="1" fillId="0" borderId="0"/>
  </cellStyleXfs>
  <cellXfs count="249">
    <xf numFmtId="0" fontId="0" fillId="0" borderId="0" xfId="0"/>
    <xf numFmtId="0" fontId="0" fillId="0" borderId="0" xfId="0" applyBorder="1"/>
    <xf numFmtId="0" fontId="19" fillId="33" borderId="10" xfId="40" applyFont="1" applyFill="1" applyBorder="1"/>
    <xf numFmtId="0" fontId="20" fillId="0" borderId="0" xfId="0" applyFont="1" applyBorder="1"/>
    <xf numFmtId="0" fontId="21" fillId="34" borderId="11" xfId="16" applyFont="1" applyFill="1" applyBorder="1" applyAlignment="1">
      <alignment horizontal="right"/>
    </xf>
    <xf numFmtId="0" fontId="21" fillId="34" borderId="11" xfId="16" applyFont="1" applyFill="1" applyBorder="1"/>
    <xf numFmtId="0" fontId="18" fillId="0" borderId="0" xfId="41" applyFont="1" applyBorder="1"/>
    <xf numFmtId="0" fontId="22" fillId="35" borderId="12" xfId="32" applyNumberFormat="1" applyFont="1" applyFill="1" applyBorder="1" applyAlignment="1" applyProtection="1"/>
    <xf numFmtId="14" fontId="22" fillId="35" borderId="13" xfId="32" applyNumberFormat="1" applyFont="1" applyFill="1" applyBorder="1" applyAlignment="1">
      <alignment horizontal="right"/>
    </xf>
    <xf numFmtId="0" fontId="22" fillId="35" borderId="13" xfId="32" applyFont="1" applyFill="1" applyBorder="1" applyAlignment="1">
      <alignment horizontal="right"/>
    </xf>
    <xf numFmtId="0" fontId="25" fillId="33" borderId="14" xfId="35" applyFont="1" applyFill="1" applyBorder="1" applyAlignment="1">
      <alignment horizontal="left"/>
    </xf>
    <xf numFmtId="0" fontId="25" fillId="33" borderId="14" xfId="35" applyFont="1" applyFill="1" applyBorder="1"/>
    <xf numFmtId="14" fontId="25" fillId="33" borderId="15" xfId="35" applyNumberFormat="1" applyFont="1" applyFill="1" applyBorder="1" applyAlignment="1">
      <alignment horizontal="right"/>
    </xf>
    <xf numFmtId="0" fontId="25" fillId="33" borderId="15" xfId="35" applyFont="1" applyFill="1" applyBorder="1" applyAlignment="1">
      <alignment horizontal="right"/>
    </xf>
    <xf numFmtId="0" fontId="24" fillId="36" borderId="16" xfId="0" applyFont="1" applyFill="1" applyBorder="1"/>
    <xf numFmtId="0" fontId="24" fillId="36" borderId="16" xfId="0" applyFont="1" applyFill="1" applyBorder="1" applyAlignment="1">
      <alignment horizontal="left" indent="1"/>
    </xf>
    <xf numFmtId="14" fontId="24" fillId="36" borderId="17" xfId="0" applyNumberFormat="1" applyFont="1" applyFill="1" applyBorder="1" applyAlignment="1">
      <alignment horizontal="right"/>
    </xf>
    <xf numFmtId="0" fontId="24" fillId="36" borderId="17" xfId="0" applyFont="1" applyFill="1" applyBorder="1" applyAlignment="1">
      <alignment horizontal="right"/>
    </xf>
    <xf numFmtId="0" fontId="26" fillId="36" borderId="18" xfId="0" applyFont="1" applyFill="1" applyBorder="1"/>
    <xf numFmtId="0" fontId="26" fillId="36" borderId="18" xfId="0" applyFont="1" applyFill="1" applyBorder="1" applyAlignment="1">
      <alignment horizontal="left" indent="2"/>
    </xf>
    <xf numFmtId="14" fontId="26" fillId="36" borderId="19" xfId="0" applyNumberFormat="1" applyFont="1" applyFill="1" applyBorder="1" applyAlignment="1">
      <alignment horizontal="right"/>
    </xf>
    <xf numFmtId="0" fontId="26" fillId="36" borderId="19" xfId="0" applyFont="1" applyFill="1" applyBorder="1" applyAlignment="1">
      <alignment horizontal="right"/>
    </xf>
    <xf numFmtId="0" fontId="27" fillId="36" borderId="20" xfId="0" applyFont="1" applyFill="1" applyBorder="1"/>
    <xf numFmtId="0" fontId="27" fillId="36" borderId="20" xfId="0" applyFont="1" applyFill="1" applyBorder="1" applyAlignment="1">
      <alignment horizontal="left" indent="3"/>
    </xf>
    <xf numFmtId="14" fontId="26" fillId="36" borderId="21" xfId="0" applyNumberFormat="1" applyFont="1" applyFill="1" applyBorder="1" applyAlignment="1">
      <alignment horizontal="right"/>
    </xf>
    <xf numFmtId="0" fontId="26" fillId="36" borderId="21" xfId="0" applyFont="1" applyFill="1" applyBorder="1" applyAlignment="1">
      <alignment horizontal="right"/>
    </xf>
    <xf numFmtId="0" fontId="0" fillId="0" borderId="22" xfId="0" applyBorder="1"/>
    <xf numFmtId="0" fontId="19" fillId="33" borderId="10" xfId="40" applyFont="1" applyFill="1" applyBorder="1"/>
    <xf numFmtId="164" fontId="21" fillId="34" borderId="11" xfId="16" applyNumberFormat="1" applyFont="1" applyFill="1" applyBorder="1" applyAlignment="1">
      <alignment horizontal="center"/>
    </xf>
    <xf numFmtId="164" fontId="22" fillId="35" borderId="13" xfId="32" applyNumberFormat="1" applyFont="1" applyFill="1" applyBorder="1" applyAlignment="1">
      <alignment horizontal="right"/>
    </xf>
    <xf numFmtId="164" fontId="25" fillId="37" borderId="15" xfId="35" applyNumberFormat="1" applyFont="1" applyFill="1" applyBorder="1" applyAlignment="1">
      <alignment horizontal="right"/>
    </xf>
    <xf numFmtId="164" fontId="24" fillId="37" borderId="17" xfId="0" applyNumberFormat="1" applyFont="1" applyFill="1" applyBorder="1" applyAlignment="1">
      <alignment horizontal="right"/>
    </xf>
    <xf numFmtId="164" fontId="24" fillId="37" borderId="23" xfId="0" applyNumberFormat="1" applyFont="1" applyFill="1" applyBorder="1" applyAlignment="1">
      <alignment horizontal="right"/>
    </xf>
    <xf numFmtId="164" fontId="26" fillId="37" borderId="24" xfId="0" applyNumberFormat="1" applyFont="1" applyFill="1" applyBorder="1" applyAlignment="1">
      <alignment horizontal="right"/>
    </xf>
    <xf numFmtId="164" fontId="26" fillId="37" borderId="19" xfId="0" applyNumberFormat="1" applyFont="1" applyFill="1" applyBorder="1" applyAlignment="1">
      <alignment horizontal="right"/>
    </xf>
    <xf numFmtId="164" fontId="26" fillId="37" borderId="21" xfId="0" applyNumberFormat="1" applyFont="1" applyFill="1" applyBorder="1" applyAlignment="1">
      <alignment horizontal="right"/>
    </xf>
    <xf numFmtId="164" fontId="26" fillId="37" borderId="25" xfId="0" applyNumberFormat="1" applyFont="1" applyFill="1" applyBorder="1" applyAlignment="1">
      <alignment horizontal="right"/>
    </xf>
    <xf numFmtId="164" fontId="26" fillId="37" borderId="26" xfId="0" applyNumberFormat="1" applyFont="1" applyFill="1" applyBorder="1" applyAlignment="1">
      <alignment horizontal="right"/>
    </xf>
    <xf numFmtId="164" fontId="25" fillId="33" borderId="15" xfId="35" applyNumberFormat="1" applyFont="1" applyFill="1" applyBorder="1" applyAlignment="1">
      <alignment horizontal="right"/>
    </xf>
    <xf numFmtId="164" fontId="24" fillId="36" borderId="17" xfId="0" applyNumberFormat="1" applyFont="1" applyFill="1" applyBorder="1" applyAlignment="1">
      <alignment horizontal="right"/>
    </xf>
    <xf numFmtId="164" fontId="26" fillId="36" borderId="27" xfId="0" applyNumberFormat="1" applyFont="1" applyFill="1" applyBorder="1" applyAlignment="1">
      <alignment horizontal="right"/>
    </xf>
    <xf numFmtId="164" fontId="26" fillId="36" borderId="19" xfId="0" applyNumberFormat="1" applyFont="1" applyFill="1" applyBorder="1" applyAlignment="1">
      <alignment horizontal="right"/>
    </xf>
    <xf numFmtId="164" fontId="26" fillId="36" borderId="21" xfId="0" applyNumberFormat="1" applyFont="1" applyFill="1" applyBorder="1" applyAlignment="1">
      <alignment horizontal="right"/>
    </xf>
    <xf numFmtId="164" fontId="26" fillId="36" borderId="25" xfId="0" applyNumberFormat="1" applyFont="1" applyFill="1" applyBorder="1" applyAlignment="1">
      <alignment horizontal="right"/>
    </xf>
    <xf numFmtId="164" fontId="26" fillId="36" borderId="0" xfId="0" applyNumberFormat="1" applyFont="1" applyFill="1" applyBorder="1" applyAlignment="1">
      <alignment horizontal="right"/>
    </xf>
    <xf numFmtId="164" fontId="0" fillId="0" borderId="27" xfId="0" applyNumberFormat="1" applyBorder="1"/>
    <xf numFmtId="0" fontId="0" fillId="0" borderId="26" xfId="0" applyBorder="1"/>
    <xf numFmtId="164" fontId="26" fillId="36" borderId="26" xfId="0" applyNumberFormat="1" applyFont="1" applyFill="1" applyBorder="1" applyAlignment="1">
      <alignment horizontal="right"/>
    </xf>
    <xf numFmtId="164" fontId="24" fillId="0" borderId="17" xfId="0" applyNumberFormat="1" applyFont="1" applyFill="1" applyBorder="1" applyAlignment="1">
      <alignment horizontal="right"/>
    </xf>
    <xf numFmtId="164" fontId="26" fillId="0" borderId="19" xfId="0" applyNumberFormat="1" applyFont="1" applyFill="1" applyBorder="1" applyAlignment="1">
      <alignment horizontal="right"/>
    </xf>
    <xf numFmtId="164" fontId="0" fillId="0" borderId="22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0" fontId="23" fillId="0" borderId="28" xfId="0" applyFont="1" applyBorder="1"/>
    <xf numFmtId="0" fontId="26" fillId="36" borderId="28" xfId="0" applyFont="1" applyFill="1" applyBorder="1" applyAlignment="1">
      <alignment horizontal="left" indent="2"/>
    </xf>
    <xf numFmtId="14" fontId="24" fillId="0" borderId="28" xfId="0" applyNumberFormat="1" applyFont="1" applyFill="1" applyBorder="1" applyAlignment="1">
      <alignment horizontal="right"/>
    </xf>
    <xf numFmtId="0" fontId="23" fillId="0" borderId="29" xfId="0" applyFont="1" applyBorder="1"/>
    <xf numFmtId="0" fontId="26" fillId="36" borderId="29" xfId="0" applyFont="1" applyFill="1" applyBorder="1" applyAlignment="1">
      <alignment horizontal="left" indent="3"/>
    </xf>
    <xf numFmtId="0" fontId="0" fillId="0" borderId="29" xfId="0" applyBorder="1"/>
    <xf numFmtId="0" fontId="23" fillId="0" borderId="30" xfId="0" applyFont="1" applyBorder="1"/>
    <xf numFmtId="0" fontId="26" fillId="36" borderId="30" xfId="0" applyFont="1" applyFill="1" applyBorder="1" applyAlignment="1">
      <alignment horizontal="left" indent="3"/>
    </xf>
    <xf numFmtId="0" fontId="0" fillId="0" borderId="30" xfId="0" applyBorder="1"/>
    <xf numFmtId="0" fontId="0" fillId="0" borderId="31" xfId="0" applyBorder="1"/>
    <xf numFmtId="0" fontId="26" fillId="36" borderId="31" xfId="0" applyFont="1" applyFill="1" applyBorder="1" applyAlignment="1">
      <alignment horizontal="left" indent="2"/>
    </xf>
    <xf numFmtId="14" fontId="24" fillId="0" borderId="31" xfId="0" applyNumberFormat="1" applyFont="1" applyFill="1" applyBorder="1" applyAlignment="1">
      <alignment horizontal="right"/>
    </xf>
    <xf numFmtId="14" fontId="24" fillId="0" borderId="29" xfId="0" applyNumberFormat="1" applyFont="1" applyFill="1" applyBorder="1" applyAlignment="1">
      <alignment horizontal="right"/>
    </xf>
    <xf numFmtId="14" fontId="24" fillId="36" borderId="29" xfId="0" applyNumberFormat="1" applyFont="1" applyFill="1" applyBorder="1" applyAlignment="1">
      <alignment horizontal="right"/>
    </xf>
    <xf numFmtId="0" fontId="0" fillId="0" borderId="32" xfId="0" applyBorder="1"/>
    <xf numFmtId="0" fontId="26" fillId="36" borderId="32" xfId="0" applyFont="1" applyFill="1" applyBorder="1" applyAlignment="1">
      <alignment horizontal="left" indent="3"/>
    </xf>
    <xf numFmtId="14" fontId="24" fillId="0" borderId="32" xfId="0" applyNumberFormat="1" applyFont="1" applyFill="1" applyBorder="1" applyAlignment="1">
      <alignment horizontal="right"/>
    </xf>
    <xf numFmtId="0" fontId="0" fillId="0" borderId="28" xfId="0" applyBorder="1"/>
    <xf numFmtId="14" fontId="0" fillId="0" borderId="28" xfId="0" applyNumberFormat="1" applyBorder="1"/>
    <xf numFmtId="0" fontId="26" fillId="36" borderId="28" xfId="0" applyFont="1" applyFill="1" applyBorder="1" applyAlignment="1">
      <alignment horizontal="left" indent="3"/>
    </xf>
    <xf numFmtId="0" fontId="24" fillId="38" borderId="16" xfId="0" applyFont="1" applyFill="1" applyBorder="1"/>
    <xf numFmtId="0" fontId="24" fillId="38" borderId="16" xfId="0" applyFont="1" applyFill="1" applyBorder="1" applyAlignment="1">
      <alignment horizontal="left" indent="1"/>
    </xf>
    <xf numFmtId="14" fontId="24" fillId="38" borderId="17" xfId="0" applyNumberFormat="1" applyFont="1" applyFill="1" applyBorder="1" applyAlignment="1">
      <alignment horizontal="right"/>
    </xf>
    <xf numFmtId="0" fontId="24" fillId="38" borderId="17" xfId="0" applyFont="1" applyFill="1" applyBorder="1" applyAlignment="1">
      <alignment horizontal="right"/>
    </xf>
    <xf numFmtId="0" fontId="26" fillId="38" borderId="18" xfId="0" applyFont="1" applyFill="1" applyBorder="1"/>
    <xf numFmtId="0" fontId="26" fillId="38" borderId="18" xfId="0" applyFont="1" applyFill="1" applyBorder="1" applyAlignment="1">
      <alignment horizontal="left" indent="2"/>
    </xf>
    <xf numFmtId="14" fontId="26" fillId="38" borderId="19" xfId="0" applyNumberFormat="1" applyFont="1" applyFill="1" applyBorder="1" applyAlignment="1">
      <alignment horizontal="right"/>
    </xf>
    <xf numFmtId="0" fontId="26" fillId="38" borderId="19" xfId="0" applyFont="1" applyFill="1" applyBorder="1" applyAlignment="1">
      <alignment horizontal="right"/>
    </xf>
    <xf numFmtId="0" fontId="27" fillId="38" borderId="20" xfId="0" applyFont="1" applyFill="1" applyBorder="1"/>
    <xf numFmtId="0" fontId="27" fillId="38" borderId="20" xfId="0" applyFont="1" applyFill="1" applyBorder="1" applyAlignment="1">
      <alignment horizontal="left" indent="3"/>
    </xf>
    <xf numFmtId="14" fontId="26" fillId="38" borderId="21" xfId="0" applyNumberFormat="1" applyFont="1" applyFill="1" applyBorder="1" applyAlignment="1">
      <alignment horizontal="right"/>
    </xf>
    <xf numFmtId="0" fontId="26" fillId="38" borderId="21" xfId="0" applyFont="1" applyFill="1" applyBorder="1" applyAlignment="1">
      <alignment horizontal="right"/>
    </xf>
    <xf numFmtId="0" fontId="27" fillId="36" borderId="18" xfId="0" applyFont="1" applyFill="1" applyBorder="1"/>
    <xf numFmtId="0" fontId="27" fillId="36" borderId="18" xfId="0" applyFont="1" applyFill="1" applyBorder="1" applyAlignment="1">
      <alignment horizontal="left" indent="3"/>
    </xf>
    <xf numFmtId="0" fontId="26" fillId="36" borderId="33" xfId="0" applyFont="1" applyFill="1" applyBorder="1"/>
    <xf numFmtId="0" fontId="26" fillId="36" borderId="33" xfId="0" applyFont="1" applyFill="1" applyBorder="1" applyAlignment="1">
      <alignment horizontal="left" indent="2"/>
    </xf>
    <xf numFmtId="14" fontId="26" fillId="36" borderId="27" xfId="0" applyNumberFormat="1" applyFont="1" applyFill="1" applyBorder="1" applyAlignment="1">
      <alignment horizontal="right"/>
    </xf>
    <xf numFmtId="0" fontId="26" fillId="36" borderId="27" xfId="0" applyFont="1" applyFill="1" applyBorder="1" applyAlignment="1">
      <alignment horizontal="right"/>
    </xf>
    <xf numFmtId="0" fontId="27" fillId="36" borderId="34" xfId="0" applyFont="1" applyFill="1" applyBorder="1"/>
    <xf numFmtId="0" fontId="27" fillId="36" borderId="34" xfId="0" applyFont="1" applyFill="1" applyBorder="1" applyAlignment="1">
      <alignment horizontal="left" indent="3"/>
    </xf>
    <xf numFmtId="14" fontId="26" fillId="36" borderId="25" xfId="0" applyNumberFormat="1" applyFont="1" applyFill="1" applyBorder="1" applyAlignment="1">
      <alignment horizontal="right"/>
    </xf>
    <xf numFmtId="0" fontId="26" fillId="36" borderId="25" xfId="0" applyFont="1" applyFill="1" applyBorder="1" applyAlignment="1">
      <alignment horizontal="right"/>
    </xf>
    <xf numFmtId="0" fontId="27" fillId="36" borderId="35" xfId="0" applyFont="1" applyFill="1" applyBorder="1"/>
    <xf numFmtId="0" fontId="27" fillId="36" borderId="35" xfId="0" applyFont="1" applyFill="1" applyBorder="1" applyAlignment="1">
      <alignment horizontal="left" indent="3"/>
    </xf>
    <xf numFmtId="14" fontId="26" fillId="36" borderId="26" xfId="0" applyNumberFormat="1" applyFont="1" applyFill="1" applyBorder="1" applyAlignment="1">
      <alignment horizontal="right"/>
    </xf>
    <xf numFmtId="0" fontId="26" fillId="36" borderId="26" xfId="0" applyFont="1" applyFill="1" applyBorder="1" applyAlignment="1">
      <alignment horizontal="right"/>
    </xf>
    <xf numFmtId="0" fontId="26" fillId="36" borderId="36" xfId="0" applyFont="1" applyFill="1" applyBorder="1"/>
    <xf numFmtId="0" fontId="26" fillId="36" borderId="36" xfId="0" applyFont="1" applyFill="1" applyBorder="1" applyAlignment="1">
      <alignment horizontal="left" indent="2"/>
    </xf>
    <xf numFmtId="14" fontId="26" fillId="36" borderId="28" xfId="0" applyNumberFormat="1" applyFont="1" applyFill="1" applyBorder="1" applyAlignment="1">
      <alignment horizontal="right"/>
    </xf>
    <xf numFmtId="0" fontId="26" fillId="36" borderId="28" xfId="0" applyFont="1" applyFill="1" applyBorder="1" applyAlignment="1">
      <alignment horizontal="right"/>
    </xf>
    <xf numFmtId="164" fontId="26" fillId="36" borderId="37" xfId="0" applyNumberFormat="1" applyFont="1" applyFill="1" applyBorder="1" applyAlignment="1">
      <alignment horizontal="right"/>
    </xf>
    <xf numFmtId="0" fontId="27" fillId="36" borderId="38" xfId="0" applyFont="1" applyFill="1" applyBorder="1"/>
    <xf numFmtId="0" fontId="27" fillId="36" borderId="38" xfId="0" applyFont="1" applyFill="1" applyBorder="1" applyAlignment="1">
      <alignment horizontal="left" indent="3"/>
    </xf>
    <xf numFmtId="14" fontId="26" fillId="36" borderId="31" xfId="0" applyNumberFormat="1" applyFont="1" applyFill="1" applyBorder="1" applyAlignment="1">
      <alignment horizontal="right"/>
    </xf>
    <xf numFmtId="0" fontId="26" fillId="36" borderId="31" xfId="0" applyFont="1" applyFill="1" applyBorder="1" applyAlignment="1">
      <alignment horizontal="right"/>
    </xf>
    <xf numFmtId="164" fontId="26" fillId="36" borderId="31" xfId="0" applyNumberFormat="1" applyFont="1" applyFill="1" applyBorder="1" applyAlignment="1">
      <alignment horizontal="right"/>
    </xf>
    <xf numFmtId="0" fontId="26" fillId="36" borderId="35" xfId="0" applyFont="1" applyFill="1" applyBorder="1"/>
    <xf numFmtId="0" fontId="26" fillId="36" borderId="35" xfId="0" applyFont="1" applyFill="1" applyBorder="1" applyAlignment="1">
      <alignment horizontal="left" indent="2"/>
    </xf>
    <xf numFmtId="0" fontId="0" fillId="0" borderId="27" xfId="0" applyBorder="1"/>
    <xf numFmtId="0" fontId="26" fillId="36" borderId="16" xfId="0" applyFont="1" applyFill="1" applyBorder="1"/>
    <xf numFmtId="0" fontId="26" fillId="36" borderId="16" xfId="0" applyFont="1" applyFill="1" applyBorder="1" applyAlignment="1">
      <alignment horizontal="left" indent="2"/>
    </xf>
    <xf numFmtId="14" fontId="26" fillId="36" borderId="17" xfId="0" applyNumberFormat="1" applyFont="1" applyFill="1" applyBorder="1" applyAlignment="1">
      <alignment horizontal="right"/>
    </xf>
    <xf numFmtId="0" fontId="26" fillId="36" borderId="17" xfId="0" applyFont="1" applyFill="1" applyBorder="1" applyAlignment="1">
      <alignment horizontal="right"/>
    </xf>
    <xf numFmtId="164" fontId="26" fillId="36" borderId="17" xfId="0" applyNumberFormat="1" applyFont="1" applyFill="1" applyBorder="1" applyAlignment="1">
      <alignment horizontal="right"/>
    </xf>
    <xf numFmtId="0" fontId="26" fillId="36" borderId="39" xfId="0" applyFont="1" applyFill="1" applyBorder="1"/>
    <xf numFmtId="0" fontId="26" fillId="36" borderId="39" xfId="0" applyFont="1" applyFill="1" applyBorder="1" applyAlignment="1">
      <alignment horizontal="left" indent="2"/>
    </xf>
    <xf numFmtId="14" fontId="26" fillId="36" borderId="23" xfId="0" applyNumberFormat="1" applyFont="1" applyFill="1" applyBorder="1" applyAlignment="1">
      <alignment horizontal="right"/>
    </xf>
    <xf numFmtId="0" fontId="26" fillId="36" borderId="23" xfId="0" applyFont="1" applyFill="1" applyBorder="1" applyAlignment="1">
      <alignment horizontal="right"/>
    </xf>
    <xf numFmtId="164" fontId="26" fillId="36" borderId="23" xfId="0" applyNumberFormat="1" applyFont="1" applyFill="1" applyBorder="1" applyAlignment="1">
      <alignment horizontal="right"/>
    </xf>
    <xf numFmtId="0" fontId="27" fillId="36" borderId="40" xfId="0" applyFont="1" applyFill="1" applyBorder="1"/>
    <xf numFmtId="0" fontId="27" fillId="36" borderId="40" xfId="0" applyFont="1" applyFill="1" applyBorder="1" applyAlignment="1">
      <alignment horizontal="left" indent="3"/>
    </xf>
    <xf numFmtId="14" fontId="26" fillId="36" borderId="24" xfId="0" applyNumberFormat="1" applyFont="1" applyFill="1" applyBorder="1" applyAlignment="1">
      <alignment horizontal="right"/>
    </xf>
    <xf numFmtId="0" fontId="26" fillId="36" borderId="24" xfId="0" applyFont="1" applyFill="1" applyBorder="1" applyAlignment="1">
      <alignment horizontal="right"/>
    </xf>
    <xf numFmtId="164" fontId="26" fillId="36" borderId="24" xfId="0" applyNumberFormat="1" applyFont="1" applyFill="1" applyBorder="1" applyAlignment="1">
      <alignment horizontal="right"/>
    </xf>
    <xf numFmtId="164" fontId="26" fillId="36" borderId="28" xfId="0" applyNumberFormat="1" applyFont="1" applyFill="1" applyBorder="1" applyAlignment="1">
      <alignment horizontal="right"/>
    </xf>
    <xf numFmtId="0" fontId="24" fillId="36" borderId="42" xfId="0" applyFont="1" applyFill="1" applyBorder="1"/>
    <xf numFmtId="0" fontId="24" fillId="36" borderId="42" xfId="0" applyFont="1" applyFill="1" applyBorder="1" applyAlignment="1">
      <alignment horizontal="left" indent="1"/>
    </xf>
    <xf numFmtId="14" fontId="24" fillId="36" borderId="43" xfId="0" applyNumberFormat="1" applyFont="1" applyFill="1" applyBorder="1" applyAlignment="1">
      <alignment horizontal="right"/>
    </xf>
    <xf numFmtId="0" fontId="24" fillId="36" borderId="43" xfId="0" applyFont="1" applyFill="1" applyBorder="1" applyAlignment="1">
      <alignment horizontal="right"/>
    </xf>
    <xf numFmtId="0" fontId="26" fillId="36" borderId="44" xfId="0" applyFont="1" applyFill="1" applyBorder="1"/>
    <xf numFmtId="0" fontId="26" fillId="36" borderId="44" xfId="0" applyFont="1" applyFill="1" applyBorder="1" applyAlignment="1">
      <alignment horizontal="left" indent="2"/>
    </xf>
    <xf numFmtId="14" fontId="26" fillId="36" borderId="41" xfId="0" applyNumberFormat="1" applyFont="1" applyFill="1" applyBorder="1" applyAlignment="1">
      <alignment horizontal="right"/>
    </xf>
    <xf numFmtId="0" fontId="26" fillId="36" borderId="41" xfId="0" applyFont="1" applyFill="1" applyBorder="1" applyAlignment="1">
      <alignment horizontal="right"/>
    </xf>
    <xf numFmtId="10" fontId="0" fillId="0" borderId="0" xfId="42" applyNumberFormat="1" applyFont="1"/>
    <xf numFmtId="9" fontId="0" fillId="0" borderId="0" xfId="0" applyNumberFormat="1"/>
    <xf numFmtId="0" fontId="21" fillId="34" borderId="11" xfId="16" applyNumberFormat="1" applyFont="1" applyFill="1" applyBorder="1" applyAlignment="1">
      <alignment horizontal="center"/>
    </xf>
    <xf numFmtId="165" fontId="22" fillId="35" borderId="13" xfId="32" applyNumberFormat="1" applyFont="1" applyFill="1" applyBorder="1" applyAlignment="1">
      <alignment horizontal="right"/>
    </xf>
    <xf numFmtId="164" fontId="0" fillId="0" borderId="0" xfId="0" applyNumberFormat="1"/>
    <xf numFmtId="0" fontId="26" fillId="36" borderId="45" xfId="0" applyFont="1" applyFill="1" applyBorder="1"/>
    <xf numFmtId="0" fontId="26" fillId="36" borderId="45" xfId="0" applyFont="1" applyFill="1" applyBorder="1" applyAlignment="1">
      <alignment horizontal="left" indent="2"/>
    </xf>
    <xf numFmtId="14" fontId="26" fillId="36" borderId="0" xfId="0" applyNumberFormat="1" applyFont="1" applyFill="1" applyBorder="1" applyAlignment="1">
      <alignment horizontal="right"/>
    </xf>
    <xf numFmtId="0" fontId="26" fillId="36" borderId="0" xfId="0" applyFont="1" applyFill="1" applyBorder="1" applyAlignment="1">
      <alignment horizontal="right"/>
    </xf>
    <xf numFmtId="164" fontId="0" fillId="0" borderId="26" xfId="0" applyNumberFormat="1" applyBorder="1"/>
    <xf numFmtId="0" fontId="31" fillId="39" borderId="0" xfId="43" applyFont="1" applyFill="1" applyBorder="1" applyAlignment="1">
      <alignment horizontal="left"/>
    </xf>
    <xf numFmtId="0" fontId="28" fillId="39" borderId="0" xfId="43" applyFont="1" applyFill="1" applyBorder="1"/>
    <xf numFmtId="165" fontId="28" fillId="39" borderId="0" xfId="43" applyNumberFormat="1" applyFont="1" applyFill="1" applyBorder="1"/>
    <xf numFmtId="0" fontId="32" fillId="39" borderId="0" xfId="43" applyFont="1" applyFill="1" applyBorder="1" applyAlignment="1">
      <alignment horizontal="left"/>
    </xf>
    <xf numFmtId="0" fontId="33" fillId="0" borderId="0" xfId="43" applyFont="1" applyFill="1" applyBorder="1" applyAlignment="1">
      <alignment vertical="center" wrapText="1"/>
    </xf>
    <xf numFmtId="0" fontId="34" fillId="0" borderId="0" xfId="43" applyFont="1" applyFill="1" applyAlignment="1">
      <alignment vertical="center" wrapText="1"/>
    </xf>
    <xf numFmtId="0" fontId="28" fillId="0" borderId="0" xfId="43" applyFont="1" applyFill="1" applyBorder="1"/>
    <xf numFmtId="0" fontId="34" fillId="0" borderId="0" xfId="43" applyFont="1" applyFill="1" applyBorder="1" applyAlignment="1">
      <alignment vertical="center" wrapText="1"/>
    </xf>
    <xf numFmtId="0" fontId="34" fillId="40" borderId="47" xfId="43" applyFont="1" applyFill="1" applyBorder="1" applyAlignment="1">
      <alignment horizontal="center" vertical="center" wrapText="1"/>
    </xf>
    <xf numFmtId="0" fontId="28" fillId="0" borderId="59" xfId="43" applyFont="1" applyFill="1" applyBorder="1"/>
    <xf numFmtId="0" fontId="34" fillId="0" borderId="60" xfId="43" applyFont="1" applyFill="1" applyBorder="1" applyAlignment="1">
      <alignment vertical="center" wrapText="1"/>
    </xf>
    <xf numFmtId="0" fontId="34" fillId="0" borderId="47" xfId="43" applyFont="1" applyFill="1" applyBorder="1" applyAlignment="1">
      <alignment vertical="center" wrapText="1"/>
    </xf>
    <xf numFmtId="165" fontId="34" fillId="0" borderId="47" xfId="43" applyNumberFormat="1" applyFont="1" applyFill="1" applyBorder="1" applyAlignment="1">
      <alignment vertical="center" wrapText="1"/>
    </xf>
    <xf numFmtId="14" fontId="34" fillId="0" borderId="47" xfId="43" applyNumberFormat="1" applyFont="1" applyFill="1" applyBorder="1" applyAlignment="1">
      <alignment vertical="center" wrapText="1"/>
    </xf>
    <xf numFmtId="0" fontId="34" fillId="0" borderId="56" xfId="43" applyFont="1" applyFill="1" applyBorder="1" applyAlignment="1">
      <alignment vertical="center" wrapText="1"/>
    </xf>
    <xf numFmtId="0" fontId="28" fillId="0" borderId="61" xfId="43" applyFont="1" applyFill="1" applyBorder="1"/>
    <xf numFmtId="0" fontId="34" fillId="0" borderId="62" xfId="43" applyFont="1" applyFill="1" applyBorder="1" applyAlignment="1">
      <alignment vertical="center" wrapText="1"/>
    </xf>
    <xf numFmtId="0" fontId="34" fillId="0" borderId="63" xfId="43" applyFont="1" applyFill="1" applyBorder="1" applyAlignment="1">
      <alignment vertical="center" wrapText="1"/>
    </xf>
    <xf numFmtId="165" fontId="34" fillId="0" borderId="63" xfId="43" applyNumberFormat="1" applyFont="1" applyFill="1" applyBorder="1" applyAlignment="1">
      <alignment vertical="center" wrapText="1"/>
    </xf>
    <xf numFmtId="0" fontId="34" fillId="0" borderId="64" xfId="43" applyFont="1" applyFill="1" applyBorder="1" applyAlignment="1">
      <alignment vertical="center" wrapText="1"/>
    </xf>
    <xf numFmtId="165" fontId="34" fillId="0" borderId="0" xfId="43" applyNumberFormat="1" applyFont="1" applyFill="1" applyAlignment="1">
      <alignment vertical="center" wrapText="1"/>
    </xf>
    <xf numFmtId="15" fontId="34" fillId="0" borderId="47" xfId="43" applyNumberFormat="1" applyFont="1" applyFill="1" applyBorder="1" applyAlignment="1">
      <alignment vertical="center" wrapText="1"/>
    </xf>
    <xf numFmtId="166" fontId="36" fillId="0" borderId="47" xfId="44" applyNumberFormat="1" applyFont="1" applyBorder="1" applyAlignment="1">
      <alignment vertical="center"/>
    </xf>
    <xf numFmtId="166" fontId="34" fillId="0" borderId="47" xfId="43" applyNumberFormat="1" applyFont="1" applyFill="1" applyBorder="1" applyAlignment="1">
      <alignment vertical="center" wrapText="1"/>
    </xf>
    <xf numFmtId="15" fontId="37" fillId="0" borderId="47" xfId="43" applyNumberFormat="1" applyFont="1" applyFill="1" applyBorder="1" applyAlignment="1">
      <alignment vertical="center" wrapText="1"/>
    </xf>
    <xf numFmtId="14" fontId="34" fillId="0" borderId="63" xfId="43" applyNumberFormat="1" applyFont="1" applyFill="1" applyBorder="1" applyAlignment="1">
      <alignment vertical="center" wrapText="1"/>
    </xf>
    <xf numFmtId="0" fontId="28" fillId="0" borderId="47" xfId="43" applyFont="1" applyFill="1" applyBorder="1"/>
    <xf numFmtId="0" fontId="28" fillId="0" borderId="63" xfId="43" applyFont="1" applyFill="1" applyBorder="1"/>
    <xf numFmtId="0" fontId="38" fillId="0" borderId="0" xfId="43" applyFont="1" applyFill="1" applyBorder="1" applyAlignment="1">
      <alignment vertical="center" wrapText="1"/>
    </xf>
    <xf numFmtId="0" fontId="28" fillId="0" borderId="76" xfId="43" applyFont="1" applyFill="1" applyBorder="1"/>
    <xf numFmtId="0" fontId="34" fillId="0" borderId="0" xfId="43" applyFont="1" applyFill="1" applyBorder="1" applyAlignment="1">
      <alignment horizontal="left" vertical="center" wrapText="1"/>
    </xf>
    <xf numFmtId="0" fontId="28" fillId="40" borderId="69" xfId="43" applyFont="1" applyFill="1" applyBorder="1"/>
    <xf numFmtId="0" fontId="28" fillId="40" borderId="58" xfId="43" applyFont="1" applyFill="1" applyBorder="1"/>
    <xf numFmtId="0" fontId="34" fillId="40" borderId="0" xfId="43" applyFont="1" applyFill="1" applyAlignment="1">
      <alignment vertical="center" wrapText="1"/>
    </xf>
    <xf numFmtId="165" fontId="28" fillId="0" borderId="0" xfId="43" applyNumberFormat="1" applyFont="1" applyFill="1" applyBorder="1"/>
    <xf numFmtId="0" fontId="23" fillId="0" borderId="0" xfId="0" applyFont="1" applyBorder="1"/>
    <xf numFmtId="167" fontId="0" fillId="0" borderId="0" xfId="0" applyNumberFormat="1"/>
    <xf numFmtId="0" fontId="23" fillId="41" borderId="46" xfId="0" applyFont="1" applyFill="1" applyBorder="1"/>
    <xf numFmtId="0" fontId="26" fillId="41" borderId="46" xfId="0" applyFont="1" applyFill="1" applyBorder="1" applyAlignment="1">
      <alignment horizontal="left" indent="3"/>
    </xf>
    <xf numFmtId="0" fontId="0" fillId="41" borderId="46" xfId="0" applyFill="1" applyBorder="1"/>
    <xf numFmtId="164" fontId="0" fillId="41" borderId="46" xfId="0" applyNumberFormat="1" applyFill="1" applyBorder="1"/>
    <xf numFmtId="0" fontId="0" fillId="41" borderId="0" xfId="0" applyFill="1"/>
    <xf numFmtId="0" fontId="23" fillId="41" borderId="0" xfId="0" applyFont="1" applyFill="1" applyBorder="1"/>
    <xf numFmtId="0" fontId="26" fillId="41" borderId="0" xfId="0" applyFont="1" applyFill="1" applyBorder="1" applyAlignment="1">
      <alignment horizontal="left" indent="3"/>
    </xf>
    <xf numFmtId="0" fontId="0" fillId="41" borderId="0" xfId="0" applyFill="1" applyBorder="1"/>
    <xf numFmtId="164" fontId="0" fillId="41" borderId="0" xfId="0" applyNumberFormat="1" applyFill="1" applyBorder="1"/>
    <xf numFmtId="0" fontId="31" fillId="39" borderId="0" xfId="43" applyFont="1" applyFill="1" applyBorder="1" applyAlignment="1">
      <alignment horizontal="left"/>
    </xf>
    <xf numFmtId="0" fontId="33" fillId="40" borderId="47" xfId="43" applyFont="1" applyFill="1" applyBorder="1" applyAlignment="1">
      <alignment horizontal="left" vertical="center" wrapText="1"/>
    </xf>
    <xf numFmtId="0" fontId="33" fillId="40" borderId="48" xfId="43" applyFont="1" applyFill="1" applyBorder="1" applyAlignment="1">
      <alignment horizontal="left" vertical="center" wrapText="1"/>
    </xf>
    <xf numFmtId="0" fontId="33" fillId="40" borderId="0" xfId="43" applyFont="1" applyFill="1" applyBorder="1" applyAlignment="1">
      <alignment horizontal="left" vertical="center" wrapText="1"/>
    </xf>
    <xf numFmtId="0" fontId="33" fillId="40" borderId="49" xfId="43" applyFont="1" applyFill="1" applyBorder="1" applyAlignment="1">
      <alignment horizontal="left" vertical="center" wrapText="1"/>
    </xf>
    <xf numFmtId="0" fontId="28" fillId="40" borderId="50" xfId="43" applyFont="1" applyFill="1" applyBorder="1" applyAlignment="1">
      <alignment horizontal="center" vertical="center"/>
    </xf>
    <xf numFmtId="0" fontId="28" fillId="40" borderId="54" xfId="43" applyFont="1" applyFill="1" applyBorder="1" applyAlignment="1">
      <alignment horizontal="center" vertical="center"/>
    </xf>
    <xf numFmtId="0" fontId="28" fillId="40" borderId="57" xfId="43" applyFont="1" applyFill="1" applyBorder="1" applyAlignment="1">
      <alignment horizontal="center" vertical="center"/>
    </xf>
    <xf numFmtId="0" fontId="34" fillId="40" borderId="51" xfId="43" applyFont="1" applyFill="1" applyBorder="1" applyAlignment="1">
      <alignment horizontal="center" vertical="center" wrapText="1"/>
    </xf>
    <xf numFmtId="0" fontId="34" fillId="40" borderId="55" xfId="43" applyFont="1" applyFill="1" applyBorder="1" applyAlignment="1">
      <alignment horizontal="center" vertical="center" wrapText="1"/>
    </xf>
    <xf numFmtId="0" fontId="34" fillId="40" borderId="58" xfId="43" applyFont="1" applyFill="1" applyBorder="1" applyAlignment="1">
      <alignment horizontal="center" vertical="center" wrapText="1"/>
    </xf>
    <xf numFmtId="0" fontId="34" fillId="40" borderId="52" xfId="43" applyFont="1" applyFill="1" applyBorder="1" applyAlignment="1">
      <alignment horizontal="center" vertical="center" wrapText="1"/>
    </xf>
    <xf numFmtId="0" fontId="34" fillId="40" borderId="47" xfId="43" applyFont="1" applyFill="1" applyBorder="1" applyAlignment="1">
      <alignment horizontal="center" vertical="center" wrapText="1"/>
    </xf>
    <xf numFmtId="0" fontId="34" fillId="40" borderId="53" xfId="43" applyFont="1" applyFill="1" applyBorder="1" applyAlignment="1">
      <alignment horizontal="center" vertical="center" wrapText="1"/>
    </xf>
    <xf numFmtId="0" fontId="34" fillId="40" borderId="56" xfId="43" applyFont="1" applyFill="1" applyBorder="1" applyAlignment="1">
      <alignment horizontal="center" vertical="center" wrapText="1"/>
    </xf>
    <xf numFmtId="165" fontId="34" fillId="40" borderId="47" xfId="43" applyNumberFormat="1" applyFont="1" applyFill="1" applyBorder="1" applyAlignment="1">
      <alignment horizontal="center" vertical="center" wrapText="1"/>
    </xf>
    <xf numFmtId="0" fontId="34" fillId="40" borderId="69" xfId="43" applyFont="1" applyFill="1" applyBorder="1" applyAlignment="1">
      <alignment horizontal="center" vertical="center" wrapText="1"/>
    </xf>
    <xf numFmtId="0" fontId="33" fillId="40" borderId="65" xfId="43" applyFont="1" applyFill="1" applyBorder="1" applyAlignment="1">
      <alignment horizontal="left" vertical="center" wrapText="1"/>
    </xf>
    <xf numFmtId="0" fontId="33" fillId="40" borderId="66" xfId="43" applyFont="1" applyFill="1" applyBorder="1" applyAlignment="1">
      <alignment horizontal="left" vertical="center" wrapText="1"/>
    </xf>
    <xf numFmtId="0" fontId="33" fillId="40" borderId="67" xfId="43" applyFont="1" applyFill="1" applyBorder="1" applyAlignment="1">
      <alignment horizontal="left" vertical="center" wrapText="1"/>
    </xf>
    <xf numFmtId="0" fontId="28" fillId="40" borderId="68" xfId="43" applyFont="1" applyFill="1" applyBorder="1" applyAlignment="1">
      <alignment horizontal="center" vertical="center" wrapText="1"/>
    </xf>
    <xf numFmtId="0" fontId="28" fillId="40" borderId="54" xfId="43" applyFont="1" applyFill="1" applyBorder="1" applyAlignment="1">
      <alignment horizontal="center" vertical="center" wrapText="1"/>
    </xf>
    <xf numFmtId="0" fontId="28" fillId="40" borderId="57" xfId="43" applyFont="1" applyFill="1" applyBorder="1" applyAlignment="1">
      <alignment horizontal="center" vertical="center" wrapText="1"/>
    </xf>
    <xf numFmtId="165" fontId="34" fillId="40" borderId="52" xfId="43" applyNumberFormat="1" applyFont="1" applyFill="1" applyBorder="1" applyAlignment="1">
      <alignment horizontal="center" vertical="center" wrapText="1"/>
    </xf>
    <xf numFmtId="0" fontId="34" fillId="0" borderId="70" xfId="43" applyFont="1" applyFill="1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28" fillId="40" borderId="69" xfId="43" applyFont="1" applyFill="1" applyBorder="1" applyAlignment="1">
      <alignment horizontal="center" vertical="center"/>
    </xf>
    <xf numFmtId="0" fontId="28" fillId="40" borderId="55" xfId="43" applyFont="1" applyFill="1" applyBorder="1" applyAlignment="1">
      <alignment horizontal="center" vertical="center"/>
    </xf>
    <xf numFmtId="0" fontId="28" fillId="40" borderId="58" xfId="43" applyFont="1" applyFill="1" applyBorder="1" applyAlignment="1">
      <alignment horizontal="center" vertical="center"/>
    </xf>
    <xf numFmtId="0" fontId="34" fillId="0" borderId="72" xfId="43" applyFont="1" applyFill="1" applyBorder="1" applyAlignment="1">
      <alignment vertical="center" wrapText="1"/>
    </xf>
    <xf numFmtId="0" fontId="0" fillId="0" borderId="73" xfId="0" applyBorder="1" applyAlignment="1">
      <alignment vertical="center" wrapText="1"/>
    </xf>
    <xf numFmtId="0" fontId="33" fillId="40" borderId="74" xfId="43" applyFont="1" applyFill="1" applyBorder="1" applyAlignment="1">
      <alignment horizontal="left" vertical="center" wrapText="1"/>
    </xf>
    <xf numFmtId="0" fontId="33" fillId="40" borderId="52" xfId="43" applyFont="1" applyFill="1" applyBorder="1" applyAlignment="1">
      <alignment horizontal="left" vertical="center" wrapText="1"/>
    </xf>
    <xf numFmtId="0" fontId="38" fillId="40" borderId="75" xfId="43" applyFont="1" applyFill="1" applyBorder="1" applyAlignment="1">
      <alignment horizontal="center" vertical="center" wrapText="1"/>
    </xf>
    <xf numFmtId="0" fontId="38" fillId="40" borderId="66" xfId="43" applyFont="1" applyFill="1" applyBorder="1" applyAlignment="1">
      <alignment horizontal="center" vertical="center" wrapText="1"/>
    </xf>
    <xf numFmtId="0" fontId="38" fillId="40" borderId="67" xfId="43" applyFont="1" applyFill="1" applyBorder="1" applyAlignment="1">
      <alignment horizontal="center" vertical="center" wrapText="1"/>
    </xf>
    <xf numFmtId="0" fontId="28" fillId="40" borderId="68" xfId="43" applyFont="1" applyFill="1" applyBorder="1" applyAlignment="1">
      <alignment horizontal="center" vertical="center"/>
    </xf>
    <xf numFmtId="0" fontId="28" fillId="40" borderId="69" xfId="43" applyFont="1" applyFill="1" applyBorder="1" applyAlignment="1">
      <alignment horizontal="center" vertical="center" wrapText="1"/>
    </xf>
    <xf numFmtId="0" fontId="28" fillId="40" borderId="55" xfId="43" applyFont="1" applyFill="1" applyBorder="1" applyAlignment="1">
      <alignment horizontal="center" vertical="center" wrapText="1"/>
    </xf>
    <xf numFmtId="0" fontId="28" fillId="40" borderId="58" xfId="43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34" fillId="40" borderId="72" xfId="43" applyFont="1" applyFill="1" applyBorder="1" applyAlignment="1">
      <alignment horizontal="center" vertical="center" wrapText="1"/>
    </xf>
    <xf numFmtId="0" fontId="34" fillId="40" borderId="78" xfId="43" applyFont="1" applyFill="1" applyBorder="1" applyAlignment="1">
      <alignment horizontal="center" vertical="center" wrapText="1"/>
    </xf>
    <xf numFmtId="0" fontId="34" fillId="40" borderId="73" xfId="43" applyFont="1" applyFill="1" applyBorder="1" applyAlignment="1">
      <alignment horizontal="center" vertical="center" wrapText="1"/>
    </xf>
    <xf numFmtId="0" fontId="34" fillId="40" borderId="77" xfId="43" applyFont="1" applyFill="1" applyBorder="1" applyAlignment="1">
      <alignment horizontal="center" vertical="center" wrapText="1"/>
    </xf>
    <xf numFmtId="0" fontId="34" fillId="40" borderId="28" xfId="43" applyFont="1" applyFill="1" applyBorder="1" applyAlignment="1">
      <alignment horizontal="center" vertical="center" wrapText="1"/>
    </xf>
    <xf numFmtId="0" fontId="34" fillId="40" borderId="60" xfId="43" applyFont="1" applyFill="1" applyBorder="1" applyAlignment="1">
      <alignment horizontal="center" vertical="center" wrapText="1"/>
    </xf>
    <xf numFmtId="164" fontId="25" fillId="0" borderId="15" xfId="35" applyNumberFormat="1" applyFont="1" applyFill="1" applyBorder="1" applyAlignment="1">
      <alignment horizontal="right"/>
    </xf>
    <xf numFmtId="164" fontId="0" fillId="0" borderId="28" xfId="0" applyNumberFormat="1" applyFill="1" applyBorder="1"/>
    <xf numFmtId="164" fontId="0" fillId="0" borderId="29" xfId="0" applyNumberFormat="1" applyFill="1" applyBorder="1"/>
    <xf numFmtId="164" fontId="0" fillId="0" borderId="30" xfId="0" applyNumberFormat="1" applyFill="1" applyBorder="1"/>
    <xf numFmtId="0" fontId="26" fillId="0" borderId="0" xfId="0" applyFont="1" applyFill="1" applyBorder="1" applyAlignment="1">
      <alignment horizontal="left" indent="3"/>
    </xf>
    <xf numFmtId="0" fontId="0" fillId="0" borderId="0" xfId="0" applyFill="1" applyBorder="1"/>
    <xf numFmtId="164" fontId="0" fillId="0" borderId="0" xfId="0" applyNumberFormat="1" applyFill="1" applyBorder="1"/>
  </cellXfs>
  <cellStyles count="45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xr:uid="{00000000-0005-0000-0000-00000C000000}"/>
    <cellStyle name="60% - Accent6" xfId="39" builtinId="52" customBuiltin="1"/>
    <cellStyle name="Accent1" xfId="16" xr:uid="{00000000-0005-0000-0000-000013000000}"/>
    <cellStyle name="Accent2" xfId="20" builtinId="33" customBuiltin="1"/>
    <cellStyle name="Accent3" xfId="24" builtinId="37" customBuiltin="1"/>
    <cellStyle name="Accent4" xfId="28" builtinId="41" customBuiltin="1"/>
    <cellStyle name="Accent5" xfId="32" xr:uid="{00000000-0005-0000-0000-000014000000}"/>
    <cellStyle name="Accent6" xfId="36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4" builtinId="53" customBuiltin="1"/>
    <cellStyle name="Good" xfId="5" builtinId="26" customBuiltin="1"/>
    <cellStyle name="Heading 1" xfId="40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 customBuiltin="1"/>
    <cellStyle name="Normal 2" xfId="44" xr:uid="{F655505E-C526-4205-A4D1-255671C1B2D2}"/>
    <cellStyle name="Normal 3" xfId="43" xr:uid="{AE8E67BE-900D-4527-AC83-FB5A8B02F7E1}"/>
    <cellStyle name="Note" xfId="13" builtinId="10" customBuiltin="1"/>
    <cellStyle name="Output" xfId="9" builtinId="21" customBuiltin="1"/>
    <cellStyle name="Percent" xfId="42" builtinId="5"/>
    <cellStyle name="Title" xfId="1" builtinId="15" customBuiltin="1"/>
    <cellStyle name="Total" xfId="15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3</xdr:row>
      <xdr:rowOff>1455</xdr:rowOff>
    </xdr:from>
    <xdr:to>
      <xdr:col>12</xdr:col>
      <xdr:colOff>476250</xdr:colOff>
      <xdr:row>50</xdr:row>
      <xdr:rowOff>41333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6C53F7-3E5B-4017-94CF-61F594719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4" y="753930"/>
          <a:ext cx="8848726" cy="89933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11830</xdr:rowOff>
    </xdr:from>
    <xdr:to>
      <xdr:col>10</xdr:col>
      <xdr:colOff>152400</xdr:colOff>
      <xdr:row>26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50D7B0-7573-4DE6-A47B-E2AB6CC8E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573805"/>
          <a:ext cx="6229350" cy="472209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ijantg/Desktop/Semi-Annual%20Report%20Template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nessa/Documents/BID/Revisi&#243;n%20gestion%20riesgos/Suriname/Documentos%20planificacion/PEP%20POA,%20PROCPLAN%20QRR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into/AppData/Local/Microsoft/Windows/INetCache/Content.Outlook/KJ1NA65J/PEP%20second%20d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structions"/>
      <sheetName val="Project Information"/>
      <sheetName val="Project Monitoring Main"/>
      <sheetName val="Procurement Plan Details"/>
      <sheetName val="Contract Administration"/>
      <sheetName val="External Audit"/>
      <sheetName val="Risks and Probabilities"/>
      <sheetName val="Risk Assessment Matrix"/>
      <sheetName val="Risk Management Matrix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F15">
            <v>1</v>
          </cell>
          <cell r="G15">
            <v>1</v>
          </cell>
          <cell r="I15">
            <v>1</v>
          </cell>
          <cell r="J15" t="str">
            <v>Low</v>
          </cell>
        </row>
        <row r="16">
          <cell r="F16">
            <v>1</v>
          </cell>
          <cell r="G16">
            <v>1</v>
          </cell>
          <cell r="I16">
            <v>1</v>
          </cell>
          <cell r="J16" t="str">
            <v>Low</v>
          </cell>
        </row>
        <row r="17">
          <cell r="F17">
            <v>1</v>
          </cell>
          <cell r="G17">
            <v>1</v>
          </cell>
          <cell r="I17">
            <v>1</v>
          </cell>
          <cell r="J17" t="str">
            <v>Low</v>
          </cell>
        </row>
        <row r="18">
          <cell r="F18">
            <v>1</v>
          </cell>
          <cell r="G18">
            <v>1</v>
          </cell>
          <cell r="I18">
            <v>1</v>
          </cell>
          <cell r="J18" t="str">
            <v>Low</v>
          </cell>
        </row>
        <row r="19">
          <cell r="F19">
            <v>1</v>
          </cell>
          <cell r="G19">
            <v>1</v>
          </cell>
          <cell r="I19">
            <v>1</v>
          </cell>
          <cell r="J19" t="str">
            <v>Low</v>
          </cell>
        </row>
        <row r="20">
          <cell r="F20">
            <v>1</v>
          </cell>
          <cell r="G20">
            <v>1</v>
          </cell>
          <cell r="I20">
            <v>1</v>
          </cell>
          <cell r="J20" t="str">
            <v>Low</v>
          </cell>
        </row>
        <row r="21">
          <cell r="F21">
            <v>1</v>
          </cell>
          <cell r="G21">
            <v>1</v>
          </cell>
          <cell r="I21">
            <v>1</v>
          </cell>
          <cell r="J21" t="str">
            <v>Low</v>
          </cell>
        </row>
        <row r="22">
          <cell r="F22">
            <v>2</v>
          </cell>
          <cell r="G22">
            <v>2</v>
          </cell>
          <cell r="I22">
            <v>2</v>
          </cell>
          <cell r="J22" t="str">
            <v>Medium</v>
          </cell>
        </row>
        <row r="23">
          <cell r="F23">
            <v>2</v>
          </cell>
          <cell r="G23">
            <v>2</v>
          </cell>
          <cell r="I23">
            <v>2</v>
          </cell>
          <cell r="J23" t="str">
            <v>Medium</v>
          </cell>
        </row>
        <row r="24">
          <cell r="F24">
            <v>2</v>
          </cell>
          <cell r="G24">
            <v>2</v>
          </cell>
          <cell r="I24">
            <v>2</v>
          </cell>
          <cell r="J24" t="str">
            <v>Medium</v>
          </cell>
        </row>
        <row r="25">
          <cell r="F25">
            <v>2</v>
          </cell>
          <cell r="G25">
            <v>2</v>
          </cell>
          <cell r="I25">
            <v>2</v>
          </cell>
          <cell r="J25" t="str">
            <v>Medium</v>
          </cell>
        </row>
        <row r="26">
          <cell r="F26">
            <v>2</v>
          </cell>
          <cell r="G26">
            <v>2</v>
          </cell>
          <cell r="I26">
            <v>2</v>
          </cell>
          <cell r="J26" t="str">
            <v>Medium</v>
          </cell>
        </row>
        <row r="27">
          <cell r="F27">
            <v>2</v>
          </cell>
          <cell r="G27">
            <v>2</v>
          </cell>
          <cell r="I27">
            <v>2</v>
          </cell>
          <cell r="J27" t="str">
            <v>Medium</v>
          </cell>
        </row>
        <row r="28">
          <cell r="F28">
            <v>2</v>
          </cell>
          <cell r="G28">
            <v>2</v>
          </cell>
          <cell r="I28">
            <v>2</v>
          </cell>
          <cell r="J28" t="str">
            <v>Medium</v>
          </cell>
        </row>
        <row r="29">
          <cell r="F29">
            <v>3</v>
          </cell>
          <cell r="G29">
            <v>3</v>
          </cell>
          <cell r="I29">
            <v>3</v>
          </cell>
          <cell r="J29" t="str">
            <v>High</v>
          </cell>
        </row>
        <row r="30">
          <cell r="F30">
            <v>3</v>
          </cell>
          <cell r="G30">
            <v>3</v>
          </cell>
          <cell r="I30">
            <v>3</v>
          </cell>
          <cell r="J30" t="str">
            <v>High</v>
          </cell>
        </row>
        <row r="31">
          <cell r="F31">
            <v>3</v>
          </cell>
          <cell r="G31">
            <v>3</v>
          </cell>
          <cell r="I31">
            <v>3</v>
          </cell>
          <cell r="J31" t="str">
            <v>High</v>
          </cell>
        </row>
        <row r="32">
          <cell r="F32">
            <v>3</v>
          </cell>
          <cell r="G32">
            <v>3</v>
          </cell>
          <cell r="I32">
            <v>3</v>
          </cell>
          <cell r="J32" t="str">
            <v>High</v>
          </cell>
        </row>
        <row r="33">
          <cell r="F33">
            <v>3</v>
          </cell>
          <cell r="G33">
            <v>3</v>
          </cell>
          <cell r="I33">
            <v>3</v>
          </cell>
          <cell r="J33" t="str">
            <v>High</v>
          </cell>
        </row>
        <row r="34">
          <cell r="F34">
            <v>3</v>
          </cell>
          <cell r="G34">
            <v>3</v>
          </cell>
          <cell r="I34">
            <v>3</v>
          </cell>
          <cell r="J34" t="str">
            <v>High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OA 2019-2020"/>
      <sheetName val="Financial Plan"/>
      <sheetName val="Procurement Plan"/>
      <sheetName val="PMR"/>
    </sheetNames>
    <sheetDataSet>
      <sheetData sheetId="0">
        <row r="46">
          <cell r="A46" t="str">
            <v>2.1.1ﾠ</v>
          </cell>
        </row>
        <row r="47">
          <cell r="C47">
            <v>43566.291666666664</v>
          </cell>
          <cell r="D47">
            <v>43866.666666666664</v>
          </cell>
        </row>
        <row r="49">
          <cell r="D49">
            <v>44454.666666666664</v>
          </cell>
        </row>
        <row r="50">
          <cell r="A50" t="str">
            <v>2.1.1.4ﾠ</v>
          </cell>
          <cell r="B50" t="str">
            <v>Equipment to run Phase 1 NHIS installed</v>
          </cell>
        </row>
        <row r="51">
          <cell r="C51">
            <v>43951.291666666664</v>
          </cell>
          <cell r="D51">
            <v>44133.666666666664</v>
          </cell>
        </row>
        <row r="52">
          <cell r="D52">
            <v>44189.666666666664</v>
          </cell>
        </row>
        <row r="53">
          <cell r="A53" t="str">
            <v>2.1.1.5ﾠ</v>
          </cell>
        </row>
        <row r="54">
          <cell r="C54">
            <v>43818.291666666664</v>
          </cell>
        </row>
        <row r="57">
          <cell r="A57" t="str">
            <v>2.2ﾠ</v>
          </cell>
          <cell r="B57" t="str">
            <v>Steps survey administered</v>
          </cell>
        </row>
        <row r="58">
          <cell r="C58">
            <v>43566.291666666664</v>
          </cell>
          <cell r="D58">
            <v>43866.666666666664</v>
          </cell>
        </row>
        <row r="59">
          <cell r="D59">
            <v>43992.666666666664</v>
          </cell>
        </row>
        <row r="62">
          <cell r="A62" t="str">
            <v>2.3.1ﾠ</v>
          </cell>
        </row>
        <row r="63">
          <cell r="C63">
            <v>43566.291666666664</v>
          </cell>
          <cell r="D63">
            <v>43761.666666666664</v>
          </cell>
        </row>
        <row r="70">
          <cell r="D70">
            <v>44797.666666666664</v>
          </cell>
        </row>
        <row r="72">
          <cell r="C72">
            <v>43654.291666666664</v>
          </cell>
          <cell r="D72">
            <v>43957.666666666664</v>
          </cell>
        </row>
        <row r="73">
          <cell r="D73">
            <v>44797.666666666664</v>
          </cell>
        </row>
        <row r="75">
          <cell r="A75" t="str">
            <v>2.4.1ﾠ</v>
          </cell>
        </row>
        <row r="77">
          <cell r="C77">
            <v>44525.291666666664</v>
          </cell>
          <cell r="D77">
            <v>44720.666666666664</v>
          </cell>
        </row>
        <row r="78">
          <cell r="D78">
            <v>44797.666666666664</v>
          </cell>
        </row>
        <row r="79">
          <cell r="A79" t="str">
            <v>2.4.2ﾠ</v>
          </cell>
        </row>
        <row r="81">
          <cell r="C81">
            <v>44518.291666666664</v>
          </cell>
          <cell r="D81">
            <v>44713.666666666664</v>
          </cell>
        </row>
        <row r="82">
          <cell r="D82">
            <v>44741.666666666664</v>
          </cell>
        </row>
        <row r="85">
          <cell r="A85" t="str">
            <v>3.2ﾠ</v>
          </cell>
          <cell r="B85" t="str">
            <v>Continuous Quality Improvement strategy designed and implemented in CCM centers</v>
          </cell>
        </row>
        <row r="86">
          <cell r="C86">
            <v>43718.291666666664</v>
          </cell>
          <cell r="D86">
            <v>44018.666666666664</v>
          </cell>
        </row>
        <row r="87">
          <cell r="D87">
            <v>44858.666666666664</v>
          </cell>
        </row>
        <row r="88">
          <cell r="A88" t="str">
            <v>3.3ﾠ</v>
          </cell>
          <cell r="B88" t="str">
            <v>CCM model guidelines updated</v>
          </cell>
        </row>
        <row r="89">
          <cell r="C89">
            <v>43566.291666666664</v>
          </cell>
          <cell r="D89">
            <v>43717.666666666664</v>
          </cell>
        </row>
        <row r="90">
          <cell r="D90">
            <v>43829.666666666664</v>
          </cell>
        </row>
        <row r="91">
          <cell r="A91" t="str">
            <v>3.4ﾠ</v>
          </cell>
          <cell r="B91" t="str">
            <v>CCM centers with behavioral change and patient activation strategy implemented</v>
          </cell>
        </row>
        <row r="92">
          <cell r="C92">
            <v>44859.291666666664</v>
          </cell>
          <cell r="D92">
            <v>45159.666666666664</v>
          </cell>
        </row>
        <row r="94">
          <cell r="D94">
            <v>45439.666666666664</v>
          </cell>
        </row>
        <row r="96">
          <cell r="A96" t="str">
            <v>3.5.1ﾠ</v>
          </cell>
          <cell r="B96" t="str">
            <v>CCM centers with infrastructure upgraded</v>
          </cell>
        </row>
        <row r="97">
          <cell r="C97">
            <v>44075.291666666664</v>
          </cell>
          <cell r="D97">
            <v>44256.666666666664</v>
          </cell>
        </row>
        <row r="98">
          <cell r="C98">
            <v>44257.291666666664</v>
          </cell>
        </row>
        <row r="99">
          <cell r="A99" t="str">
            <v>3.5.2ﾠ</v>
          </cell>
          <cell r="B99" t="str">
            <v>CCM centers with Clinical Equipment upgraded</v>
          </cell>
        </row>
        <row r="100">
          <cell r="C100">
            <v>44238.291666666664</v>
          </cell>
          <cell r="D100">
            <v>44419.666666666664</v>
          </cell>
        </row>
        <row r="101">
          <cell r="D101">
            <v>44508.666666666664</v>
          </cell>
        </row>
        <row r="102">
          <cell r="A102" t="str">
            <v>3.5.3ﾠ</v>
          </cell>
          <cell r="B102" t="str">
            <v>CCM centers with Non-Clinical Equipment upgraded</v>
          </cell>
        </row>
        <row r="103">
          <cell r="C103">
            <v>44238.291666666664</v>
          </cell>
          <cell r="D103">
            <v>44424.666666666664</v>
          </cell>
        </row>
        <row r="104">
          <cell r="D104">
            <v>44466.666666666664</v>
          </cell>
        </row>
        <row r="105">
          <cell r="A105" t="str">
            <v>3.5.4ﾠ</v>
          </cell>
          <cell r="B105" t="str">
            <v>Centers with clinical staff at CCM trained on guidelines application</v>
          </cell>
        </row>
        <row r="106">
          <cell r="C106">
            <v>44285.291666666664</v>
          </cell>
        </row>
        <row r="107">
          <cell r="D107">
            <v>44634.666666666664</v>
          </cell>
        </row>
        <row r="108">
          <cell r="A108" t="str">
            <v>3.5.5ﾠ</v>
          </cell>
          <cell r="B108" t="str">
            <v>Centers with medical supplies for chronic care start up available</v>
          </cell>
        </row>
        <row r="109">
          <cell r="C109">
            <v>44243.291666666664</v>
          </cell>
          <cell r="D109">
            <v>44424.666666666664</v>
          </cell>
        </row>
        <row r="110">
          <cell r="D110">
            <v>44452.666666666664</v>
          </cell>
        </row>
        <row r="114">
          <cell r="A114" t="str">
            <v>4.1.1ﾠ</v>
          </cell>
          <cell r="B114" t="str">
            <v>BCC campaign designed</v>
          </cell>
        </row>
        <row r="115">
          <cell r="C115">
            <v>43566.291666666664</v>
          </cell>
          <cell r="D115">
            <v>43717.666666666664</v>
          </cell>
        </row>
        <row r="116">
          <cell r="D116">
            <v>43759.666666666664</v>
          </cell>
        </row>
        <row r="120">
          <cell r="A120" t="str">
            <v>4.1.2.1.2ﾠ</v>
          </cell>
          <cell r="C120">
            <v>43760.291666666664</v>
          </cell>
          <cell r="D120">
            <v>43875.666666666664</v>
          </cell>
        </row>
        <row r="121">
          <cell r="A121" t="str">
            <v>4.1.2.1.3ﾠ</v>
          </cell>
          <cell r="C121">
            <v>43760.291666666664</v>
          </cell>
          <cell r="D121">
            <v>43875.666666666664</v>
          </cell>
        </row>
        <row r="122">
          <cell r="D122">
            <v>44155.666666666664</v>
          </cell>
        </row>
        <row r="135">
          <cell r="A135" t="str">
            <v>4.1.3ﾠ</v>
          </cell>
          <cell r="B135" t="str">
            <v>MSD personnel trained for outreach activities</v>
          </cell>
        </row>
        <row r="136">
          <cell r="C136">
            <v>43718.291666666664</v>
          </cell>
        </row>
        <row r="140">
          <cell r="D140">
            <v>45071.666666666664</v>
          </cell>
        </row>
        <row r="141">
          <cell r="A141" t="str">
            <v>4.1.4ﾠ</v>
          </cell>
        </row>
        <row r="142">
          <cell r="C142">
            <v>44074.291666666664</v>
          </cell>
          <cell r="D142">
            <v>44223.666666666664</v>
          </cell>
        </row>
        <row r="143">
          <cell r="D143">
            <v>44288.666666666664</v>
          </cell>
        </row>
        <row r="146">
          <cell r="A146" t="str">
            <v>4.1.5ﾠ</v>
          </cell>
          <cell r="B146" t="str">
            <v>Longlasting mosquito bednets distributed (20.000 units)</v>
          </cell>
        </row>
        <row r="147">
          <cell r="C147">
            <v>44291.291666666664</v>
          </cell>
          <cell r="D147">
            <v>44473.666666666664</v>
          </cell>
        </row>
        <row r="148">
          <cell r="D148">
            <v>44529.666666666664</v>
          </cell>
        </row>
        <row r="150">
          <cell r="A150" t="str">
            <v>4.2.1ﾠ</v>
          </cell>
          <cell r="B150" t="str">
            <v>2 Annual training program for microscopists (basic laboratory level, national public and private labs, around 40 people)</v>
          </cell>
        </row>
        <row r="151">
          <cell r="C151">
            <v>43690.291666666664</v>
          </cell>
        </row>
        <row r="155">
          <cell r="D155">
            <v>44967.666666666664</v>
          </cell>
        </row>
        <row r="156">
          <cell r="A156" t="str">
            <v>4.2.2ﾠ</v>
          </cell>
          <cell r="B156" t="str">
            <v>1 Bi-annual Expert training of microscopists (reference level for quality control, 5-10 persons)</v>
          </cell>
        </row>
        <row r="157">
          <cell r="C157">
            <v>43878.291666666664</v>
          </cell>
        </row>
        <row r="159">
          <cell r="D159">
            <v>44781.666666666664</v>
          </cell>
        </row>
        <row r="160">
          <cell r="A160" t="str">
            <v>4.2.3ﾠ</v>
          </cell>
          <cell r="B160" t="str">
            <v>Annual Training for MSDs and lab staff in QA and QC</v>
          </cell>
          <cell r="C160">
            <v>43726.291666666664</v>
          </cell>
        </row>
        <row r="164">
          <cell r="D164">
            <v>44824.666666666664</v>
          </cell>
        </row>
        <row r="165">
          <cell r="A165" t="str">
            <v>4.3ﾠ</v>
          </cell>
          <cell r="B165" t="str">
            <v>TropicClinic equipped with software and hardware for data analysis and processing</v>
          </cell>
        </row>
        <row r="166">
          <cell r="C166">
            <v>43868.291666666664</v>
          </cell>
          <cell r="D166">
            <v>44036.666666666664</v>
          </cell>
        </row>
        <row r="167">
          <cell r="D167">
            <v>44092.666666666664</v>
          </cell>
        </row>
        <row r="168">
          <cell r="A168" t="str">
            <v>4.4ﾠ</v>
          </cell>
          <cell r="B168" t="str">
            <v>8 parasitological microscopes available</v>
          </cell>
        </row>
        <row r="169">
          <cell r="C169">
            <v>43684.291666666664</v>
          </cell>
          <cell r="D169">
            <v>43801.666666666664</v>
          </cell>
        </row>
        <row r="170">
          <cell r="D170">
            <v>43857.666666666664</v>
          </cell>
        </row>
        <row r="171">
          <cell r="A171" t="str">
            <v>4.5ﾠ</v>
          </cell>
          <cell r="B171" t="str">
            <v>Quality Assurance and Quality Control Guide developed</v>
          </cell>
        </row>
        <row r="172">
          <cell r="C172">
            <v>43566.291666666664</v>
          </cell>
          <cell r="D172">
            <v>43683.666666666664</v>
          </cell>
        </row>
        <row r="173">
          <cell r="D173">
            <v>43725.666666666664</v>
          </cell>
        </row>
        <row r="174">
          <cell r="A174" t="str">
            <v>4.6ﾠ</v>
          </cell>
          <cell r="B174" t="str">
            <v>Basic Language Training (Portuguese) provided to Medical Mission clinics personnel located near mining areas</v>
          </cell>
        </row>
        <row r="175">
          <cell r="C175">
            <v>43868.291666666664</v>
          </cell>
        </row>
        <row r="179">
          <cell r="D179">
            <v>45268.666666666664</v>
          </cell>
        </row>
        <row r="180">
          <cell r="A180" t="str">
            <v>4.7ﾠ</v>
          </cell>
          <cell r="B180" t="str">
            <v>National strategy for provision of health services for priority infectious diseases to (mobile) migrant populations designed</v>
          </cell>
        </row>
        <row r="181">
          <cell r="C181">
            <v>43566.291666666664</v>
          </cell>
          <cell r="D181">
            <v>43717.666666666664</v>
          </cell>
        </row>
        <row r="182">
          <cell r="D182">
            <v>43759.666666666664</v>
          </cell>
        </row>
        <row r="183">
          <cell r="A183" t="str">
            <v>4.8ﾠ</v>
          </cell>
          <cell r="B183" t="str">
            <v>Baseline prevalence study in migrant populations(HIV/Leishmaniasis, TB/Leprosy) elaborated</v>
          </cell>
        </row>
        <row r="184">
          <cell r="C184">
            <v>43718.291666666664</v>
          </cell>
          <cell r="D184">
            <v>43867.666666666664</v>
          </cell>
        </row>
        <row r="185">
          <cell r="D185">
            <v>43993.666666666664</v>
          </cell>
        </row>
        <row r="186">
          <cell r="A186" t="str">
            <v>4.9ﾠ</v>
          </cell>
          <cell r="B186" t="str">
            <v xml:space="preserve">Migrant study on population size, migration, turnover and health priorities elaborated </v>
          </cell>
        </row>
        <row r="187">
          <cell r="C187">
            <v>43868.291666666664</v>
          </cell>
          <cell r="D187">
            <v>44019.666666666664</v>
          </cell>
        </row>
        <row r="188">
          <cell r="D188">
            <v>44145.666666666664</v>
          </cell>
        </row>
        <row r="189">
          <cell r="A189" t="str">
            <v>4.10ﾠ</v>
          </cell>
          <cell r="B189" t="str">
            <v>HIV staff in TropClinic and national counterparts trained annually</v>
          </cell>
        </row>
        <row r="191">
          <cell r="C191">
            <v>43566.291666666664</v>
          </cell>
        </row>
        <row r="197">
          <cell r="D197">
            <v>44847.666666666664</v>
          </cell>
        </row>
        <row r="198">
          <cell r="A198" t="str">
            <v>4.11ﾠ</v>
          </cell>
          <cell r="B198" t="str">
            <v>Laboratory and field equipment for HIV screening  in gold mining areas provided (number of visits per year)</v>
          </cell>
        </row>
        <row r="202">
          <cell r="A202" t="str">
            <v>4.12ﾠ</v>
          </cell>
          <cell r="B202" t="str">
            <v>National Reference Laboratory equipped (Bureau of Public Health)</v>
          </cell>
        </row>
        <row r="203">
          <cell r="C203">
            <v>43566.291666666664</v>
          </cell>
          <cell r="D203">
            <v>43734.666666666664</v>
          </cell>
        </row>
        <row r="204">
          <cell r="D204">
            <v>43790.666666666664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S"/>
      <sheetName val="Outputs Time-line"/>
      <sheetName val="PEP"/>
      <sheetName val="Procurement Plan"/>
      <sheetName val="Financial Plan"/>
      <sheetName val="POA 2019"/>
    </sheetNames>
    <sheetDataSet>
      <sheetData sheetId="0"/>
      <sheetData sheetId="1"/>
      <sheetData sheetId="2">
        <row r="54">
          <cell r="D54">
            <v>43768.666666666664</v>
          </cell>
        </row>
        <row r="55">
          <cell r="D55">
            <v>44622.666666666664</v>
          </cell>
        </row>
        <row r="70">
          <cell r="A70" t="str">
            <v>2.3.2ﾠ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4D9C5-9592-4EBF-AD4D-75C5839CB49C}">
  <dimension ref="A1:AD1"/>
  <sheetViews>
    <sheetView workbookViewId="0">
      <selection activeCell="A3" sqref="A3"/>
    </sheetView>
  </sheetViews>
  <sheetFormatPr defaultColWidth="11.5703125" defaultRowHeight="15" x14ac:dyDescent="0.25"/>
  <sheetData>
    <row r="1" spans="1:30" ht="29.25" thickBot="1" x14ac:dyDescent="0.5">
      <c r="A1" s="27" t="s">
        <v>465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15B5F-DD4F-4F60-B239-6CD57DD463B6}">
  <dimension ref="A1:AD1"/>
  <sheetViews>
    <sheetView workbookViewId="0"/>
  </sheetViews>
  <sheetFormatPr defaultColWidth="11.5703125" defaultRowHeight="15" x14ac:dyDescent="0.25"/>
  <sheetData>
    <row r="1" spans="1:30" ht="29.25" thickBot="1" x14ac:dyDescent="0.5">
      <c r="A1" s="27" t="s">
        <v>588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50"/>
  <sheetViews>
    <sheetView topLeftCell="A226" workbookViewId="0">
      <selection activeCell="H241" sqref="H241"/>
    </sheetView>
  </sheetViews>
  <sheetFormatPr defaultColWidth="11.5703125" defaultRowHeight="15" customHeight="1" x14ac:dyDescent="0.25"/>
  <cols>
    <col min="1" max="1" width="16.85546875" customWidth="1"/>
    <col min="2" max="2" width="43.28515625" customWidth="1"/>
    <col min="3" max="4" width="16.85546875" customWidth="1"/>
    <col min="6" max="6" width="24.85546875" customWidth="1"/>
    <col min="7" max="7" width="16.85546875" bestFit="1" customWidth="1"/>
    <col min="9" max="9" width="36.42578125" customWidth="1"/>
  </cols>
  <sheetData>
    <row r="1" spans="1:27" s="1" customFormat="1" ht="30" customHeight="1" thickBot="1" x14ac:dyDescent="0.5">
      <c r="A1" s="27" t="s">
        <v>588</v>
      </c>
      <c r="B1" s="2"/>
      <c r="C1" s="2"/>
      <c r="D1" s="2"/>
      <c r="E1" s="2"/>
      <c r="F1" s="27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8" customHeight="1" x14ac:dyDescent="0.25"/>
    <row r="3" spans="1:27" s="3" customFormat="1" ht="15.75" customHeight="1" thickBot="1" x14ac:dyDescent="0.3">
      <c r="A3" s="4" t="s">
        <v>0</v>
      </c>
      <c r="B3" s="5" t="s">
        <v>0</v>
      </c>
      <c r="C3" s="4" t="s">
        <v>1</v>
      </c>
      <c r="D3" s="4" t="s">
        <v>2</v>
      </c>
      <c r="E3" s="4" t="s">
        <v>3</v>
      </c>
      <c r="F3" s="28" t="s">
        <v>480</v>
      </c>
    </row>
    <row r="4" spans="1:27" s="6" customFormat="1" ht="15" customHeight="1" thickBot="1" x14ac:dyDescent="0.3">
      <c r="A4" s="7" t="s">
        <v>4</v>
      </c>
      <c r="B4" s="7" t="s">
        <v>5</v>
      </c>
      <c r="C4" s="8">
        <v>43241.291666666664</v>
      </c>
      <c r="D4" s="8">
        <v>45656.666666666664</v>
      </c>
      <c r="E4" s="9" t="s">
        <v>6</v>
      </c>
      <c r="F4" s="29">
        <f>SUM(F44+F92+F136+F231+F250)</f>
        <v>20000000</v>
      </c>
    </row>
    <row r="5" spans="1:27" ht="15" customHeight="1" x14ac:dyDescent="0.25">
      <c r="A5" s="10" t="s">
        <v>7</v>
      </c>
      <c r="B5" s="11" t="s">
        <v>8</v>
      </c>
      <c r="C5" s="12">
        <v>43241.291666666664</v>
      </c>
      <c r="D5" s="12">
        <v>43565.666666666664</v>
      </c>
      <c r="E5" s="13" t="s">
        <v>9</v>
      </c>
      <c r="F5" s="30">
        <f>F8+F13+F19+F25+F31+F33+F41</f>
        <v>228500</v>
      </c>
    </row>
    <row r="6" spans="1:27" ht="15" customHeight="1" x14ac:dyDescent="0.25">
      <c r="A6" s="76" t="s">
        <v>10</v>
      </c>
      <c r="B6" s="77" t="s">
        <v>11</v>
      </c>
      <c r="C6" s="78">
        <v>43241.291666666664</v>
      </c>
      <c r="D6" s="78">
        <v>43259.666666666664</v>
      </c>
      <c r="E6" s="79" t="s">
        <v>12</v>
      </c>
      <c r="F6" s="31" t="s">
        <v>0</v>
      </c>
    </row>
    <row r="7" spans="1:27" ht="15" customHeight="1" x14ac:dyDescent="0.25">
      <c r="A7" s="76" t="s">
        <v>13</v>
      </c>
      <c r="B7" s="77" t="s">
        <v>14</v>
      </c>
      <c r="C7" s="78">
        <v>43262.291666666664</v>
      </c>
      <c r="D7" s="78">
        <v>43551.666666666664</v>
      </c>
      <c r="E7" s="79" t="s">
        <v>15</v>
      </c>
      <c r="F7" s="32" t="s">
        <v>0</v>
      </c>
    </row>
    <row r="8" spans="1:27" ht="15" customHeight="1" x14ac:dyDescent="0.25">
      <c r="A8" s="80" t="s">
        <v>16</v>
      </c>
      <c r="B8" s="81" t="s">
        <v>17</v>
      </c>
      <c r="C8" s="82">
        <v>43262.291666666664</v>
      </c>
      <c r="D8" s="82">
        <v>43495.666666666664</v>
      </c>
      <c r="E8" s="83" t="s">
        <v>18</v>
      </c>
      <c r="F8" s="33">
        <f>6000*6</f>
        <v>36000</v>
      </c>
    </row>
    <row r="9" spans="1:27" ht="15" customHeight="1" x14ac:dyDescent="0.25">
      <c r="A9" s="84" t="s">
        <v>19</v>
      </c>
      <c r="B9" s="85" t="s">
        <v>20</v>
      </c>
      <c r="C9" s="86">
        <v>43262.291666666664</v>
      </c>
      <c r="D9" s="86">
        <v>43411.666666666664</v>
      </c>
      <c r="E9" s="87" t="s">
        <v>21</v>
      </c>
      <c r="F9" s="34" t="s">
        <v>0</v>
      </c>
    </row>
    <row r="10" spans="1:27" ht="15" customHeight="1" x14ac:dyDescent="0.25">
      <c r="A10" s="84" t="s">
        <v>22</v>
      </c>
      <c r="B10" s="85" t="s">
        <v>23</v>
      </c>
      <c r="C10" s="86">
        <v>43412.291666666664</v>
      </c>
      <c r="D10" s="86">
        <v>43495.666666666664</v>
      </c>
      <c r="E10" s="87" t="s">
        <v>24</v>
      </c>
      <c r="F10" s="35" t="s">
        <v>0</v>
      </c>
    </row>
    <row r="11" spans="1:27" ht="15" customHeight="1" x14ac:dyDescent="0.25">
      <c r="A11" s="84" t="s">
        <v>25</v>
      </c>
      <c r="B11" s="85" t="s">
        <v>26</v>
      </c>
      <c r="C11" s="86">
        <v>43412.291666666664</v>
      </c>
      <c r="D11" s="86">
        <v>43439.666666666664</v>
      </c>
      <c r="E11" s="87" t="s">
        <v>27</v>
      </c>
      <c r="F11" s="35" t="s">
        <v>0</v>
      </c>
    </row>
    <row r="12" spans="1:27" ht="15" customHeight="1" x14ac:dyDescent="0.25">
      <c r="A12" s="84" t="s">
        <v>28</v>
      </c>
      <c r="B12" s="85" t="s">
        <v>29</v>
      </c>
      <c r="C12" s="86">
        <v>43440.291666666664</v>
      </c>
      <c r="D12" s="86">
        <v>43495.666666666664</v>
      </c>
      <c r="E12" s="87" t="s">
        <v>30</v>
      </c>
      <c r="F12" s="36" t="s">
        <v>0</v>
      </c>
    </row>
    <row r="13" spans="1:27" ht="15" customHeight="1" x14ac:dyDescent="0.25">
      <c r="A13" s="80" t="s">
        <v>31</v>
      </c>
      <c r="B13" s="81" t="s">
        <v>32</v>
      </c>
      <c r="C13" s="82">
        <v>43262.291666666664</v>
      </c>
      <c r="D13" s="82">
        <v>43523.666666666664</v>
      </c>
      <c r="E13" s="83" t="s">
        <v>33</v>
      </c>
      <c r="F13" s="37">
        <f>6000*6</f>
        <v>36000</v>
      </c>
    </row>
    <row r="14" spans="1:27" ht="15" customHeight="1" x14ac:dyDescent="0.25">
      <c r="A14" s="84" t="s">
        <v>34</v>
      </c>
      <c r="B14" s="85" t="s">
        <v>35</v>
      </c>
      <c r="C14" s="86">
        <v>43262.291666666664</v>
      </c>
      <c r="D14" s="86">
        <v>43411.666666666664</v>
      </c>
      <c r="E14" s="87" t="s">
        <v>21</v>
      </c>
      <c r="F14" s="34" t="s">
        <v>0</v>
      </c>
    </row>
    <row r="15" spans="1:27" ht="15" customHeight="1" x14ac:dyDescent="0.25">
      <c r="A15" s="84" t="s">
        <v>36</v>
      </c>
      <c r="B15" s="85" t="s">
        <v>23</v>
      </c>
      <c r="C15" s="86">
        <v>43412.291666666664</v>
      </c>
      <c r="D15" s="86">
        <v>43523.666666666664</v>
      </c>
      <c r="E15" s="87" t="s">
        <v>37</v>
      </c>
      <c r="F15" s="35" t="s">
        <v>0</v>
      </c>
    </row>
    <row r="16" spans="1:27" ht="15" customHeight="1" x14ac:dyDescent="0.25">
      <c r="A16" s="84" t="s">
        <v>38</v>
      </c>
      <c r="B16" s="85" t="s">
        <v>39</v>
      </c>
      <c r="C16" s="86">
        <v>43496.291666666664</v>
      </c>
      <c r="D16" s="86">
        <v>43523.666666666664</v>
      </c>
      <c r="E16" s="87" t="s">
        <v>27</v>
      </c>
      <c r="F16" s="35" t="s">
        <v>0</v>
      </c>
    </row>
    <row r="17" spans="1:6" ht="15" customHeight="1" x14ac:dyDescent="0.25">
      <c r="A17" s="84" t="s">
        <v>40</v>
      </c>
      <c r="B17" s="85" t="s">
        <v>41</v>
      </c>
      <c r="C17" s="86">
        <v>43412.291666666664</v>
      </c>
      <c r="D17" s="86">
        <v>43467.666666666664</v>
      </c>
      <c r="E17" s="87" t="s">
        <v>30</v>
      </c>
      <c r="F17" s="35" t="s">
        <v>0</v>
      </c>
    </row>
    <row r="18" spans="1:6" ht="15" customHeight="1" x14ac:dyDescent="0.25">
      <c r="A18" s="84" t="s">
        <v>42</v>
      </c>
      <c r="B18" s="85" t="s">
        <v>43</v>
      </c>
      <c r="C18" s="86">
        <v>43412.291666666664</v>
      </c>
      <c r="D18" s="86">
        <v>43495.666666666664</v>
      </c>
      <c r="E18" s="87" t="s">
        <v>24</v>
      </c>
      <c r="F18" s="36" t="s">
        <v>0</v>
      </c>
    </row>
    <row r="19" spans="1:6" ht="15" customHeight="1" x14ac:dyDescent="0.25">
      <c r="A19" s="80" t="s">
        <v>44</v>
      </c>
      <c r="B19" s="81" t="s">
        <v>45</v>
      </c>
      <c r="C19" s="82">
        <v>43262.291666666664</v>
      </c>
      <c r="D19" s="82">
        <v>43551.666666666664</v>
      </c>
      <c r="E19" s="83" t="s">
        <v>15</v>
      </c>
      <c r="F19" s="37">
        <f>10000*6</f>
        <v>60000</v>
      </c>
    </row>
    <row r="20" spans="1:6" ht="15" customHeight="1" x14ac:dyDescent="0.25">
      <c r="A20" s="84" t="s">
        <v>46</v>
      </c>
      <c r="B20" s="85" t="s">
        <v>20</v>
      </c>
      <c r="C20" s="86">
        <v>43262.291666666664</v>
      </c>
      <c r="D20" s="86">
        <v>43411.666666666664</v>
      </c>
      <c r="E20" s="87" t="s">
        <v>21</v>
      </c>
      <c r="F20" s="34" t="s">
        <v>0</v>
      </c>
    </row>
    <row r="21" spans="1:6" ht="15" customHeight="1" x14ac:dyDescent="0.25">
      <c r="A21" s="84" t="s">
        <v>47</v>
      </c>
      <c r="B21" s="85" t="s">
        <v>48</v>
      </c>
      <c r="C21" s="86">
        <v>43412.291666666664</v>
      </c>
      <c r="D21" s="86">
        <v>43551.666666666664</v>
      </c>
      <c r="E21" s="87" t="s">
        <v>49</v>
      </c>
      <c r="F21" s="35" t="s">
        <v>0</v>
      </c>
    </row>
    <row r="22" spans="1:6" ht="15" customHeight="1" x14ac:dyDescent="0.25">
      <c r="A22" s="84" t="s">
        <v>50</v>
      </c>
      <c r="B22" s="85" t="s">
        <v>51</v>
      </c>
      <c r="C22" s="86">
        <v>43412.291666666664</v>
      </c>
      <c r="D22" s="86">
        <v>43439.666666666664</v>
      </c>
      <c r="E22" s="87" t="s">
        <v>27</v>
      </c>
      <c r="F22" s="35" t="s">
        <v>0</v>
      </c>
    </row>
    <row r="23" spans="1:6" ht="15" customHeight="1" x14ac:dyDescent="0.25">
      <c r="A23" s="84" t="s">
        <v>52</v>
      </c>
      <c r="B23" s="85" t="s">
        <v>53</v>
      </c>
      <c r="C23" s="86">
        <v>43440.291666666664</v>
      </c>
      <c r="D23" s="86">
        <v>43523.666666666664</v>
      </c>
      <c r="E23" s="87" t="s">
        <v>24</v>
      </c>
      <c r="F23" s="35" t="s">
        <v>0</v>
      </c>
    </row>
    <row r="24" spans="1:6" ht="15" customHeight="1" x14ac:dyDescent="0.25">
      <c r="A24" s="84" t="s">
        <v>54</v>
      </c>
      <c r="B24" s="85" t="s">
        <v>55</v>
      </c>
      <c r="C24" s="86">
        <v>43524.291666666664</v>
      </c>
      <c r="D24" s="86">
        <v>43551.666666666664</v>
      </c>
      <c r="E24" s="87" t="s">
        <v>27</v>
      </c>
      <c r="F24" s="36" t="s">
        <v>0</v>
      </c>
    </row>
    <row r="25" spans="1:6" ht="15" customHeight="1" x14ac:dyDescent="0.25">
      <c r="A25" s="80" t="s">
        <v>56</v>
      </c>
      <c r="B25" s="81" t="s">
        <v>57</v>
      </c>
      <c r="C25" s="82">
        <v>43262.291666666664</v>
      </c>
      <c r="D25" s="82">
        <v>43551.666666666664</v>
      </c>
      <c r="E25" s="83" t="s">
        <v>15</v>
      </c>
      <c r="F25" s="37">
        <f>8000*9</f>
        <v>72000</v>
      </c>
    </row>
    <row r="26" spans="1:6" ht="15" customHeight="1" x14ac:dyDescent="0.25">
      <c r="A26" s="84" t="s">
        <v>58</v>
      </c>
      <c r="B26" s="85" t="s">
        <v>59</v>
      </c>
      <c r="C26" s="86">
        <v>43262.291666666664</v>
      </c>
      <c r="D26" s="86">
        <v>43411.666666666664</v>
      </c>
      <c r="E26" s="87" t="s">
        <v>21</v>
      </c>
      <c r="F26" s="34" t="s">
        <v>0</v>
      </c>
    </row>
    <row r="27" spans="1:6" ht="15" customHeight="1" x14ac:dyDescent="0.25">
      <c r="A27" s="84" t="s">
        <v>60</v>
      </c>
      <c r="B27" s="85" t="s">
        <v>23</v>
      </c>
      <c r="C27" s="86">
        <v>43440.291666666664</v>
      </c>
      <c r="D27" s="86">
        <v>43551.666666666664</v>
      </c>
      <c r="E27" s="87" t="s">
        <v>37</v>
      </c>
      <c r="F27" s="35" t="s">
        <v>0</v>
      </c>
    </row>
    <row r="28" spans="1:6" ht="15" customHeight="1" x14ac:dyDescent="0.25">
      <c r="A28" s="84" t="s">
        <v>61</v>
      </c>
      <c r="B28" s="85" t="s">
        <v>62</v>
      </c>
      <c r="C28" s="86">
        <v>43440.291666666664</v>
      </c>
      <c r="D28" s="86">
        <v>43467.666666666664</v>
      </c>
      <c r="E28" s="87" t="s">
        <v>27</v>
      </c>
      <c r="F28" s="35" t="s">
        <v>0</v>
      </c>
    </row>
    <row r="29" spans="1:6" ht="15" customHeight="1" x14ac:dyDescent="0.25">
      <c r="A29" s="84" t="s">
        <v>63</v>
      </c>
      <c r="B29" s="85" t="s">
        <v>64</v>
      </c>
      <c r="C29" s="86">
        <v>43496.291666666664</v>
      </c>
      <c r="D29" s="86">
        <v>43523.666666666664</v>
      </c>
      <c r="E29" s="87" t="s">
        <v>27</v>
      </c>
      <c r="F29" s="35" t="s">
        <v>0</v>
      </c>
    </row>
    <row r="30" spans="1:6" ht="15" customHeight="1" x14ac:dyDescent="0.25">
      <c r="A30" s="84" t="s">
        <v>65</v>
      </c>
      <c r="B30" s="85" t="s">
        <v>66</v>
      </c>
      <c r="C30" s="86">
        <v>43496.291666666664</v>
      </c>
      <c r="D30" s="86">
        <v>43551.666666666664</v>
      </c>
      <c r="E30" s="87" t="s">
        <v>30</v>
      </c>
      <c r="F30" s="36" t="s">
        <v>0</v>
      </c>
    </row>
    <row r="31" spans="1:6" ht="15" customHeight="1" x14ac:dyDescent="0.25">
      <c r="A31" s="80" t="s">
        <v>67</v>
      </c>
      <c r="B31" s="81" t="s">
        <v>68</v>
      </c>
      <c r="C31" s="82">
        <v>43262.291666666664</v>
      </c>
      <c r="D31" s="82">
        <v>43467.666666666664</v>
      </c>
      <c r="E31" s="83" t="s">
        <v>69</v>
      </c>
      <c r="F31" s="37">
        <f>3000*2</f>
        <v>6000</v>
      </c>
    </row>
    <row r="32" spans="1:6" ht="15" customHeight="1" x14ac:dyDescent="0.25">
      <c r="A32" s="84" t="s">
        <v>70</v>
      </c>
      <c r="B32" s="85" t="s">
        <v>20</v>
      </c>
      <c r="C32" s="86">
        <v>43262.291666666664</v>
      </c>
      <c r="D32" s="86">
        <v>43411.666666666664</v>
      </c>
      <c r="E32" s="87" t="s">
        <v>21</v>
      </c>
      <c r="F32" s="34" t="s">
        <v>0</v>
      </c>
    </row>
    <row r="33" spans="1:6" ht="15" customHeight="1" x14ac:dyDescent="0.25">
      <c r="A33" s="84" t="s">
        <v>71</v>
      </c>
      <c r="B33" s="85" t="s">
        <v>72</v>
      </c>
      <c r="C33" s="86">
        <v>43412.291666666664</v>
      </c>
      <c r="D33" s="86">
        <v>43467.666666666664</v>
      </c>
      <c r="E33" s="87" t="s">
        <v>30</v>
      </c>
      <c r="F33" s="35">
        <v>5000</v>
      </c>
    </row>
    <row r="34" spans="1:6" ht="15" customHeight="1" x14ac:dyDescent="0.25">
      <c r="A34" s="76" t="s">
        <v>73</v>
      </c>
      <c r="B34" s="77" t="s">
        <v>74</v>
      </c>
      <c r="C34" s="78">
        <v>43340.958333333336</v>
      </c>
      <c r="D34" s="78">
        <v>43340.958333333336</v>
      </c>
      <c r="E34" s="79" t="s">
        <v>75</v>
      </c>
      <c r="F34" s="31" t="s">
        <v>0</v>
      </c>
    </row>
    <row r="35" spans="1:6" ht="15" customHeight="1" x14ac:dyDescent="0.25">
      <c r="A35" s="76" t="s">
        <v>76</v>
      </c>
      <c r="B35" s="77" t="s">
        <v>77</v>
      </c>
      <c r="C35" s="78">
        <v>43340.958333333336</v>
      </c>
      <c r="D35" s="78">
        <v>43396.666666666664</v>
      </c>
      <c r="E35" s="79" t="s">
        <v>30</v>
      </c>
      <c r="F35" s="31" t="s">
        <v>0</v>
      </c>
    </row>
    <row r="36" spans="1:6" ht="15" customHeight="1" x14ac:dyDescent="0.25">
      <c r="A36" s="76" t="s">
        <v>78</v>
      </c>
      <c r="B36" s="77" t="s">
        <v>79</v>
      </c>
      <c r="C36" s="78">
        <v>43440.291666666664</v>
      </c>
      <c r="D36" s="78">
        <v>43565.666666666664</v>
      </c>
      <c r="E36" s="79" t="s">
        <v>80</v>
      </c>
      <c r="F36" s="31" t="s">
        <v>0</v>
      </c>
    </row>
    <row r="37" spans="1:6" ht="15" customHeight="1" x14ac:dyDescent="0.25">
      <c r="A37" s="80" t="s">
        <v>81</v>
      </c>
      <c r="B37" s="81" t="s">
        <v>82</v>
      </c>
      <c r="C37" s="82">
        <v>43440.291666666664</v>
      </c>
      <c r="D37" s="82">
        <v>43565.666666666664</v>
      </c>
      <c r="E37" s="83" t="s">
        <v>80</v>
      </c>
      <c r="F37" s="34" t="s">
        <v>0</v>
      </c>
    </row>
    <row r="38" spans="1:6" ht="15" customHeight="1" x14ac:dyDescent="0.25">
      <c r="A38" s="80" t="s">
        <v>83</v>
      </c>
      <c r="B38" s="81" t="s">
        <v>84</v>
      </c>
      <c r="C38" s="82">
        <v>43565.666666666664</v>
      </c>
      <c r="D38" s="82">
        <v>43565.666666666664</v>
      </c>
      <c r="E38" s="83" t="s">
        <v>75</v>
      </c>
      <c r="F38" s="34" t="s">
        <v>0</v>
      </c>
    </row>
    <row r="39" spans="1:6" ht="15" customHeight="1" x14ac:dyDescent="0.25">
      <c r="A39" s="80" t="s">
        <v>85</v>
      </c>
      <c r="B39" s="81" t="s">
        <v>86</v>
      </c>
      <c r="C39" s="82">
        <v>43565.666666666664</v>
      </c>
      <c r="D39" s="82">
        <v>43565.666666666664</v>
      </c>
      <c r="E39" s="83" t="s">
        <v>75</v>
      </c>
      <c r="F39" s="34" t="s">
        <v>0</v>
      </c>
    </row>
    <row r="40" spans="1:6" ht="15" customHeight="1" x14ac:dyDescent="0.25">
      <c r="A40" s="80" t="s">
        <v>87</v>
      </c>
      <c r="B40" s="81" t="s">
        <v>88</v>
      </c>
      <c r="C40" s="82">
        <v>43565.666666666664</v>
      </c>
      <c r="D40" s="82">
        <v>43565.666666666664</v>
      </c>
      <c r="E40" s="83" t="s">
        <v>75</v>
      </c>
      <c r="F40" s="34" t="s">
        <v>0</v>
      </c>
    </row>
    <row r="41" spans="1:6" ht="15" customHeight="1" x14ac:dyDescent="0.25">
      <c r="A41" s="80" t="s">
        <v>89</v>
      </c>
      <c r="B41" s="81" t="s">
        <v>90</v>
      </c>
      <c r="C41" s="82">
        <v>43565.666666666664</v>
      </c>
      <c r="D41" s="82">
        <v>43565.666666666664</v>
      </c>
      <c r="E41" s="83" t="s">
        <v>75</v>
      </c>
      <c r="F41" s="34">
        <f>1500*9</f>
        <v>13500</v>
      </c>
    </row>
    <row r="42" spans="1:6" ht="15" customHeight="1" x14ac:dyDescent="0.25">
      <c r="A42" s="76" t="s">
        <v>91</v>
      </c>
      <c r="B42" s="77" t="s">
        <v>92</v>
      </c>
      <c r="C42" s="78">
        <v>43397.291666666664</v>
      </c>
      <c r="D42" s="78">
        <v>43410.666666666664</v>
      </c>
      <c r="E42" s="79" t="s">
        <v>93</v>
      </c>
      <c r="F42" s="31" t="s">
        <v>0</v>
      </c>
    </row>
    <row r="43" spans="1:6" ht="15" customHeight="1" thickBot="1" x14ac:dyDescent="0.3">
      <c r="A43" s="76" t="s">
        <v>94</v>
      </c>
      <c r="B43" s="77" t="s">
        <v>95</v>
      </c>
      <c r="C43" s="78">
        <v>43565.666666666664</v>
      </c>
      <c r="D43" s="78">
        <v>43565.666666666664</v>
      </c>
      <c r="E43" s="79" t="s">
        <v>75</v>
      </c>
      <c r="F43" s="31" t="s">
        <v>0</v>
      </c>
    </row>
    <row r="44" spans="1:6" ht="15" customHeight="1" x14ac:dyDescent="0.25">
      <c r="A44" s="10" t="s">
        <v>96</v>
      </c>
      <c r="B44" s="11" t="s">
        <v>97</v>
      </c>
      <c r="C44" s="12">
        <v>43566.291666666664</v>
      </c>
      <c r="D44" s="12">
        <v>45511.666666666664</v>
      </c>
      <c r="E44" s="13" t="s">
        <v>98</v>
      </c>
      <c r="F44" s="38">
        <f>F45+F70+F83+F66</f>
        <v>12372000</v>
      </c>
    </row>
    <row r="45" spans="1:6" ht="15" customHeight="1" x14ac:dyDescent="0.25">
      <c r="A45" s="14" t="s">
        <v>99</v>
      </c>
      <c r="B45" s="15" t="s">
        <v>583</v>
      </c>
      <c r="C45" s="16">
        <v>43566.291666666664</v>
      </c>
      <c r="D45" s="16">
        <v>45511.666666666664</v>
      </c>
      <c r="E45" s="17" t="s">
        <v>98</v>
      </c>
      <c r="F45" s="39">
        <f>F46+F56</f>
        <v>4000000</v>
      </c>
    </row>
    <row r="46" spans="1:6" ht="15" customHeight="1" x14ac:dyDescent="0.25">
      <c r="A46" s="90" t="s">
        <v>101</v>
      </c>
      <c r="B46" s="91" t="s">
        <v>102</v>
      </c>
      <c r="C46" s="92">
        <v>43566.291666666664</v>
      </c>
      <c r="D46" s="92">
        <v>44622.666666666664</v>
      </c>
      <c r="E46" s="93" t="s">
        <v>103</v>
      </c>
      <c r="F46" s="40">
        <f>F48+F55+F49+F52</f>
        <v>2000000</v>
      </c>
    </row>
    <row r="47" spans="1:6" ht="15" customHeight="1" x14ac:dyDescent="0.25">
      <c r="A47" s="88" t="s">
        <v>104</v>
      </c>
      <c r="B47" s="89" t="s">
        <v>105</v>
      </c>
      <c r="C47" s="20">
        <v>43566.291666666664</v>
      </c>
      <c r="D47" s="20">
        <v>43866.666666666664</v>
      </c>
      <c r="E47" s="21" t="s">
        <v>106</v>
      </c>
      <c r="F47" s="41">
        <f>SUM(F48:F49)</f>
        <v>1000000</v>
      </c>
    </row>
    <row r="48" spans="1:6" ht="15" customHeight="1" x14ac:dyDescent="0.25">
      <c r="A48" s="22" t="s">
        <v>107</v>
      </c>
      <c r="B48" s="23" t="s">
        <v>108</v>
      </c>
      <c r="C48" s="24">
        <v>43867.291666666664</v>
      </c>
      <c r="D48" s="24">
        <v>44118.666666666664</v>
      </c>
      <c r="E48" s="25" t="s">
        <v>109</v>
      </c>
      <c r="F48" s="42">
        <v>250000</v>
      </c>
    </row>
    <row r="49" spans="1:6" ht="15" customHeight="1" x14ac:dyDescent="0.25">
      <c r="A49" s="22" t="s">
        <v>110</v>
      </c>
      <c r="B49" s="23" t="s">
        <v>111</v>
      </c>
      <c r="C49" s="24">
        <v>44119.291666666664</v>
      </c>
      <c r="D49" s="24">
        <v>44454.666666666664</v>
      </c>
      <c r="E49" s="25" t="s">
        <v>112</v>
      </c>
      <c r="F49" s="42">
        <v>750000</v>
      </c>
    </row>
    <row r="50" spans="1:6" ht="15" customHeight="1" x14ac:dyDescent="0.25">
      <c r="A50" s="22" t="s">
        <v>113</v>
      </c>
      <c r="B50" s="23" t="s">
        <v>114</v>
      </c>
      <c r="C50" s="24">
        <v>43951.291666666664</v>
      </c>
      <c r="D50" s="24">
        <v>44189.666666666664</v>
      </c>
      <c r="E50" s="25" t="s">
        <v>115</v>
      </c>
      <c r="F50" s="42" t="s">
        <v>0</v>
      </c>
    </row>
    <row r="51" spans="1:6" ht="15" customHeight="1" x14ac:dyDescent="0.25">
      <c r="A51" s="22" t="s">
        <v>116</v>
      </c>
      <c r="B51" s="23" t="s">
        <v>117</v>
      </c>
      <c r="C51" s="24">
        <v>43951.291666666664</v>
      </c>
      <c r="D51" s="24">
        <v>44133.666666666664</v>
      </c>
      <c r="E51" s="25" t="s">
        <v>118</v>
      </c>
      <c r="F51" s="42" t="s">
        <v>0</v>
      </c>
    </row>
    <row r="52" spans="1:6" ht="15" customHeight="1" x14ac:dyDescent="0.25">
      <c r="A52" s="22" t="s">
        <v>119</v>
      </c>
      <c r="B52" s="23" t="s">
        <v>120</v>
      </c>
      <c r="C52" s="24">
        <v>44134.291666666664</v>
      </c>
      <c r="D52" s="24">
        <v>44189.666666666664</v>
      </c>
      <c r="E52" s="25" t="s">
        <v>30</v>
      </c>
      <c r="F52" s="42">
        <v>500000</v>
      </c>
    </row>
    <row r="53" spans="1:6" ht="15" customHeight="1" x14ac:dyDescent="0.25">
      <c r="A53" s="22" t="s">
        <v>121</v>
      </c>
      <c r="B53" s="23" t="s">
        <v>122</v>
      </c>
      <c r="C53" s="24">
        <v>43818.291666666664</v>
      </c>
      <c r="D53" s="24">
        <v>44622.666666666664</v>
      </c>
      <c r="E53" s="25" t="s">
        <v>123</v>
      </c>
      <c r="F53" s="42" t="s">
        <v>0</v>
      </c>
    </row>
    <row r="54" spans="1:6" ht="15" customHeight="1" x14ac:dyDescent="0.25">
      <c r="A54" s="94" t="s">
        <v>124</v>
      </c>
      <c r="B54" s="95" t="s">
        <v>125</v>
      </c>
      <c r="C54" s="96">
        <v>43818.291666666664</v>
      </c>
      <c r="D54" s="96">
        <v>44118.666666666664</v>
      </c>
      <c r="E54" s="97" t="s">
        <v>106</v>
      </c>
    </row>
    <row r="55" spans="1:6" ht="15" customHeight="1" x14ac:dyDescent="0.25">
      <c r="A55" s="107" t="s">
        <v>126</v>
      </c>
      <c r="B55" s="108" t="s">
        <v>23</v>
      </c>
      <c r="C55" s="109">
        <v>44119.291666666664</v>
      </c>
      <c r="D55" s="109">
        <v>44622.666666666664</v>
      </c>
      <c r="E55" s="110" t="s">
        <v>127</v>
      </c>
      <c r="F55" s="111">
        <v>500000</v>
      </c>
    </row>
    <row r="56" spans="1:6" ht="15" customHeight="1" x14ac:dyDescent="0.25">
      <c r="A56" s="102" t="s">
        <v>128</v>
      </c>
      <c r="B56" s="103" t="s">
        <v>129</v>
      </c>
      <c r="C56" s="104">
        <v>44455.291666666664</v>
      </c>
      <c r="D56" s="104">
        <v>45511.666666666664</v>
      </c>
      <c r="E56" s="105" t="s">
        <v>103</v>
      </c>
      <c r="F56" s="106">
        <v>2000000</v>
      </c>
    </row>
    <row r="57" spans="1:6" ht="15" customHeight="1" x14ac:dyDescent="0.25">
      <c r="A57" s="88" t="s">
        <v>130</v>
      </c>
      <c r="B57" s="89" t="s">
        <v>105</v>
      </c>
      <c r="C57" s="20">
        <v>44455.291666666664</v>
      </c>
      <c r="D57" s="20">
        <v>44755.666666666664</v>
      </c>
      <c r="E57" s="21" t="s">
        <v>106</v>
      </c>
    </row>
    <row r="58" spans="1:6" ht="15" customHeight="1" x14ac:dyDescent="0.25">
      <c r="A58" s="22" t="s">
        <v>131</v>
      </c>
      <c r="B58" s="23" t="s">
        <v>132</v>
      </c>
      <c r="C58" s="24">
        <v>44756.291666666664</v>
      </c>
      <c r="D58" s="24">
        <v>45007.666666666664</v>
      </c>
      <c r="E58" s="25" t="s">
        <v>109</v>
      </c>
    </row>
    <row r="59" spans="1:6" ht="15" customHeight="1" x14ac:dyDescent="0.25">
      <c r="A59" s="22" t="s">
        <v>133</v>
      </c>
      <c r="B59" s="23" t="s">
        <v>134</v>
      </c>
      <c r="C59" s="24">
        <v>45008.291666666664</v>
      </c>
      <c r="D59" s="24">
        <v>45343.666666666664</v>
      </c>
      <c r="E59" s="25" t="s">
        <v>112</v>
      </c>
    </row>
    <row r="60" spans="1:6" ht="15" customHeight="1" x14ac:dyDescent="0.25">
      <c r="A60" s="22" t="s">
        <v>135</v>
      </c>
      <c r="B60" s="23" t="s">
        <v>136</v>
      </c>
      <c r="C60" s="24">
        <v>44840.291666666664</v>
      </c>
      <c r="D60" s="24">
        <v>45078.666666666664</v>
      </c>
      <c r="E60" s="25" t="s">
        <v>115</v>
      </c>
    </row>
    <row r="61" spans="1:6" ht="15" customHeight="1" x14ac:dyDescent="0.25">
      <c r="A61" s="22" t="s">
        <v>137</v>
      </c>
      <c r="B61" s="23" t="s">
        <v>117</v>
      </c>
      <c r="C61" s="24">
        <v>44840.291666666664</v>
      </c>
      <c r="D61" s="24">
        <v>45022.666666666664</v>
      </c>
      <c r="E61" s="25" t="s">
        <v>118</v>
      </c>
    </row>
    <row r="62" spans="1:6" ht="15" customHeight="1" x14ac:dyDescent="0.25">
      <c r="A62" s="22" t="s">
        <v>138</v>
      </c>
      <c r="B62" s="23" t="s">
        <v>120</v>
      </c>
      <c r="C62" s="24">
        <v>45023.291666666664</v>
      </c>
      <c r="D62" s="24">
        <v>45078.666666666664</v>
      </c>
      <c r="E62" s="25" t="s">
        <v>30</v>
      </c>
    </row>
    <row r="63" spans="1:6" ht="15" customHeight="1" x14ac:dyDescent="0.25">
      <c r="A63" s="22" t="s">
        <v>139</v>
      </c>
      <c r="B63" s="23" t="s">
        <v>140</v>
      </c>
      <c r="C63" s="24">
        <v>44707.291666666664</v>
      </c>
      <c r="D63" s="24">
        <v>45511.666666666664</v>
      </c>
      <c r="E63" s="25" t="s">
        <v>123</v>
      </c>
    </row>
    <row r="64" spans="1:6" ht="15" customHeight="1" x14ac:dyDescent="0.25">
      <c r="A64" s="22" t="s">
        <v>141</v>
      </c>
      <c r="B64" s="23" t="s">
        <v>125</v>
      </c>
      <c r="C64" s="24">
        <v>44707.291666666664</v>
      </c>
      <c r="D64" s="24">
        <v>45007.666666666664</v>
      </c>
      <c r="E64" s="25" t="s">
        <v>106</v>
      </c>
    </row>
    <row r="65" spans="1:6" ht="15" customHeight="1" x14ac:dyDescent="0.25">
      <c r="A65" s="22" t="s">
        <v>142</v>
      </c>
      <c r="B65" s="23" t="s">
        <v>23</v>
      </c>
      <c r="C65" s="24">
        <v>45008.291666666664</v>
      </c>
      <c r="D65" s="24">
        <v>45511.666666666664</v>
      </c>
      <c r="E65" s="25" t="s">
        <v>127</v>
      </c>
    </row>
    <row r="66" spans="1:6" ht="15" customHeight="1" x14ac:dyDescent="0.25">
      <c r="A66" s="14" t="s">
        <v>143</v>
      </c>
      <c r="B66" s="15" t="s">
        <v>144</v>
      </c>
      <c r="C66" s="16">
        <v>43566.291666666664</v>
      </c>
      <c r="D66" s="16">
        <v>45098.666666666664</v>
      </c>
      <c r="E66" s="17" t="s">
        <v>145</v>
      </c>
      <c r="F66" s="39">
        <f>F68+F69</f>
        <v>300000</v>
      </c>
    </row>
    <row r="67" spans="1:6" ht="15" customHeight="1" x14ac:dyDescent="0.25">
      <c r="A67" s="18" t="s">
        <v>146</v>
      </c>
      <c r="B67" s="19" t="s">
        <v>125</v>
      </c>
      <c r="C67" s="20">
        <v>43566.291666666664</v>
      </c>
      <c r="D67" s="20">
        <v>43866.666666666664</v>
      </c>
      <c r="E67" s="21" t="s">
        <v>106</v>
      </c>
      <c r="F67" s="41" t="s">
        <v>0</v>
      </c>
    </row>
    <row r="68" spans="1:6" ht="15" customHeight="1" x14ac:dyDescent="0.25">
      <c r="A68" s="18" t="s">
        <v>147</v>
      </c>
      <c r="B68" s="19" t="s">
        <v>148</v>
      </c>
      <c r="C68" s="20">
        <v>43867.291666666664</v>
      </c>
      <c r="D68" s="20">
        <v>43992.666666666664</v>
      </c>
      <c r="E68" s="21" t="s">
        <v>80</v>
      </c>
      <c r="F68" s="41">
        <v>150000</v>
      </c>
    </row>
    <row r="69" spans="1:6" ht="15" customHeight="1" x14ac:dyDescent="0.25">
      <c r="A69" s="18" t="s">
        <v>149</v>
      </c>
      <c r="B69" s="19" t="s">
        <v>150</v>
      </c>
      <c r="C69" s="20">
        <v>44973.291666666664</v>
      </c>
      <c r="D69" s="20">
        <v>45098.666666666664</v>
      </c>
      <c r="E69" s="21" t="s">
        <v>80</v>
      </c>
      <c r="F69" s="44">
        <v>150000</v>
      </c>
    </row>
    <row r="70" spans="1:6" ht="15" customHeight="1" x14ac:dyDescent="0.25">
      <c r="A70" s="14" t="s">
        <v>151</v>
      </c>
      <c r="B70" s="15" t="s">
        <v>152</v>
      </c>
      <c r="C70" s="16">
        <v>43566.291666666664</v>
      </c>
      <c r="D70" s="16">
        <v>44797.666666666664</v>
      </c>
      <c r="E70" s="17" t="s">
        <v>153</v>
      </c>
      <c r="F70" s="39">
        <f>F74+F73+F82</f>
        <v>7172000</v>
      </c>
    </row>
    <row r="71" spans="1:6" ht="15" customHeight="1" x14ac:dyDescent="0.25">
      <c r="A71" s="90" t="s">
        <v>154</v>
      </c>
      <c r="B71" s="91" t="s">
        <v>155</v>
      </c>
      <c r="C71" s="92">
        <v>43566.291666666664</v>
      </c>
      <c r="D71" s="92">
        <v>44797.666666666664</v>
      </c>
      <c r="E71" s="93" t="s">
        <v>153</v>
      </c>
      <c r="F71" s="45">
        <f>SUM(F74+F73)</f>
        <v>6846000</v>
      </c>
    </row>
    <row r="72" spans="1:6" ht="15" customHeight="1" x14ac:dyDescent="0.25">
      <c r="A72" s="88" t="s">
        <v>156</v>
      </c>
      <c r="B72" s="89" t="s">
        <v>117</v>
      </c>
      <c r="C72" s="20">
        <v>43566.291666666664</v>
      </c>
      <c r="D72" s="20">
        <v>43761.666666666664</v>
      </c>
      <c r="E72" s="21" t="s">
        <v>157</v>
      </c>
      <c r="F72" s="41"/>
    </row>
    <row r="73" spans="1:6" ht="15" customHeight="1" x14ac:dyDescent="0.25">
      <c r="A73" s="22" t="s">
        <v>158</v>
      </c>
      <c r="B73" s="23" t="s">
        <v>159</v>
      </c>
      <c r="C73" s="24">
        <v>43762.291666666664</v>
      </c>
      <c r="D73" s="24">
        <v>43985.666666666664</v>
      </c>
      <c r="E73" s="25" t="s">
        <v>160</v>
      </c>
      <c r="F73" s="41">
        <f>F74*0.05</f>
        <v>326000</v>
      </c>
    </row>
    <row r="74" spans="1:6" ht="15" customHeight="1" x14ac:dyDescent="0.25">
      <c r="A74" s="22" t="s">
        <v>161</v>
      </c>
      <c r="B74" s="23" t="s">
        <v>162</v>
      </c>
      <c r="C74" s="24">
        <v>43986.291666666664</v>
      </c>
      <c r="D74" s="24">
        <v>44797.666666666664</v>
      </c>
      <c r="E74" s="25" t="s">
        <v>163</v>
      </c>
      <c r="F74" s="41">
        <f>SUM(F75:F79)</f>
        <v>6520000</v>
      </c>
    </row>
    <row r="75" spans="1:6" ht="15" customHeight="1" x14ac:dyDescent="0.25">
      <c r="A75" s="22" t="s">
        <v>164</v>
      </c>
      <c r="B75" s="23" t="s">
        <v>165</v>
      </c>
      <c r="C75" s="24">
        <v>43986.291666666664</v>
      </c>
      <c r="D75" s="24">
        <v>44153.666666666664</v>
      </c>
      <c r="E75" s="25" t="s">
        <v>166</v>
      </c>
      <c r="F75" s="41">
        <f>1750000/2</f>
        <v>875000</v>
      </c>
    </row>
    <row r="76" spans="1:6" ht="15" customHeight="1" x14ac:dyDescent="0.25">
      <c r="A76" s="22" t="s">
        <v>167</v>
      </c>
      <c r="B76" s="23" t="s">
        <v>168</v>
      </c>
      <c r="C76" s="24">
        <v>44154.291666666664</v>
      </c>
      <c r="D76" s="24">
        <v>44321.666666666664</v>
      </c>
      <c r="E76" s="25" t="s">
        <v>166</v>
      </c>
      <c r="F76" s="41">
        <f>1750000/2</f>
        <v>875000</v>
      </c>
    </row>
    <row r="77" spans="1:6" ht="15" customHeight="1" x14ac:dyDescent="0.25">
      <c r="A77" s="22" t="s">
        <v>169</v>
      </c>
      <c r="B77" s="23" t="s">
        <v>170</v>
      </c>
      <c r="C77" s="24">
        <v>44322.291666666664</v>
      </c>
      <c r="D77" s="24">
        <v>44405.666666666664</v>
      </c>
      <c r="E77" s="25" t="s">
        <v>24</v>
      </c>
      <c r="F77" s="41">
        <v>390000</v>
      </c>
    </row>
    <row r="78" spans="1:6" ht="15" customHeight="1" x14ac:dyDescent="0.25">
      <c r="A78" s="22" t="s">
        <v>171</v>
      </c>
      <c r="B78" s="23" t="s">
        <v>172</v>
      </c>
      <c r="C78" s="24">
        <v>44406.291666666664</v>
      </c>
      <c r="D78" s="24">
        <v>44741.666666666664</v>
      </c>
      <c r="E78" s="25" t="s">
        <v>112</v>
      </c>
      <c r="F78" s="41">
        <v>3150000</v>
      </c>
    </row>
    <row r="79" spans="1:6" ht="15" customHeight="1" x14ac:dyDescent="0.25">
      <c r="A79" s="94" t="s">
        <v>173</v>
      </c>
      <c r="B79" s="95" t="s">
        <v>482</v>
      </c>
      <c r="C79" s="96">
        <v>44742.291666666664</v>
      </c>
      <c r="D79" s="96">
        <v>44797.666666666664</v>
      </c>
      <c r="E79" s="97" t="s">
        <v>30</v>
      </c>
      <c r="F79" s="44">
        <f>1200000+30000</f>
        <v>1230000</v>
      </c>
    </row>
    <row r="80" spans="1:6" ht="15" customHeight="1" x14ac:dyDescent="0.25">
      <c r="A80" s="112" t="s">
        <v>174</v>
      </c>
      <c r="B80" s="113" t="s">
        <v>175</v>
      </c>
      <c r="C80" s="100">
        <v>43654.291666666664</v>
      </c>
      <c r="D80" s="100">
        <v>44797.666666666664</v>
      </c>
      <c r="E80" s="101" t="s">
        <v>176</v>
      </c>
      <c r="F80" s="148">
        <f>F82</f>
        <v>326000</v>
      </c>
    </row>
    <row r="81" spans="1:6" ht="15" customHeight="1" x14ac:dyDescent="0.25">
      <c r="A81" s="88" t="s">
        <v>177</v>
      </c>
      <c r="B81" s="89" t="s">
        <v>125</v>
      </c>
      <c r="C81" s="20">
        <v>43654.291666666664</v>
      </c>
      <c r="D81" s="20">
        <v>43957.666666666664</v>
      </c>
      <c r="E81" s="21" t="s">
        <v>178</v>
      </c>
      <c r="F81" s="41"/>
    </row>
    <row r="82" spans="1:6" ht="15" customHeight="1" x14ac:dyDescent="0.25">
      <c r="A82" s="22" t="s">
        <v>179</v>
      </c>
      <c r="B82" s="23" t="s">
        <v>180</v>
      </c>
      <c r="C82" s="24">
        <v>43958.291666666664</v>
      </c>
      <c r="D82" s="24">
        <v>44797.666666666664</v>
      </c>
      <c r="E82" s="25" t="s">
        <v>181</v>
      </c>
      <c r="F82" s="41">
        <f>F74*0.05</f>
        <v>326000</v>
      </c>
    </row>
    <row r="83" spans="1:6" ht="15" customHeight="1" x14ac:dyDescent="0.25">
      <c r="A83" s="14" t="s">
        <v>182</v>
      </c>
      <c r="B83" s="15" t="s">
        <v>584</v>
      </c>
      <c r="C83" s="16">
        <v>44504.291666666664</v>
      </c>
      <c r="D83" s="16">
        <v>44797.666666666664</v>
      </c>
      <c r="E83" s="17" t="s">
        <v>184</v>
      </c>
      <c r="F83" s="39">
        <f>F84+F88</f>
        <v>900000</v>
      </c>
    </row>
    <row r="84" spans="1:6" ht="15" customHeight="1" x14ac:dyDescent="0.25">
      <c r="A84" s="90" t="s">
        <v>185</v>
      </c>
      <c r="B84" s="91" t="s">
        <v>186</v>
      </c>
      <c r="C84" s="92">
        <v>44504.291666666664</v>
      </c>
      <c r="D84" s="92">
        <v>44797.666666666664</v>
      </c>
      <c r="E84" s="93" t="s">
        <v>184</v>
      </c>
      <c r="F84" s="40">
        <v>400000</v>
      </c>
    </row>
    <row r="85" spans="1:6" ht="15" customHeight="1" x14ac:dyDescent="0.25">
      <c r="A85" s="88" t="s">
        <v>187</v>
      </c>
      <c r="B85" s="89" t="s">
        <v>188</v>
      </c>
      <c r="C85" s="20">
        <v>44504.291666666664</v>
      </c>
      <c r="D85" s="20">
        <v>44524.666666666664</v>
      </c>
      <c r="E85" s="21" t="s">
        <v>12</v>
      </c>
      <c r="F85" s="41" t="s">
        <v>0</v>
      </c>
    </row>
    <row r="86" spans="1:6" ht="15" customHeight="1" x14ac:dyDescent="0.25">
      <c r="A86" s="22" t="s">
        <v>189</v>
      </c>
      <c r="B86" s="23" t="s">
        <v>117</v>
      </c>
      <c r="C86" s="24">
        <v>44525.291666666664</v>
      </c>
      <c r="D86" s="24">
        <v>44720.666666666664</v>
      </c>
      <c r="E86" s="25" t="s">
        <v>157</v>
      </c>
      <c r="F86" s="42" t="s">
        <v>0</v>
      </c>
    </row>
    <row r="87" spans="1:6" ht="15" customHeight="1" x14ac:dyDescent="0.25">
      <c r="A87" s="94" t="s">
        <v>190</v>
      </c>
      <c r="B87" s="95" t="s">
        <v>191</v>
      </c>
      <c r="C87" s="96">
        <v>44742.291666666664</v>
      </c>
      <c r="D87" s="96">
        <v>44797.666666666664</v>
      </c>
      <c r="E87" s="97" t="s">
        <v>30</v>
      </c>
      <c r="F87" s="43" t="s">
        <v>0</v>
      </c>
    </row>
    <row r="88" spans="1:6" ht="15" customHeight="1" x14ac:dyDescent="0.25">
      <c r="A88" s="112" t="s">
        <v>192</v>
      </c>
      <c r="B88" s="113" t="s">
        <v>193</v>
      </c>
      <c r="C88" s="100">
        <v>44504.291666666664</v>
      </c>
      <c r="D88" s="100">
        <v>44741.666666666664</v>
      </c>
      <c r="E88" s="101" t="s">
        <v>194</v>
      </c>
      <c r="F88" s="47">
        <v>500000</v>
      </c>
    </row>
    <row r="89" spans="1:6" ht="15" customHeight="1" x14ac:dyDescent="0.25">
      <c r="A89" s="88" t="s">
        <v>195</v>
      </c>
      <c r="B89" s="89" t="s">
        <v>188</v>
      </c>
      <c r="C89" s="20">
        <v>44504.291666666664</v>
      </c>
      <c r="D89" s="20">
        <v>44517.666666666664</v>
      </c>
      <c r="E89" s="21" t="s">
        <v>93</v>
      </c>
      <c r="F89" s="41" t="s">
        <v>0</v>
      </c>
    </row>
    <row r="90" spans="1:6" ht="15" customHeight="1" x14ac:dyDescent="0.25">
      <c r="A90" s="22" t="s">
        <v>196</v>
      </c>
      <c r="B90" s="23" t="s">
        <v>117</v>
      </c>
      <c r="C90" s="24">
        <v>44518.291666666664</v>
      </c>
      <c r="D90" s="24">
        <v>44713.666666666664</v>
      </c>
      <c r="E90" s="25" t="s">
        <v>157</v>
      </c>
      <c r="F90" s="42" t="s">
        <v>0</v>
      </c>
    </row>
    <row r="91" spans="1:6" ht="15" customHeight="1" thickBot="1" x14ac:dyDescent="0.3">
      <c r="A91" s="22" t="s">
        <v>197</v>
      </c>
      <c r="B91" s="23" t="s">
        <v>198</v>
      </c>
      <c r="C91" s="24">
        <v>44714.291666666664</v>
      </c>
      <c r="D91" s="24">
        <v>44741.666666666664</v>
      </c>
      <c r="E91" s="25" t="s">
        <v>27</v>
      </c>
      <c r="F91" s="42" t="s">
        <v>0</v>
      </c>
    </row>
    <row r="92" spans="1:6" ht="15" customHeight="1" x14ac:dyDescent="0.25">
      <c r="A92" s="10" t="s">
        <v>199</v>
      </c>
      <c r="B92" s="11" t="s">
        <v>200</v>
      </c>
      <c r="C92" s="12">
        <v>43340.958333333336</v>
      </c>
      <c r="D92" s="12">
        <v>45656.666666666664</v>
      </c>
      <c r="E92" s="13" t="s">
        <v>201</v>
      </c>
      <c r="F92" s="38">
        <f>SUM(F94+F97+F100+F104+F120)</f>
        <v>3840000</v>
      </c>
    </row>
    <row r="93" spans="1:6" ht="15" customHeight="1" x14ac:dyDescent="0.25">
      <c r="A93" s="14" t="s">
        <v>202</v>
      </c>
      <c r="B93" s="15" t="s">
        <v>203</v>
      </c>
      <c r="C93" s="16">
        <v>43340.958333333336</v>
      </c>
      <c r="D93" s="16">
        <v>43340.958333333336</v>
      </c>
      <c r="E93" s="17" t="s">
        <v>75</v>
      </c>
      <c r="F93" s="39"/>
    </row>
    <row r="94" spans="1:6" ht="15" customHeight="1" x14ac:dyDescent="0.25">
      <c r="A94" s="14" t="s">
        <v>204</v>
      </c>
      <c r="B94" s="15" t="s">
        <v>205</v>
      </c>
      <c r="C94" s="16">
        <v>43718.291666666664</v>
      </c>
      <c r="D94" s="16">
        <v>44858.666666666664</v>
      </c>
      <c r="E94" s="17" t="s">
        <v>206</v>
      </c>
      <c r="F94" s="48">
        <f>F96</f>
        <v>300000</v>
      </c>
    </row>
    <row r="95" spans="1:6" ht="15" customHeight="1" x14ac:dyDescent="0.25">
      <c r="A95" s="18" t="s">
        <v>207</v>
      </c>
      <c r="B95" s="19" t="s">
        <v>125</v>
      </c>
      <c r="C95" s="20">
        <v>43718.291666666664</v>
      </c>
      <c r="D95" s="20">
        <v>44018.666666666664</v>
      </c>
      <c r="E95" s="21" t="s">
        <v>106</v>
      </c>
    </row>
    <row r="96" spans="1:6" ht="15" customHeight="1" x14ac:dyDescent="0.25">
      <c r="A96" s="18" t="s">
        <v>208</v>
      </c>
      <c r="B96" s="19" t="s">
        <v>23</v>
      </c>
      <c r="C96" s="20">
        <v>44019.291666666664</v>
      </c>
      <c r="D96" s="20">
        <v>44858.666666666664</v>
      </c>
      <c r="E96" s="21" t="s">
        <v>181</v>
      </c>
      <c r="F96" s="49">
        <v>300000</v>
      </c>
    </row>
    <row r="97" spans="1:6" ht="15" customHeight="1" x14ac:dyDescent="0.25">
      <c r="A97" s="14" t="s">
        <v>209</v>
      </c>
      <c r="B97" s="15" t="s">
        <v>210</v>
      </c>
      <c r="C97" s="16">
        <v>43566.291666666664</v>
      </c>
      <c r="D97" s="16">
        <v>43829.666666666664</v>
      </c>
      <c r="E97" s="17" t="s">
        <v>33</v>
      </c>
      <c r="F97" s="39">
        <f>F99</f>
        <v>60000</v>
      </c>
    </row>
    <row r="98" spans="1:6" ht="15" customHeight="1" x14ac:dyDescent="0.25">
      <c r="A98" s="18" t="s">
        <v>211</v>
      </c>
      <c r="B98" s="19" t="s">
        <v>212</v>
      </c>
      <c r="C98" s="20">
        <v>43566.291666666664</v>
      </c>
      <c r="D98" s="20">
        <v>43717.666666666664</v>
      </c>
      <c r="E98" s="21" t="s">
        <v>21</v>
      </c>
    </row>
    <row r="99" spans="1:6" ht="15" customHeight="1" x14ac:dyDescent="0.25">
      <c r="A99" s="18" t="s">
        <v>213</v>
      </c>
      <c r="B99" s="19" t="s">
        <v>23</v>
      </c>
      <c r="C99" s="20">
        <v>43718.291666666664</v>
      </c>
      <c r="D99" s="20">
        <v>43829.666666666664</v>
      </c>
      <c r="E99" s="21" t="s">
        <v>37</v>
      </c>
      <c r="F99" s="41">
        <v>60000</v>
      </c>
    </row>
    <row r="100" spans="1:6" ht="15" customHeight="1" x14ac:dyDescent="0.25">
      <c r="A100" s="14" t="s">
        <v>214</v>
      </c>
      <c r="B100" s="15" t="s">
        <v>215</v>
      </c>
      <c r="C100" s="16">
        <v>44859.291666666664</v>
      </c>
      <c r="D100" s="16">
        <v>45439.666666666664</v>
      </c>
      <c r="E100" s="17" t="s">
        <v>216</v>
      </c>
      <c r="F100" s="39">
        <f>SUM(F102:F103)</f>
        <v>170000</v>
      </c>
    </row>
    <row r="101" spans="1:6" ht="15" customHeight="1" x14ac:dyDescent="0.25">
      <c r="A101" s="18" t="s">
        <v>217</v>
      </c>
      <c r="B101" s="19" t="s">
        <v>125</v>
      </c>
      <c r="C101" s="20">
        <v>44859.291666666664</v>
      </c>
      <c r="D101" s="20">
        <v>45159.666666666664</v>
      </c>
      <c r="E101" s="21" t="s">
        <v>106</v>
      </c>
    </row>
    <row r="102" spans="1:6" ht="15" customHeight="1" x14ac:dyDescent="0.25">
      <c r="A102" s="18" t="s">
        <v>218</v>
      </c>
      <c r="B102" s="19" t="s">
        <v>219</v>
      </c>
      <c r="C102" s="20">
        <v>45160.291666666664</v>
      </c>
      <c r="D102" s="20">
        <v>45271.666666666664</v>
      </c>
      <c r="E102" s="21" t="s">
        <v>37</v>
      </c>
      <c r="F102" s="41">
        <v>50000</v>
      </c>
    </row>
    <row r="103" spans="1:6" ht="15" customHeight="1" x14ac:dyDescent="0.25">
      <c r="A103" s="18" t="s">
        <v>220</v>
      </c>
      <c r="B103" s="19" t="s">
        <v>221</v>
      </c>
      <c r="C103" s="20">
        <v>45272.291666666664</v>
      </c>
      <c r="D103" s="20">
        <v>45439.666666666664</v>
      </c>
      <c r="E103" s="21" t="s">
        <v>166</v>
      </c>
      <c r="F103" s="41">
        <v>120000</v>
      </c>
    </row>
    <row r="104" spans="1:6" ht="15" customHeight="1" x14ac:dyDescent="0.25">
      <c r="A104" s="14" t="s">
        <v>222</v>
      </c>
      <c r="B104" s="15" t="s">
        <v>223</v>
      </c>
      <c r="C104" s="16">
        <v>44075.291666666664</v>
      </c>
      <c r="D104" s="16">
        <v>44634.666666666664</v>
      </c>
      <c r="E104" s="17" t="s">
        <v>224</v>
      </c>
      <c r="F104" s="48">
        <f>SUM(F107:F119)</f>
        <v>2110000</v>
      </c>
    </row>
    <row r="105" spans="1:6" ht="15" customHeight="1" x14ac:dyDescent="0.25">
      <c r="A105" s="18" t="s">
        <v>225</v>
      </c>
      <c r="B105" s="19" t="s">
        <v>226</v>
      </c>
      <c r="C105" s="20">
        <v>44075.291666666664</v>
      </c>
      <c r="D105" s="20">
        <v>44424.666666666664</v>
      </c>
      <c r="E105" s="21" t="s">
        <v>227</v>
      </c>
      <c r="F105" s="40" t="s">
        <v>0</v>
      </c>
    </row>
    <row r="106" spans="1:6" ht="15" customHeight="1" x14ac:dyDescent="0.25">
      <c r="A106" s="22" t="s">
        <v>228</v>
      </c>
      <c r="B106" s="23" t="s">
        <v>117</v>
      </c>
      <c r="C106" s="24">
        <v>44075.291666666664</v>
      </c>
      <c r="D106" s="24">
        <v>44256.666666666664</v>
      </c>
      <c r="E106" s="25" t="s">
        <v>229</v>
      </c>
      <c r="F106" s="41"/>
    </row>
    <row r="107" spans="1:6" ht="15" customHeight="1" x14ac:dyDescent="0.25">
      <c r="A107" s="94" t="s">
        <v>230</v>
      </c>
      <c r="B107" s="95" t="s">
        <v>231</v>
      </c>
      <c r="C107" s="96">
        <v>44257.291666666664</v>
      </c>
      <c r="D107" s="96">
        <v>44424.666666666664</v>
      </c>
      <c r="E107" s="97" t="s">
        <v>166</v>
      </c>
      <c r="F107" s="43">
        <f>65000*6</f>
        <v>390000</v>
      </c>
    </row>
    <row r="108" spans="1:6" ht="15" customHeight="1" x14ac:dyDescent="0.25">
      <c r="A108" s="112" t="s">
        <v>232</v>
      </c>
      <c r="B108" s="113" t="s">
        <v>233</v>
      </c>
      <c r="C108" s="100">
        <v>44243.291666666664</v>
      </c>
      <c r="D108" s="100">
        <v>44508.666666666664</v>
      </c>
      <c r="E108" s="101" t="s">
        <v>234</v>
      </c>
      <c r="F108" s="47" t="s">
        <v>0</v>
      </c>
    </row>
    <row r="109" spans="1:6" ht="15" customHeight="1" x14ac:dyDescent="0.25">
      <c r="A109" s="88" t="s">
        <v>235</v>
      </c>
      <c r="B109" s="89" t="s">
        <v>117</v>
      </c>
      <c r="C109" s="20">
        <v>44243.291666666664</v>
      </c>
      <c r="D109" s="20">
        <v>44424.666666666664</v>
      </c>
      <c r="E109" s="21" t="s">
        <v>229</v>
      </c>
      <c r="F109" s="41" t="s">
        <v>0</v>
      </c>
    </row>
    <row r="110" spans="1:6" ht="15" customHeight="1" x14ac:dyDescent="0.25">
      <c r="A110" s="94" t="s">
        <v>236</v>
      </c>
      <c r="B110" s="95" t="s">
        <v>237</v>
      </c>
      <c r="C110" s="96">
        <v>44425.291666666664</v>
      </c>
      <c r="D110" s="96">
        <v>44508.666666666664</v>
      </c>
      <c r="E110" s="97" t="s">
        <v>24</v>
      </c>
      <c r="F110" s="43">
        <f>150000*6</f>
        <v>900000</v>
      </c>
    </row>
    <row r="111" spans="1:6" ht="15" customHeight="1" x14ac:dyDescent="0.25">
      <c r="A111" s="112" t="s">
        <v>238</v>
      </c>
      <c r="B111" s="113" t="s">
        <v>239</v>
      </c>
      <c r="C111" s="100">
        <v>44243.291666666664</v>
      </c>
      <c r="D111" s="100">
        <v>44466.666666666664</v>
      </c>
      <c r="E111" s="101" t="s">
        <v>160</v>
      </c>
      <c r="F111" s="47" t="s">
        <v>0</v>
      </c>
    </row>
    <row r="112" spans="1:6" ht="15" customHeight="1" x14ac:dyDescent="0.25">
      <c r="A112" s="88" t="s">
        <v>240</v>
      </c>
      <c r="B112" s="89" t="s">
        <v>117</v>
      </c>
      <c r="C112" s="20">
        <v>44243.291666666664</v>
      </c>
      <c r="D112" s="20">
        <v>44424.666666666664</v>
      </c>
      <c r="E112" s="21" t="s">
        <v>229</v>
      </c>
      <c r="F112" s="41" t="s">
        <v>0</v>
      </c>
    </row>
    <row r="113" spans="1:6" ht="15" customHeight="1" x14ac:dyDescent="0.25">
      <c r="A113" s="94" t="s">
        <v>241</v>
      </c>
      <c r="B113" s="95" t="s">
        <v>242</v>
      </c>
      <c r="C113" s="96">
        <v>44425.291666666664</v>
      </c>
      <c r="D113" s="96">
        <v>44466.666666666664</v>
      </c>
      <c r="E113" s="97" t="s">
        <v>243</v>
      </c>
      <c r="F113" s="43">
        <f>70000*6</f>
        <v>420000</v>
      </c>
    </row>
    <row r="114" spans="1:6" ht="15" customHeight="1" x14ac:dyDescent="0.25">
      <c r="A114" s="112" t="s">
        <v>244</v>
      </c>
      <c r="B114" s="113" t="s">
        <v>245</v>
      </c>
      <c r="C114" s="100">
        <v>44285.291666666664</v>
      </c>
      <c r="D114" s="100">
        <v>44634.666666666664</v>
      </c>
      <c r="E114" s="101" t="s">
        <v>227</v>
      </c>
      <c r="F114" s="47" t="s">
        <v>0</v>
      </c>
    </row>
    <row r="115" spans="1:6" ht="15" customHeight="1" x14ac:dyDescent="0.25">
      <c r="A115" s="88" t="s">
        <v>246</v>
      </c>
      <c r="B115" s="89" t="s">
        <v>117</v>
      </c>
      <c r="C115" s="20">
        <v>44285.291666666664</v>
      </c>
      <c r="D115" s="20">
        <v>44466.666666666664</v>
      </c>
      <c r="E115" s="21" t="s">
        <v>229</v>
      </c>
      <c r="F115" s="41" t="s">
        <v>0</v>
      </c>
    </row>
    <row r="116" spans="1:6" ht="15" customHeight="1" x14ac:dyDescent="0.25">
      <c r="A116" s="94" t="s">
        <v>247</v>
      </c>
      <c r="B116" s="95" t="s">
        <v>248</v>
      </c>
      <c r="C116" s="96">
        <v>44467.291666666664</v>
      </c>
      <c r="D116" s="96">
        <v>44634.666666666664</v>
      </c>
      <c r="E116" s="97" t="s">
        <v>166</v>
      </c>
      <c r="F116" s="43">
        <f>35000*8</f>
        <v>280000</v>
      </c>
    </row>
    <row r="117" spans="1:6" ht="15" customHeight="1" x14ac:dyDescent="0.25">
      <c r="A117" s="112" t="s">
        <v>249</v>
      </c>
      <c r="B117" s="113" t="s">
        <v>250</v>
      </c>
      <c r="C117" s="100">
        <v>44243.291666666664</v>
      </c>
      <c r="D117" s="100">
        <v>44452.666666666664</v>
      </c>
      <c r="E117" s="101" t="s">
        <v>251</v>
      </c>
      <c r="F117" s="47" t="s">
        <v>0</v>
      </c>
    </row>
    <row r="118" spans="1:6" ht="15" customHeight="1" x14ac:dyDescent="0.25">
      <c r="A118" s="88" t="s">
        <v>252</v>
      </c>
      <c r="B118" s="89" t="s">
        <v>117</v>
      </c>
      <c r="C118" s="20">
        <v>44243.291666666664</v>
      </c>
      <c r="D118" s="20">
        <v>44424.666666666664</v>
      </c>
      <c r="E118" s="21" t="s">
        <v>229</v>
      </c>
      <c r="F118" s="41" t="s">
        <v>0</v>
      </c>
    </row>
    <row r="119" spans="1:6" ht="15" customHeight="1" x14ac:dyDescent="0.25">
      <c r="A119" s="22" t="s">
        <v>253</v>
      </c>
      <c r="B119" s="23" t="s">
        <v>254</v>
      </c>
      <c r="C119" s="24">
        <v>44425.291666666664</v>
      </c>
      <c r="D119" s="24">
        <v>44452.666666666664</v>
      </c>
      <c r="E119" s="25" t="s">
        <v>27</v>
      </c>
      <c r="F119" s="42">
        <f>15000*8</f>
        <v>120000</v>
      </c>
    </row>
    <row r="120" spans="1:6" ht="15" customHeight="1" x14ac:dyDescent="0.25">
      <c r="A120" s="14" t="s">
        <v>255</v>
      </c>
      <c r="B120" s="15" t="s">
        <v>256</v>
      </c>
      <c r="C120" s="16">
        <v>44635.291666666664</v>
      </c>
      <c r="D120" s="16">
        <v>45656.666666666664</v>
      </c>
      <c r="E120" s="17" t="s">
        <v>257</v>
      </c>
      <c r="F120" s="39">
        <f>120000*10</f>
        <v>1200000</v>
      </c>
    </row>
    <row r="121" spans="1:6" ht="15" customHeight="1" x14ac:dyDescent="0.25">
      <c r="A121" s="90" t="s">
        <v>258</v>
      </c>
      <c r="B121" s="91" t="s">
        <v>259</v>
      </c>
      <c r="C121" s="92">
        <v>44635.291666666664</v>
      </c>
      <c r="D121" s="92">
        <v>45152.666666666664</v>
      </c>
      <c r="E121" s="93" t="s">
        <v>260</v>
      </c>
      <c r="F121" s="114"/>
    </row>
    <row r="122" spans="1:6" ht="15" customHeight="1" x14ac:dyDescent="0.25">
      <c r="A122" s="88" t="s">
        <v>261</v>
      </c>
      <c r="B122" s="89" t="s">
        <v>117</v>
      </c>
      <c r="C122" s="20">
        <v>44635.291666666664</v>
      </c>
      <c r="D122" s="20">
        <v>44816.666666666664</v>
      </c>
      <c r="E122" s="21" t="s">
        <v>229</v>
      </c>
    </row>
    <row r="123" spans="1:6" ht="15" customHeight="1" x14ac:dyDescent="0.25">
      <c r="A123" s="94" t="s">
        <v>262</v>
      </c>
      <c r="B123" s="95" t="s">
        <v>231</v>
      </c>
      <c r="C123" s="96">
        <v>44817.291666666664</v>
      </c>
      <c r="D123" s="96">
        <v>45152.666666666664</v>
      </c>
      <c r="E123" s="97" t="s">
        <v>112</v>
      </c>
    </row>
    <row r="124" spans="1:6" ht="15" customHeight="1" x14ac:dyDescent="0.25">
      <c r="A124" s="112" t="s">
        <v>263</v>
      </c>
      <c r="B124" s="113" t="s">
        <v>264</v>
      </c>
      <c r="C124" s="100">
        <v>44971.291666666664</v>
      </c>
      <c r="D124" s="100">
        <v>45320.666666666664</v>
      </c>
      <c r="E124" s="101" t="s">
        <v>227</v>
      </c>
      <c r="F124" s="46"/>
    </row>
    <row r="125" spans="1:6" ht="15" customHeight="1" x14ac:dyDescent="0.25">
      <c r="A125" s="88" t="s">
        <v>265</v>
      </c>
      <c r="B125" s="89" t="s">
        <v>117</v>
      </c>
      <c r="C125" s="20">
        <v>44971.291666666664</v>
      </c>
      <c r="D125" s="20">
        <v>45152.666666666664</v>
      </c>
      <c r="E125" s="21" t="s">
        <v>229</v>
      </c>
    </row>
    <row r="126" spans="1:6" ht="15" customHeight="1" x14ac:dyDescent="0.25">
      <c r="A126" s="94" t="s">
        <v>266</v>
      </c>
      <c r="B126" s="95" t="s">
        <v>237</v>
      </c>
      <c r="C126" s="96">
        <v>45153.291666666664</v>
      </c>
      <c r="D126" s="96">
        <v>45320.666666666664</v>
      </c>
      <c r="E126" s="97" t="s">
        <v>166</v>
      </c>
    </row>
    <row r="127" spans="1:6" ht="15" customHeight="1" x14ac:dyDescent="0.25">
      <c r="A127" s="112" t="s">
        <v>267</v>
      </c>
      <c r="B127" s="113" t="s">
        <v>268</v>
      </c>
      <c r="C127" s="100">
        <v>44971.291666666664</v>
      </c>
      <c r="D127" s="100">
        <v>45320.666666666664</v>
      </c>
      <c r="E127" s="101" t="s">
        <v>227</v>
      </c>
      <c r="F127" s="46"/>
    </row>
    <row r="128" spans="1:6" ht="15" customHeight="1" x14ac:dyDescent="0.25">
      <c r="A128" s="88" t="s">
        <v>269</v>
      </c>
      <c r="B128" s="89" t="s">
        <v>117</v>
      </c>
      <c r="C128" s="20">
        <v>44971.291666666664</v>
      </c>
      <c r="D128" s="20">
        <v>45152.666666666664</v>
      </c>
      <c r="E128" s="21" t="s">
        <v>229</v>
      </c>
    </row>
    <row r="129" spans="1:6" ht="15" customHeight="1" x14ac:dyDescent="0.25">
      <c r="A129" s="94" t="s">
        <v>270</v>
      </c>
      <c r="B129" s="95" t="s">
        <v>242</v>
      </c>
      <c r="C129" s="96">
        <v>45153.291666666664</v>
      </c>
      <c r="D129" s="96">
        <v>45320.666666666664</v>
      </c>
      <c r="E129" s="97" t="s">
        <v>166</v>
      </c>
    </row>
    <row r="130" spans="1:6" ht="15" customHeight="1" x14ac:dyDescent="0.25">
      <c r="A130" s="112" t="s">
        <v>271</v>
      </c>
      <c r="B130" s="113" t="s">
        <v>272</v>
      </c>
      <c r="C130" s="100">
        <v>45139.291666666664</v>
      </c>
      <c r="D130" s="100">
        <v>45656.666666666664</v>
      </c>
      <c r="E130" s="101" t="s">
        <v>260</v>
      </c>
      <c r="F130" s="46"/>
    </row>
    <row r="131" spans="1:6" ht="15" customHeight="1" x14ac:dyDescent="0.25">
      <c r="A131" s="88" t="s">
        <v>273</v>
      </c>
      <c r="B131" s="89" t="s">
        <v>117</v>
      </c>
      <c r="C131" s="20">
        <v>45139.291666666664</v>
      </c>
      <c r="D131" s="20">
        <v>45320.666666666664</v>
      </c>
      <c r="E131" s="21" t="s">
        <v>229</v>
      </c>
    </row>
    <row r="132" spans="1:6" ht="15" customHeight="1" x14ac:dyDescent="0.25">
      <c r="A132" s="94" t="s">
        <v>274</v>
      </c>
      <c r="B132" s="95" t="s">
        <v>248</v>
      </c>
      <c r="C132" s="96">
        <v>45321.291666666664</v>
      </c>
      <c r="D132" s="96">
        <v>45656.666666666664</v>
      </c>
      <c r="E132" s="97" t="s">
        <v>112</v>
      </c>
    </row>
    <row r="133" spans="1:6" ht="15" customHeight="1" x14ac:dyDescent="0.25">
      <c r="A133" s="112" t="s">
        <v>275</v>
      </c>
      <c r="B133" s="113" t="s">
        <v>250</v>
      </c>
      <c r="C133" s="100">
        <v>44971.291666666664</v>
      </c>
      <c r="D133" s="100">
        <v>45236.666666666664</v>
      </c>
      <c r="E133" s="101" t="s">
        <v>234</v>
      </c>
      <c r="F133" s="46"/>
    </row>
    <row r="134" spans="1:6" ht="15" customHeight="1" x14ac:dyDescent="0.25">
      <c r="A134" s="88" t="s">
        <v>276</v>
      </c>
      <c r="B134" s="89" t="s">
        <v>117</v>
      </c>
      <c r="C134" s="20">
        <v>44971.291666666664</v>
      </c>
      <c r="D134" s="20">
        <v>45152.666666666664</v>
      </c>
      <c r="E134" s="21" t="s">
        <v>229</v>
      </c>
    </row>
    <row r="135" spans="1:6" ht="15" customHeight="1" thickBot="1" x14ac:dyDescent="0.3">
      <c r="A135" s="22" t="s">
        <v>277</v>
      </c>
      <c r="B135" s="23" t="s">
        <v>254</v>
      </c>
      <c r="C135" s="24">
        <v>45153.291666666664</v>
      </c>
      <c r="D135" s="24">
        <v>45236.666666666664</v>
      </c>
      <c r="E135" s="25" t="s">
        <v>24</v>
      </c>
    </row>
    <row r="136" spans="1:6" ht="15" customHeight="1" x14ac:dyDescent="0.25">
      <c r="A136" s="10" t="s">
        <v>278</v>
      </c>
      <c r="B136" s="11" t="s">
        <v>279</v>
      </c>
      <c r="C136" s="12">
        <v>43565.666666666664</v>
      </c>
      <c r="D136" s="12">
        <v>45268.666666666664</v>
      </c>
      <c r="E136" s="13" t="s">
        <v>280</v>
      </c>
      <c r="F136" s="38">
        <f>SUM(F137+F173+F189+F192+F195+F198+F204+F207+F210+F213+F222+F226+F230)</f>
        <v>1500000</v>
      </c>
    </row>
    <row r="137" spans="1:6" ht="15" customHeight="1" x14ac:dyDescent="0.25">
      <c r="A137" s="14" t="s">
        <v>281</v>
      </c>
      <c r="B137" s="15" t="s">
        <v>282</v>
      </c>
      <c r="C137" s="16">
        <v>43566.291666666664</v>
      </c>
      <c r="D137" s="16">
        <v>45247.666666666664</v>
      </c>
      <c r="E137" s="17" t="s">
        <v>283</v>
      </c>
      <c r="F137" s="39">
        <f>SUM(F141+F140+F159+F165+F172)</f>
        <v>771000</v>
      </c>
    </row>
    <row r="138" spans="1:6" ht="15" customHeight="1" x14ac:dyDescent="0.25">
      <c r="A138" s="120" t="s">
        <v>284</v>
      </c>
      <c r="B138" s="121" t="s">
        <v>285</v>
      </c>
      <c r="C138" s="122">
        <v>43566.291666666664</v>
      </c>
      <c r="D138" s="122">
        <v>43759.666666666664</v>
      </c>
      <c r="E138" s="123" t="s">
        <v>286</v>
      </c>
      <c r="F138" s="124" t="s">
        <v>0</v>
      </c>
    </row>
    <row r="139" spans="1:6" ht="15" customHeight="1" x14ac:dyDescent="0.25">
      <c r="A139" s="88" t="s">
        <v>287</v>
      </c>
      <c r="B139" s="89" t="s">
        <v>288</v>
      </c>
      <c r="C139" s="20">
        <v>43566.291666666664</v>
      </c>
      <c r="D139" s="20">
        <v>43717.666666666664</v>
      </c>
      <c r="E139" s="21" t="s">
        <v>21</v>
      </c>
      <c r="F139" s="41" t="s">
        <v>0</v>
      </c>
    </row>
    <row r="140" spans="1:6" ht="15" customHeight="1" x14ac:dyDescent="0.25">
      <c r="A140" s="94" t="s">
        <v>289</v>
      </c>
      <c r="B140" s="95" t="s">
        <v>290</v>
      </c>
      <c r="C140" s="96">
        <v>43718.291666666664</v>
      </c>
      <c r="D140" s="96">
        <v>43759.666666666664</v>
      </c>
      <c r="E140" s="97" t="s">
        <v>243</v>
      </c>
      <c r="F140" s="43">
        <v>20000</v>
      </c>
    </row>
    <row r="141" spans="1:6" ht="15" customHeight="1" x14ac:dyDescent="0.25">
      <c r="A141" s="102" t="s">
        <v>291</v>
      </c>
      <c r="B141" s="103" t="s">
        <v>292</v>
      </c>
      <c r="C141" s="104">
        <v>43566.291666666664</v>
      </c>
      <c r="D141" s="104">
        <v>45247.666666666664</v>
      </c>
      <c r="E141" s="105" t="s">
        <v>283</v>
      </c>
      <c r="F141" s="130">
        <f>F142+F147+F151+F155</f>
        <v>492000</v>
      </c>
    </row>
    <row r="142" spans="1:6" ht="15" customHeight="1" x14ac:dyDescent="0.25">
      <c r="A142" s="125" t="s">
        <v>293</v>
      </c>
      <c r="B142" s="126" t="s">
        <v>294</v>
      </c>
      <c r="C142" s="127">
        <v>43566.291666666664</v>
      </c>
      <c r="D142" s="127">
        <v>44155.666666666664</v>
      </c>
      <c r="E142" s="128" t="s">
        <v>295</v>
      </c>
      <c r="F142" s="129">
        <v>123000</v>
      </c>
    </row>
    <row r="143" spans="1:6" ht="15" customHeight="1" x14ac:dyDescent="0.25">
      <c r="A143" s="88" t="s">
        <v>296</v>
      </c>
      <c r="B143" s="89" t="s">
        <v>297</v>
      </c>
      <c r="C143" s="20">
        <v>43566.291666666664</v>
      </c>
      <c r="D143" s="20">
        <v>43717.666666666664</v>
      </c>
      <c r="E143" s="21" t="s">
        <v>21</v>
      </c>
      <c r="F143" s="41"/>
    </row>
    <row r="144" spans="1:6" ht="15" customHeight="1" x14ac:dyDescent="0.25">
      <c r="A144" s="22" t="s">
        <v>298</v>
      </c>
      <c r="B144" s="23" t="s">
        <v>299</v>
      </c>
      <c r="C144" s="24">
        <v>43760.291666666664</v>
      </c>
      <c r="D144" s="24">
        <v>43875.666666666664</v>
      </c>
      <c r="E144" s="25" t="s">
        <v>300</v>
      </c>
      <c r="F144" s="42" t="s">
        <v>0</v>
      </c>
    </row>
    <row r="145" spans="1:6" ht="15" customHeight="1" x14ac:dyDescent="0.25">
      <c r="A145" s="22" t="s">
        <v>301</v>
      </c>
      <c r="B145" s="23" t="s">
        <v>302</v>
      </c>
      <c r="C145" s="24">
        <v>43760.291666666664</v>
      </c>
      <c r="D145" s="24">
        <v>43875.666666666664</v>
      </c>
      <c r="E145" s="25" t="s">
        <v>300</v>
      </c>
      <c r="F145" s="42" t="s">
        <v>0</v>
      </c>
    </row>
    <row r="146" spans="1:6" ht="15" customHeight="1" x14ac:dyDescent="0.25">
      <c r="A146" s="94" t="s">
        <v>303</v>
      </c>
      <c r="B146" s="95" t="s">
        <v>304</v>
      </c>
      <c r="C146" s="96">
        <v>43878.291666666664</v>
      </c>
      <c r="D146" s="96">
        <v>44155.666666666664</v>
      </c>
      <c r="E146" s="97" t="s">
        <v>305</v>
      </c>
      <c r="F146" s="43"/>
    </row>
    <row r="147" spans="1:6" ht="15" customHeight="1" x14ac:dyDescent="0.25">
      <c r="A147" s="98" t="s">
        <v>306</v>
      </c>
      <c r="B147" s="99" t="s">
        <v>307</v>
      </c>
      <c r="C147" s="100">
        <v>44032.291666666664</v>
      </c>
      <c r="D147" s="100">
        <v>44519.666666666664</v>
      </c>
      <c r="E147" s="101" t="s">
        <v>308</v>
      </c>
      <c r="F147" s="47">
        <v>123000</v>
      </c>
    </row>
    <row r="148" spans="1:6" ht="15" customHeight="1" x14ac:dyDescent="0.25">
      <c r="A148" s="88" t="s">
        <v>309</v>
      </c>
      <c r="B148" s="89" t="s">
        <v>299</v>
      </c>
      <c r="C148" s="20">
        <v>44032.291666666664</v>
      </c>
      <c r="D148" s="20">
        <v>44147.666666666664</v>
      </c>
      <c r="E148" s="21" t="s">
        <v>300</v>
      </c>
      <c r="F148" s="41" t="s">
        <v>0</v>
      </c>
    </row>
    <row r="149" spans="1:6" ht="15" customHeight="1" x14ac:dyDescent="0.25">
      <c r="A149" s="22" t="s">
        <v>310</v>
      </c>
      <c r="B149" s="23" t="s">
        <v>302</v>
      </c>
      <c r="C149" s="24">
        <v>44032.291666666664</v>
      </c>
      <c r="D149" s="24">
        <v>44147.666666666664</v>
      </c>
      <c r="E149" s="25" t="s">
        <v>300</v>
      </c>
      <c r="F149" s="42" t="s">
        <v>0</v>
      </c>
    </row>
    <row r="150" spans="1:6" ht="15" customHeight="1" x14ac:dyDescent="0.25">
      <c r="A150" s="94" t="s">
        <v>311</v>
      </c>
      <c r="B150" s="95" t="s">
        <v>304</v>
      </c>
      <c r="C150" s="96">
        <v>44158.291666666664</v>
      </c>
      <c r="D150" s="96">
        <v>44519.666666666664</v>
      </c>
      <c r="E150" s="97" t="s">
        <v>312</v>
      </c>
      <c r="F150" s="43"/>
    </row>
    <row r="151" spans="1:6" ht="15" customHeight="1" x14ac:dyDescent="0.25">
      <c r="A151" s="98" t="s">
        <v>313</v>
      </c>
      <c r="B151" s="99" t="s">
        <v>314</v>
      </c>
      <c r="C151" s="100">
        <v>44396.291666666664</v>
      </c>
      <c r="D151" s="100">
        <v>44883.666666666664</v>
      </c>
      <c r="E151" s="101" t="s">
        <v>308</v>
      </c>
      <c r="F151" s="47">
        <v>123000</v>
      </c>
    </row>
    <row r="152" spans="1:6" ht="15" customHeight="1" x14ac:dyDescent="0.25">
      <c r="A152" s="88" t="s">
        <v>315</v>
      </c>
      <c r="B152" s="89" t="s">
        <v>299</v>
      </c>
      <c r="C152" s="20">
        <v>44396.291666666664</v>
      </c>
      <c r="D152" s="20">
        <v>44511.666666666664</v>
      </c>
      <c r="E152" s="21" t="s">
        <v>300</v>
      </c>
      <c r="F152" s="41" t="s">
        <v>0</v>
      </c>
    </row>
    <row r="153" spans="1:6" ht="15" customHeight="1" x14ac:dyDescent="0.25">
      <c r="A153" s="22" t="s">
        <v>316</v>
      </c>
      <c r="B153" s="23" t="s">
        <v>302</v>
      </c>
      <c r="C153" s="24">
        <v>44396.291666666664</v>
      </c>
      <c r="D153" s="24">
        <v>44511.666666666664</v>
      </c>
      <c r="E153" s="25" t="s">
        <v>300</v>
      </c>
      <c r="F153" s="42" t="s">
        <v>0</v>
      </c>
    </row>
    <row r="154" spans="1:6" ht="15" customHeight="1" x14ac:dyDescent="0.25">
      <c r="A154" s="94" t="s">
        <v>317</v>
      </c>
      <c r="B154" s="95" t="s">
        <v>304</v>
      </c>
      <c r="C154" s="96">
        <v>44522.291666666664</v>
      </c>
      <c r="D154" s="96">
        <v>44883.666666666664</v>
      </c>
      <c r="E154" s="97" t="s">
        <v>312</v>
      </c>
      <c r="F154" s="43" t="s">
        <v>0</v>
      </c>
    </row>
    <row r="155" spans="1:6" ht="15" customHeight="1" x14ac:dyDescent="0.25">
      <c r="A155" s="98" t="s">
        <v>318</v>
      </c>
      <c r="B155" s="99" t="s">
        <v>319</v>
      </c>
      <c r="C155" s="100">
        <v>44760.291666666664</v>
      </c>
      <c r="D155" s="100">
        <v>45247.666666666664</v>
      </c>
      <c r="E155" s="101" t="s">
        <v>308</v>
      </c>
      <c r="F155" s="47">
        <v>123000</v>
      </c>
    </row>
    <row r="156" spans="1:6" ht="15" customHeight="1" x14ac:dyDescent="0.25">
      <c r="A156" s="88" t="s">
        <v>320</v>
      </c>
      <c r="B156" s="89" t="s">
        <v>299</v>
      </c>
      <c r="C156" s="20">
        <v>44760.291666666664</v>
      </c>
      <c r="D156" s="20">
        <v>44875.666666666664</v>
      </c>
      <c r="E156" s="21" t="s">
        <v>300</v>
      </c>
      <c r="F156" s="41" t="s">
        <v>0</v>
      </c>
    </row>
    <row r="157" spans="1:6" ht="15" customHeight="1" x14ac:dyDescent="0.25">
      <c r="A157" s="22" t="s">
        <v>321</v>
      </c>
      <c r="B157" s="23" t="s">
        <v>302</v>
      </c>
      <c r="C157" s="24">
        <v>44760.291666666664</v>
      </c>
      <c r="D157" s="24">
        <v>44875.666666666664</v>
      </c>
      <c r="E157" s="25" t="s">
        <v>300</v>
      </c>
      <c r="F157" s="42" t="s">
        <v>0</v>
      </c>
    </row>
    <row r="158" spans="1:6" ht="15" customHeight="1" x14ac:dyDescent="0.25">
      <c r="A158" s="94" t="s">
        <v>322</v>
      </c>
      <c r="B158" s="95" t="s">
        <v>304</v>
      </c>
      <c r="C158" s="96">
        <v>44886.291666666664</v>
      </c>
      <c r="D158" s="96">
        <v>45247.666666666664</v>
      </c>
      <c r="E158" s="97" t="s">
        <v>312</v>
      </c>
      <c r="F158" s="43" t="s">
        <v>0</v>
      </c>
    </row>
    <row r="159" spans="1:6" ht="15" customHeight="1" x14ac:dyDescent="0.25">
      <c r="A159" s="115" t="s">
        <v>323</v>
      </c>
      <c r="B159" s="116" t="s">
        <v>324</v>
      </c>
      <c r="C159" s="117">
        <v>43718.291666666664</v>
      </c>
      <c r="D159" s="117">
        <v>45071.666666666664</v>
      </c>
      <c r="E159" s="118" t="s">
        <v>325</v>
      </c>
      <c r="F159" s="119">
        <f>SUM(F161:F164)</f>
        <v>60000</v>
      </c>
    </row>
    <row r="160" spans="1:6" ht="15" customHeight="1" x14ac:dyDescent="0.25">
      <c r="A160" s="88" t="s">
        <v>326</v>
      </c>
      <c r="B160" s="89" t="s">
        <v>20</v>
      </c>
      <c r="C160" s="20">
        <v>43718.291666666664</v>
      </c>
      <c r="D160" s="20">
        <v>43867.666666666664</v>
      </c>
      <c r="E160" s="21" t="s">
        <v>21</v>
      </c>
      <c r="F160" s="41" t="s">
        <v>0</v>
      </c>
    </row>
    <row r="161" spans="1:6" ht="15" customHeight="1" x14ac:dyDescent="0.25">
      <c r="A161" s="22" t="s">
        <v>327</v>
      </c>
      <c r="B161" s="23" t="s">
        <v>328</v>
      </c>
      <c r="C161" s="24">
        <v>43868.291666666664</v>
      </c>
      <c r="D161" s="24">
        <v>44007.666666666664</v>
      </c>
      <c r="E161" s="25" t="s">
        <v>49</v>
      </c>
      <c r="F161" s="42">
        <v>15000</v>
      </c>
    </row>
    <row r="162" spans="1:6" ht="15" customHeight="1" x14ac:dyDescent="0.25">
      <c r="A162" s="22" t="s">
        <v>329</v>
      </c>
      <c r="B162" s="23" t="s">
        <v>330</v>
      </c>
      <c r="C162" s="24">
        <v>44176.291666666664</v>
      </c>
      <c r="D162" s="24">
        <v>44343.666666666664</v>
      </c>
      <c r="E162" s="25" t="s">
        <v>166</v>
      </c>
      <c r="F162" s="42">
        <v>15000</v>
      </c>
    </row>
    <row r="163" spans="1:6" ht="15" customHeight="1" x14ac:dyDescent="0.25">
      <c r="A163" s="22" t="s">
        <v>331</v>
      </c>
      <c r="B163" s="23" t="s">
        <v>332</v>
      </c>
      <c r="C163" s="24">
        <v>44540.291666666664</v>
      </c>
      <c r="D163" s="24">
        <v>44707.666666666664</v>
      </c>
      <c r="E163" s="25" t="s">
        <v>166</v>
      </c>
      <c r="F163" s="42">
        <v>15000</v>
      </c>
    </row>
    <row r="164" spans="1:6" ht="15" customHeight="1" x14ac:dyDescent="0.25">
      <c r="A164" s="94" t="s">
        <v>333</v>
      </c>
      <c r="B164" s="95" t="s">
        <v>334</v>
      </c>
      <c r="C164" s="96">
        <v>44904.291666666664</v>
      </c>
      <c r="D164" s="96">
        <v>45071.666666666664</v>
      </c>
      <c r="E164" s="97" t="s">
        <v>166</v>
      </c>
      <c r="F164" s="43">
        <v>15000</v>
      </c>
    </row>
    <row r="165" spans="1:6" ht="15" customHeight="1" x14ac:dyDescent="0.25">
      <c r="A165" s="102" t="s">
        <v>335</v>
      </c>
      <c r="B165" s="103" t="s">
        <v>336</v>
      </c>
      <c r="C165" s="104">
        <v>44074.291666666664</v>
      </c>
      <c r="D165" s="104">
        <v>45016.666666666664</v>
      </c>
      <c r="E165" s="105" t="s">
        <v>337</v>
      </c>
      <c r="F165" s="130">
        <f>SUM(F167:F169)</f>
        <v>90000</v>
      </c>
    </row>
    <row r="166" spans="1:6" ht="15" customHeight="1" x14ac:dyDescent="0.25">
      <c r="A166" s="88" t="s">
        <v>338</v>
      </c>
      <c r="B166" s="89" t="s">
        <v>212</v>
      </c>
      <c r="C166" s="20">
        <v>44074.291666666664</v>
      </c>
      <c r="D166" s="20">
        <v>44223.666666666664</v>
      </c>
      <c r="E166" s="21" t="s">
        <v>21</v>
      </c>
      <c r="F166" s="41" t="s">
        <v>0</v>
      </c>
    </row>
    <row r="167" spans="1:6" ht="15" customHeight="1" x14ac:dyDescent="0.25">
      <c r="A167" s="22" t="s">
        <v>339</v>
      </c>
      <c r="B167" s="23" t="s">
        <v>340</v>
      </c>
      <c r="C167" s="24">
        <v>44227.958333333336</v>
      </c>
      <c r="D167" s="24">
        <v>44288.666666666664</v>
      </c>
      <c r="E167" s="25" t="s">
        <v>341</v>
      </c>
      <c r="F167" s="42">
        <v>30000</v>
      </c>
    </row>
    <row r="168" spans="1:6" ht="15" customHeight="1" x14ac:dyDescent="0.25">
      <c r="A168" s="22" t="s">
        <v>342</v>
      </c>
      <c r="B168" s="23" t="s">
        <v>343</v>
      </c>
      <c r="C168" s="24">
        <v>44592.291666666664</v>
      </c>
      <c r="D168" s="24">
        <v>44652.666666666664</v>
      </c>
      <c r="E168" s="25" t="s">
        <v>341</v>
      </c>
      <c r="F168" s="42">
        <v>30000</v>
      </c>
    </row>
    <row r="169" spans="1:6" ht="15" customHeight="1" x14ac:dyDescent="0.25">
      <c r="A169" s="94" t="s">
        <v>344</v>
      </c>
      <c r="B169" s="95" t="s">
        <v>345</v>
      </c>
      <c r="C169" s="96">
        <v>44956.291666666664</v>
      </c>
      <c r="D169" s="96">
        <v>45016.666666666664</v>
      </c>
      <c r="E169" s="97" t="s">
        <v>341</v>
      </c>
      <c r="F169" s="43">
        <v>30000</v>
      </c>
    </row>
    <row r="170" spans="1:6" ht="15" customHeight="1" x14ac:dyDescent="0.25">
      <c r="A170" s="102" t="s">
        <v>346</v>
      </c>
      <c r="B170" s="103" t="s">
        <v>347</v>
      </c>
      <c r="C170" s="104">
        <v>44291.291666666664</v>
      </c>
      <c r="D170" s="104">
        <v>44529.666666666664</v>
      </c>
      <c r="E170" s="105" t="s">
        <v>115</v>
      </c>
      <c r="F170" s="130"/>
    </row>
    <row r="171" spans="1:6" ht="15" customHeight="1" x14ac:dyDescent="0.25">
      <c r="A171" s="88" t="s">
        <v>348</v>
      </c>
      <c r="B171" s="89" t="s">
        <v>117</v>
      </c>
      <c r="C171" s="20">
        <v>44291.291666666664</v>
      </c>
      <c r="D171" s="20">
        <v>44473.666666666664</v>
      </c>
      <c r="E171" s="21" t="s">
        <v>118</v>
      </c>
      <c r="F171" s="41"/>
    </row>
    <row r="172" spans="1:6" ht="15" customHeight="1" x14ac:dyDescent="0.25">
      <c r="A172" s="22" t="s">
        <v>349</v>
      </c>
      <c r="B172" s="23" t="s">
        <v>350</v>
      </c>
      <c r="C172" s="24">
        <v>44474.291666666664</v>
      </c>
      <c r="D172" s="24">
        <v>44529.666666666664</v>
      </c>
      <c r="E172" s="25" t="s">
        <v>30</v>
      </c>
      <c r="F172" s="42">
        <v>109000</v>
      </c>
    </row>
    <row r="173" spans="1:6" ht="15" customHeight="1" x14ac:dyDescent="0.25">
      <c r="A173" s="131" t="s">
        <v>351</v>
      </c>
      <c r="B173" s="132" t="s">
        <v>352</v>
      </c>
      <c r="C173" s="133">
        <v>43690.291666666664</v>
      </c>
      <c r="D173" s="133">
        <v>44967.666666666664</v>
      </c>
      <c r="E173" s="134" t="s">
        <v>353</v>
      </c>
      <c r="F173" s="39">
        <f>SUM(F174+F180+F184)</f>
        <v>268000</v>
      </c>
    </row>
    <row r="174" spans="1:6" ht="15" customHeight="1" x14ac:dyDescent="0.25">
      <c r="A174" s="135" t="s">
        <v>354</v>
      </c>
      <c r="B174" s="136" t="s">
        <v>355</v>
      </c>
      <c r="C174" s="137">
        <v>43690.291666666664</v>
      </c>
      <c r="D174" s="137">
        <v>44967.666666666664</v>
      </c>
      <c r="E174" s="138" t="s">
        <v>353</v>
      </c>
      <c r="F174" s="40">
        <f>SUM(F176:F179)</f>
        <v>28000</v>
      </c>
    </row>
    <row r="175" spans="1:6" ht="15" customHeight="1" x14ac:dyDescent="0.25">
      <c r="A175" s="88" t="s">
        <v>356</v>
      </c>
      <c r="B175" s="89" t="s">
        <v>357</v>
      </c>
      <c r="C175" s="20">
        <v>43690.291666666664</v>
      </c>
      <c r="D175" s="20">
        <v>43858.666666666664</v>
      </c>
      <c r="E175" s="21" t="s">
        <v>358</v>
      </c>
      <c r="F175" s="41" t="s">
        <v>0</v>
      </c>
    </row>
    <row r="176" spans="1:6" ht="15" customHeight="1" x14ac:dyDescent="0.25">
      <c r="A176" s="22" t="s">
        <v>359</v>
      </c>
      <c r="B176" s="23" t="s">
        <v>360</v>
      </c>
      <c r="C176" s="24">
        <v>43858.291666666664</v>
      </c>
      <c r="D176" s="24">
        <v>43875.666666666664</v>
      </c>
      <c r="E176" s="25" t="s">
        <v>361</v>
      </c>
      <c r="F176" s="42">
        <v>7000</v>
      </c>
    </row>
    <row r="177" spans="1:6" ht="15" customHeight="1" x14ac:dyDescent="0.25">
      <c r="A177" s="22" t="s">
        <v>362</v>
      </c>
      <c r="B177" s="23" t="s">
        <v>363</v>
      </c>
      <c r="C177" s="24">
        <v>44222.291666666664</v>
      </c>
      <c r="D177" s="24">
        <v>44239.666666666664</v>
      </c>
      <c r="E177" s="25" t="s">
        <v>361</v>
      </c>
      <c r="F177" s="42">
        <v>7000</v>
      </c>
    </row>
    <row r="178" spans="1:6" ht="15" customHeight="1" x14ac:dyDescent="0.25">
      <c r="A178" s="22" t="s">
        <v>364</v>
      </c>
      <c r="B178" s="23" t="s">
        <v>365</v>
      </c>
      <c r="C178" s="24">
        <v>44586.291666666664</v>
      </c>
      <c r="D178" s="24">
        <v>44603.666666666664</v>
      </c>
      <c r="E178" s="25" t="s">
        <v>361</v>
      </c>
      <c r="F178" s="42">
        <v>7000</v>
      </c>
    </row>
    <row r="179" spans="1:6" ht="15" customHeight="1" x14ac:dyDescent="0.25">
      <c r="A179" s="94" t="s">
        <v>366</v>
      </c>
      <c r="B179" s="95" t="s">
        <v>367</v>
      </c>
      <c r="C179" s="96">
        <v>44950.291666666664</v>
      </c>
      <c r="D179" s="96">
        <v>44967.666666666664</v>
      </c>
      <c r="E179" s="97" t="s">
        <v>361</v>
      </c>
      <c r="F179" s="43">
        <v>7000</v>
      </c>
    </row>
    <row r="180" spans="1:6" ht="15" customHeight="1" x14ac:dyDescent="0.25">
      <c r="A180" s="112" t="s">
        <v>368</v>
      </c>
      <c r="B180" s="113" t="s">
        <v>369</v>
      </c>
      <c r="C180" s="100">
        <v>43878.291666666664</v>
      </c>
      <c r="D180" s="100">
        <v>44781.666666666664</v>
      </c>
      <c r="E180" s="101" t="s">
        <v>370</v>
      </c>
      <c r="F180" s="47">
        <f>SUM(F182:F183)</f>
        <v>40000</v>
      </c>
    </row>
    <row r="181" spans="1:6" ht="15" customHeight="1" x14ac:dyDescent="0.25">
      <c r="A181" s="88" t="s">
        <v>371</v>
      </c>
      <c r="B181" s="89" t="s">
        <v>357</v>
      </c>
      <c r="C181" s="20">
        <v>43878.291666666664</v>
      </c>
      <c r="D181" s="20">
        <v>44046.666666666664</v>
      </c>
      <c r="E181" s="21" t="s">
        <v>358</v>
      </c>
      <c r="F181" s="41" t="s">
        <v>0</v>
      </c>
    </row>
    <row r="182" spans="1:6" ht="15" customHeight="1" x14ac:dyDescent="0.25">
      <c r="A182" s="22" t="s">
        <v>372</v>
      </c>
      <c r="B182" s="23" t="s">
        <v>360</v>
      </c>
      <c r="C182" s="24">
        <v>44047.291666666664</v>
      </c>
      <c r="D182" s="24">
        <v>44053.666666666664</v>
      </c>
      <c r="E182" s="25" t="s">
        <v>373</v>
      </c>
      <c r="F182" s="42">
        <v>20000</v>
      </c>
    </row>
    <row r="183" spans="1:6" ht="15" customHeight="1" x14ac:dyDescent="0.25">
      <c r="A183" s="94" t="s">
        <v>374</v>
      </c>
      <c r="B183" s="95" t="s">
        <v>365</v>
      </c>
      <c r="C183" s="96">
        <v>44775.291666666664</v>
      </c>
      <c r="D183" s="96">
        <v>44781.666666666664</v>
      </c>
      <c r="E183" s="97" t="s">
        <v>373</v>
      </c>
      <c r="F183" s="43">
        <v>20000</v>
      </c>
    </row>
    <row r="184" spans="1:6" ht="15" customHeight="1" x14ac:dyDescent="0.25">
      <c r="A184" s="112" t="s">
        <v>375</v>
      </c>
      <c r="B184" s="113" t="s">
        <v>376</v>
      </c>
      <c r="C184" s="100">
        <v>43726.291666666664</v>
      </c>
      <c r="D184" s="100">
        <v>44824.666666666664</v>
      </c>
      <c r="E184" s="101" t="s">
        <v>377</v>
      </c>
      <c r="F184" s="47">
        <f>SUM(F185:F188)</f>
        <v>200000</v>
      </c>
    </row>
    <row r="185" spans="1:6" ht="15" customHeight="1" x14ac:dyDescent="0.25">
      <c r="A185" s="88" t="s">
        <v>378</v>
      </c>
      <c r="B185" s="89" t="s">
        <v>379</v>
      </c>
      <c r="C185" s="20">
        <v>43726.291666666664</v>
      </c>
      <c r="D185" s="20">
        <v>43732.666666666664</v>
      </c>
      <c r="E185" s="21" t="s">
        <v>373</v>
      </c>
      <c r="F185" s="41">
        <v>50000</v>
      </c>
    </row>
    <row r="186" spans="1:6" ht="15" customHeight="1" x14ac:dyDescent="0.25">
      <c r="A186" s="22" t="s">
        <v>380</v>
      </c>
      <c r="B186" s="23" t="s">
        <v>381</v>
      </c>
      <c r="C186" s="24">
        <v>44090.291666666664</v>
      </c>
      <c r="D186" s="24">
        <v>44096.666666666664</v>
      </c>
      <c r="E186" s="25" t="s">
        <v>373</v>
      </c>
      <c r="F186" s="42">
        <v>50000</v>
      </c>
    </row>
    <row r="187" spans="1:6" ht="15" customHeight="1" x14ac:dyDescent="0.25">
      <c r="A187" s="22" t="s">
        <v>382</v>
      </c>
      <c r="B187" s="23" t="s">
        <v>383</v>
      </c>
      <c r="C187" s="24">
        <v>44454.291666666664</v>
      </c>
      <c r="D187" s="24">
        <v>44460.666666666664</v>
      </c>
      <c r="E187" s="25" t="s">
        <v>373</v>
      </c>
      <c r="F187" s="42">
        <v>50000</v>
      </c>
    </row>
    <row r="188" spans="1:6" ht="15" customHeight="1" x14ac:dyDescent="0.25">
      <c r="A188" s="22" t="s">
        <v>384</v>
      </c>
      <c r="B188" s="23" t="s">
        <v>385</v>
      </c>
      <c r="C188" s="24">
        <v>44818.291666666664</v>
      </c>
      <c r="D188" s="24">
        <v>44824.666666666664</v>
      </c>
      <c r="E188" s="25" t="s">
        <v>373</v>
      </c>
      <c r="F188" s="42">
        <v>50000</v>
      </c>
    </row>
    <row r="189" spans="1:6" ht="15" customHeight="1" x14ac:dyDescent="0.25">
      <c r="A189" s="14" t="s">
        <v>386</v>
      </c>
      <c r="B189" s="15" t="s">
        <v>387</v>
      </c>
      <c r="C189" s="16">
        <v>43868.291666666664</v>
      </c>
      <c r="D189" s="16">
        <v>44092.666666666664</v>
      </c>
      <c r="E189" s="17" t="s">
        <v>388</v>
      </c>
      <c r="F189" s="39">
        <f>F191</f>
        <v>60000</v>
      </c>
    </row>
    <row r="190" spans="1:6" ht="15" customHeight="1" x14ac:dyDescent="0.25">
      <c r="A190" s="18" t="s">
        <v>389</v>
      </c>
      <c r="B190" s="19" t="s">
        <v>357</v>
      </c>
      <c r="C190" s="20">
        <v>43868.291666666664</v>
      </c>
      <c r="D190" s="20">
        <v>44036.666666666664</v>
      </c>
      <c r="E190" s="21" t="s">
        <v>358</v>
      </c>
      <c r="F190" s="41" t="s">
        <v>0</v>
      </c>
    </row>
    <row r="191" spans="1:6" ht="15" customHeight="1" x14ac:dyDescent="0.25">
      <c r="A191" s="18" t="s">
        <v>390</v>
      </c>
      <c r="B191" s="19" t="s">
        <v>391</v>
      </c>
      <c r="C191" s="20">
        <v>44039.291666666664</v>
      </c>
      <c r="D191" s="20">
        <v>44092.666666666664</v>
      </c>
      <c r="E191" s="21" t="s">
        <v>30</v>
      </c>
      <c r="F191" s="41">
        <v>60000</v>
      </c>
    </row>
    <row r="192" spans="1:6" ht="15" customHeight="1" x14ac:dyDescent="0.25">
      <c r="A192" s="14" t="s">
        <v>392</v>
      </c>
      <c r="B192" s="15" t="s">
        <v>393</v>
      </c>
      <c r="C192" s="16">
        <v>43684.291666666664</v>
      </c>
      <c r="D192" s="16">
        <v>43857.666666666664</v>
      </c>
      <c r="E192" s="17" t="s">
        <v>394</v>
      </c>
      <c r="F192" s="39">
        <f>F194</f>
        <v>20000</v>
      </c>
    </row>
    <row r="193" spans="1:6" ht="15" customHeight="1" x14ac:dyDescent="0.25">
      <c r="A193" s="18" t="s">
        <v>395</v>
      </c>
      <c r="B193" s="19" t="s">
        <v>396</v>
      </c>
      <c r="C193" s="20">
        <v>43684.291666666664</v>
      </c>
      <c r="D193" s="20">
        <v>43801.666666666664</v>
      </c>
      <c r="E193" s="21" t="s">
        <v>300</v>
      </c>
      <c r="F193" s="41" t="s">
        <v>0</v>
      </c>
    </row>
    <row r="194" spans="1:6" ht="15" customHeight="1" x14ac:dyDescent="0.25">
      <c r="A194" s="18" t="s">
        <v>397</v>
      </c>
      <c r="B194" s="19" t="s">
        <v>398</v>
      </c>
      <c r="C194" s="20">
        <v>43802.291666666664</v>
      </c>
      <c r="D194" s="20">
        <v>43857.666666666664</v>
      </c>
      <c r="E194" s="21" t="s">
        <v>30</v>
      </c>
      <c r="F194" s="41">
        <v>20000</v>
      </c>
    </row>
    <row r="195" spans="1:6" ht="15" customHeight="1" x14ac:dyDescent="0.25">
      <c r="A195" s="14" t="s">
        <v>399</v>
      </c>
      <c r="B195" s="15" t="s">
        <v>400</v>
      </c>
      <c r="C195" s="16">
        <v>43566.291666666664</v>
      </c>
      <c r="D195" s="16">
        <v>43725.666666666664</v>
      </c>
      <c r="E195" s="17" t="s">
        <v>401</v>
      </c>
      <c r="F195" s="39">
        <f>F197</f>
        <v>65000</v>
      </c>
    </row>
    <row r="196" spans="1:6" ht="15" customHeight="1" x14ac:dyDescent="0.25">
      <c r="A196" s="18" t="s">
        <v>402</v>
      </c>
      <c r="B196" s="19" t="s">
        <v>212</v>
      </c>
      <c r="C196" s="20">
        <v>43566.291666666664</v>
      </c>
      <c r="D196" s="20">
        <v>43683.666666666664</v>
      </c>
      <c r="E196" s="21" t="s">
        <v>300</v>
      </c>
      <c r="F196" s="41" t="s">
        <v>0</v>
      </c>
    </row>
    <row r="197" spans="1:6" ht="15" customHeight="1" x14ac:dyDescent="0.25">
      <c r="A197" s="18" t="s">
        <v>403</v>
      </c>
      <c r="B197" s="19" t="s">
        <v>404</v>
      </c>
      <c r="C197" s="20">
        <v>43684.291666666664</v>
      </c>
      <c r="D197" s="20">
        <v>43725.666666666664</v>
      </c>
      <c r="E197" s="21" t="s">
        <v>243</v>
      </c>
      <c r="F197" s="41">
        <v>65000</v>
      </c>
    </row>
    <row r="198" spans="1:6" ht="15" customHeight="1" x14ac:dyDescent="0.25">
      <c r="A198" s="14" t="s">
        <v>405</v>
      </c>
      <c r="B198" s="15" t="s">
        <v>406</v>
      </c>
      <c r="C198" s="16">
        <v>43868.291666666664</v>
      </c>
      <c r="D198" s="16">
        <v>45268.666666666664</v>
      </c>
      <c r="E198" s="17" t="s">
        <v>407</v>
      </c>
      <c r="F198" s="39">
        <f>SUM(F200:F203)</f>
        <v>36000</v>
      </c>
    </row>
    <row r="199" spans="1:6" ht="15" customHeight="1" x14ac:dyDescent="0.25">
      <c r="A199" s="18" t="s">
        <v>408</v>
      </c>
      <c r="B199" s="19" t="s">
        <v>357</v>
      </c>
      <c r="C199" s="20">
        <v>43868.291666666664</v>
      </c>
      <c r="D199" s="20">
        <v>44036.666666666664</v>
      </c>
      <c r="E199" s="21" t="s">
        <v>358</v>
      </c>
      <c r="F199" s="41" t="s">
        <v>0</v>
      </c>
    </row>
    <row r="200" spans="1:6" ht="15" customHeight="1" x14ac:dyDescent="0.25">
      <c r="A200" s="18" t="s">
        <v>409</v>
      </c>
      <c r="B200" s="19" t="s">
        <v>410</v>
      </c>
      <c r="C200" s="20">
        <v>44039.291666666664</v>
      </c>
      <c r="D200" s="20">
        <v>44176.666666666664</v>
      </c>
      <c r="E200" s="21" t="s">
        <v>49</v>
      </c>
      <c r="F200" s="41">
        <v>9000</v>
      </c>
    </row>
    <row r="201" spans="1:6" ht="15" customHeight="1" x14ac:dyDescent="0.25">
      <c r="A201" s="18" t="s">
        <v>411</v>
      </c>
      <c r="B201" s="19" t="s">
        <v>412</v>
      </c>
      <c r="C201" s="20">
        <v>44375.291666666664</v>
      </c>
      <c r="D201" s="20">
        <v>44540.666666666664</v>
      </c>
      <c r="E201" s="21" t="s">
        <v>166</v>
      </c>
      <c r="F201" s="41">
        <v>9000</v>
      </c>
    </row>
    <row r="202" spans="1:6" ht="15" customHeight="1" x14ac:dyDescent="0.25">
      <c r="A202" s="18" t="s">
        <v>413</v>
      </c>
      <c r="B202" s="19" t="s">
        <v>414</v>
      </c>
      <c r="C202" s="20">
        <v>44739.291666666664</v>
      </c>
      <c r="D202" s="20">
        <v>44904.666666666664</v>
      </c>
      <c r="E202" s="21" t="s">
        <v>166</v>
      </c>
      <c r="F202" s="41">
        <v>9000</v>
      </c>
    </row>
    <row r="203" spans="1:6" ht="15" customHeight="1" x14ac:dyDescent="0.25">
      <c r="A203" s="18" t="s">
        <v>415</v>
      </c>
      <c r="B203" s="19" t="s">
        <v>416</v>
      </c>
      <c r="C203" s="20">
        <v>45103.291666666664</v>
      </c>
      <c r="D203" s="20">
        <v>45268.666666666664</v>
      </c>
      <c r="E203" s="21" t="s">
        <v>166</v>
      </c>
      <c r="F203" s="41">
        <v>9000</v>
      </c>
    </row>
    <row r="204" spans="1:6" ht="15" customHeight="1" x14ac:dyDescent="0.25">
      <c r="A204" s="14" t="s">
        <v>417</v>
      </c>
      <c r="B204" s="15" t="s">
        <v>418</v>
      </c>
      <c r="C204" s="16">
        <v>43566.291666666664</v>
      </c>
      <c r="D204" s="16">
        <v>43759.666666666664</v>
      </c>
      <c r="E204" s="17" t="s">
        <v>286</v>
      </c>
      <c r="F204" s="39">
        <f>F206</f>
        <v>15000</v>
      </c>
    </row>
    <row r="205" spans="1:6" ht="15" customHeight="1" x14ac:dyDescent="0.25">
      <c r="A205" s="18" t="s">
        <v>419</v>
      </c>
      <c r="B205" s="19" t="s">
        <v>288</v>
      </c>
      <c r="C205" s="20">
        <v>43566.291666666664</v>
      </c>
      <c r="D205" s="20">
        <v>43717.666666666664</v>
      </c>
      <c r="E205" s="21" t="s">
        <v>21</v>
      </c>
      <c r="F205" s="41" t="s">
        <v>0</v>
      </c>
    </row>
    <row r="206" spans="1:6" ht="15" customHeight="1" x14ac:dyDescent="0.25">
      <c r="A206" s="18" t="s">
        <v>420</v>
      </c>
      <c r="B206" s="19" t="s">
        <v>421</v>
      </c>
      <c r="C206" s="20">
        <v>43718.291666666664</v>
      </c>
      <c r="D206" s="20">
        <v>43759.666666666664</v>
      </c>
      <c r="E206" s="21" t="s">
        <v>243</v>
      </c>
      <c r="F206" s="41">
        <v>15000</v>
      </c>
    </row>
    <row r="207" spans="1:6" ht="15" customHeight="1" x14ac:dyDescent="0.25">
      <c r="A207" s="14" t="s">
        <v>422</v>
      </c>
      <c r="B207" s="15" t="s">
        <v>423</v>
      </c>
      <c r="C207" s="16">
        <v>43718.291666666664</v>
      </c>
      <c r="D207" s="16">
        <v>43993.666666666664</v>
      </c>
      <c r="E207" s="17" t="s">
        <v>424</v>
      </c>
      <c r="F207" s="39">
        <f>F209</f>
        <v>63000</v>
      </c>
    </row>
    <row r="208" spans="1:6" ht="15" customHeight="1" x14ac:dyDescent="0.25">
      <c r="A208" s="18" t="s">
        <v>425</v>
      </c>
      <c r="B208" s="19" t="s">
        <v>212</v>
      </c>
      <c r="C208" s="20">
        <v>43718.291666666664</v>
      </c>
      <c r="D208" s="20">
        <v>43867.666666666664</v>
      </c>
      <c r="E208" s="21" t="s">
        <v>21</v>
      </c>
      <c r="F208" s="41" t="s">
        <v>0</v>
      </c>
    </row>
    <row r="209" spans="1:6" ht="15" customHeight="1" x14ac:dyDescent="0.25">
      <c r="A209" s="18" t="s">
        <v>426</v>
      </c>
      <c r="B209" s="19" t="s">
        <v>427</v>
      </c>
      <c r="C209" s="20">
        <v>43868.291666666664</v>
      </c>
      <c r="D209" s="20">
        <v>43993.666666666664</v>
      </c>
      <c r="E209" s="21" t="s">
        <v>80</v>
      </c>
      <c r="F209" s="41">
        <v>63000</v>
      </c>
    </row>
    <row r="210" spans="1:6" ht="15" customHeight="1" x14ac:dyDescent="0.25">
      <c r="A210" s="14" t="s">
        <v>428</v>
      </c>
      <c r="B210" s="15" t="s">
        <v>429</v>
      </c>
      <c r="C210" s="16">
        <v>43868.291666666664</v>
      </c>
      <c r="D210" s="16">
        <v>44145.666666666664</v>
      </c>
      <c r="E210" s="17" t="s">
        <v>424</v>
      </c>
      <c r="F210" s="39">
        <f>F212</f>
        <v>30000</v>
      </c>
    </row>
    <row r="211" spans="1:6" ht="15" customHeight="1" x14ac:dyDescent="0.25">
      <c r="A211" s="18" t="s">
        <v>430</v>
      </c>
      <c r="B211" s="19" t="s">
        <v>212</v>
      </c>
      <c r="C211" s="20">
        <v>43868.291666666664</v>
      </c>
      <c r="D211" s="20">
        <v>44019.666666666664</v>
      </c>
      <c r="E211" s="21" t="s">
        <v>21</v>
      </c>
      <c r="F211" s="41" t="s">
        <v>0</v>
      </c>
    </row>
    <row r="212" spans="1:6" ht="15" customHeight="1" x14ac:dyDescent="0.25">
      <c r="A212" s="18" t="s">
        <v>431</v>
      </c>
      <c r="B212" s="19" t="s">
        <v>432</v>
      </c>
      <c r="C212" s="20">
        <v>44020.291666666664</v>
      </c>
      <c r="D212" s="20">
        <v>44145.666666666664</v>
      </c>
      <c r="E212" s="21" t="s">
        <v>80</v>
      </c>
      <c r="F212" s="41">
        <v>30000</v>
      </c>
    </row>
    <row r="213" spans="1:6" ht="15" customHeight="1" x14ac:dyDescent="0.25">
      <c r="A213" s="14" t="s">
        <v>433</v>
      </c>
      <c r="B213" s="15" t="s">
        <v>434</v>
      </c>
      <c r="C213" s="16">
        <v>43565.666666666664</v>
      </c>
      <c r="D213" s="16">
        <v>44847.666666666664</v>
      </c>
      <c r="E213" s="17" t="s">
        <v>435</v>
      </c>
      <c r="F213" s="39">
        <f>SUM(F214+F216+F219)</f>
        <v>36000</v>
      </c>
    </row>
    <row r="214" spans="1:6" ht="15" customHeight="1" x14ac:dyDescent="0.25">
      <c r="A214" s="18" t="s">
        <v>436</v>
      </c>
      <c r="B214" s="19" t="s">
        <v>437</v>
      </c>
      <c r="C214" s="20">
        <v>43565.666666666664</v>
      </c>
      <c r="D214" s="20">
        <v>43565.666666666664</v>
      </c>
      <c r="E214" s="21" t="s">
        <v>75</v>
      </c>
      <c r="F214" s="40">
        <v>12000</v>
      </c>
    </row>
    <row r="215" spans="1:6" ht="15" customHeight="1" x14ac:dyDescent="0.25">
      <c r="A215" s="18" t="s">
        <v>438</v>
      </c>
      <c r="B215" s="19" t="s">
        <v>357</v>
      </c>
      <c r="C215" s="20">
        <v>43566.291666666664</v>
      </c>
      <c r="D215" s="20">
        <v>43734.666666666664</v>
      </c>
      <c r="E215" s="21" t="s">
        <v>358</v>
      </c>
      <c r="F215" s="44" t="s">
        <v>0</v>
      </c>
    </row>
    <row r="216" spans="1:6" ht="15" customHeight="1" x14ac:dyDescent="0.25">
      <c r="A216" s="18" t="s">
        <v>439</v>
      </c>
      <c r="B216" s="19" t="s">
        <v>440</v>
      </c>
      <c r="C216" s="20">
        <v>43735.291666666664</v>
      </c>
      <c r="D216" s="20">
        <v>44476.666666666664</v>
      </c>
      <c r="E216" s="21" t="s">
        <v>441</v>
      </c>
      <c r="F216" s="47">
        <f>SUM(F217:F218)</f>
        <v>12000</v>
      </c>
    </row>
    <row r="217" spans="1:6" ht="15" customHeight="1" x14ac:dyDescent="0.25">
      <c r="A217" s="22" t="s">
        <v>442</v>
      </c>
      <c r="B217" s="23" t="s">
        <v>379</v>
      </c>
      <c r="C217" s="24">
        <v>43735.291666666664</v>
      </c>
      <c r="D217" s="24">
        <v>43741.666666666664</v>
      </c>
      <c r="E217" s="25" t="s">
        <v>373</v>
      </c>
      <c r="F217" s="41">
        <v>6000</v>
      </c>
    </row>
    <row r="218" spans="1:6" ht="15" customHeight="1" x14ac:dyDescent="0.25">
      <c r="A218" s="22" t="s">
        <v>443</v>
      </c>
      <c r="B218" s="23" t="s">
        <v>383</v>
      </c>
      <c r="C218" s="24">
        <v>44470.291666666664</v>
      </c>
      <c r="D218" s="24">
        <v>44476.666666666664</v>
      </c>
      <c r="E218" s="25" t="s">
        <v>373</v>
      </c>
      <c r="F218" s="43">
        <v>6000</v>
      </c>
    </row>
    <row r="219" spans="1:6" ht="15" customHeight="1" x14ac:dyDescent="0.25">
      <c r="A219" s="18" t="s">
        <v>444</v>
      </c>
      <c r="B219" s="19" t="s">
        <v>445</v>
      </c>
      <c r="C219" s="20">
        <v>44106.291666666664</v>
      </c>
      <c r="D219" s="20">
        <v>44847.666666666664</v>
      </c>
      <c r="E219" s="21" t="s">
        <v>441</v>
      </c>
      <c r="F219" s="47">
        <f>SUM(F220:F221)</f>
        <v>12000</v>
      </c>
    </row>
    <row r="220" spans="1:6" ht="15" customHeight="1" x14ac:dyDescent="0.25">
      <c r="A220" s="22" t="s">
        <v>446</v>
      </c>
      <c r="B220" s="23" t="s">
        <v>381</v>
      </c>
      <c r="C220" s="24">
        <v>44106.291666666664</v>
      </c>
      <c r="D220" s="24">
        <v>44112.666666666664</v>
      </c>
      <c r="E220" s="25" t="s">
        <v>373</v>
      </c>
      <c r="F220" s="41">
        <v>6000</v>
      </c>
    </row>
    <row r="221" spans="1:6" ht="15" customHeight="1" x14ac:dyDescent="0.25">
      <c r="A221" s="22" t="s">
        <v>447</v>
      </c>
      <c r="B221" s="23" t="s">
        <v>385</v>
      </c>
      <c r="C221" s="24">
        <v>44841.291666666664</v>
      </c>
      <c r="D221" s="24">
        <v>44847.666666666664</v>
      </c>
      <c r="E221" s="25" t="s">
        <v>373</v>
      </c>
      <c r="F221" s="42">
        <v>6000</v>
      </c>
    </row>
    <row r="222" spans="1:6" ht="15" customHeight="1" x14ac:dyDescent="0.25">
      <c r="A222" s="14" t="s">
        <v>448</v>
      </c>
      <c r="B222" s="15" t="s">
        <v>449</v>
      </c>
      <c r="C222" s="16">
        <v>43566.291666666664</v>
      </c>
      <c r="D222" s="16">
        <v>44574.666666666664</v>
      </c>
      <c r="E222" s="17" t="s">
        <v>450</v>
      </c>
      <c r="F222" s="39">
        <f>SUM(F224:F225)</f>
        <v>36000</v>
      </c>
    </row>
    <row r="223" spans="1:6" ht="15" customHeight="1" x14ac:dyDescent="0.25">
      <c r="A223" s="18" t="s">
        <v>451</v>
      </c>
      <c r="B223" s="19" t="s">
        <v>357</v>
      </c>
      <c r="C223" s="20">
        <v>43566.291666666664</v>
      </c>
      <c r="D223" s="20">
        <v>43734.666666666664</v>
      </c>
      <c r="E223" s="21" t="s">
        <v>358</v>
      </c>
      <c r="F223" s="41" t="s">
        <v>0</v>
      </c>
    </row>
    <row r="224" spans="1:6" ht="15" customHeight="1" x14ac:dyDescent="0.25">
      <c r="A224" s="18" t="s">
        <v>452</v>
      </c>
      <c r="B224" s="19" t="s">
        <v>453</v>
      </c>
      <c r="C224" s="20">
        <v>43735.291666666664</v>
      </c>
      <c r="D224" s="20">
        <v>43790.666666666664</v>
      </c>
      <c r="E224" s="21" t="s">
        <v>30</v>
      </c>
      <c r="F224" s="41">
        <v>18000</v>
      </c>
    </row>
    <row r="225" spans="1:7" ht="15" customHeight="1" x14ac:dyDescent="0.25">
      <c r="A225" s="18" t="s">
        <v>454</v>
      </c>
      <c r="B225" s="19" t="s">
        <v>455</v>
      </c>
      <c r="C225" s="20">
        <v>44519.291666666664</v>
      </c>
      <c r="D225" s="20">
        <v>44574.666666666664</v>
      </c>
      <c r="E225" s="21" t="s">
        <v>30</v>
      </c>
      <c r="F225" s="41">
        <v>18000</v>
      </c>
    </row>
    <row r="226" spans="1:7" ht="15" customHeight="1" x14ac:dyDescent="0.25">
      <c r="A226" s="14" t="s">
        <v>456</v>
      </c>
      <c r="B226" s="15" t="s">
        <v>457</v>
      </c>
      <c r="C226" s="16">
        <v>43566.291666666664</v>
      </c>
      <c r="D226" s="16">
        <v>44518.666666666664</v>
      </c>
      <c r="E226" s="17" t="s">
        <v>458</v>
      </c>
      <c r="F226" s="39">
        <f>SUM(F228:F229)</f>
        <v>36000</v>
      </c>
    </row>
    <row r="227" spans="1:7" ht="15" customHeight="1" x14ac:dyDescent="0.25">
      <c r="A227" s="18" t="s">
        <v>459</v>
      </c>
      <c r="B227" s="19" t="s">
        <v>460</v>
      </c>
      <c r="C227" s="20">
        <v>43566.291666666664</v>
      </c>
      <c r="D227" s="20">
        <v>43734.666666666664</v>
      </c>
      <c r="E227" s="21" t="s">
        <v>358</v>
      </c>
      <c r="F227" s="41" t="s">
        <v>0</v>
      </c>
    </row>
    <row r="228" spans="1:7" ht="15" customHeight="1" x14ac:dyDescent="0.25">
      <c r="A228" s="18" t="s">
        <v>461</v>
      </c>
      <c r="B228" s="19" t="s">
        <v>462</v>
      </c>
      <c r="C228" s="20">
        <v>43735.291666666664</v>
      </c>
      <c r="D228" s="20">
        <v>43790.666666666664</v>
      </c>
      <c r="E228" s="21" t="s">
        <v>30</v>
      </c>
      <c r="F228" s="41">
        <v>18000</v>
      </c>
    </row>
    <row r="229" spans="1:7" ht="15" customHeight="1" x14ac:dyDescent="0.25">
      <c r="A229" s="18" t="s">
        <v>463</v>
      </c>
      <c r="B229" s="19" t="s">
        <v>464</v>
      </c>
      <c r="C229" s="20">
        <v>44463.291666666664</v>
      </c>
      <c r="D229" s="20">
        <v>44518.666666666664</v>
      </c>
      <c r="E229" s="21" t="s">
        <v>30</v>
      </c>
      <c r="F229" s="41">
        <v>18000</v>
      </c>
    </row>
    <row r="230" spans="1:7" ht="15" customHeight="1" thickBot="1" x14ac:dyDescent="0.3">
      <c r="A230" s="26" t="s">
        <v>0</v>
      </c>
      <c r="B230" s="26" t="s">
        <v>0</v>
      </c>
      <c r="C230" s="26" t="s">
        <v>0</v>
      </c>
      <c r="D230" s="26" t="s">
        <v>0</v>
      </c>
      <c r="E230" s="26" t="s">
        <v>0</v>
      </c>
      <c r="F230" s="50">
        <v>64000</v>
      </c>
    </row>
    <row r="231" spans="1:7" ht="15" customHeight="1" x14ac:dyDescent="0.25">
      <c r="A231" s="10"/>
      <c r="B231" s="11"/>
      <c r="C231" s="12" t="s">
        <v>466</v>
      </c>
      <c r="D231" s="12"/>
      <c r="E231" s="13"/>
      <c r="F231" s="242">
        <f>SUM(F232+F243+F244+F249+F240)</f>
        <v>1665000</v>
      </c>
    </row>
    <row r="232" spans="1:7" ht="15" customHeight="1" x14ac:dyDescent="0.25">
      <c r="C232" s="57" t="s">
        <v>467</v>
      </c>
      <c r="D232" s="58">
        <v>43565.666666666664</v>
      </c>
      <c r="E232" s="58">
        <v>45358.666666666664</v>
      </c>
      <c r="F232" s="243">
        <f>SUM(F233:F239)</f>
        <v>764000</v>
      </c>
      <c r="G232" s="185"/>
    </row>
    <row r="233" spans="1:7" ht="15" customHeight="1" x14ac:dyDescent="0.25">
      <c r="A233" s="59"/>
      <c r="B233" s="59"/>
      <c r="C233" s="60" t="s">
        <v>468</v>
      </c>
      <c r="D233" s="61"/>
      <c r="E233" s="61"/>
      <c r="F233" s="244">
        <f>60*4000</f>
        <v>240000</v>
      </c>
    </row>
    <row r="234" spans="1:7" ht="15" customHeight="1" x14ac:dyDescent="0.25">
      <c r="A234" s="62"/>
      <c r="B234" s="62"/>
      <c r="C234" s="63" t="s">
        <v>469</v>
      </c>
      <c r="D234" s="64"/>
      <c r="E234" s="64"/>
      <c r="F234" s="245">
        <f>60*1800</f>
        <v>108000</v>
      </c>
    </row>
    <row r="235" spans="1:7" ht="15" customHeight="1" x14ac:dyDescent="0.25">
      <c r="A235" s="62"/>
      <c r="B235" s="62"/>
      <c r="C235" s="63" t="s">
        <v>68</v>
      </c>
      <c r="D235" s="64"/>
      <c r="E235" s="64"/>
      <c r="F235" s="53">
        <f>60*1800</f>
        <v>108000</v>
      </c>
    </row>
    <row r="236" spans="1:7" ht="15" customHeight="1" x14ac:dyDescent="0.25">
      <c r="A236" s="62"/>
      <c r="B236" s="62"/>
      <c r="C236" s="63" t="s">
        <v>84</v>
      </c>
      <c r="D236" s="64"/>
      <c r="E236" s="64"/>
      <c r="F236" s="53">
        <f>1800*60</f>
        <v>108000</v>
      </c>
    </row>
    <row r="237" spans="1:7" ht="15" customHeight="1" x14ac:dyDescent="0.25">
      <c r="A237" s="184"/>
      <c r="B237" s="184"/>
      <c r="C237" s="246" t="s">
        <v>585</v>
      </c>
      <c r="D237" s="247"/>
      <c r="E237" s="247"/>
      <c r="F237" s="248">
        <v>70000</v>
      </c>
    </row>
    <row r="238" spans="1:7" ht="15" customHeight="1" x14ac:dyDescent="0.25">
      <c r="A238" s="184"/>
      <c r="B238" s="184"/>
      <c r="C238" s="246" t="s">
        <v>586</v>
      </c>
      <c r="D238" s="247"/>
      <c r="E238" s="247"/>
      <c r="F238" s="248">
        <v>70000</v>
      </c>
    </row>
    <row r="239" spans="1:7" ht="15" customHeight="1" x14ac:dyDescent="0.25">
      <c r="A239" s="184"/>
      <c r="B239" s="184"/>
      <c r="C239" s="246" t="s">
        <v>587</v>
      </c>
      <c r="D239" s="247"/>
      <c r="E239" s="247"/>
      <c r="F239" s="248">
        <v>60000</v>
      </c>
    </row>
    <row r="240" spans="1:7" ht="15" customHeight="1" x14ac:dyDescent="0.25">
      <c r="A240" s="65"/>
      <c r="B240" s="65"/>
      <c r="C240" s="66" t="s">
        <v>470</v>
      </c>
      <c r="D240" s="67">
        <v>43565.666666666664</v>
      </c>
      <c r="E240" s="67">
        <v>45358.666666666664</v>
      </c>
      <c r="F240" s="54">
        <f>SUM(F241:F242)</f>
        <v>280000</v>
      </c>
    </row>
    <row r="241" spans="1:6" ht="15" customHeight="1" x14ac:dyDescent="0.25">
      <c r="A241" s="61"/>
      <c r="B241" s="61"/>
      <c r="C241" s="60" t="s">
        <v>32</v>
      </c>
      <c r="D241" s="68">
        <v>43565.666666666664</v>
      </c>
      <c r="E241" s="69">
        <v>44797.666666666664</v>
      </c>
      <c r="F241" s="52">
        <f>4000*40</f>
        <v>160000</v>
      </c>
    </row>
    <row r="242" spans="1:6" ht="15" customHeight="1" x14ac:dyDescent="0.25">
      <c r="A242" s="70"/>
      <c r="B242" s="70"/>
      <c r="C242" s="71" t="s">
        <v>471</v>
      </c>
      <c r="D242" s="72">
        <v>43565.666666666664</v>
      </c>
      <c r="E242" s="72">
        <v>45358.666666666664</v>
      </c>
      <c r="F242" s="55">
        <f>2000*60</f>
        <v>120000</v>
      </c>
    </row>
    <row r="243" spans="1:6" ht="15" customHeight="1" x14ac:dyDescent="0.25">
      <c r="A243" s="56"/>
      <c r="B243" s="56"/>
      <c r="C243" s="57" t="s">
        <v>472</v>
      </c>
      <c r="D243" s="58">
        <v>43565.666666666664</v>
      </c>
      <c r="E243" s="74">
        <v>44720</v>
      </c>
      <c r="F243" s="51">
        <f>3500*36</f>
        <v>126000</v>
      </c>
    </row>
    <row r="244" spans="1:6" ht="15" customHeight="1" x14ac:dyDescent="0.25">
      <c r="A244" s="73"/>
      <c r="B244" s="73"/>
      <c r="C244" s="57" t="s">
        <v>473</v>
      </c>
      <c r="D244" s="73"/>
      <c r="E244" s="73"/>
      <c r="F244" s="51">
        <f>SUM(F245:F248)</f>
        <v>365000</v>
      </c>
    </row>
    <row r="245" spans="1:6" ht="15" customHeight="1" x14ac:dyDescent="0.25">
      <c r="A245" s="73"/>
      <c r="B245" s="73"/>
      <c r="C245" s="75" t="s">
        <v>474</v>
      </c>
      <c r="D245" s="73"/>
      <c r="E245" s="73"/>
      <c r="F245" s="51">
        <v>100000</v>
      </c>
    </row>
    <row r="246" spans="1:6" ht="15" customHeight="1" x14ac:dyDescent="0.25">
      <c r="A246" s="73"/>
      <c r="B246" s="73"/>
      <c r="C246" s="75" t="s">
        <v>475</v>
      </c>
      <c r="D246" s="73"/>
      <c r="E246" s="73"/>
      <c r="F246" s="51">
        <v>40000</v>
      </c>
    </row>
    <row r="247" spans="1:6" ht="15" customHeight="1" x14ac:dyDescent="0.25">
      <c r="A247" s="73"/>
      <c r="B247" s="73"/>
      <c r="C247" s="75" t="s">
        <v>476</v>
      </c>
      <c r="D247" s="73"/>
      <c r="E247" s="73"/>
      <c r="F247" s="51">
        <v>50000</v>
      </c>
    </row>
    <row r="248" spans="1:6" ht="15" customHeight="1" x14ac:dyDescent="0.25">
      <c r="A248" s="73"/>
      <c r="B248" s="73"/>
      <c r="C248" s="75" t="s">
        <v>477</v>
      </c>
      <c r="D248" s="73"/>
      <c r="E248" s="73"/>
      <c r="F248" s="51">
        <v>175000</v>
      </c>
    </row>
    <row r="249" spans="1:6" ht="15" customHeight="1" thickBot="1" x14ac:dyDescent="0.3">
      <c r="A249" s="73"/>
      <c r="B249" s="73"/>
      <c r="C249" s="57" t="s">
        <v>478</v>
      </c>
      <c r="D249" s="73"/>
      <c r="E249" s="73"/>
      <c r="F249" s="51">
        <v>130000</v>
      </c>
    </row>
    <row r="250" spans="1:6" ht="15" customHeight="1" x14ac:dyDescent="0.25">
      <c r="A250" s="10"/>
      <c r="B250" s="11"/>
      <c r="C250" s="12" t="s">
        <v>479</v>
      </c>
      <c r="D250" s="12"/>
      <c r="E250" s="13"/>
      <c r="F250" s="242">
        <f>20000000-F231-F136-F92-F44</f>
        <v>623000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FFA0-1141-429D-B21D-977598C311FF}">
  <dimension ref="A1:AA117"/>
  <sheetViews>
    <sheetView tabSelected="1" workbookViewId="0">
      <selection activeCell="J16" sqref="J16"/>
    </sheetView>
  </sheetViews>
  <sheetFormatPr defaultColWidth="11.5703125" defaultRowHeight="15" customHeight="1" x14ac:dyDescent="0.25"/>
  <cols>
    <col min="1" max="4" width="16.85546875" customWidth="1"/>
    <col min="6" max="6" width="24.85546875" customWidth="1"/>
  </cols>
  <sheetData>
    <row r="1" spans="1:27" s="1" customFormat="1" ht="30" customHeight="1" thickBot="1" x14ac:dyDescent="0.5">
      <c r="A1" s="27" t="s">
        <v>588</v>
      </c>
      <c r="B1" s="2"/>
      <c r="C1" s="2"/>
      <c r="D1" s="2"/>
      <c r="E1" s="2"/>
      <c r="F1" s="27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8" customHeight="1" x14ac:dyDescent="0.25"/>
    <row r="3" spans="1:27" s="3" customFormat="1" ht="15.75" customHeight="1" thickBot="1" x14ac:dyDescent="0.3">
      <c r="A3" s="4" t="s">
        <v>0</v>
      </c>
      <c r="B3" s="5" t="s">
        <v>0</v>
      </c>
      <c r="C3" s="4" t="s">
        <v>1</v>
      </c>
      <c r="D3" s="4" t="s">
        <v>2</v>
      </c>
      <c r="E3" s="4" t="s">
        <v>3</v>
      </c>
      <c r="F3" s="28" t="s">
        <v>582</v>
      </c>
    </row>
    <row r="4" spans="1:27" s="6" customFormat="1" ht="15" customHeight="1" thickBot="1" x14ac:dyDescent="0.3">
      <c r="A4" s="7" t="s">
        <v>4</v>
      </c>
      <c r="B4" s="7" t="s">
        <v>5</v>
      </c>
      <c r="C4" s="8">
        <v>43241.291666666664</v>
      </c>
      <c r="D4" s="8">
        <v>45656.666666666664</v>
      </c>
      <c r="E4" s="9" t="s">
        <v>6</v>
      </c>
      <c r="F4" s="29">
        <f>SUM(F44+F58+F65+F105)</f>
        <v>574466.66666666663</v>
      </c>
    </row>
    <row r="5" spans="1:27" ht="15" customHeight="1" x14ac:dyDescent="0.25">
      <c r="A5" s="10" t="s">
        <v>7</v>
      </c>
      <c r="B5" s="11" t="s">
        <v>8</v>
      </c>
      <c r="C5" s="12">
        <v>43241.291666666664</v>
      </c>
      <c r="D5" s="12">
        <v>43565.666666666664</v>
      </c>
      <c r="E5" s="13" t="s">
        <v>9</v>
      </c>
      <c r="F5" s="30">
        <f>F8+F13+F19+F25+F31+F33+F41</f>
        <v>228500</v>
      </c>
    </row>
    <row r="6" spans="1:27" ht="15" customHeight="1" x14ac:dyDescent="0.25">
      <c r="A6" s="76" t="s">
        <v>10</v>
      </c>
      <c r="B6" s="77" t="s">
        <v>11</v>
      </c>
      <c r="C6" s="78">
        <v>43241.291666666664</v>
      </c>
      <c r="D6" s="78">
        <v>43259.666666666664</v>
      </c>
      <c r="E6" s="79" t="s">
        <v>12</v>
      </c>
      <c r="F6" s="31" t="s">
        <v>0</v>
      </c>
    </row>
    <row r="7" spans="1:27" ht="15" customHeight="1" x14ac:dyDescent="0.25">
      <c r="A7" s="76" t="s">
        <v>13</v>
      </c>
      <c r="B7" s="77" t="s">
        <v>14</v>
      </c>
      <c r="C7" s="78">
        <v>43262.291666666664</v>
      </c>
      <c r="D7" s="78">
        <v>43551.666666666664</v>
      </c>
      <c r="E7" s="79" t="s">
        <v>15</v>
      </c>
      <c r="F7" s="32" t="s">
        <v>0</v>
      </c>
    </row>
    <row r="8" spans="1:27" ht="15" customHeight="1" x14ac:dyDescent="0.25">
      <c r="A8" s="80" t="s">
        <v>16</v>
      </c>
      <c r="B8" s="81" t="s">
        <v>17</v>
      </c>
      <c r="C8" s="82">
        <v>43262.291666666664</v>
      </c>
      <c r="D8" s="82">
        <v>43495.666666666664</v>
      </c>
      <c r="E8" s="83" t="s">
        <v>18</v>
      </c>
      <c r="F8" s="33">
        <f>6000*6</f>
        <v>36000</v>
      </c>
    </row>
    <row r="9" spans="1:27" ht="15" customHeight="1" x14ac:dyDescent="0.25">
      <c r="A9" s="84" t="s">
        <v>19</v>
      </c>
      <c r="B9" s="85" t="s">
        <v>20</v>
      </c>
      <c r="C9" s="86">
        <v>43262.291666666664</v>
      </c>
      <c r="D9" s="86">
        <v>43411.666666666664</v>
      </c>
      <c r="E9" s="87" t="s">
        <v>21</v>
      </c>
      <c r="F9" s="34" t="s">
        <v>0</v>
      </c>
    </row>
    <row r="10" spans="1:27" ht="15" customHeight="1" x14ac:dyDescent="0.25">
      <c r="A10" s="84" t="s">
        <v>22</v>
      </c>
      <c r="B10" s="85" t="s">
        <v>23</v>
      </c>
      <c r="C10" s="86">
        <v>43412.291666666664</v>
      </c>
      <c r="D10" s="86">
        <v>43495.666666666664</v>
      </c>
      <c r="E10" s="87" t="s">
        <v>24</v>
      </c>
      <c r="F10" s="35" t="s">
        <v>0</v>
      </c>
    </row>
    <row r="11" spans="1:27" ht="15" customHeight="1" x14ac:dyDescent="0.25">
      <c r="A11" s="84" t="s">
        <v>25</v>
      </c>
      <c r="B11" s="85" t="s">
        <v>26</v>
      </c>
      <c r="C11" s="86">
        <v>43412.291666666664</v>
      </c>
      <c r="D11" s="86">
        <v>43439.666666666664</v>
      </c>
      <c r="E11" s="87" t="s">
        <v>27</v>
      </c>
      <c r="F11" s="35" t="s">
        <v>0</v>
      </c>
    </row>
    <row r="12" spans="1:27" ht="15" customHeight="1" x14ac:dyDescent="0.25">
      <c r="A12" s="84" t="s">
        <v>28</v>
      </c>
      <c r="B12" s="85" t="s">
        <v>29</v>
      </c>
      <c r="C12" s="86">
        <v>43440.291666666664</v>
      </c>
      <c r="D12" s="86">
        <v>43495.666666666664</v>
      </c>
      <c r="E12" s="87" t="s">
        <v>30</v>
      </c>
      <c r="F12" s="36" t="s">
        <v>0</v>
      </c>
    </row>
    <row r="13" spans="1:27" ht="15" customHeight="1" x14ac:dyDescent="0.25">
      <c r="A13" s="80" t="s">
        <v>31</v>
      </c>
      <c r="B13" s="81" t="s">
        <v>32</v>
      </c>
      <c r="C13" s="82">
        <v>43262.291666666664</v>
      </c>
      <c r="D13" s="82">
        <v>43523.666666666664</v>
      </c>
      <c r="E13" s="83" t="s">
        <v>33</v>
      </c>
      <c r="F13" s="37">
        <f>6000*6</f>
        <v>36000</v>
      </c>
    </row>
    <row r="14" spans="1:27" ht="15" customHeight="1" x14ac:dyDescent="0.25">
      <c r="A14" s="84" t="s">
        <v>34</v>
      </c>
      <c r="B14" s="85" t="s">
        <v>35</v>
      </c>
      <c r="C14" s="86">
        <v>43262.291666666664</v>
      </c>
      <c r="D14" s="86">
        <v>43411.666666666664</v>
      </c>
      <c r="E14" s="87" t="s">
        <v>21</v>
      </c>
      <c r="F14" s="34" t="s">
        <v>0</v>
      </c>
    </row>
    <row r="15" spans="1:27" ht="15" customHeight="1" x14ac:dyDescent="0.25">
      <c r="A15" s="84" t="s">
        <v>36</v>
      </c>
      <c r="B15" s="85" t="s">
        <v>23</v>
      </c>
      <c r="C15" s="86">
        <v>43412.291666666664</v>
      </c>
      <c r="D15" s="86">
        <v>43523.666666666664</v>
      </c>
      <c r="E15" s="87" t="s">
        <v>37</v>
      </c>
      <c r="F15" s="35" t="s">
        <v>0</v>
      </c>
    </row>
    <row r="16" spans="1:27" ht="15" customHeight="1" x14ac:dyDescent="0.25">
      <c r="A16" s="84" t="s">
        <v>38</v>
      </c>
      <c r="B16" s="85" t="s">
        <v>39</v>
      </c>
      <c r="C16" s="86">
        <v>43496.291666666664</v>
      </c>
      <c r="D16" s="86">
        <v>43523.666666666664</v>
      </c>
      <c r="E16" s="87" t="s">
        <v>27</v>
      </c>
      <c r="F16" s="35" t="s">
        <v>0</v>
      </c>
    </row>
    <row r="17" spans="1:6" ht="15" customHeight="1" x14ac:dyDescent="0.25">
      <c r="A17" s="84" t="s">
        <v>40</v>
      </c>
      <c r="B17" s="85" t="s">
        <v>41</v>
      </c>
      <c r="C17" s="86">
        <v>43412.291666666664</v>
      </c>
      <c r="D17" s="86">
        <v>43467.666666666664</v>
      </c>
      <c r="E17" s="87" t="s">
        <v>30</v>
      </c>
      <c r="F17" s="35" t="s">
        <v>0</v>
      </c>
    </row>
    <row r="18" spans="1:6" ht="15" customHeight="1" x14ac:dyDescent="0.25">
      <c r="A18" s="84" t="s">
        <v>42</v>
      </c>
      <c r="B18" s="85" t="s">
        <v>43</v>
      </c>
      <c r="C18" s="86">
        <v>43412.291666666664</v>
      </c>
      <c r="D18" s="86">
        <v>43495.666666666664</v>
      </c>
      <c r="E18" s="87" t="s">
        <v>24</v>
      </c>
      <c r="F18" s="36" t="s">
        <v>0</v>
      </c>
    </row>
    <row r="19" spans="1:6" ht="15" customHeight="1" x14ac:dyDescent="0.25">
      <c r="A19" s="80" t="s">
        <v>44</v>
      </c>
      <c r="B19" s="81" t="s">
        <v>45</v>
      </c>
      <c r="C19" s="82">
        <v>43262.291666666664</v>
      </c>
      <c r="D19" s="82">
        <v>43551.666666666664</v>
      </c>
      <c r="E19" s="83" t="s">
        <v>15</v>
      </c>
      <c r="F19" s="37">
        <f>10000*6</f>
        <v>60000</v>
      </c>
    </row>
    <row r="20" spans="1:6" ht="15" customHeight="1" x14ac:dyDescent="0.25">
      <c r="A20" s="84" t="s">
        <v>46</v>
      </c>
      <c r="B20" s="85" t="s">
        <v>20</v>
      </c>
      <c r="C20" s="86">
        <v>43262.291666666664</v>
      </c>
      <c r="D20" s="86">
        <v>43411.666666666664</v>
      </c>
      <c r="E20" s="87" t="s">
        <v>21</v>
      </c>
      <c r="F20" s="34" t="s">
        <v>0</v>
      </c>
    </row>
    <row r="21" spans="1:6" ht="15" customHeight="1" x14ac:dyDescent="0.25">
      <c r="A21" s="84" t="s">
        <v>47</v>
      </c>
      <c r="B21" s="85" t="s">
        <v>48</v>
      </c>
      <c r="C21" s="86">
        <v>43412.291666666664</v>
      </c>
      <c r="D21" s="86">
        <v>43551.666666666664</v>
      </c>
      <c r="E21" s="87" t="s">
        <v>49</v>
      </c>
      <c r="F21" s="35" t="s">
        <v>0</v>
      </c>
    </row>
    <row r="22" spans="1:6" ht="15" customHeight="1" x14ac:dyDescent="0.25">
      <c r="A22" s="84" t="s">
        <v>50</v>
      </c>
      <c r="B22" s="85" t="s">
        <v>51</v>
      </c>
      <c r="C22" s="86">
        <v>43412.291666666664</v>
      </c>
      <c r="D22" s="86">
        <v>43439.666666666664</v>
      </c>
      <c r="E22" s="87" t="s">
        <v>27</v>
      </c>
      <c r="F22" s="35" t="s">
        <v>0</v>
      </c>
    </row>
    <row r="23" spans="1:6" ht="15" customHeight="1" x14ac:dyDescent="0.25">
      <c r="A23" s="84" t="s">
        <v>52</v>
      </c>
      <c r="B23" s="85" t="s">
        <v>53</v>
      </c>
      <c r="C23" s="86">
        <v>43440.291666666664</v>
      </c>
      <c r="D23" s="86">
        <v>43523.666666666664</v>
      </c>
      <c r="E23" s="87" t="s">
        <v>24</v>
      </c>
      <c r="F23" s="35" t="s">
        <v>0</v>
      </c>
    </row>
    <row r="24" spans="1:6" ht="15" customHeight="1" x14ac:dyDescent="0.25">
      <c r="A24" s="84" t="s">
        <v>54</v>
      </c>
      <c r="B24" s="85" t="s">
        <v>55</v>
      </c>
      <c r="C24" s="86">
        <v>43524.291666666664</v>
      </c>
      <c r="D24" s="86">
        <v>43551.666666666664</v>
      </c>
      <c r="E24" s="87" t="s">
        <v>27</v>
      </c>
      <c r="F24" s="36" t="s">
        <v>0</v>
      </c>
    </row>
    <row r="25" spans="1:6" ht="15" customHeight="1" x14ac:dyDescent="0.25">
      <c r="A25" s="80" t="s">
        <v>56</v>
      </c>
      <c r="B25" s="81" t="s">
        <v>57</v>
      </c>
      <c r="C25" s="82">
        <v>43262.291666666664</v>
      </c>
      <c r="D25" s="82">
        <v>43551.666666666664</v>
      </c>
      <c r="E25" s="83" t="s">
        <v>15</v>
      </c>
      <c r="F25" s="37">
        <f>8000*9</f>
        <v>72000</v>
      </c>
    </row>
    <row r="26" spans="1:6" ht="15" customHeight="1" x14ac:dyDescent="0.25">
      <c r="A26" s="84" t="s">
        <v>58</v>
      </c>
      <c r="B26" s="85" t="s">
        <v>59</v>
      </c>
      <c r="C26" s="86">
        <v>43262.291666666664</v>
      </c>
      <c r="D26" s="86">
        <v>43411.666666666664</v>
      </c>
      <c r="E26" s="87" t="s">
        <v>21</v>
      </c>
      <c r="F26" s="34" t="s">
        <v>0</v>
      </c>
    </row>
    <row r="27" spans="1:6" ht="15" customHeight="1" x14ac:dyDescent="0.25">
      <c r="A27" s="84" t="s">
        <v>60</v>
      </c>
      <c r="B27" s="85" t="s">
        <v>23</v>
      </c>
      <c r="C27" s="86">
        <v>43440.291666666664</v>
      </c>
      <c r="D27" s="86">
        <v>43551.666666666664</v>
      </c>
      <c r="E27" s="87" t="s">
        <v>37</v>
      </c>
      <c r="F27" s="35" t="s">
        <v>0</v>
      </c>
    </row>
    <row r="28" spans="1:6" ht="15" customHeight="1" x14ac:dyDescent="0.25">
      <c r="A28" s="84" t="s">
        <v>61</v>
      </c>
      <c r="B28" s="85" t="s">
        <v>62</v>
      </c>
      <c r="C28" s="86">
        <v>43440.291666666664</v>
      </c>
      <c r="D28" s="86">
        <v>43467.666666666664</v>
      </c>
      <c r="E28" s="87" t="s">
        <v>27</v>
      </c>
      <c r="F28" s="35" t="s">
        <v>0</v>
      </c>
    </row>
    <row r="29" spans="1:6" ht="15" customHeight="1" x14ac:dyDescent="0.25">
      <c r="A29" s="84" t="s">
        <v>63</v>
      </c>
      <c r="B29" s="85" t="s">
        <v>64</v>
      </c>
      <c r="C29" s="86">
        <v>43496.291666666664</v>
      </c>
      <c r="D29" s="86">
        <v>43523.666666666664</v>
      </c>
      <c r="E29" s="87" t="s">
        <v>27</v>
      </c>
      <c r="F29" s="35" t="s">
        <v>0</v>
      </c>
    </row>
    <row r="30" spans="1:6" ht="15" customHeight="1" x14ac:dyDescent="0.25">
      <c r="A30" s="84" t="s">
        <v>65</v>
      </c>
      <c r="B30" s="85" t="s">
        <v>66</v>
      </c>
      <c r="C30" s="86">
        <v>43496.291666666664</v>
      </c>
      <c r="D30" s="86">
        <v>43551.666666666664</v>
      </c>
      <c r="E30" s="87" t="s">
        <v>30</v>
      </c>
      <c r="F30" s="36" t="s">
        <v>0</v>
      </c>
    </row>
    <row r="31" spans="1:6" ht="15" customHeight="1" x14ac:dyDescent="0.25">
      <c r="A31" s="80" t="s">
        <v>67</v>
      </c>
      <c r="B31" s="81" t="s">
        <v>68</v>
      </c>
      <c r="C31" s="82">
        <v>43262.291666666664</v>
      </c>
      <c r="D31" s="82">
        <v>43467.666666666664</v>
      </c>
      <c r="E31" s="83" t="s">
        <v>69</v>
      </c>
      <c r="F31" s="37">
        <f>3000*2</f>
        <v>6000</v>
      </c>
    </row>
    <row r="32" spans="1:6" ht="15" customHeight="1" x14ac:dyDescent="0.25">
      <c r="A32" s="84" t="s">
        <v>70</v>
      </c>
      <c r="B32" s="85" t="s">
        <v>20</v>
      </c>
      <c r="C32" s="86">
        <v>43262.291666666664</v>
      </c>
      <c r="D32" s="86">
        <v>43411.666666666664</v>
      </c>
      <c r="E32" s="87" t="s">
        <v>21</v>
      </c>
      <c r="F32" s="34" t="s">
        <v>0</v>
      </c>
    </row>
    <row r="33" spans="1:6" ht="15" customHeight="1" x14ac:dyDescent="0.25">
      <c r="A33" s="84" t="s">
        <v>71</v>
      </c>
      <c r="B33" s="85" t="s">
        <v>72</v>
      </c>
      <c r="C33" s="86">
        <v>43412.291666666664</v>
      </c>
      <c r="D33" s="86">
        <v>43467.666666666664</v>
      </c>
      <c r="E33" s="87" t="s">
        <v>30</v>
      </c>
      <c r="F33" s="35">
        <v>5000</v>
      </c>
    </row>
    <row r="34" spans="1:6" ht="15" customHeight="1" x14ac:dyDescent="0.25">
      <c r="A34" s="76" t="s">
        <v>73</v>
      </c>
      <c r="B34" s="77" t="s">
        <v>74</v>
      </c>
      <c r="C34" s="78">
        <v>43340.958333333336</v>
      </c>
      <c r="D34" s="78">
        <v>43340.958333333336</v>
      </c>
      <c r="E34" s="79" t="s">
        <v>75</v>
      </c>
      <c r="F34" s="31" t="s">
        <v>0</v>
      </c>
    </row>
    <row r="35" spans="1:6" ht="15" customHeight="1" x14ac:dyDescent="0.25">
      <c r="A35" s="76" t="s">
        <v>76</v>
      </c>
      <c r="B35" s="77" t="s">
        <v>77</v>
      </c>
      <c r="C35" s="78">
        <v>43340.958333333336</v>
      </c>
      <c r="D35" s="78">
        <v>43396.666666666664</v>
      </c>
      <c r="E35" s="79" t="s">
        <v>30</v>
      </c>
      <c r="F35" s="31" t="s">
        <v>0</v>
      </c>
    </row>
    <row r="36" spans="1:6" ht="15" customHeight="1" x14ac:dyDescent="0.25">
      <c r="A36" s="76" t="s">
        <v>78</v>
      </c>
      <c r="B36" s="77" t="s">
        <v>79</v>
      </c>
      <c r="C36" s="78">
        <v>43440.291666666664</v>
      </c>
      <c r="D36" s="78">
        <v>43565.666666666664</v>
      </c>
      <c r="E36" s="79" t="s">
        <v>80</v>
      </c>
      <c r="F36" s="31" t="s">
        <v>0</v>
      </c>
    </row>
    <row r="37" spans="1:6" ht="15" customHeight="1" x14ac:dyDescent="0.25">
      <c r="A37" s="80" t="s">
        <v>81</v>
      </c>
      <c r="B37" s="81" t="s">
        <v>82</v>
      </c>
      <c r="C37" s="82">
        <v>43440.291666666664</v>
      </c>
      <c r="D37" s="82">
        <v>43565.666666666664</v>
      </c>
      <c r="E37" s="83" t="s">
        <v>80</v>
      </c>
      <c r="F37" s="34" t="s">
        <v>0</v>
      </c>
    </row>
    <row r="38" spans="1:6" ht="15" customHeight="1" x14ac:dyDescent="0.25">
      <c r="A38" s="80" t="s">
        <v>83</v>
      </c>
      <c r="B38" s="81" t="s">
        <v>84</v>
      </c>
      <c r="C38" s="82">
        <v>43565.666666666664</v>
      </c>
      <c r="D38" s="82">
        <v>43565.666666666664</v>
      </c>
      <c r="E38" s="83" t="s">
        <v>75</v>
      </c>
      <c r="F38" s="34" t="s">
        <v>0</v>
      </c>
    </row>
    <row r="39" spans="1:6" ht="15" customHeight="1" x14ac:dyDescent="0.25">
      <c r="A39" s="80" t="s">
        <v>85</v>
      </c>
      <c r="B39" s="81" t="s">
        <v>86</v>
      </c>
      <c r="C39" s="82">
        <v>43565.666666666664</v>
      </c>
      <c r="D39" s="82">
        <v>43565.666666666664</v>
      </c>
      <c r="E39" s="83" t="s">
        <v>75</v>
      </c>
      <c r="F39" s="34" t="s">
        <v>0</v>
      </c>
    </row>
    <row r="40" spans="1:6" ht="15" customHeight="1" x14ac:dyDescent="0.25">
      <c r="A40" s="80" t="s">
        <v>87</v>
      </c>
      <c r="B40" s="81" t="s">
        <v>88</v>
      </c>
      <c r="C40" s="82">
        <v>43565.666666666664</v>
      </c>
      <c r="D40" s="82">
        <v>43565.666666666664</v>
      </c>
      <c r="E40" s="83" t="s">
        <v>75</v>
      </c>
      <c r="F40" s="34" t="s">
        <v>0</v>
      </c>
    </row>
    <row r="41" spans="1:6" ht="15" customHeight="1" x14ac:dyDescent="0.25">
      <c r="A41" s="80" t="s">
        <v>89</v>
      </c>
      <c r="B41" s="81" t="s">
        <v>90</v>
      </c>
      <c r="C41" s="82">
        <v>43565.666666666664</v>
      </c>
      <c r="D41" s="82">
        <v>43565.666666666664</v>
      </c>
      <c r="E41" s="83" t="s">
        <v>75</v>
      </c>
      <c r="F41" s="34">
        <f>1500*9</f>
        <v>13500</v>
      </c>
    </row>
    <row r="42" spans="1:6" ht="15" customHeight="1" x14ac:dyDescent="0.25">
      <c r="A42" s="76" t="s">
        <v>91</v>
      </c>
      <c r="B42" s="77" t="s">
        <v>92</v>
      </c>
      <c r="C42" s="78">
        <v>43397.291666666664</v>
      </c>
      <c r="D42" s="78">
        <v>43410.666666666664</v>
      </c>
      <c r="E42" s="79" t="s">
        <v>93</v>
      </c>
      <c r="F42" s="31" t="s">
        <v>0</v>
      </c>
    </row>
    <row r="43" spans="1:6" ht="15" customHeight="1" thickBot="1" x14ac:dyDescent="0.3">
      <c r="A43" s="76" t="s">
        <v>94</v>
      </c>
      <c r="B43" s="77" t="s">
        <v>95</v>
      </c>
      <c r="C43" s="78">
        <v>43565.666666666664</v>
      </c>
      <c r="D43" s="78">
        <v>43565.666666666664</v>
      </c>
      <c r="E43" s="79" t="s">
        <v>75</v>
      </c>
      <c r="F43" s="31" t="s">
        <v>0</v>
      </c>
    </row>
    <row r="44" spans="1:6" ht="15" customHeight="1" x14ac:dyDescent="0.25">
      <c r="A44" s="10" t="s">
        <v>96</v>
      </c>
      <c r="B44" s="11" t="s">
        <v>97</v>
      </c>
      <c r="C44" s="12">
        <v>43566.291666666664</v>
      </c>
      <c r="D44" s="12">
        <v>45511.666666666664</v>
      </c>
      <c r="E44" s="13" t="s">
        <v>98</v>
      </c>
      <c r="F44" s="38">
        <f>F45+F52+F50</f>
        <v>0</v>
      </c>
    </row>
    <row r="45" spans="1:6" ht="15" customHeight="1" x14ac:dyDescent="0.25">
      <c r="A45" s="14" t="s">
        <v>99</v>
      </c>
      <c r="B45" s="15" t="s">
        <v>100</v>
      </c>
      <c r="C45" s="16">
        <v>43566.291666666664</v>
      </c>
      <c r="D45" s="16">
        <v>45511.666666666664</v>
      </c>
      <c r="E45" s="17" t="s">
        <v>98</v>
      </c>
      <c r="F45" s="39">
        <f>F46</f>
        <v>0</v>
      </c>
    </row>
    <row r="46" spans="1:6" ht="15" customHeight="1" x14ac:dyDescent="0.25">
      <c r="A46" s="90" t="s">
        <v>101</v>
      </c>
      <c r="B46" s="91" t="s">
        <v>102</v>
      </c>
      <c r="C46" s="92">
        <v>43566.291666666664</v>
      </c>
      <c r="D46" s="92">
        <v>44622.666666666664</v>
      </c>
      <c r="E46" s="93" t="s">
        <v>103</v>
      </c>
      <c r="F46" s="40"/>
    </row>
    <row r="47" spans="1:6" ht="15" customHeight="1" x14ac:dyDescent="0.25">
      <c r="A47" s="88" t="s">
        <v>104</v>
      </c>
      <c r="B47" s="89" t="s">
        <v>105</v>
      </c>
      <c r="C47" s="20">
        <v>43566.291666666664</v>
      </c>
      <c r="D47" s="20">
        <v>43866.666666666664</v>
      </c>
      <c r="E47" s="21" t="s">
        <v>106</v>
      </c>
      <c r="F47" s="41"/>
    </row>
    <row r="48" spans="1:6" ht="15" customHeight="1" x14ac:dyDescent="0.25">
      <c r="A48" s="22" t="s">
        <v>121</v>
      </c>
      <c r="B48" s="23" t="s">
        <v>122</v>
      </c>
      <c r="C48" s="24">
        <v>43818.291666666664</v>
      </c>
      <c r="D48" s="24">
        <v>44622.666666666664</v>
      </c>
      <c r="E48" s="25" t="s">
        <v>123</v>
      </c>
      <c r="F48" s="42" t="s">
        <v>0</v>
      </c>
    </row>
    <row r="49" spans="1:6" ht="15" customHeight="1" x14ac:dyDescent="0.25">
      <c r="A49" s="94" t="s">
        <v>124</v>
      </c>
      <c r="B49" s="95" t="s">
        <v>125</v>
      </c>
      <c r="C49" s="96">
        <v>43818.291666666664</v>
      </c>
      <c r="D49" s="96">
        <v>44118.666666666664</v>
      </c>
      <c r="E49" s="97" t="s">
        <v>106</v>
      </c>
    </row>
    <row r="50" spans="1:6" ht="15" customHeight="1" x14ac:dyDescent="0.25">
      <c r="A50" s="14" t="s">
        <v>143</v>
      </c>
      <c r="B50" s="15" t="s">
        <v>144</v>
      </c>
      <c r="C50" s="16">
        <v>43566.291666666664</v>
      </c>
      <c r="D50" s="16">
        <v>45098.666666666664</v>
      </c>
      <c r="E50" s="17" t="s">
        <v>145</v>
      </c>
      <c r="F50" s="39"/>
    </row>
    <row r="51" spans="1:6" ht="15" customHeight="1" x14ac:dyDescent="0.25">
      <c r="A51" s="18" t="s">
        <v>146</v>
      </c>
      <c r="B51" s="19" t="s">
        <v>125</v>
      </c>
      <c r="C51" s="20">
        <v>43566.291666666664</v>
      </c>
      <c r="D51" s="20">
        <v>43866.666666666664</v>
      </c>
      <c r="E51" s="21" t="s">
        <v>106</v>
      </c>
      <c r="F51" s="41" t="s">
        <v>0</v>
      </c>
    </row>
    <row r="52" spans="1:6" ht="15" customHeight="1" x14ac:dyDescent="0.25">
      <c r="A52" s="14" t="s">
        <v>151</v>
      </c>
      <c r="B52" s="15" t="s">
        <v>152</v>
      </c>
      <c r="C52" s="16">
        <v>43566.291666666664</v>
      </c>
      <c r="D52" s="16">
        <v>44797.666666666664</v>
      </c>
      <c r="E52" s="17" t="s">
        <v>153</v>
      </c>
      <c r="F52" s="39"/>
    </row>
    <row r="53" spans="1:6" ht="15" customHeight="1" x14ac:dyDescent="0.25">
      <c r="A53" s="90" t="s">
        <v>154</v>
      </c>
      <c r="B53" s="91" t="s">
        <v>155</v>
      </c>
      <c r="C53" s="92">
        <v>43566.291666666664</v>
      </c>
      <c r="D53" s="92">
        <v>44797.666666666664</v>
      </c>
      <c r="E53" s="93" t="s">
        <v>153</v>
      </c>
      <c r="F53" s="45"/>
    </row>
    <row r="54" spans="1:6" ht="15" customHeight="1" x14ac:dyDescent="0.25">
      <c r="A54" s="88" t="s">
        <v>156</v>
      </c>
      <c r="B54" s="89" t="s">
        <v>117</v>
      </c>
      <c r="C54" s="20">
        <v>43566.291666666664</v>
      </c>
      <c r="D54" s="20">
        <v>43761.666666666664</v>
      </c>
      <c r="E54" s="21" t="s">
        <v>157</v>
      </c>
      <c r="F54" s="41"/>
    </row>
    <row r="55" spans="1:6" ht="15" customHeight="1" x14ac:dyDescent="0.25">
      <c r="A55" s="22" t="s">
        <v>158</v>
      </c>
      <c r="B55" s="23" t="s">
        <v>159</v>
      </c>
      <c r="C55" s="24">
        <v>43762.291666666664</v>
      </c>
      <c r="D55" s="24">
        <v>43985.666666666664</v>
      </c>
      <c r="E55" s="25" t="s">
        <v>160</v>
      </c>
      <c r="F55" s="41">
        <f>PEP!F73</f>
        <v>326000</v>
      </c>
    </row>
    <row r="56" spans="1:6" ht="15" customHeight="1" x14ac:dyDescent="0.25">
      <c r="A56" s="112" t="s">
        <v>174</v>
      </c>
      <c r="B56" s="113" t="s">
        <v>175</v>
      </c>
      <c r="C56" s="100">
        <v>43654.291666666664</v>
      </c>
      <c r="D56" s="100">
        <v>44797.666666666664</v>
      </c>
      <c r="E56" s="101" t="s">
        <v>176</v>
      </c>
      <c r="F56" s="46"/>
    </row>
    <row r="57" spans="1:6" ht="15" customHeight="1" thickBot="1" x14ac:dyDescent="0.3">
      <c r="A57" s="88" t="s">
        <v>177</v>
      </c>
      <c r="B57" s="89" t="s">
        <v>125</v>
      </c>
      <c r="C57" s="20">
        <v>43654.291666666664</v>
      </c>
      <c r="D57" s="20">
        <v>43957.666666666664</v>
      </c>
      <c r="E57" s="21" t="s">
        <v>178</v>
      </c>
      <c r="F57" s="41"/>
    </row>
    <row r="58" spans="1:6" ht="15" customHeight="1" x14ac:dyDescent="0.25">
      <c r="A58" s="10" t="s">
        <v>199</v>
      </c>
      <c r="B58" s="11" t="s">
        <v>200</v>
      </c>
      <c r="C58" s="12">
        <v>43340.958333333336</v>
      </c>
      <c r="D58" s="12">
        <v>45656.666666666664</v>
      </c>
      <c r="E58" s="13" t="s">
        <v>201</v>
      </c>
      <c r="F58" s="38">
        <f>SUM(F60+F62)</f>
        <v>60000</v>
      </c>
    </row>
    <row r="59" spans="1:6" ht="15" customHeight="1" x14ac:dyDescent="0.25">
      <c r="A59" s="14" t="s">
        <v>202</v>
      </c>
      <c r="B59" s="15" t="s">
        <v>203</v>
      </c>
      <c r="C59" s="16">
        <v>43340.958333333336</v>
      </c>
      <c r="D59" s="16">
        <v>43340.958333333336</v>
      </c>
      <c r="E59" s="17" t="s">
        <v>75</v>
      </c>
      <c r="F59" s="39"/>
    </row>
    <row r="60" spans="1:6" ht="15" customHeight="1" x14ac:dyDescent="0.25">
      <c r="A60" s="14" t="s">
        <v>204</v>
      </c>
      <c r="B60" s="15" t="s">
        <v>205</v>
      </c>
      <c r="C60" s="16">
        <v>43718.291666666664</v>
      </c>
      <c r="D60" s="16">
        <v>44858.666666666664</v>
      </c>
      <c r="E60" s="17" t="s">
        <v>206</v>
      </c>
      <c r="F60" s="48"/>
    </row>
    <row r="61" spans="1:6" ht="15" customHeight="1" x14ac:dyDescent="0.25">
      <c r="A61" s="18" t="s">
        <v>207</v>
      </c>
      <c r="B61" s="19" t="s">
        <v>125</v>
      </c>
      <c r="C61" s="20">
        <v>43718.291666666664</v>
      </c>
      <c r="D61" s="20">
        <v>44018.666666666664</v>
      </c>
      <c r="E61" s="21" t="s">
        <v>106</v>
      </c>
    </row>
    <row r="62" spans="1:6" ht="15" customHeight="1" x14ac:dyDescent="0.25">
      <c r="A62" s="14" t="s">
        <v>209</v>
      </c>
      <c r="B62" s="15" t="s">
        <v>210</v>
      </c>
      <c r="C62" s="16">
        <v>43566.291666666664</v>
      </c>
      <c r="D62" s="16">
        <v>43829.666666666664</v>
      </c>
      <c r="E62" s="17" t="s">
        <v>33</v>
      </c>
      <c r="F62" s="39">
        <f>F64</f>
        <v>60000</v>
      </c>
    </row>
    <row r="63" spans="1:6" ht="15" customHeight="1" x14ac:dyDescent="0.25">
      <c r="A63" s="18" t="s">
        <v>211</v>
      </c>
      <c r="B63" s="19" t="s">
        <v>212</v>
      </c>
      <c r="C63" s="20">
        <v>43566.291666666664</v>
      </c>
      <c r="D63" s="20">
        <v>43717.666666666664</v>
      </c>
      <c r="E63" s="21" t="s">
        <v>21</v>
      </c>
    </row>
    <row r="64" spans="1:6" ht="15" customHeight="1" thickBot="1" x14ac:dyDescent="0.3">
      <c r="A64" s="18" t="s">
        <v>213</v>
      </c>
      <c r="B64" s="19" t="s">
        <v>23</v>
      </c>
      <c r="C64" s="20">
        <v>43718.291666666664</v>
      </c>
      <c r="D64" s="20">
        <v>43829.666666666664</v>
      </c>
      <c r="E64" s="21" t="s">
        <v>37</v>
      </c>
      <c r="F64" s="41">
        <v>60000</v>
      </c>
    </row>
    <row r="65" spans="1:6" ht="15" customHeight="1" x14ac:dyDescent="0.25">
      <c r="A65" s="10" t="s">
        <v>278</v>
      </c>
      <c r="B65" s="11" t="s">
        <v>279</v>
      </c>
      <c r="C65" s="12">
        <v>43565.666666666664</v>
      </c>
      <c r="D65" s="12">
        <v>45268.666666666664</v>
      </c>
      <c r="E65" s="13" t="s">
        <v>280</v>
      </c>
      <c r="F65" s="38">
        <f>SUM(F66+F77+F82+F85+F88+F91+F93+F98+F101+F104)</f>
        <v>244000</v>
      </c>
    </row>
    <row r="66" spans="1:6" ht="15" customHeight="1" x14ac:dyDescent="0.25">
      <c r="A66" s="14" t="s">
        <v>281</v>
      </c>
      <c r="B66" s="15" t="s">
        <v>282</v>
      </c>
      <c r="C66" s="16">
        <v>43566.291666666664</v>
      </c>
      <c r="D66" s="16">
        <v>45247.666666666664</v>
      </c>
      <c r="E66" s="17" t="s">
        <v>283</v>
      </c>
      <c r="F66" s="39">
        <f>SUM(F70+F69+F75)</f>
        <v>20000</v>
      </c>
    </row>
    <row r="67" spans="1:6" ht="15" customHeight="1" x14ac:dyDescent="0.25">
      <c r="A67" s="120" t="s">
        <v>284</v>
      </c>
      <c r="B67" s="121" t="s">
        <v>285</v>
      </c>
      <c r="C67" s="122">
        <v>43566.291666666664</v>
      </c>
      <c r="D67" s="122">
        <v>43759.666666666664</v>
      </c>
      <c r="E67" s="123" t="s">
        <v>286</v>
      </c>
      <c r="F67" s="124" t="s">
        <v>0</v>
      </c>
    </row>
    <row r="68" spans="1:6" ht="15" customHeight="1" x14ac:dyDescent="0.25">
      <c r="A68" s="88" t="s">
        <v>287</v>
      </c>
      <c r="B68" s="89" t="s">
        <v>288</v>
      </c>
      <c r="C68" s="20">
        <v>43566.291666666664</v>
      </c>
      <c r="D68" s="20">
        <v>43717.666666666664</v>
      </c>
      <c r="E68" s="21" t="s">
        <v>21</v>
      </c>
      <c r="F68" s="41" t="s">
        <v>0</v>
      </c>
    </row>
    <row r="69" spans="1:6" ht="15" customHeight="1" x14ac:dyDescent="0.25">
      <c r="A69" s="94" t="s">
        <v>289</v>
      </c>
      <c r="B69" s="95" t="s">
        <v>290</v>
      </c>
      <c r="C69" s="96">
        <v>43718.291666666664</v>
      </c>
      <c r="D69" s="96">
        <v>43759.666666666664</v>
      </c>
      <c r="E69" s="97" t="s">
        <v>243</v>
      </c>
      <c r="F69" s="43">
        <v>20000</v>
      </c>
    </row>
    <row r="70" spans="1:6" ht="15" customHeight="1" x14ac:dyDescent="0.25">
      <c r="A70" s="102" t="s">
        <v>291</v>
      </c>
      <c r="B70" s="103" t="s">
        <v>292</v>
      </c>
      <c r="C70" s="104">
        <v>43566.291666666664</v>
      </c>
      <c r="D70" s="104">
        <v>45247.666666666664</v>
      </c>
      <c r="E70" s="105" t="s">
        <v>283</v>
      </c>
      <c r="F70" s="130"/>
    </row>
    <row r="71" spans="1:6" ht="15" customHeight="1" x14ac:dyDescent="0.25">
      <c r="A71" s="125" t="s">
        <v>293</v>
      </c>
      <c r="B71" s="126" t="s">
        <v>294</v>
      </c>
      <c r="C71" s="127">
        <v>43566.291666666664</v>
      </c>
      <c r="D71" s="127">
        <v>44155.666666666664</v>
      </c>
      <c r="E71" s="128" t="s">
        <v>295</v>
      </c>
      <c r="F71" s="129"/>
    </row>
    <row r="72" spans="1:6" ht="15" customHeight="1" x14ac:dyDescent="0.25">
      <c r="A72" s="88" t="s">
        <v>296</v>
      </c>
      <c r="B72" s="89" t="s">
        <v>297</v>
      </c>
      <c r="C72" s="20">
        <v>43566.291666666664</v>
      </c>
      <c r="D72" s="20">
        <v>43717.666666666664</v>
      </c>
      <c r="E72" s="21" t="s">
        <v>21</v>
      </c>
      <c r="F72" s="41"/>
    </row>
    <row r="73" spans="1:6" ht="15" customHeight="1" x14ac:dyDescent="0.25">
      <c r="A73" s="22" t="s">
        <v>298</v>
      </c>
      <c r="B73" s="23" t="s">
        <v>299</v>
      </c>
      <c r="C73" s="24">
        <v>43760.291666666664</v>
      </c>
      <c r="D73" s="24">
        <v>43875.666666666664</v>
      </c>
      <c r="E73" s="25" t="s">
        <v>300</v>
      </c>
      <c r="F73" s="42" t="s">
        <v>0</v>
      </c>
    </row>
    <row r="74" spans="1:6" ht="15" customHeight="1" x14ac:dyDescent="0.25">
      <c r="A74" s="22" t="s">
        <v>301</v>
      </c>
      <c r="B74" s="23" t="s">
        <v>302</v>
      </c>
      <c r="C74" s="24">
        <v>43760.291666666664</v>
      </c>
      <c r="D74" s="24">
        <v>43875.666666666664</v>
      </c>
      <c r="E74" s="25" t="s">
        <v>300</v>
      </c>
      <c r="F74" s="42" t="s">
        <v>0</v>
      </c>
    </row>
    <row r="75" spans="1:6" ht="15" customHeight="1" x14ac:dyDescent="0.25">
      <c r="A75" s="115" t="s">
        <v>323</v>
      </c>
      <c r="B75" s="116" t="s">
        <v>324</v>
      </c>
      <c r="C75" s="117">
        <v>43718.291666666664</v>
      </c>
      <c r="D75" s="117">
        <v>45071.666666666664</v>
      </c>
      <c r="E75" s="118" t="s">
        <v>325</v>
      </c>
      <c r="F75" s="119"/>
    </row>
    <row r="76" spans="1:6" ht="15" customHeight="1" x14ac:dyDescent="0.25">
      <c r="A76" s="88" t="s">
        <v>326</v>
      </c>
      <c r="B76" s="89" t="s">
        <v>20</v>
      </c>
      <c r="C76" s="20">
        <v>43718.291666666664</v>
      </c>
      <c r="D76" s="20">
        <v>43867.666666666664</v>
      </c>
      <c r="E76" s="21" t="s">
        <v>21</v>
      </c>
      <c r="F76" s="41" t="s">
        <v>0</v>
      </c>
    </row>
    <row r="77" spans="1:6" ht="15" customHeight="1" x14ac:dyDescent="0.25">
      <c r="A77" s="131" t="s">
        <v>351</v>
      </c>
      <c r="B77" s="132" t="s">
        <v>352</v>
      </c>
      <c r="C77" s="133">
        <v>43690.291666666664</v>
      </c>
      <c r="D77" s="133">
        <v>44967.666666666664</v>
      </c>
      <c r="E77" s="134" t="s">
        <v>353</v>
      </c>
      <c r="F77" s="39"/>
    </row>
    <row r="78" spans="1:6" ht="15" customHeight="1" x14ac:dyDescent="0.25">
      <c r="A78" s="135" t="s">
        <v>354</v>
      </c>
      <c r="B78" s="136" t="s">
        <v>355</v>
      </c>
      <c r="C78" s="137">
        <v>43690.291666666664</v>
      </c>
      <c r="D78" s="137">
        <v>44967.666666666664</v>
      </c>
      <c r="E78" s="138" t="s">
        <v>353</v>
      </c>
      <c r="F78" s="40"/>
    </row>
    <row r="79" spans="1:6" ht="15" customHeight="1" x14ac:dyDescent="0.25">
      <c r="A79" s="88" t="s">
        <v>356</v>
      </c>
      <c r="B79" s="89" t="s">
        <v>357</v>
      </c>
      <c r="C79" s="20">
        <v>43690.291666666664</v>
      </c>
      <c r="D79" s="20">
        <v>43858.666666666664</v>
      </c>
      <c r="E79" s="21" t="s">
        <v>358</v>
      </c>
      <c r="F79" s="41" t="s">
        <v>0</v>
      </c>
    </row>
    <row r="80" spans="1:6" ht="15" customHeight="1" x14ac:dyDescent="0.25">
      <c r="A80" s="112" t="s">
        <v>375</v>
      </c>
      <c r="B80" s="113" t="s">
        <v>376</v>
      </c>
      <c r="C80" s="100">
        <v>43726.291666666664</v>
      </c>
      <c r="D80" s="100">
        <v>44824.666666666664</v>
      </c>
      <c r="E80" s="101" t="s">
        <v>377</v>
      </c>
      <c r="F80" s="47"/>
    </row>
    <row r="81" spans="1:6" ht="15" customHeight="1" x14ac:dyDescent="0.25">
      <c r="A81" s="88" t="s">
        <v>378</v>
      </c>
      <c r="B81" s="89" t="s">
        <v>379</v>
      </c>
      <c r="C81" s="20">
        <v>43726.291666666664</v>
      </c>
      <c r="D81" s="20">
        <v>43732.666666666664</v>
      </c>
      <c r="E81" s="21" t="s">
        <v>373</v>
      </c>
      <c r="F81" s="41">
        <v>50000</v>
      </c>
    </row>
    <row r="82" spans="1:6" ht="15" customHeight="1" x14ac:dyDescent="0.25">
      <c r="A82" s="14" t="s">
        <v>392</v>
      </c>
      <c r="B82" s="15" t="s">
        <v>393</v>
      </c>
      <c r="C82" s="16">
        <v>43684.291666666664</v>
      </c>
      <c r="D82" s="16">
        <v>43857.666666666664</v>
      </c>
      <c r="E82" s="17" t="s">
        <v>394</v>
      </c>
      <c r="F82" s="39">
        <f>F84</f>
        <v>20000</v>
      </c>
    </row>
    <row r="83" spans="1:6" ht="15" customHeight="1" x14ac:dyDescent="0.25">
      <c r="A83" s="18" t="s">
        <v>395</v>
      </c>
      <c r="B83" s="19" t="s">
        <v>396</v>
      </c>
      <c r="C83" s="20">
        <v>43684.291666666664</v>
      </c>
      <c r="D83" s="20">
        <v>43801.666666666664</v>
      </c>
      <c r="E83" s="21" t="s">
        <v>300</v>
      </c>
      <c r="F83" s="41" t="s">
        <v>0</v>
      </c>
    </row>
    <row r="84" spans="1:6" ht="15" customHeight="1" x14ac:dyDescent="0.25">
      <c r="A84" s="18" t="s">
        <v>397</v>
      </c>
      <c r="B84" s="19" t="s">
        <v>398</v>
      </c>
      <c r="C84" s="20">
        <v>43802.291666666664</v>
      </c>
      <c r="D84" s="20">
        <v>43857.666666666664</v>
      </c>
      <c r="E84" s="21" t="s">
        <v>30</v>
      </c>
      <c r="F84" s="41">
        <v>20000</v>
      </c>
    </row>
    <row r="85" spans="1:6" ht="15" customHeight="1" x14ac:dyDescent="0.25">
      <c r="A85" s="14" t="s">
        <v>399</v>
      </c>
      <c r="B85" s="15" t="s">
        <v>400</v>
      </c>
      <c r="C85" s="16">
        <v>43566.291666666664</v>
      </c>
      <c r="D85" s="16">
        <v>43725.666666666664</v>
      </c>
      <c r="E85" s="17" t="s">
        <v>401</v>
      </c>
      <c r="F85" s="39">
        <f>F87</f>
        <v>65000</v>
      </c>
    </row>
    <row r="86" spans="1:6" ht="15" customHeight="1" x14ac:dyDescent="0.25">
      <c r="A86" s="18" t="s">
        <v>402</v>
      </c>
      <c r="B86" s="19" t="s">
        <v>212</v>
      </c>
      <c r="C86" s="20">
        <v>43566.291666666664</v>
      </c>
      <c r="D86" s="20">
        <v>43683.666666666664</v>
      </c>
      <c r="E86" s="21" t="s">
        <v>300</v>
      </c>
      <c r="F86" s="41" t="s">
        <v>0</v>
      </c>
    </row>
    <row r="87" spans="1:6" ht="15" customHeight="1" x14ac:dyDescent="0.25">
      <c r="A87" s="18" t="s">
        <v>403</v>
      </c>
      <c r="B87" s="19" t="s">
        <v>404</v>
      </c>
      <c r="C87" s="20">
        <v>43684.291666666664</v>
      </c>
      <c r="D87" s="20">
        <v>43725.666666666664</v>
      </c>
      <c r="E87" s="21" t="s">
        <v>243</v>
      </c>
      <c r="F87" s="41">
        <v>65000</v>
      </c>
    </row>
    <row r="88" spans="1:6" ht="15" customHeight="1" x14ac:dyDescent="0.25">
      <c r="A88" s="14" t="s">
        <v>417</v>
      </c>
      <c r="B88" s="15" t="s">
        <v>418</v>
      </c>
      <c r="C88" s="16">
        <v>43566.291666666664</v>
      </c>
      <c r="D88" s="16">
        <v>43759.666666666664</v>
      </c>
      <c r="E88" s="17" t="s">
        <v>286</v>
      </c>
      <c r="F88" s="39">
        <f>F90</f>
        <v>15000</v>
      </c>
    </row>
    <row r="89" spans="1:6" ht="15" customHeight="1" x14ac:dyDescent="0.25">
      <c r="A89" s="18" t="s">
        <v>419</v>
      </c>
      <c r="B89" s="19" t="s">
        <v>288</v>
      </c>
      <c r="C89" s="20">
        <v>43566.291666666664</v>
      </c>
      <c r="D89" s="20">
        <v>43717.666666666664</v>
      </c>
      <c r="E89" s="21" t="s">
        <v>21</v>
      </c>
      <c r="F89" s="41" t="s">
        <v>0</v>
      </c>
    </row>
    <row r="90" spans="1:6" ht="15" customHeight="1" x14ac:dyDescent="0.25">
      <c r="A90" s="18" t="s">
        <v>420</v>
      </c>
      <c r="B90" s="19" t="s">
        <v>421</v>
      </c>
      <c r="C90" s="20">
        <v>43718.291666666664</v>
      </c>
      <c r="D90" s="20">
        <v>43759.666666666664</v>
      </c>
      <c r="E90" s="21" t="s">
        <v>243</v>
      </c>
      <c r="F90" s="41">
        <v>15000</v>
      </c>
    </row>
    <row r="91" spans="1:6" ht="15" customHeight="1" x14ac:dyDescent="0.25">
      <c r="A91" s="14" t="s">
        <v>422</v>
      </c>
      <c r="B91" s="15" t="s">
        <v>423</v>
      </c>
      <c r="C91" s="16">
        <v>43718.291666666664</v>
      </c>
      <c r="D91" s="16">
        <v>43993.666666666664</v>
      </c>
      <c r="E91" s="17" t="s">
        <v>424</v>
      </c>
      <c r="F91" s="39"/>
    </row>
    <row r="92" spans="1:6" ht="15" customHeight="1" x14ac:dyDescent="0.25">
      <c r="A92" s="18" t="s">
        <v>425</v>
      </c>
      <c r="B92" s="19" t="s">
        <v>212</v>
      </c>
      <c r="C92" s="20">
        <v>43718.291666666664</v>
      </c>
      <c r="D92" s="20">
        <v>43867.666666666664</v>
      </c>
      <c r="E92" s="21" t="s">
        <v>21</v>
      </c>
      <c r="F92" s="41" t="s">
        <v>0</v>
      </c>
    </row>
    <row r="93" spans="1:6" ht="15" customHeight="1" x14ac:dyDescent="0.25">
      <c r="A93" s="14" t="s">
        <v>433</v>
      </c>
      <c r="B93" s="15" t="s">
        <v>434</v>
      </c>
      <c r="C93" s="16">
        <v>43565.666666666664</v>
      </c>
      <c r="D93" s="16">
        <v>44847.666666666664</v>
      </c>
      <c r="E93" s="17" t="s">
        <v>435</v>
      </c>
      <c r="F93" s="39">
        <f>SUM(F94:F97)</f>
        <v>24000</v>
      </c>
    </row>
    <row r="94" spans="1:6" ht="15" customHeight="1" x14ac:dyDescent="0.25">
      <c r="A94" s="18" t="s">
        <v>436</v>
      </c>
      <c r="B94" s="19" t="s">
        <v>437</v>
      </c>
      <c r="C94" s="20">
        <v>43565.666666666664</v>
      </c>
      <c r="D94" s="20">
        <v>43565.666666666664</v>
      </c>
      <c r="E94" s="21" t="s">
        <v>75</v>
      </c>
      <c r="F94" s="40">
        <v>12000</v>
      </c>
    </row>
    <row r="95" spans="1:6" ht="15" customHeight="1" x14ac:dyDescent="0.25">
      <c r="A95" s="18" t="s">
        <v>438</v>
      </c>
      <c r="B95" s="19" t="s">
        <v>357</v>
      </c>
      <c r="C95" s="20">
        <v>43566.291666666664</v>
      </c>
      <c r="D95" s="20">
        <v>43734.666666666664</v>
      </c>
      <c r="E95" s="21" t="s">
        <v>358</v>
      </c>
      <c r="F95" s="44" t="s">
        <v>0</v>
      </c>
    </row>
    <row r="96" spans="1:6" ht="15" customHeight="1" x14ac:dyDescent="0.25">
      <c r="A96" s="18" t="s">
        <v>439</v>
      </c>
      <c r="B96" s="19" t="s">
        <v>440</v>
      </c>
      <c r="C96" s="20">
        <v>43735.291666666664</v>
      </c>
      <c r="D96" s="20">
        <v>44476.666666666664</v>
      </c>
      <c r="E96" s="21" t="s">
        <v>441</v>
      </c>
      <c r="F96" s="47">
        <f>SUM(F97:F97)</f>
        <v>6000</v>
      </c>
    </row>
    <row r="97" spans="1:6" ht="15" customHeight="1" x14ac:dyDescent="0.25">
      <c r="A97" s="22" t="s">
        <v>442</v>
      </c>
      <c r="B97" s="23" t="s">
        <v>379</v>
      </c>
      <c r="C97" s="24">
        <v>43735.291666666664</v>
      </c>
      <c r="D97" s="24">
        <v>43741.666666666664</v>
      </c>
      <c r="E97" s="25" t="s">
        <v>373</v>
      </c>
      <c r="F97" s="41">
        <v>6000</v>
      </c>
    </row>
    <row r="98" spans="1:6" ht="15" customHeight="1" x14ac:dyDescent="0.25">
      <c r="A98" s="14" t="s">
        <v>448</v>
      </c>
      <c r="B98" s="15" t="s">
        <v>449</v>
      </c>
      <c r="C98" s="16">
        <v>43566.291666666664</v>
      </c>
      <c r="D98" s="16">
        <v>44574.666666666664</v>
      </c>
      <c r="E98" s="17" t="s">
        <v>450</v>
      </c>
      <c r="F98" s="39">
        <f>SUM(F100:F100)</f>
        <v>18000</v>
      </c>
    </row>
    <row r="99" spans="1:6" ht="15" customHeight="1" x14ac:dyDescent="0.25">
      <c r="A99" s="18" t="s">
        <v>451</v>
      </c>
      <c r="B99" s="19" t="s">
        <v>357</v>
      </c>
      <c r="C99" s="20">
        <v>43566.291666666664</v>
      </c>
      <c r="D99" s="20">
        <v>43734.666666666664</v>
      </c>
      <c r="E99" s="21" t="s">
        <v>358</v>
      </c>
      <c r="F99" s="41" t="s">
        <v>0</v>
      </c>
    </row>
    <row r="100" spans="1:6" ht="15" customHeight="1" x14ac:dyDescent="0.25">
      <c r="A100" s="18" t="s">
        <v>452</v>
      </c>
      <c r="B100" s="19" t="s">
        <v>453</v>
      </c>
      <c r="C100" s="20">
        <v>43735.291666666664</v>
      </c>
      <c r="D100" s="20">
        <v>43790.666666666664</v>
      </c>
      <c r="E100" s="21" t="s">
        <v>30</v>
      </c>
      <c r="F100" s="41">
        <v>18000</v>
      </c>
    </row>
    <row r="101" spans="1:6" ht="15" customHeight="1" x14ac:dyDescent="0.25">
      <c r="A101" s="14" t="s">
        <v>456</v>
      </c>
      <c r="B101" s="15" t="s">
        <v>457</v>
      </c>
      <c r="C101" s="16">
        <v>43566.291666666664</v>
      </c>
      <c r="D101" s="16">
        <v>44518.666666666664</v>
      </c>
      <c r="E101" s="17" t="s">
        <v>458</v>
      </c>
      <c r="F101" s="39">
        <f>SUM(F103:F103)</f>
        <v>18000</v>
      </c>
    </row>
    <row r="102" spans="1:6" ht="15" customHeight="1" x14ac:dyDescent="0.25">
      <c r="A102" s="18" t="s">
        <v>459</v>
      </c>
      <c r="B102" s="19" t="s">
        <v>460</v>
      </c>
      <c r="C102" s="20">
        <v>43566.291666666664</v>
      </c>
      <c r="D102" s="20">
        <v>43734.666666666664</v>
      </c>
      <c r="E102" s="21" t="s">
        <v>358</v>
      </c>
      <c r="F102" s="41" t="s">
        <v>0</v>
      </c>
    </row>
    <row r="103" spans="1:6" ht="15" customHeight="1" x14ac:dyDescent="0.25">
      <c r="A103" s="18" t="s">
        <v>461</v>
      </c>
      <c r="B103" s="19" t="s">
        <v>462</v>
      </c>
      <c r="C103" s="20">
        <v>43735.291666666664</v>
      </c>
      <c r="D103" s="20">
        <v>43790.666666666664</v>
      </c>
      <c r="E103" s="21" t="s">
        <v>30</v>
      </c>
      <c r="F103" s="41">
        <v>18000</v>
      </c>
    </row>
    <row r="104" spans="1:6" ht="15" customHeight="1" thickBot="1" x14ac:dyDescent="0.3">
      <c r="A104" s="26" t="s">
        <v>0</v>
      </c>
      <c r="B104" s="26" t="s">
        <v>0</v>
      </c>
      <c r="C104" s="26" t="s">
        <v>0</v>
      </c>
      <c r="D104" s="26" t="s">
        <v>0</v>
      </c>
      <c r="E104" s="26" t="s">
        <v>0</v>
      </c>
      <c r="F104" s="50">
        <v>64000</v>
      </c>
    </row>
    <row r="105" spans="1:6" ht="15" customHeight="1" x14ac:dyDescent="0.25">
      <c r="A105" s="10"/>
      <c r="B105" s="11"/>
      <c r="C105" s="12" t="s">
        <v>466</v>
      </c>
      <c r="D105" s="12"/>
      <c r="E105" s="13"/>
      <c r="F105" s="38">
        <f>SUM(F106+F114+F115+F117+F111)</f>
        <v>270466.66666666663</v>
      </c>
    </row>
    <row r="106" spans="1:6" ht="15" customHeight="1" x14ac:dyDescent="0.25">
      <c r="C106" s="57" t="s">
        <v>467</v>
      </c>
      <c r="D106" s="58">
        <v>43565.666666666664</v>
      </c>
      <c r="E106" s="58">
        <v>45358.666666666664</v>
      </c>
      <c r="F106" s="51">
        <f>SUM(F107:F110)</f>
        <v>112800</v>
      </c>
    </row>
    <row r="107" spans="1:6" ht="15" customHeight="1" x14ac:dyDescent="0.25">
      <c r="A107" s="59"/>
      <c r="B107" s="59"/>
      <c r="C107" s="60" t="s">
        <v>468</v>
      </c>
      <c r="D107" s="61"/>
      <c r="E107" s="61"/>
      <c r="F107" s="52">
        <f>(60*4000)/5</f>
        <v>48000</v>
      </c>
    </row>
    <row r="108" spans="1:6" ht="15" customHeight="1" x14ac:dyDescent="0.25">
      <c r="A108" s="62"/>
      <c r="B108" s="62"/>
      <c r="C108" s="63" t="s">
        <v>469</v>
      </c>
      <c r="D108" s="64"/>
      <c r="E108" s="64"/>
      <c r="F108" s="53">
        <f>(60*1800)/5</f>
        <v>21600</v>
      </c>
    </row>
    <row r="109" spans="1:6" ht="15" customHeight="1" x14ac:dyDescent="0.25">
      <c r="A109" s="62"/>
      <c r="B109" s="62"/>
      <c r="C109" s="63" t="s">
        <v>68</v>
      </c>
      <c r="D109" s="64"/>
      <c r="E109" s="64"/>
      <c r="F109" s="53">
        <f>(60*1800)/5</f>
        <v>21600</v>
      </c>
    </row>
    <row r="110" spans="1:6" ht="15" customHeight="1" x14ac:dyDescent="0.25">
      <c r="A110" s="62"/>
      <c r="B110" s="62"/>
      <c r="C110" s="63" t="s">
        <v>84</v>
      </c>
      <c r="D110" s="64"/>
      <c r="E110" s="64"/>
      <c r="F110" s="53">
        <f>(1800*60)/5</f>
        <v>21600</v>
      </c>
    </row>
    <row r="111" spans="1:6" ht="15" customHeight="1" x14ac:dyDescent="0.25">
      <c r="A111" s="65"/>
      <c r="B111" s="65"/>
      <c r="C111" s="66" t="s">
        <v>470</v>
      </c>
      <c r="D111" s="67">
        <v>43565.666666666664</v>
      </c>
      <c r="E111" s="67">
        <v>45358.666666666664</v>
      </c>
      <c r="F111" s="54">
        <f>SUM(F112:F113)</f>
        <v>77333.333333333343</v>
      </c>
    </row>
    <row r="112" spans="1:6" ht="15" customHeight="1" x14ac:dyDescent="0.25">
      <c r="A112" s="61"/>
      <c r="B112" s="61"/>
      <c r="C112" s="60" t="s">
        <v>32</v>
      </c>
      <c r="D112" s="68">
        <v>43565.666666666664</v>
      </c>
      <c r="E112" s="69">
        <v>44797.666666666664</v>
      </c>
      <c r="F112" s="52">
        <f>(4000*40)/3</f>
        <v>53333.333333333336</v>
      </c>
    </row>
    <row r="113" spans="1:6" ht="15" customHeight="1" x14ac:dyDescent="0.25">
      <c r="A113" s="70"/>
      <c r="B113" s="70"/>
      <c r="C113" s="71" t="s">
        <v>471</v>
      </c>
      <c r="D113" s="72">
        <v>43565.666666666664</v>
      </c>
      <c r="E113" s="72">
        <v>45358.666666666664</v>
      </c>
      <c r="F113" s="55">
        <f>(2000*60)/5</f>
        <v>24000</v>
      </c>
    </row>
    <row r="114" spans="1:6" ht="15" customHeight="1" x14ac:dyDescent="0.25">
      <c r="A114" s="56"/>
      <c r="B114" s="56"/>
      <c r="C114" s="57" t="s">
        <v>472</v>
      </c>
      <c r="D114" s="58">
        <v>43565.666666666664</v>
      </c>
      <c r="E114" s="74">
        <v>44720</v>
      </c>
      <c r="F114" s="51">
        <f>(3500*36)/3</f>
        <v>42000</v>
      </c>
    </row>
    <row r="115" spans="1:6" ht="15" customHeight="1" x14ac:dyDescent="0.25">
      <c r="A115" s="73"/>
      <c r="B115" s="73"/>
      <c r="C115" s="57" t="s">
        <v>473</v>
      </c>
      <c r="D115" s="73"/>
      <c r="E115" s="73"/>
      <c r="F115" s="51">
        <f>SUM(F116:F116)</f>
        <v>16666.666666666668</v>
      </c>
    </row>
    <row r="116" spans="1:6" ht="15" customHeight="1" x14ac:dyDescent="0.25">
      <c r="A116" s="73"/>
      <c r="B116" s="73"/>
      <c r="C116" s="75" t="s">
        <v>474</v>
      </c>
      <c r="D116" s="73"/>
      <c r="E116" s="73"/>
      <c r="F116" s="51">
        <f>(100000/6)</f>
        <v>16666.666666666668</v>
      </c>
    </row>
    <row r="117" spans="1:6" ht="15" customHeight="1" x14ac:dyDescent="0.25">
      <c r="A117" s="73"/>
      <c r="B117" s="73"/>
      <c r="C117" s="57" t="s">
        <v>478</v>
      </c>
      <c r="D117" s="73"/>
      <c r="E117" s="73"/>
      <c r="F117" s="51">
        <f>(130000/6)</f>
        <v>21666.666666666668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D0C09-A910-4154-837E-E05632699721}">
  <dimension ref="A1:AA250"/>
  <sheetViews>
    <sheetView workbookViewId="0">
      <selection activeCell="H20" sqref="H20"/>
    </sheetView>
  </sheetViews>
  <sheetFormatPr defaultColWidth="11.5703125" defaultRowHeight="15" customHeight="1" x14ac:dyDescent="0.25"/>
  <cols>
    <col min="1" max="1" width="16.85546875" customWidth="1"/>
    <col min="2" max="2" width="35" customWidth="1"/>
    <col min="3" max="4" width="16.85546875" customWidth="1"/>
    <col min="6" max="6" width="24.85546875" customWidth="1"/>
    <col min="7" max="7" width="19.5703125" customWidth="1"/>
    <col min="8" max="8" width="23.5703125" customWidth="1"/>
    <col min="9" max="9" width="22.85546875" customWidth="1"/>
    <col min="10" max="11" width="23.140625" customWidth="1"/>
    <col min="12" max="12" width="20.7109375" customWidth="1"/>
    <col min="13" max="13" width="19" bestFit="1" customWidth="1"/>
  </cols>
  <sheetData>
    <row r="1" spans="1:27" s="1" customFormat="1" ht="30" customHeight="1" thickBot="1" x14ac:dyDescent="0.5">
      <c r="A1" s="27" t="s">
        <v>590</v>
      </c>
      <c r="B1" s="2"/>
      <c r="C1" s="2"/>
      <c r="D1" s="2"/>
      <c r="E1" s="2"/>
      <c r="F1" s="27"/>
      <c r="G1" s="27"/>
      <c r="H1" s="27"/>
      <c r="I1" s="27"/>
      <c r="J1" s="27"/>
      <c r="K1" s="27"/>
      <c r="L1" s="27"/>
      <c r="M1" s="27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8" customHeight="1" x14ac:dyDescent="0.25">
      <c r="G2" s="139">
        <f>(G4/M4)</f>
        <v>2.5943333333333325E-2</v>
      </c>
      <c r="H2" s="139">
        <f>(H4/M4)+G2</f>
        <v>0.17709666666666662</v>
      </c>
      <c r="I2" s="139">
        <f>(I4/M4)+H2</f>
        <v>0.44434999999999991</v>
      </c>
      <c r="J2" s="139">
        <f>(J4/M4)+I2</f>
        <v>0.76796333333333322</v>
      </c>
      <c r="K2" s="139">
        <f>(K4/M4)+J2</f>
        <v>0.88487666666666653</v>
      </c>
      <c r="L2" s="139">
        <f>(L4/M4)+K2</f>
        <v>0.99999999999999989</v>
      </c>
      <c r="M2" s="140"/>
    </row>
    <row r="3" spans="1:27" s="3" customFormat="1" ht="15.75" customHeight="1" thickBot="1" x14ac:dyDescent="0.3">
      <c r="A3" s="4" t="s">
        <v>0</v>
      </c>
      <c r="B3" s="5" t="s">
        <v>0</v>
      </c>
      <c r="C3" s="4" t="s">
        <v>1</v>
      </c>
      <c r="D3" s="4" t="s">
        <v>2</v>
      </c>
      <c r="E3" s="4" t="s">
        <v>3</v>
      </c>
      <c r="F3" s="28" t="s">
        <v>480</v>
      </c>
      <c r="G3" s="141">
        <v>2019</v>
      </c>
      <c r="H3" s="141">
        <v>2020</v>
      </c>
      <c r="I3" s="141">
        <v>2021</v>
      </c>
      <c r="J3" s="141">
        <v>2022</v>
      </c>
      <c r="K3" s="141">
        <v>2023</v>
      </c>
      <c r="L3" s="141">
        <v>2024</v>
      </c>
      <c r="M3" s="141" t="s">
        <v>481</v>
      </c>
    </row>
    <row r="4" spans="1:27" s="6" customFormat="1" ht="15" customHeight="1" thickBot="1" x14ac:dyDescent="0.3">
      <c r="A4" s="7" t="s">
        <v>4</v>
      </c>
      <c r="B4" s="7" t="s">
        <v>5</v>
      </c>
      <c r="C4" s="8">
        <v>43241.291666666664</v>
      </c>
      <c r="D4" s="8">
        <v>45656.666666666664</v>
      </c>
      <c r="E4" s="9" t="s">
        <v>6</v>
      </c>
      <c r="F4" s="29">
        <f t="shared" ref="F4:L4" si="0">SUM(F44+F92+F136+F231+F250)</f>
        <v>20000000</v>
      </c>
      <c r="G4" s="142">
        <f t="shared" si="0"/>
        <v>518866.66666666663</v>
      </c>
      <c r="H4" s="142">
        <f t="shared" si="0"/>
        <v>3023066.6666666665</v>
      </c>
      <c r="I4" s="142">
        <f t="shared" si="0"/>
        <v>5345066.666666667</v>
      </c>
      <c r="J4" s="142">
        <f t="shared" si="0"/>
        <v>6472266.666666667</v>
      </c>
      <c r="K4" s="142">
        <f t="shared" si="0"/>
        <v>2338266.6666666665</v>
      </c>
      <c r="L4" s="142">
        <f t="shared" si="0"/>
        <v>2302466.666666667</v>
      </c>
      <c r="M4" s="142">
        <f>SUM(G4:L4)</f>
        <v>20000000.000000004</v>
      </c>
    </row>
    <row r="5" spans="1:27" ht="15" customHeight="1" x14ac:dyDescent="0.25">
      <c r="A5" s="10" t="s">
        <v>7</v>
      </c>
      <c r="B5" s="11" t="s">
        <v>8</v>
      </c>
      <c r="C5" s="12">
        <v>43241.291666666664</v>
      </c>
      <c r="D5" s="12">
        <v>43565.666666666664</v>
      </c>
      <c r="E5" s="13" t="s">
        <v>9</v>
      </c>
      <c r="F5" s="30">
        <f>F8+F13+F19+F25+F31+F33+F41</f>
        <v>228500</v>
      </c>
      <c r="G5" s="38"/>
      <c r="H5" s="38"/>
      <c r="I5" s="38"/>
      <c r="J5" s="38"/>
      <c r="K5" s="38"/>
      <c r="L5" s="38"/>
      <c r="M5" s="38"/>
    </row>
    <row r="6" spans="1:27" ht="15" customHeight="1" x14ac:dyDescent="0.25">
      <c r="A6" s="76" t="s">
        <v>10</v>
      </c>
      <c r="B6" s="77" t="s">
        <v>11</v>
      </c>
      <c r="C6" s="78">
        <v>43241.291666666664</v>
      </c>
      <c r="D6" s="78">
        <v>43259.666666666664</v>
      </c>
      <c r="E6" s="79" t="s">
        <v>12</v>
      </c>
      <c r="F6" s="31" t="s">
        <v>0</v>
      </c>
    </row>
    <row r="7" spans="1:27" ht="15" customHeight="1" x14ac:dyDescent="0.25">
      <c r="A7" s="76" t="s">
        <v>13</v>
      </c>
      <c r="B7" s="77" t="s">
        <v>14</v>
      </c>
      <c r="C7" s="78">
        <v>43262.291666666664</v>
      </c>
      <c r="D7" s="78">
        <v>43551.666666666664</v>
      </c>
      <c r="E7" s="79" t="s">
        <v>15</v>
      </c>
      <c r="F7" s="32" t="s">
        <v>0</v>
      </c>
    </row>
    <row r="8" spans="1:27" ht="15" customHeight="1" x14ac:dyDescent="0.25">
      <c r="A8" s="80" t="s">
        <v>16</v>
      </c>
      <c r="B8" s="81" t="s">
        <v>17</v>
      </c>
      <c r="C8" s="82">
        <v>43262.291666666664</v>
      </c>
      <c r="D8" s="82">
        <v>43495.666666666664</v>
      </c>
      <c r="E8" s="83" t="s">
        <v>18</v>
      </c>
      <c r="F8" s="33">
        <f>6000*6</f>
        <v>36000</v>
      </c>
    </row>
    <row r="9" spans="1:27" ht="15" customHeight="1" x14ac:dyDescent="0.25">
      <c r="A9" s="84" t="s">
        <v>19</v>
      </c>
      <c r="B9" s="85" t="s">
        <v>20</v>
      </c>
      <c r="C9" s="86">
        <v>43262.291666666664</v>
      </c>
      <c r="D9" s="86">
        <v>43411.666666666664</v>
      </c>
      <c r="E9" s="87" t="s">
        <v>21</v>
      </c>
      <c r="F9" s="34" t="s">
        <v>0</v>
      </c>
    </row>
    <row r="10" spans="1:27" ht="15" customHeight="1" x14ac:dyDescent="0.25">
      <c r="A10" s="84" t="s">
        <v>22</v>
      </c>
      <c r="B10" s="85" t="s">
        <v>23</v>
      </c>
      <c r="C10" s="86">
        <v>43412.291666666664</v>
      </c>
      <c r="D10" s="86">
        <v>43495.666666666664</v>
      </c>
      <c r="E10" s="87" t="s">
        <v>24</v>
      </c>
      <c r="F10" s="35" t="s">
        <v>0</v>
      </c>
    </row>
    <row r="11" spans="1:27" ht="15" customHeight="1" x14ac:dyDescent="0.25">
      <c r="A11" s="84" t="s">
        <v>25</v>
      </c>
      <c r="B11" s="85" t="s">
        <v>26</v>
      </c>
      <c r="C11" s="86">
        <v>43412.291666666664</v>
      </c>
      <c r="D11" s="86">
        <v>43439.666666666664</v>
      </c>
      <c r="E11" s="87" t="s">
        <v>27</v>
      </c>
      <c r="F11" s="35" t="s">
        <v>0</v>
      </c>
    </row>
    <row r="12" spans="1:27" ht="15" customHeight="1" x14ac:dyDescent="0.25">
      <c r="A12" s="84" t="s">
        <v>28</v>
      </c>
      <c r="B12" s="85" t="s">
        <v>29</v>
      </c>
      <c r="C12" s="86">
        <v>43440.291666666664</v>
      </c>
      <c r="D12" s="86">
        <v>43495.666666666664</v>
      </c>
      <c r="E12" s="87" t="s">
        <v>30</v>
      </c>
      <c r="F12" s="36" t="s">
        <v>0</v>
      </c>
    </row>
    <row r="13" spans="1:27" ht="15" customHeight="1" x14ac:dyDescent="0.25">
      <c r="A13" s="80" t="s">
        <v>31</v>
      </c>
      <c r="B13" s="81" t="s">
        <v>32</v>
      </c>
      <c r="C13" s="82">
        <v>43262.291666666664</v>
      </c>
      <c r="D13" s="82">
        <v>43523.666666666664</v>
      </c>
      <c r="E13" s="83" t="s">
        <v>33</v>
      </c>
      <c r="F13" s="37">
        <f>6000*6</f>
        <v>36000</v>
      </c>
    </row>
    <row r="14" spans="1:27" ht="15" customHeight="1" x14ac:dyDescent="0.25">
      <c r="A14" s="84" t="s">
        <v>34</v>
      </c>
      <c r="B14" s="85" t="s">
        <v>35</v>
      </c>
      <c r="C14" s="86">
        <v>43262.291666666664</v>
      </c>
      <c r="D14" s="86">
        <v>43411.666666666664</v>
      </c>
      <c r="E14" s="87" t="s">
        <v>21</v>
      </c>
      <c r="F14" s="34" t="s">
        <v>0</v>
      </c>
    </row>
    <row r="15" spans="1:27" ht="15" customHeight="1" x14ac:dyDescent="0.25">
      <c r="A15" s="84" t="s">
        <v>36</v>
      </c>
      <c r="B15" s="85" t="s">
        <v>23</v>
      </c>
      <c r="C15" s="86">
        <v>43412.291666666664</v>
      </c>
      <c r="D15" s="86">
        <v>43523.666666666664</v>
      </c>
      <c r="E15" s="87" t="s">
        <v>37</v>
      </c>
      <c r="F15" s="35" t="s">
        <v>0</v>
      </c>
    </row>
    <row r="16" spans="1:27" ht="15" customHeight="1" x14ac:dyDescent="0.25">
      <c r="A16" s="84" t="s">
        <v>38</v>
      </c>
      <c r="B16" s="85" t="s">
        <v>39</v>
      </c>
      <c r="C16" s="86">
        <v>43496.291666666664</v>
      </c>
      <c r="D16" s="86">
        <v>43523.666666666664</v>
      </c>
      <c r="E16" s="87" t="s">
        <v>27</v>
      </c>
      <c r="F16" s="35" t="s">
        <v>0</v>
      </c>
    </row>
    <row r="17" spans="1:6" ht="15" customHeight="1" x14ac:dyDescent="0.25">
      <c r="A17" s="84" t="s">
        <v>40</v>
      </c>
      <c r="B17" s="85" t="s">
        <v>41</v>
      </c>
      <c r="C17" s="86">
        <v>43412.291666666664</v>
      </c>
      <c r="D17" s="86">
        <v>43467.666666666664</v>
      </c>
      <c r="E17" s="87" t="s">
        <v>30</v>
      </c>
      <c r="F17" s="35" t="s">
        <v>0</v>
      </c>
    </row>
    <row r="18" spans="1:6" ht="15" customHeight="1" x14ac:dyDescent="0.25">
      <c r="A18" s="84" t="s">
        <v>42</v>
      </c>
      <c r="B18" s="85" t="s">
        <v>43</v>
      </c>
      <c r="C18" s="86">
        <v>43412.291666666664</v>
      </c>
      <c r="D18" s="86">
        <v>43495.666666666664</v>
      </c>
      <c r="E18" s="87" t="s">
        <v>24</v>
      </c>
      <c r="F18" s="36" t="s">
        <v>0</v>
      </c>
    </row>
    <row r="19" spans="1:6" ht="15" customHeight="1" x14ac:dyDescent="0.25">
      <c r="A19" s="80" t="s">
        <v>44</v>
      </c>
      <c r="B19" s="81" t="s">
        <v>45</v>
      </c>
      <c r="C19" s="82">
        <v>43262.291666666664</v>
      </c>
      <c r="D19" s="82">
        <v>43551.666666666664</v>
      </c>
      <c r="E19" s="83" t="s">
        <v>15</v>
      </c>
      <c r="F19" s="37">
        <f>10000*6</f>
        <v>60000</v>
      </c>
    </row>
    <row r="20" spans="1:6" ht="15" customHeight="1" x14ac:dyDescent="0.25">
      <c r="A20" s="84" t="s">
        <v>46</v>
      </c>
      <c r="B20" s="85" t="s">
        <v>20</v>
      </c>
      <c r="C20" s="86">
        <v>43262.291666666664</v>
      </c>
      <c r="D20" s="86">
        <v>43411.666666666664</v>
      </c>
      <c r="E20" s="87" t="s">
        <v>21</v>
      </c>
      <c r="F20" s="34" t="s">
        <v>0</v>
      </c>
    </row>
    <row r="21" spans="1:6" ht="15" customHeight="1" x14ac:dyDescent="0.25">
      <c r="A21" s="84" t="s">
        <v>47</v>
      </c>
      <c r="B21" s="85" t="s">
        <v>48</v>
      </c>
      <c r="C21" s="86">
        <v>43412.291666666664</v>
      </c>
      <c r="D21" s="86">
        <v>43551.666666666664</v>
      </c>
      <c r="E21" s="87" t="s">
        <v>49</v>
      </c>
      <c r="F21" s="35" t="s">
        <v>0</v>
      </c>
    </row>
    <row r="22" spans="1:6" ht="15" customHeight="1" x14ac:dyDescent="0.25">
      <c r="A22" s="84" t="s">
        <v>50</v>
      </c>
      <c r="B22" s="85" t="s">
        <v>51</v>
      </c>
      <c r="C22" s="86">
        <v>43412.291666666664</v>
      </c>
      <c r="D22" s="86">
        <v>43439.666666666664</v>
      </c>
      <c r="E22" s="87" t="s">
        <v>27</v>
      </c>
      <c r="F22" s="35" t="s">
        <v>0</v>
      </c>
    </row>
    <row r="23" spans="1:6" ht="15" customHeight="1" x14ac:dyDescent="0.25">
      <c r="A23" s="84" t="s">
        <v>52</v>
      </c>
      <c r="B23" s="85" t="s">
        <v>53</v>
      </c>
      <c r="C23" s="86">
        <v>43440.291666666664</v>
      </c>
      <c r="D23" s="86">
        <v>43523.666666666664</v>
      </c>
      <c r="E23" s="87" t="s">
        <v>24</v>
      </c>
      <c r="F23" s="35" t="s">
        <v>0</v>
      </c>
    </row>
    <row r="24" spans="1:6" ht="15" customHeight="1" x14ac:dyDescent="0.25">
      <c r="A24" s="84" t="s">
        <v>54</v>
      </c>
      <c r="B24" s="85" t="s">
        <v>55</v>
      </c>
      <c r="C24" s="86">
        <v>43524.291666666664</v>
      </c>
      <c r="D24" s="86">
        <v>43551.666666666664</v>
      </c>
      <c r="E24" s="87" t="s">
        <v>27</v>
      </c>
      <c r="F24" s="36" t="s">
        <v>0</v>
      </c>
    </row>
    <row r="25" spans="1:6" ht="15" customHeight="1" x14ac:dyDescent="0.25">
      <c r="A25" s="80" t="s">
        <v>56</v>
      </c>
      <c r="B25" s="81" t="s">
        <v>57</v>
      </c>
      <c r="C25" s="82">
        <v>43262.291666666664</v>
      </c>
      <c r="D25" s="82">
        <v>43551.666666666664</v>
      </c>
      <c r="E25" s="83" t="s">
        <v>15</v>
      </c>
      <c r="F25" s="37">
        <f>8000*9</f>
        <v>72000</v>
      </c>
    </row>
    <row r="26" spans="1:6" ht="15" customHeight="1" x14ac:dyDescent="0.25">
      <c r="A26" s="84" t="s">
        <v>58</v>
      </c>
      <c r="B26" s="85" t="s">
        <v>59</v>
      </c>
      <c r="C26" s="86">
        <v>43262.291666666664</v>
      </c>
      <c r="D26" s="86">
        <v>43411.666666666664</v>
      </c>
      <c r="E26" s="87" t="s">
        <v>21</v>
      </c>
      <c r="F26" s="34" t="s">
        <v>0</v>
      </c>
    </row>
    <row r="27" spans="1:6" ht="15" customHeight="1" x14ac:dyDescent="0.25">
      <c r="A27" s="84" t="s">
        <v>60</v>
      </c>
      <c r="B27" s="85" t="s">
        <v>23</v>
      </c>
      <c r="C27" s="86">
        <v>43440.291666666664</v>
      </c>
      <c r="D27" s="86">
        <v>43551.666666666664</v>
      </c>
      <c r="E27" s="87" t="s">
        <v>37</v>
      </c>
      <c r="F27" s="35" t="s">
        <v>0</v>
      </c>
    </row>
    <row r="28" spans="1:6" ht="15" customHeight="1" x14ac:dyDescent="0.25">
      <c r="A28" s="84" t="s">
        <v>61</v>
      </c>
      <c r="B28" s="85" t="s">
        <v>62</v>
      </c>
      <c r="C28" s="86">
        <v>43440.291666666664</v>
      </c>
      <c r="D28" s="86">
        <v>43467.666666666664</v>
      </c>
      <c r="E28" s="87" t="s">
        <v>27</v>
      </c>
      <c r="F28" s="35" t="s">
        <v>0</v>
      </c>
    </row>
    <row r="29" spans="1:6" ht="15" customHeight="1" x14ac:dyDescent="0.25">
      <c r="A29" s="84" t="s">
        <v>63</v>
      </c>
      <c r="B29" s="85" t="s">
        <v>64</v>
      </c>
      <c r="C29" s="86">
        <v>43496.291666666664</v>
      </c>
      <c r="D29" s="86">
        <v>43523.666666666664</v>
      </c>
      <c r="E29" s="87" t="s">
        <v>27</v>
      </c>
      <c r="F29" s="35" t="s">
        <v>0</v>
      </c>
    </row>
    <row r="30" spans="1:6" ht="15" customHeight="1" x14ac:dyDescent="0.25">
      <c r="A30" s="84" t="s">
        <v>65</v>
      </c>
      <c r="B30" s="85" t="s">
        <v>66</v>
      </c>
      <c r="C30" s="86">
        <v>43496.291666666664</v>
      </c>
      <c r="D30" s="86">
        <v>43551.666666666664</v>
      </c>
      <c r="E30" s="87" t="s">
        <v>30</v>
      </c>
      <c r="F30" s="36" t="s">
        <v>0</v>
      </c>
    </row>
    <row r="31" spans="1:6" ht="15" customHeight="1" x14ac:dyDescent="0.25">
      <c r="A31" s="80" t="s">
        <v>67</v>
      </c>
      <c r="B31" s="81" t="s">
        <v>68</v>
      </c>
      <c r="C31" s="82">
        <v>43262.291666666664</v>
      </c>
      <c r="D31" s="82">
        <v>43467.666666666664</v>
      </c>
      <c r="E31" s="83" t="s">
        <v>69</v>
      </c>
      <c r="F31" s="37">
        <f>3000*2</f>
        <v>6000</v>
      </c>
    </row>
    <row r="32" spans="1:6" ht="15" customHeight="1" x14ac:dyDescent="0.25">
      <c r="A32" s="84" t="s">
        <v>70</v>
      </c>
      <c r="B32" s="85" t="s">
        <v>20</v>
      </c>
      <c r="C32" s="86">
        <v>43262.291666666664</v>
      </c>
      <c r="D32" s="86">
        <v>43411.666666666664</v>
      </c>
      <c r="E32" s="87" t="s">
        <v>21</v>
      </c>
      <c r="F32" s="34" t="s">
        <v>0</v>
      </c>
    </row>
    <row r="33" spans="1:13" ht="15" customHeight="1" x14ac:dyDescent="0.25">
      <c r="A33" s="84" t="s">
        <v>71</v>
      </c>
      <c r="B33" s="85" t="s">
        <v>72</v>
      </c>
      <c r="C33" s="86">
        <v>43412.291666666664</v>
      </c>
      <c r="D33" s="86">
        <v>43467.666666666664</v>
      </c>
      <c r="E33" s="87" t="s">
        <v>30</v>
      </c>
      <c r="F33" s="35">
        <v>5000</v>
      </c>
    </row>
    <row r="34" spans="1:13" ht="15" customHeight="1" x14ac:dyDescent="0.25">
      <c r="A34" s="76" t="s">
        <v>73</v>
      </c>
      <c r="B34" s="77" t="s">
        <v>74</v>
      </c>
      <c r="C34" s="78">
        <v>43340.958333333336</v>
      </c>
      <c r="D34" s="78">
        <v>43340.958333333336</v>
      </c>
      <c r="E34" s="79" t="s">
        <v>75</v>
      </c>
      <c r="F34" s="31" t="s">
        <v>0</v>
      </c>
    </row>
    <row r="35" spans="1:13" ht="15" customHeight="1" x14ac:dyDescent="0.25">
      <c r="A35" s="76" t="s">
        <v>76</v>
      </c>
      <c r="B35" s="77" t="s">
        <v>77</v>
      </c>
      <c r="C35" s="78">
        <v>43340.958333333336</v>
      </c>
      <c r="D35" s="78">
        <v>43396.666666666664</v>
      </c>
      <c r="E35" s="79" t="s">
        <v>30</v>
      </c>
      <c r="F35" s="31" t="s">
        <v>0</v>
      </c>
    </row>
    <row r="36" spans="1:13" ht="15" customHeight="1" x14ac:dyDescent="0.25">
      <c r="A36" s="76" t="s">
        <v>78</v>
      </c>
      <c r="B36" s="77" t="s">
        <v>79</v>
      </c>
      <c r="C36" s="78">
        <v>43440.291666666664</v>
      </c>
      <c r="D36" s="78">
        <v>43565.666666666664</v>
      </c>
      <c r="E36" s="79" t="s">
        <v>80</v>
      </c>
      <c r="F36" s="31" t="s">
        <v>0</v>
      </c>
    </row>
    <row r="37" spans="1:13" ht="15" customHeight="1" x14ac:dyDescent="0.25">
      <c r="A37" s="80" t="s">
        <v>81</v>
      </c>
      <c r="B37" s="81" t="s">
        <v>82</v>
      </c>
      <c r="C37" s="82">
        <v>43440.291666666664</v>
      </c>
      <c r="D37" s="82">
        <v>43565.666666666664</v>
      </c>
      <c r="E37" s="83" t="s">
        <v>80</v>
      </c>
      <c r="F37" s="34" t="s">
        <v>0</v>
      </c>
    </row>
    <row r="38" spans="1:13" ht="15" customHeight="1" x14ac:dyDescent="0.25">
      <c r="A38" s="80" t="s">
        <v>83</v>
      </c>
      <c r="B38" s="81" t="s">
        <v>84</v>
      </c>
      <c r="C38" s="82">
        <v>43565.666666666664</v>
      </c>
      <c r="D38" s="82">
        <v>43565.666666666664</v>
      </c>
      <c r="E38" s="83" t="s">
        <v>75</v>
      </c>
      <c r="F38" s="34" t="s">
        <v>0</v>
      </c>
    </row>
    <row r="39" spans="1:13" ht="15" customHeight="1" x14ac:dyDescent="0.25">
      <c r="A39" s="80" t="s">
        <v>85</v>
      </c>
      <c r="B39" s="81" t="s">
        <v>86</v>
      </c>
      <c r="C39" s="82">
        <v>43565.666666666664</v>
      </c>
      <c r="D39" s="82">
        <v>43565.666666666664</v>
      </c>
      <c r="E39" s="83" t="s">
        <v>75</v>
      </c>
      <c r="F39" s="34" t="s">
        <v>0</v>
      </c>
    </row>
    <row r="40" spans="1:13" ht="15" customHeight="1" x14ac:dyDescent="0.25">
      <c r="A40" s="80" t="s">
        <v>87</v>
      </c>
      <c r="B40" s="81" t="s">
        <v>88</v>
      </c>
      <c r="C40" s="82">
        <v>43565.666666666664</v>
      </c>
      <c r="D40" s="82">
        <v>43565.666666666664</v>
      </c>
      <c r="E40" s="83" t="s">
        <v>75</v>
      </c>
      <c r="F40" s="34" t="s">
        <v>0</v>
      </c>
    </row>
    <row r="41" spans="1:13" ht="15" customHeight="1" x14ac:dyDescent="0.25">
      <c r="A41" s="80" t="s">
        <v>89</v>
      </c>
      <c r="B41" s="81" t="s">
        <v>90</v>
      </c>
      <c r="C41" s="82">
        <v>43565.666666666664</v>
      </c>
      <c r="D41" s="82">
        <v>43565.666666666664</v>
      </c>
      <c r="E41" s="83" t="s">
        <v>75</v>
      </c>
      <c r="F41" s="34">
        <f>1500*9</f>
        <v>13500</v>
      </c>
    </row>
    <row r="42" spans="1:13" ht="15" customHeight="1" x14ac:dyDescent="0.25">
      <c r="A42" s="76" t="s">
        <v>91</v>
      </c>
      <c r="B42" s="77" t="s">
        <v>92</v>
      </c>
      <c r="C42" s="78">
        <v>43397.291666666664</v>
      </c>
      <c r="D42" s="78">
        <v>43410.666666666664</v>
      </c>
      <c r="E42" s="79" t="s">
        <v>93</v>
      </c>
      <c r="F42" s="31" t="s">
        <v>0</v>
      </c>
    </row>
    <row r="43" spans="1:13" ht="15" customHeight="1" thickBot="1" x14ac:dyDescent="0.3">
      <c r="A43" s="76" t="s">
        <v>94</v>
      </c>
      <c r="B43" s="77" t="s">
        <v>95</v>
      </c>
      <c r="C43" s="78">
        <v>43565.666666666664</v>
      </c>
      <c r="D43" s="78">
        <v>43565.666666666664</v>
      </c>
      <c r="E43" s="79" t="s">
        <v>75</v>
      </c>
      <c r="F43" s="31" t="s">
        <v>0</v>
      </c>
    </row>
    <row r="44" spans="1:13" ht="15" customHeight="1" x14ac:dyDescent="0.25">
      <c r="A44" s="10" t="s">
        <v>96</v>
      </c>
      <c r="B44" s="11" t="s">
        <v>97</v>
      </c>
      <c r="C44" s="12">
        <v>43566.291666666664</v>
      </c>
      <c r="D44" s="12">
        <v>45511.666666666664</v>
      </c>
      <c r="E44" s="13" t="s">
        <v>98</v>
      </c>
      <c r="F44" s="38">
        <f>F45+F70+F83+F66</f>
        <v>12372000</v>
      </c>
      <c r="G44" s="38">
        <f>SUM(G45+G66+G70+G83)</f>
        <v>65200</v>
      </c>
      <c r="H44" s="38">
        <f t="shared" ref="H44:L44" si="1">SUM(H45+H66+H70+H83)</f>
        <v>2276000</v>
      </c>
      <c r="I44" s="38">
        <f t="shared" si="1"/>
        <v>2767800</v>
      </c>
      <c r="J44" s="38">
        <f t="shared" si="1"/>
        <v>5313000</v>
      </c>
      <c r="K44" s="38">
        <f t="shared" si="1"/>
        <v>1150000</v>
      </c>
      <c r="L44" s="38">
        <f t="shared" si="1"/>
        <v>800000</v>
      </c>
      <c r="M44" s="38">
        <f>SUM(G44:L44)</f>
        <v>12372000</v>
      </c>
    </row>
    <row r="45" spans="1:13" ht="15" customHeight="1" x14ac:dyDescent="0.25">
      <c r="A45" s="14" t="s">
        <v>99</v>
      </c>
      <c r="B45" s="15" t="s">
        <v>100</v>
      </c>
      <c r="C45" s="16">
        <v>43566.291666666664</v>
      </c>
      <c r="D45" s="16">
        <v>45511.666666666664</v>
      </c>
      <c r="E45" s="17" t="s">
        <v>98</v>
      </c>
      <c r="F45" s="39">
        <f>F46+F56</f>
        <v>4000000</v>
      </c>
      <c r="G45" s="39">
        <f t="shared" ref="G45:L45" si="2">G46+G56</f>
        <v>0</v>
      </c>
      <c r="H45" s="39">
        <f>H46+H56</f>
        <v>750000</v>
      </c>
      <c r="I45" s="39">
        <f t="shared" si="2"/>
        <v>950000</v>
      </c>
      <c r="J45" s="39">
        <f>J46+J56</f>
        <v>500000</v>
      </c>
      <c r="K45" s="39">
        <f t="shared" si="2"/>
        <v>1000000</v>
      </c>
      <c r="L45" s="39">
        <f t="shared" si="2"/>
        <v>800000</v>
      </c>
      <c r="M45" s="39">
        <f>SUM(G45:L45)</f>
        <v>4000000</v>
      </c>
    </row>
    <row r="46" spans="1:13" ht="15" customHeight="1" x14ac:dyDescent="0.25">
      <c r="A46" s="90" t="s">
        <v>101</v>
      </c>
      <c r="B46" s="91" t="s">
        <v>102</v>
      </c>
      <c r="C46" s="92">
        <v>43566.291666666664</v>
      </c>
      <c r="D46" s="92">
        <v>44622.666666666664</v>
      </c>
      <c r="E46" s="93" t="s">
        <v>103</v>
      </c>
      <c r="F46" s="40">
        <f>F48+F55+F49+F52</f>
        <v>2000000</v>
      </c>
      <c r="G46" s="40">
        <f>G48+G55+G49+G52</f>
        <v>0</v>
      </c>
      <c r="H46" s="40">
        <f>H48+H55+H49+H52</f>
        <v>750000</v>
      </c>
      <c r="I46" s="40">
        <f t="shared" ref="I46:L46" si="3">I48+I55+I49+I52</f>
        <v>950000</v>
      </c>
      <c r="J46" s="40">
        <f t="shared" si="3"/>
        <v>300000</v>
      </c>
      <c r="K46" s="40">
        <f t="shared" si="3"/>
        <v>0</v>
      </c>
      <c r="L46" s="40">
        <f t="shared" si="3"/>
        <v>0</v>
      </c>
      <c r="M46" s="40">
        <f>SUM(G46:L46)</f>
        <v>2000000</v>
      </c>
    </row>
    <row r="47" spans="1:13" ht="15" customHeight="1" x14ac:dyDescent="0.25">
      <c r="A47" s="88" t="s">
        <v>104</v>
      </c>
      <c r="B47" s="89" t="s">
        <v>105</v>
      </c>
      <c r="C47" s="20">
        <v>43566.291666666664</v>
      </c>
      <c r="D47" s="20">
        <v>43866.666666666664</v>
      </c>
      <c r="E47" s="21" t="s">
        <v>106</v>
      </c>
      <c r="F47" s="41"/>
    </row>
    <row r="48" spans="1:13" ht="15" customHeight="1" x14ac:dyDescent="0.25">
      <c r="A48" s="22" t="s">
        <v>107</v>
      </c>
      <c r="B48" s="23" t="s">
        <v>108</v>
      </c>
      <c r="C48" s="24">
        <v>43867.291666666664</v>
      </c>
      <c r="D48" s="24">
        <v>44118.666666666664</v>
      </c>
      <c r="E48" s="25" t="s">
        <v>109</v>
      </c>
      <c r="F48" s="42">
        <v>250000</v>
      </c>
      <c r="G48" s="41"/>
      <c r="H48" s="41">
        <f>F48</f>
        <v>250000</v>
      </c>
      <c r="I48" s="41"/>
      <c r="J48" s="41"/>
      <c r="K48" s="41"/>
      <c r="L48" s="44"/>
      <c r="M48" s="143">
        <f>SUM(G48:L48)</f>
        <v>250000</v>
      </c>
    </row>
    <row r="49" spans="1:13" ht="15" customHeight="1" x14ac:dyDescent="0.25">
      <c r="A49" s="22" t="s">
        <v>110</v>
      </c>
      <c r="B49" s="23" t="s">
        <v>111</v>
      </c>
      <c r="C49" s="24">
        <v>44119.291666666664</v>
      </c>
      <c r="D49" s="24">
        <v>44454.666666666664</v>
      </c>
      <c r="E49" s="25" t="s">
        <v>112</v>
      </c>
      <c r="F49" s="42">
        <v>750000</v>
      </c>
      <c r="G49" s="41"/>
      <c r="H49" s="41">
        <f>F49*0.2</f>
        <v>150000</v>
      </c>
      <c r="I49" s="41">
        <f>F49*0.8</f>
        <v>600000</v>
      </c>
      <c r="J49" s="41"/>
      <c r="K49" s="41"/>
      <c r="L49" s="44"/>
      <c r="M49" s="143">
        <f>SUM(G49:L49)</f>
        <v>750000</v>
      </c>
    </row>
    <row r="50" spans="1:13" ht="15" customHeight="1" x14ac:dyDescent="0.25">
      <c r="A50" s="22" t="s">
        <v>113</v>
      </c>
      <c r="B50" s="23" t="s">
        <v>114</v>
      </c>
      <c r="C50" s="24">
        <v>43951.291666666664</v>
      </c>
      <c r="D50" s="24">
        <v>44189.666666666664</v>
      </c>
      <c r="E50" s="25" t="s">
        <v>115</v>
      </c>
      <c r="F50" s="42" t="s">
        <v>0</v>
      </c>
      <c r="G50" s="41"/>
      <c r="H50" s="41"/>
      <c r="I50" s="41"/>
      <c r="J50" s="41"/>
      <c r="K50" s="41"/>
      <c r="L50" s="44"/>
      <c r="M50" s="143">
        <f t="shared" ref="M50:M54" si="4">SUM(G50:L50)</f>
        <v>0</v>
      </c>
    </row>
    <row r="51" spans="1:13" ht="15" customHeight="1" x14ac:dyDescent="0.25">
      <c r="A51" s="22" t="s">
        <v>116</v>
      </c>
      <c r="B51" s="23" t="s">
        <v>117</v>
      </c>
      <c r="C51" s="24">
        <v>43951.291666666664</v>
      </c>
      <c r="D51" s="24">
        <v>44133.666666666664</v>
      </c>
      <c r="E51" s="25" t="s">
        <v>118</v>
      </c>
      <c r="F51" s="42" t="s">
        <v>0</v>
      </c>
      <c r="G51" s="41"/>
      <c r="H51" s="41"/>
      <c r="I51" s="41"/>
      <c r="J51" s="41"/>
      <c r="K51" s="41"/>
      <c r="L51" s="44"/>
      <c r="M51" s="143">
        <f t="shared" si="4"/>
        <v>0</v>
      </c>
    </row>
    <row r="52" spans="1:13" ht="15" customHeight="1" x14ac:dyDescent="0.25">
      <c r="A52" s="22" t="s">
        <v>119</v>
      </c>
      <c r="B52" s="23" t="s">
        <v>120</v>
      </c>
      <c r="C52" s="24">
        <v>44134.291666666664</v>
      </c>
      <c r="D52" s="24">
        <v>44189.666666666664</v>
      </c>
      <c r="E52" s="25" t="s">
        <v>30</v>
      </c>
      <c r="F52" s="42">
        <v>500000</v>
      </c>
      <c r="G52" s="41"/>
      <c r="H52" s="41">
        <f>F52*0.6</f>
        <v>300000</v>
      </c>
      <c r="I52" s="41">
        <f>F52*0.4</f>
        <v>200000</v>
      </c>
      <c r="J52" s="41"/>
      <c r="K52" s="41"/>
      <c r="L52" s="44"/>
      <c r="M52" s="143">
        <f t="shared" si="4"/>
        <v>500000</v>
      </c>
    </row>
    <row r="53" spans="1:13" ht="15" customHeight="1" x14ac:dyDescent="0.25">
      <c r="A53" s="22" t="s">
        <v>121</v>
      </c>
      <c r="B53" s="23" t="s">
        <v>122</v>
      </c>
      <c r="C53" s="24">
        <v>43818.291666666664</v>
      </c>
      <c r="D53" s="24">
        <v>44622.666666666664</v>
      </c>
      <c r="E53" s="25" t="s">
        <v>123</v>
      </c>
      <c r="F53" s="42" t="s">
        <v>0</v>
      </c>
      <c r="G53" s="41"/>
      <c r="H53" s="41"/>
      <c r="I53" s="41"/>
      <c r="J53" s="41"/>
      <c r="K53" s="41"/>
      <c r="L53" s="44"/>
      <c r="M53" s="143">
        <f t="shared" si="4"/>
        <v>0</v>
      </c>
    </row>
    <row r="54" spans="1:13" ht="15" customHeight="1" x14ac:dyDescent="0.25">
      <c r="A54" s="94" t="s">
        <v>124</v>
      </c>
      <c r="B54" s="95" t="s">
        <v>125</v>
      </c>
      <c r="C54" s="96">
        <v>43818.291666666664</v>
      </c>
      <c r="D54" s="96">
        <v>44118.666666666664</v>
      </c>
      <c r="E54" s="97" t="s">
        <v>106</v>
      </c>
      <c r="F54" s="42"/>
      <c r="G54" s="41"/>
      <c r="H54" s="41"/>
      <c r="I54" s="41"/>
      <c r="J54" s="41"/>
      <c r="K54" s="41"/>
      <c r="L54" s="44"/>
      <c r="M54" s="143">
        <f t="shared" si="4"/>
        <v>0</v>
      </c>
    </row>
    <row r="55" spans="1:13" ht="15" customHeight="1" x14ac:dyDescent="0.25">
      <c r="A55" s="107" t="s">
        <v>126</v>
      </c>
      <c r="B55" s="108" t="s">
        <v>23</v>
      </c>
      <c r="C55" s="109">
        <v>44119.291666666664</v>
      </c>
      <c r="D55" s="109">
        <v>44622.666666666664</v>
      </c>
      <c r="E55" s="110" t="s">
        <v>127</v>
      </c>
      <c r="F55" s="42">
        <v>500000</v>
      </c>
      <c r="G55" s="44"/>
      <c r="H55" s="44">
        <f>F55*0.1</f>
        <v>50000</v>
      </c>
      <c r="I55" s="44">
        <f>F55*0.3</f>
        <v>150000</v>
      </c>
      <c r="J55" s="44">
        <f>F55*0.6</f>
        <v>300000</v>
      </c>
      <c r="K55" s="44"/>
      <c r="L55" s="44"/>
      <c r="M55" s="143">
        <f>SUM(G55:L55)</f>
        <v>500000</v>
      </c>
    </row>
    <row r="56" spans="1:13" ht="15" customHeight="1" x14ac:dyDescent="0.25">
      <c r="A56" s="102" t="s">
        <v>128</v>
      </c>
      <c r="B56" s="103" t="s">
        <v>129</v>
      </c>
      <c r="C56" s="104">
        <v>44455.291666666664</v>
      </c>
      <c r="D56" s="104">
        <v>45511.666666666664</v>
      </c>
      <c r="E56" s="105" t="s">
        <v>103</v>
      </c>
      <c r="F56" s="106">
        <v>2000000</v>
      </c>
      <c r="G56" s="106"/>
      <c r="H56" s="106"/>
      <c r="I56" s="106"/>
      <c r="J56" s="106">
        <f>F56*0.1</f>
        <v>200000</v>
      </c>
      <c r="K56" s="106">
        <f>F56*0.5</f>
        <v>1000000</v>
      </c>
      <c r="L56" s="106">
        <f>F56*0.4</f>
        <v>800000</v>
      </c>
      <c r="M56" s="106">
        <f>SUM(G56:L56)</f>
        <v>2000000</v>
      </c>
    </row>
    <row r="57" spans="1:13" ht="15" customHeight="1" x14ac:dyDescent="0.25">
      <c r="A57" s="88" t="s">
        <v>130</v>
      </c>
      <c r="B57" s="89" t="s">
        <v>105</v>
      </c>
      <c r="C57" s="20">
        <v>44455.291666666664</v>
      </c>
      <c r="D57" s="20">
        <v>44755.666666666664</v>
      </c>
      <c r="E57" s="21" t="s">
        <v>106</v>
      </c>
      <c r="F57" s="42"/>
      <c r="G57" s="42"/>
      <c r="H57" s="42"/>
      <c r="I57" s="42"/>
      <c r="J57" s="42"/>
      <c r="K57" s="42"/>
      <c r="L57" s="42"/>
      <c r="M57" s="42"/>
    </row>
    <row r="58" spans="1:13" ht="15" customHeight="1" x14ac:dyDescent="0.25">
      <c r="A58" s="22" t="s">
        <v>131</v>
      </c>
      <c r="B58" s="23" t="s">
        <v>132</v>
      </c>
      <c r="C58" s="24">
        <v>44756.291666666664</v>
      </c>
      <c r="D58" s="24">
        <v>45007.666666666664</v>
      </c>
      <c r="E58" s="25" t="s">
        <v>109</v>
      </c>
      <c r="F58" s="42">
        <v>250000</v>
      </c>
      <c r="G58" s="42"/>
      <c r="H58" s="42"/>
      <c r="I58" s="42"/>
      <c r="J58" s="42">
        <f>F58*0.7</f>
        <v>175000</v>
      </c>
      <c r="K58" s="42">
        <f>F58*0.3</f>
        <v>75000</v>
      </c>
      <c r="L58" s="42"/>
      <c r="M58" s="41"/>
    </row>
    <row r="59" spans="1:13" ht="15" customHeight="1" x14ac:dyDescent="0.25">
      <c r="A59" s="22" t="s">
        <v>133</v>
      </c>
      <c r="B59" s="23" t="s">
        <v>134</v>
      </c>
      <c r="C59" s="24">
        <v>45008.291666666664</v>
      </c>
      <c r="D59" s="24">
        <v>45343.666666666664</v>
      </c>
      <c r="E59" s="25" t="s">
        <v>112</v>
      </c>
      <c r="F59" s="42">
        <v>750000</v>
      </c>
      <c r="G59" s="41"/>
      <c r="H59" s="41"/>
      <c r="I59" s="41"/>
      <c r="J59" s="41"/>
      <c r="K59" s="41">
        <f>F59*0.7</f>
        <v>525000</v>
      </c>
      <c r="L59" s="41">
        <f>F59*0.3</f>
        <v>225000</v>
      </c>
      <c r="M59" s="41"/>
    </row>
    <row r="60" spans="1:13" ht="15" customHeight="1" x14ac:dyDescent="0.25">
      <c r="A60" s="22" t="s">
        <v>135</v>
      </c>
      <c r="B60" s="23" t="s">
        <v>136</v>
      </c>
      <c r="C60" s="24">
        <v>44840.291666666664</v>
      </c>
      <c r="D60" s="24">
        <v>45078.666666666664</v>
      </c>
      <c r="E60" s="25" t="s">
        <v>115</v>
      </c>
      <c r="F60" s="42"/>
      <c r="G60" s="41"/>
      <c r="H60" s="41"/>
      <c r="I60" s="41"/>
      <c r="J60" s="41"/>
      <c r="K60" s="41"/>
      <c r="L60" s="41"/>
      <c r="M60" s="41"/>
    </row>
    <row r="61" spans="1:13" ht="15" customHeight="1" x14ac:dyDescent="0.25">
      <c r="A61" s="22" t="s">
        <v>137</v>
      </c>
      <c r="B61" s="23" t="s">
        <v>117</v>
      </c>
      <c r="C61" s="24">
        <v>44840.291666666664</v>
      </c>
      <c r="D61" s="24">
        <v>45022.666666666664</v>
      </c>
      <c r="E61" s="25" t="s">
        <v>118</v>
      </c>
      <c r="F61" s="42"/>
      <c r="G61" s="41"/>
      <c r="H61" s="41"/>
      <c r="I61" s="41"/>
      <c r="J61" s="41"/>
      <c r="K61" s="41"/>
      <c r="L61" s="41"/>
      <c r="M61" s="41"/>
    </row>
    <row r="62" spans="1:13" ht="15" customHeight="1" x14ac:dyDescent="0.25">
      <c r="A62" s="22" t="s">
        <v>138</v>
      </c>
      <c r="B62" s="23" t="s">
        <v>120</v>
      </c>
      <c r="C62" s="24">
        <v>45023.291666666664</v>
      </c>
      <c r="D62" s="24">
        <v>45078.666666666664</v>
      </c>
      <c r="E62" s="25" t="s">
        <v>30</v>
      </c>
      <c r="F62" s="42">
        <v>500000</v>
      </c>
      <c r="G62" s="41"/>
      <c r="H62" s="41"/>
      <c r="I62" s="41"/>
      <c r="J62" s="41"/>
      <c r="K62" s="41">
        <f>F62</f>
        <v>500000</v>
      </c>
      <c r="L62" s="41"/>
      <c r="M62" s="41"/>
    </row>
    <row r="63" spans="1:13" ht="15" customHeight="1" x14ac:dyDescent="0.25">
      <c r="A63" s="22" t="s">
        <v>139</v>
      </c>
      <c r="B63" s="23" t="s">
        <v>140</v>
      </c>
      <c r="C63" s="24">
        <v>44707.291666666664</v>
      </c>
      <c r="D63" s="24">
        <v>45511.666666666664</v>
      </c>
      <c r="E63" s="25" t="s">
        <v>123</v>
      </c>
      <c r="F63" s="42"/>
      <c r="G63" s="41"/>
      <c r="H63" s="41"/>
      <c r="I63" s="41"/>
      <c r="J63" s="41"/>
      <c r="K63" s="41"/>
      <c r="L63" s="41"/>
      <c r="M63" s="41"/>
    </row>
    <row r="64" spans="1:13" ht="15" customHeight="1" x14ac:dyDescent="0.25">
      <c r="A64" s="22" t="s">
        <v>141</v>
      </c>
      <c r="B64" s="23" t="s">
        <v>125</v>
      </c>
      <c r="C64" s="24">
        <v>44707.291666666664</v>
      </c>
      <c r="D64" s="24">
        <v>45007.666666666664</v>
      </c>
      <c r="E64" s="25" t="s">
        <v>106</v>
      </c>
      <c r="F64" s="42"/>
      <c r="G64" s="41"/>
      <c r="H64" s="41"/>
      <c r="I64" s="41"/>
      <c r="J64" s="41"/>
      <c r="K64" s="41"/>
      <c r="L64" s="41"/>
      <c r="M64" s="41"/>
    </row>
    <row r="65" spans="1:13" ht="15" customHeight="1" x14ac:dyDescent="0.25">
      <c r="A65" s="22" t="s">
        <v>142</v>
      </c>
      <c r="B65" s="23" t="s">
        <v>23</v>
      </c>
      <c r="C65" s="24">
        <v>45008.291666666664</v>
      </c>
      <c r="D65" s="24">
        <v>45511.666666666664</v>
      </c>
      <c r="E65" s="25" t="s">
        <v>127</v>
      </c>
      <c r="F65" s="42">
        <v>500000</v>
      </c>
      <c r="G65" s="41"/>
      <c r="H65" s="41"/>
      <c r="I65" s="41"/>
      <c r="J65" s="41"/>
      <c r="K65" s="41">
        <f>F65*0.4</f>
        <v>200000</v>
      </c>
      <c r="L65" s="41">
        <f>F65*0.6</f>
        <v>300000</v>
      </c>
      <c r="M65" s="41"/>
    </row>
    <row r="66" spans="1:13" ht="15" customHeight="1" x14ac:dyDescent="0.25">
      <c r="A66" s="14" t="s">
        <v>143</v>
      </c>
      <c r="B66" s="15" t="s">
        <v>144</v>
      </c>
      <c r="C66" s="16">
        <v>43566.291666666664</v>
      </c>
      <c r="D66" s="16">
        <v>45098.666666666664</v>
      </c>
      <c r="E66" s="17" t="s">
        <v>145</v>
      </c>
      <c r="F66" s="39">
        <f>F68+F69</f>
        <v>300000</v>
      </c>
      <c r="G66" s="39">
        <f t="shared" ref="G66:L66" si="5">G68+G69</f>
        <v>0</v>
      </c>
      <c r="H66" s="39">
        <f t="shared" si="5"/>
        <v>150000</v>
      </c>
      <c r="I66" s="39">
        <f t="shared" si="5"/>
        <v>0</v>
      </c>
      <c r="J66" s="39">
        <f t="shared" si="5"/>
        <v>0</v>
      </c>
      <c r="K66" s="39">
        <f t="shared" si="5"/>
        <v>150000</v>
      </c>
      <c r="L66" s="39">
        <f t="shared" si="5"/>
        <v>0</v>
      </c>
      <c r="M66" s="39">
        <f>SUM(G66:L66)</f>
        <v>300000</v>
      </c>
    </row>
    <row r="67" spans="1:13" ht="15" customHeight="1" x14ac:dyDescent="0.25">
      <c r="A67" s="18" t="s">
        <v>146</v>
      </c>
      <c r="B67" s="19" t="s">
        <v>125</v>
      </c>
      <c r="C67" s="20">
        <v>43566.291666666664</v>
      </c>
      <c r="D67" s="20">
        <v>43866.666666666664</v>
      </c>
      <c r="E67" s="21" t="s">
        <v>106</v>
      </c>
      <c r="F67" s="41" t="s">
        <v>0</v>
      </c>
      <c r="G67" s="41"/>
      <c r="H67" s="41"/>
      <c r="I67" s="41"/>
      <c r="J67" s="41"/>
      <c r="K67" s="41"/>
      <c r="L67" s="41"/>
      <c r="M67" s="41"/>
    </row>
    <row r="68" spans="1:13" ht="15" customHeight="1" x14ac:dyDescent="0.25">
      <c r="A68" s="18" t="s">
        <v>147</v>
      </c>
      <c r="B68" s="19" t="s">
        <v>148</v>
      </c>
      <c r="C68" s="20">
        <v>43867.291666666664</v>
      </c>
      <c r="D68" s="20">
        <v>43992.666666666664</v>
      </c>
      <c r="E68" s="21" t="s">
        <v>80</v>
      </c>
      <c r="F68" s="41">
        <v>150000</v>
      </c>
      <c r="G68" s="41"/>
      <c r="H68" s="41">
        <f>F68</f>
        <v>150000</v>
      </c>
      <c r="I68" s="41"/>
      <c r="J68" s="41"/>
      <c r="K68" s="41"/>
      <c r="L68" s="41"/>
      <c r="M68" s="41"/>
    </row>
    <row r="69" spans="1:13" ht="15" customHeight="1" x14ac:dyDescent="0.25">
      <c r="A69" s="18" t="s">
        <v>149</v>
      </c>
      <c r="B69" s="19" t="s">
        <v>150</v>
      </c>
      <c r="C69" s="20">
        <v>44973.291666666664</v>
      </c>
      <c r="D69" s="20">
        <v>45098.666666666664</v>
      </c>
      <c r="E69" s="21" t="s">
        <v>80</v>
      </c>
      <c r="F69" s="44">
        <v>150000</v>
      </c>
      <c r="G69" s="41"/>
      <c r="H69" s="41"/>
      <c r="I69" s="41"/>
      <c r="J69" s="41"/>
      <c r="K69" s="41">
        <f>F69</f>
        <v>150000</v>
      </c>
      <c r="L69" s="41"/>
      <c r="M69" s="143"/>
    </row>
    <row r="70" spans="1:13" ht="15" customHeight="1" x14ac:dyDescent="0.25">
      <c r="A70" s="14" t="s">
        <v>151</v>
      </c>
      <c r="B70" s="15" t="s">
        <v>152</v>
      </c>
      <c r="C70" s="16">
        <v>43566.291666666664</v>
      </c>
      <c r="D70" s="16">
        <v>44797.666666666664</v>
      </c>
      <c r="E70" s="17" t="s">
        <v>153</v>
      </c>
      <c r="F70" s="39">
        <f>F71+F82</f>
        <v>7172000</v>
      </c>
      <c r="G70" s="39">
        <f>SUM(G71:G82)</f>
        <v>65200</v>
      </c>
      <c r="H70" s="39">
        <f>SUM(H71:H82)</f>
        <v>1376000</v>
      </c>
      <c r="I70" s="39">
        <f t="shared" ref="I70:L70" si="6">SUM(I71:I82)</f>
        <v>1817800</v>
      </c>
      <c r="J70" s="39">
        <f t="shared" si="6"/>
        <v>3913000</v>
      </c>
      <c r="K70" s="39">
        <f t="shared" si="6"/>
        <v>0</v>
      </c>
      <c r="L70" s="39">
        <f t="shared" si="6"/>
        <v>0</v>
      </c>
      <c r="M70" s="39">
        <f>SUM(G70:L70)</f>
        <v>7172000</v>
      </c>
    </row>
    <row r="71" spans="1:13" ht="15" customHeight="1" x14ac:dyDescent="0.25">
      <c r="A71" s="90" t="s">
        <v>154</v>
      </c>
      <c r="B71" s="91" t="s">
        <v>155</v>
      </c>
      <c r="C71" s="92">
        <v>43566.291666666664</v>
      </c>
      <c r="D71" s="92">
        <v>44797.666666666664</v>
      </c>
      <c r="E71" s="93" t="s">
        <v>153</v>
      </c>
      <c r="F71" s="45">
        <f>SUM(F74+F73)</f>
        <v>6846000</v>
      </c>
      <c r="G71" s="45"/>
      <c r="H71" s="45"/>
      <c r="I71" s="45"/>
      <c r="J71" s="45"/>
      <c r="K71" s="45"/>
      <c r="L71" s="45"/>
      <c r="M71" s="45"/>
    </row>
    <row r="72" spans="1:13" ht="15" customHeight="1" x14ac:dyDescent="0.25">
      <c r="A72" s="88" t="s">
        <v>156</v>
      </c>
      <c r="B72" s="89" t="s">
        <v>117</v>
      </c>
      <c r="C72" s="20">
        <v>43566.291666666664</v>
      </c>
      <c r="D72" s="20">
        <v>43761.666666666664</v>
      </c>
      <c r="E72" s="21" t="s">
        <v>157</v>
      </c>
      <c r="F72" s="41"/>
      <c r="G72" s="41"/>
      <c r="H72" s="41"/>
      <c r="I72" s="41"/>
      <c r="J72" s="41"/>
      <c r="K72" s="41"/>
      <c r="L72" s="41"/>
      <c r="M72" s="41"/>
    </row>
    <row r="73" spans="1:13" ht="15" customHeight="1" x14ac:dyDescent="0.25">
      <c r="A73" s="22" t="s">
        <v>158</v>
      </c>
      <c r="B73" s="23" t="s">
        <v>159</v>
      </c>
      <c r="C73" s="24">
        <v>43762.291666666664</v>
      </c>
      <c r="D73" s="24">
        <v>43985.666666666664</v>
      </c>
      <c r="E73" s="25" t="s">
        <v>160</v>
      </c>
      <c r="F73" s="41">
        <f>PEP!F73</f>
        <v>326000</v>
      </c>
      <c r="G73" s="41">
        <f>F73*0.2</f>
        <v>65200</v>
      </c>
      <c r="H73" s="41">
        <f>F73*0.8</f>
        <v>260800</v>
      </c>
      <c r="I73" s="41"/>
      <c r="J73" s="41"/>
      <c r="K73" s="41"/>
      <c r="L73" s="41"/>
      <c r="M73" s="41">
        <f>SUM(G73:L73)</f>
        <v>326000</v>
      </c>
    </row>
    <row r="74" spans="1:13" ht="15" customHeight="1" x14ac:dyDescent="0.25">
      <c r="A74" s="22" t="s">
        <v>161</v>
      </c>
      <c r="B74" s="23" t="s">
        <v>162</v>
      </c>
      <c r="C74" s="24">
        <v>43986.291666666664</v>
      </c>
      <c r="D74" s="24">
        <v>44797.666666666664</v>
      </c>
      <c r="E74" s="25" t="s">
        <v>163</v>
      </c>
      <c r="F74" s="41">
        <f>PEP!F74</f>
        <v>6520000</v>
      </c>
      <c r="G74" s="41"/>
      <c r="H74" s="41"/>
      <c r="I74" s="41"/>
      <c r="J74" s="41"/>
      <c r="K74" s="41"/>
      <c r="L74" s="41"/>
      <c r="M74" s="41">
        <f t="shared" ref="M74:M82" si="7">SUM(G74:L74)</f>
        <v>0</v>
      </c>
    </row>
    <row r="75" spans="1:13" ht="15" customHeight="1" x14ac:dyDescent="0.25">
      <c r="A75" s="22" t="s">
        <v>164</v>
      </c>
      <c r="B75" s="23" t="s">
        <v>165</v>
      </c>
      <c r="C75" s="24">
        <v>43986.291666666664</v>
      </c>
      <c r="D75" s="24">
        <v>44153.666666666664</v>
      </c>
      <c r="E75" s="25" t="s">
        <v>166</v>
      </c>
      <c r="F75" s="41">
        <f>PEP!F75</f>
        <v>875000</v>
      </c>
      <c r="G75" s="41"/>
      <c r="H75" s="41">
        <f>F75</f>
        <v>875000</v>
      </c>
      <c r="I75" s="41"/>
      <c r="J75" s="41"/>
      <c r="K75" s="41"/>
      <c r="L75" s="41"/>
      <c r="M75" s="41">
        <f t="shared" si="7"/>
        <v>875000</v>
      </c>
    </row>
    <row r="76" spans="1:13" ht="15" customHeight="1" x14ac:dyDescent="0.25">
      <c r="A76" s="22" t="s">
        <v>167</v>
      </c>
      <c r="B76" s="23" t="s">
        <v>168</v>
      </c>
      <c r="C76" s="24">
        <v>44154.291666666664</v>
      </c>
      <c r="D76" s="24">
        <v>44321.666666666664</v>
      </c>
      <c r="E76" s="25" t="s">
        <v>166</v>
      </c>
      <c r="F76" s="41">
        <f>PEP!F76</f>
        <v>875000</v>
      </c>
      <c r="G76" s="41"/>
      <c r="H76" s="41">
        <f>F76*0.2</f>
        <v>175000</v>
      </c>
      <c r="I76" s="41">
        <f>F76*0.8</f>
        <v>700000</v>
      </c>
      <c r="J76" s="41"/>
      <c r="K76" s="41"/>
      <c r="L76" s="41"/>
      <c r="M76" s="41">
        <f t="shared" si="7"/>
        <v>875000</v>
      </c>
    </row>
    <row r="77" spans="1:13" ht="15" customHeight="1" x14ac:dyDescent="0.25">
      <c r="A77" s="22" t="s">
        <v>169</v>
      </c>
      <c r="B77" s="23" t="s">
        <v>170</v>
      </c>
      <c r="C77" s="24">
        <v>44322.291666666664</v>
      </c>
      <c r="D77" s="24">
        <v>44405.666666666664</v>
      </c>
      <c r="E77" s="25" t="s">
        <v>24</v>
      </c>
      <c r="F77" s="41">
        <f>PEP!F77</f>
        <v>390000</v>
      </c>
      <c r="G77" s="41"/>
      <c r="H77" s="41"/>
      <c r="I77" s="41">
        <f>F77</f>
        <v>390000</v>
      </c>
      <c r="J77" s="41"/>
      <c r="K77" s="41"/>
      <c r="L77" s="41"/>
      <c r="M77" s="41">
        <f t="shared" si="7"/>
        <v>390000</v>
      </c>
    </row>
    <row r="78" spans="1:13" ht="15" customHeight="1" x14ac:dyDescent="0.25">
      <c r="A78" s="22" t="s">
        <v>171</v>
      </c>
      <c r="B78" s="23" t="s">
        <v>172</v>
      </c>
      <c r="C78" s="24">
        <v>44406.291666666664</v>
      </c>
      <c r="D78" s="24">
        <v>44741.666666666664</v>
      </c>
      <c r="E78" s="25" t="s">
        <v>112</v>
      </c>
      <c r="F78" s="41">
        <f>PEP!F78</f>
        <v>3150000</v>
      </c>
      <c r="G78" s="41"/>
      <c r="H78" s="41"/>
      <c r="I78" s="41">
        <f>F78*0.2</f>
        <v>630000</v>
      </c>
      <c r="J78" s="41">
        <f>F78*0.8</f>
        <v>2520000</v>
      </c>
      <c r="K78" s="41"/>
      <c r="L78" s="41"/>
      <c r="M78" s="41">
        <f t="shared" si="7"/>
        <v>3150000</v>
      </c>
    </row>
    <row r="79" spans="1:13" ht="15" customHeight="1" x14ac:dyDescent="0.25">
      <c r="A79" s="94" t="s">
        <v>173</v>
      </c>
      <c r="B79" s="95" t="s">
        <v>483</v>
      </c>
      <c r="C79" s="96">
        <v>44742.291666666664</v>
      </c>
      <c r="D79" s="96">
        <v>44797.666666666664</v>
      </c>
      <c r="E79" s="97" t="s">
        <v>30</v>
      </c>
      <c r="F79" s="44">
        <f>PEP!F79</f>
        <v>1230000</v>
      </c>
      <c r="G79" s="44"/>
      <c r="H79" s="44"/>
      <c r="I79" s="44"/>
      <c r="J79" s="44">
        <f>F79</f>
        <v>1230000</v>
      </c>
      <c r="K79" s="44"/>
      <c r="L79" s="44"/>
      <c r="M79" s="41">
        <f t="shared" si="7"/>
        <v>1230000</v>
      </c>
    </row>
    <row r="80" spans="1:13" ht="15" customHeight="1" x14ac:dyDescent="0.25">
      <c r="A80" s="112" t="s">
        <v>174</v>
      </c>
      <c r="B80" s="113" t="s">
        <v>175</v>
      </c>
      <c r="C80" s="100">
        <v>43654.291666666664</v>
      </c>
      <c r="D80" s="100">
        <v>44797.666666666664</v>
      </c>
      <c r="E80" s="101" t="s">
        <v>176</v>
      </c>
      <c r="F80" s="46"/>
      <c r="G80" s="46"/>
      <c r="H80" s="46"/>
      <c r="I80" s="46"/>
      <c r="J80" s="46"/>
      <c r="K80" s="46"/>
      <c r="L80" s="46"/>
      <c r="M80" s="41">
        <f t="shared" si="7"/>
        <v>0</v>
      </c>
    </row>
    <row r="81" spans="1:13" ht="15" customHeight="1" x14ac:dyDescent="0.25">
      <c r="A81" s="88" t="s">
        <v>177</v>
      </c>
      <c r="B81" s="89" t="s">
        <v>125</v>
      </c>
      <c r="C81" s="20">
        <v>43654.291666666664</v>
      </c>
      <c r="D81" s="20">
        <v>43957.666666666664</v>
      </c>
      <c r="E81" s="21" t="s">
        <v>178</v>
      </c>
      <c r="F81" s="41"/>
      <c r="G81" s="41"/>
      <c r="H81" s="41"/>
      <c r="I81" s="41"/>
      <c r="J81" s="41"/>
      <c r="K81" s="41"/>
      <c r="L81" s="41"/>
      <c r="M81" s="41">
        <f t="shared" si="7"/>
        <v>0</v>
      </c>
    </row>
    <row r="82" spans="1:13" ht="15" customHeight="1" x14ac:dyDescent="0.25">
      <c r="A82" s="22" t="s">
        <v>179</v>
      </c>
      <c r="B82" s="23" t="s">
        <v>180</v>
      </c>
      <c r="C82" s="24">
        <v>43958.291666666664</v>
      </c>
      <c r="D82" s="24">
        <v>44797.666666666664</v>
      </c>
      <c r="E82" s="25" t="s">
        <v>181</v>
      </c>
      <c r="F82" s="41">
        <f>F74*0.05</f>
        <v>326000</v>
      </c>
      <c r="G82" s="41"/>
      <c r="H82" s="41">
        <f>F82*0.2</f>
        <v>65200</v>
      </c>
      <c r="I82" s="41">
        <f>F82*0.3</f>
        <v>97800</v>
      </c>
      <c r="J82" s="41">
        <f>F82*0.5</f>
        <v>163000</v>
      </c>
      <c r="K82" s="41"/>
      <c r="L82" s="41"/>
      <c r="M82" s="41">
        <f t="shared" si="7"/>
        <v>326000</v>
      </c>
    </row>
    <row r="83" spans="1:13" ht="15" customHeight="1" x14ac:dyDescent="0.25">
      <c r="A83" s="14" t="s">
        <v>182</v>
      </c>
      <c r="B83" s="15" t="s">
        <v>183</v>
      </c>
      <c r="C83" s="16">
        <v>44504.291666666664</v>
      </c>
      <c r="D83" s="16">
        <v>44797.666666666664</v>
      </c>
      <c r="E83" s="17" t="s">
        <v>184</v>
      </c>
      <c r="F83" s="39">
        <f>F84+F88</f>
        <v>900000</v>
      </c>
      <c r="G83" s="39">
        <f>SUM(G84:G91)</f>
        <v>0</v>
      </c>
      <c r="H83" s="39">
        <f t="shared" ref="H83:L83" si="8">SUM(H84:H91)</f>
        <v>0</v>
      </c>
      <c r="I83" s="39">
        <f t="shared" si="8"/>
        <v>0</v>
      </c>
      <c r="J83" s="39">
        <f t="shared" si="8"/>
        <v>900000</v>
      </c>
      <c r="K83" s="39">
        <f t="shared" si="8"/>
        <v>0</v>
      </c>
      <c r="L83" s="39">
        <f t="shared" si="8"/>
        <v>0</v>
      </c>
      <c r="M83" s="39">
        <f>SUM(G83:L83)</f>
        <v>900000</v>
      </c>
    </row>
    <row r="84" spans="1:13" ht="15" customHeight="1" x14ac:dyDescent="0.25">
      <c r="A84" s="90" t="s">
        <v>185</v>
      </c>
      <c r="B84" s="91" t="s">
        <v>186</v>
      </c>
      <c r="C84" s="92">
        <v>44504.291666666664</v>
      </c>
      <c r="D84" s="92">
        <v>44797.666666666664</v>
      </c>
      <c r="E84" s="93" t="s">
        <v>184</v>
      </c>
      <c r="F84" s="40">
        <f>PEP!F84</f>
        <v>400000</v>
      </c>
      <c r="G84" s="40"/>
      <c r="H84" s="40"/>
      <c r="I84" s="40"/>
      <c r="J84" s="40"/>
      <c r="K84" s="40"/>
      <c r="L84" s="40"/>
      <c r="M84" s="40"/>
    </row>
    <row r="85" spans="1:13" ht="15" customHeight="1" x14ac:dyDescent="0.25">
      <c r="A85" s="88" t="s">
        <v>187</v>
      </c>
      <c r="B85" s="89" t="s">
        <v>188</v>
      </c>
      <c r="C85" s="20">
        <v>44504.291666666664</v>
      </c>
      <c r="D85" s="20">
        <v>44524.666666666664</v>
      </c>
      <c r="E85" s="21" t="s">
        <v>12</v>
      </c>
      <c r="F85" s="41" t="s">
        <v>0</v>
      </c>
      <c r="G85" s="41"/>
      <c r="H85" s="41"/>
      <c r="I85" s="41"/>
      <c r="J85" s="41"/>
      <c r="K85" s="41"/>
      <c r="L85" s="41"/>
      <c r="M85" s="41"/>
    </row>
    <row r="86" spans="1:13" ht="15" customHeight="1" x14ac:dyDescent="0.25">
      <c r="A86" s="22" t="s">
        <v>189</v>
      </c>
      <c r="B86" s="23" t="s">
        <v>117</v>
      </c>
      <c r="C86" s="24">
        <v>44525.291666666664</v>
      </c>
      <c r="D86" s="24">
        <v>44720.666666666664</v>
      </c>
      <c r="E86" s="25" t="s">
        <v>157</v>
      </c>
      <c r="F86" s="42" t="s">
        <v>0</v>
      </c>
      <c r="G86" s="42"/>
      <c r="H86" s="42"/>
      <c r="I86" s="42"/>
      <c r="J86" s="42"/>
      <c r="K86" s="42"/>
      <c r="L86" s="42"/>
      <c r="M86" s="42"/>
    </row>
    <row r="87" spans="1:13" ht="15" customHeight="1" x14ac:dyDescent="0.25">
      <c r="A87" s="94" t="s">
        <v>190</v>
      </c>
      <c r="B87" s="95" t="s">
        <v>191</v>
      </c>
      <c r="C87" s="96">
        <v>44742.291666666664</v>
      </c>
      <c r="D87" s="96">
        <v>44797.666666666664</v>
      </c>
      <c r="E87" s="97" t="s">
        <v>30</v>
      </c>
      <c r="F87" s="43" t="s">
        <v>0</v>
      </c>
      <c r="G87" s="43"/>
      <c r="H87" s="43"/>
      <c r="I87" s="43"/>
      <c r="J87" s="43">
        <f>F84</f>
        <v>400000</v>
      </c>
      <c r="K87" s="43"/>
      <c r="L87" s="43"/>
      <c r="M87" s="43"/>
    </row>
    <row r="88" spans="1:13" ht="15" customHeight="1" x14ac:dyDescent="0.25">
      <c r="A88" s="112" t="s">
        <v>192</v>
      </c>
      <c r="B88" s="113" t="s">
        <v>193</v>
      </c>
      <c r="C88" s="100">
        <v>44504.291666666664</v>
      </c>
      <c r="D88" s="100">
        <v>44741.666666666664</v>
      </c>
      <c r="E88" s="101" t="s">
        <v>194</v>
      </c>
      <c r="F88" s="47">
        <f>PEP!F88</f>
        <v>500000</v>
      </c>
      <c r="G88" s="47"/>
      <c r="H88" s="47"/>
      <c r="I88" s="47"/>
      <c r="J88" s="47"/>
      <c r="K88" s="47"/>
      <c r="L88" s="47"/>
      <c r="M88" s="47"/>
    </row>
    <row r="89" spans="1:13" ht="15" customHeight="1" x14ac:dyDescent="0.25">
      <c r="A89" s="88" t="s">
        <v>195</v>
      </c>
      <c r="B89" s="89" t="s">
        <v>188</v>
      </c>
      <c r="C89" s="20">
        <v>44504.291666666664</v>
      </c>
      <c r="D89" s="20">
        <v>44517.666666666664</v>
      </c>
      <c r="E89" s="21" t="s">
        <v>93</v>
      </c>
      <c r="F89" s="41" t="s">
        <v>0</v>
      </c>
      <c r="G89" s="41"/>
      <c r="H89" s="41"/>
      <c r="I89" s="41"/>
      <c r="J89" s="41"/>
      <c r="K89" s="41"/>
      <c r="L89" s="41"/>
      <c r="M89" s="41"/>
    </row>
    <row r="90" spans="1:13" ht="15" customHeight="1" x14ac:dyDescent="0.25">
      <c r="A90" s="22" t="s">
        <v>196</v>
      </c>
      <c r="B90" s="23" t="s">
        <v>117</v>
      </c>
      <c r="C90" s="24">
        <v>44518.291666666664</v>
      </c>
      <c r="D90" s="24">
        <v>44713.666666666664</v>
      </c>
      <c r="E90" s="25" t="s">
        <v>157</v>
      </c>
      <c r="F90" s="42" t="s">
        <v>0</v>
      </c>
      <c r="G90" s="42"/>
      <c r="H90" s="42"/>
      <c r="I90" s="42"/>
      <c r="J90" s="42"/>
      <c r="K90" s="42"/>
      <c r="L90" s="42"/>
      <c r="M90" s="42"/>
    </row>
    <row r="91" spans="1:13" ht="15" customHeight="1" thickBot="1" x14ac:dyDescent="0.3">
      <c r="A91" s="22" t="s">
        <v>197</v>
      </c>
      <c r="B91" s="23" t="s">
        <v>198</v>
      </c>
      <c r="C91" s="24">
        <v>44714.291666666664</v>
      </c>
      <c r="D91" s="24">
        <v>44741.666666666664</v>
      </c>
      <c r="E91" s="25" t="s">
        <v>27</v>
      </c>
      <c r="F91" s="42" t="s">
        <v>0</v>
      </c>
      <c r="G91" s="42"/>
      <c r="H91" s="42"/>
      <c r="I91" s="42"/>
      <c r="J91" s="42">
        <f>F88</f>
        <v>500000</v>
      </c>
      <c r="K91" s="42"/>
      <c r="L91" s="42"/>
      <c r="M91" s="42"/>
    </row>
    <row r="92" spans="1:13" ht="15" customHeight="1" x14ac:dyDescent="0.25">
      <c r="A92" s="10" t="s">
        <v>199</v>
      </c>
      <c r="B92" s="11" t="s">
        <v>200</v>
      </c>
      <c r="C92" s="12">
        <v>43340.958333333336</v>
      </c>
      <c r="D92" s="12">
        <v>45656.666666666664</v>
      </c>
      <c r="E92" s="13" t="s">
        <v>201</v>
      </c>
      <c r="F92" s="38">
        <f>SUM(F94+F97+F100+F104+F120)</f>
        <v>3840000</v>
      </c>
      <c r="G92" s="38">
        <f>SUM(G93:G120)</f>
        <v>60000</v>
      </c>
      <c r="H92" s="38">
        <f t="shared" ref="H92:L92" si="9">SUM(H93:H120)</f>
        <v>30000</v>
      </c>
      <c r="I92" s="38">
        <f t="shared" si="9"/>
        <v>1878000</v>
      </c>
      <c r="J92" s="38">
        <f t="shared" si="9"/>
        <v>574000</v>
      </c>
      <c r="K92" s="38">
        <f t="shared" si="9"/>
        <v>776000</v>
      </c>
      <c r="L92" s="38">
        <f t="shared" si="9"/>
        <v>522000</v>
      </c>
      <c r="M92" s="38">
        <f>SUM(G92:L92)</f>
        <v>3840000</v>
      </c>
    </row>
    <row r="93" spans="1:13" ht="15" customHeight="1" x14ac:dyDescent="0.25">
      <c r="A93" s="14" t="s">
        <v>202</v>
      </c>
      <c r="B93" s="15" t="s">
        <v>203</v>
      </c>
      <c r="C93" s="16">
        <v>43340.958333333336</v>
      </c>
      <c r="D93" s="16">
        <v>43340.958333333336</v>
      </c>
      <c r="E93" s="17" t="s">
        <v>75</v>
      </c>
      <c r="F93" s="39"/>
      <c r="G93" s="39"/>
      <c r="H93" s="39"/>
      <c r="I93" s="39"/>
      <c r="J93" s="39"/>
      <c r="K93" s="39"/>
      <c r="L93" s="39"/>
      <c r="M93" s="39"/>
    </row>
    <row r="94" spans="1:13" ht="15" customHeight="1" x14ac:dyDescent="0.25">
      <c r="A94" s="14" t="s">
        <v>204</v>
      </c>
      <c r="B94" s="15" t="s">
        <v>205</v>
      </c>
      <c r="C94" s="16">
        <v>43718.291666666664</v>
      </c>
      <c r="D94" s="16">
        <v>44858.666666666664</v>
      </c>
      <c r="E94" s="17" t="s">
        <v>206</v>
      </c>
      <c r="F94" s="48">
        <f>F96</f>
        <v>300000</v>
      </c>
      <c r="G94" s="39"/>
      <c r="H94" s="39"/>
      <c r="I94" s="39"/>
      <c r="J94" s="39"/>
      <c r="K94" s="39"/>
      <c r="L94" s="39"/>
      <c r="M94" s="39">
        <f>SUM(G95:L96)</f>
        <v>300000</v>
      </c>
    </row>
    <row r="95" spans="1:13" ht="15" customHeight="1" x14ac:dyDescent="0.25">
      <c r="A95" s="18" t="s">
        <v>207</v>
      </c>
      <c r="B95" s="19" t="s">
        <v>125</v>
      </c>
      <c r="C95" s="20">
        <v>43718.291666666664</v>
      </c>
      <c r="D95" s="20">
        <v>44018.666666666664</v>
      </c>
      <c r="E95" s="21" t="s">
        <v>106</v>
      </c>
    </row>
    <row r="96" spans="1:13" ht="15" customHeight="1" x14ac:dyDescent="0.25">
      <c r="A96" s="18" t="s">
        <v>208</v>
      </c>
      <c r="B96" s="19" t="s">
        <v>23</v>
      </c>
      <c r="C96" s="20">
        <v>44019.291666666664</v>
      </c>
      <c r="D96" s="20">
        <v>44858.666666666664</v>
      </c>
      <c r="E96" s="21" t="s">
        <v>181</v>
      </c>
      <c r="F96" s="49">
        <v>300000</v>
      </c>
      <c r="G96" s="41"/>
      <c r="H96" s="41">
        <f>F96*0.1</f>
        <v>30000</v>
      </c>
      <c r="I96" s="41">
        <f>F96*0.2</f>
        <v>60000</v>
      </c>
      <c r="J96" s="41">
        <f>F96*0.7</f>
        <v>210000</v>
      </c>
      <c r="K96" s="41"/>
      <c r="L96" s="41"/>
      <c r="M96" s="41"/>
    </row>
    <row r="97" spans="1:13" ht="15" customHeight="1" x14ac:dyDescent="0.25">
      <c r="A97" s="14" t="s">
        <v>209</v>
      </c>
      <c r="B97" s="15" t="s">
        <v>210</v>
      </c>
      <c r="C97" s="16">
        <v>43566.291666666664</v>
      </c>
      <c r="D97" s="16">
        <v>43829.666666666664</v>
      </c>
      <c r="E97" s="17" t="s">
        <v>33</v>
      </c>
      <c r="F97" s="39">
        <f>F99</f>
        <v>60000</v>
      </c>
      <c r="G97" s="39"/>
      <c r="H97" s="39"/>
      <c r="I97" s="39"/>
      <c r="J97" s="39"/>
      <c r="K97" s="39"/>
      <c r="L97" s="39"/>
      <c r="M97" s="39">
        <f>SUM(G98:L99)</f>
        <v>60000</v>
      </c>
    </row>
    <row r="98" spans="1:13" ht="15" customHeight="1" x14ac:dyDescent="0.25">
      <c r="A98" s="18" t="s">
        <v>211</v>
      </c>
      <c r="B98" s="19" t="s">
        <v>212</v>
      </c>
      <c r="C98" s="20">
        <v>43566.291666666664</v>
      </c>
      <c r="D98" s="20">
        <v>43717.666666666664</v>
      </c>
      <c r="E98" s="21" t="s">
        <v>21</v>
      </c>
    </row>
    <row r="99" spans="1:13" ht="15" customHeight="1" x14ac:dyDescent="0.25">
      <c r="A99" s="18" t="s">
        <v>213</v>
      </c>
      <c r="B99" s="19" t="s">
        <v>23</v>
      </c>
      <c r="C99" s="20">
        <v>43718.291666666664</v>
      </c>
      <c r="D99" s="20">
        <v>43829.666666666664</v>
      </c>
      <c r="E99" s="21" t="s">
        <v>37</v>
      </c>
      <c r="F99" s="41">
        <v>60000</v>
      </c>
      <c r="G99" s="41">
        <f>F99</f>
        <v>60000</v>
      </c>
      <c r="H99" s="41"/>
      <c r="I99" s="41"/>
      <c r="J99" s="41"/>
      <c r="K99" s="41"/>
      <c r="L99" s="41"/>
      <c r="M99" s="41"/>
    </row>
    <row r="100" spans="1:13" ht="15" customHeight="1" x14ac:dyDescent="0.25">
      <c r="A100" s="14" t="s">
        <v>214</v>
      </c>
      <c r="B100" s="15" t="s">
        <v>215</v>
      </c>
      <c r="C100" s="16">
        <v>44859.291666666664</v>
      </c>
      <c r="D100" s="16">
        <v>45439.666666666664</v>
      </c>
      <c r="E100" s="17" t="s">
        <v>216</v>
      </c>
      <c r="F100" s="39">
        <f>SUM(F102:F103)</f>
        <v>170000</v>
      </c>
      <c r="G100" s="39"/>
      <c r="H100" s="39"/>
      <c r="I100" s="39"/>
      <c r="J100" s="39"/>
      <c r="K100" s="39"/>
      <c r="L100" s="39"/>
      <c r="M100" s="39">
        <f>SUM(G101:L103)</f>
        <v>170000</v>
      </c>
    </row>
    <row r="101" spans="1:13" ht="15" customHeight="1" x14ac:dyDescent="0.25">
      <c r="A101" s="18" t="s">
        <v>217</v>
      </c>
      <c r="B101" s="19" t="s">
        <v>125</v>
      </c>
      <c r="C101" s="20">
        <v>44859.291666666664</v>
      </c>
      <c r="D101" s="20">
        <v>45159.666666666664</v>
      </c>
      <c r="E101" s="21" t="s">
        <v>106</v>
      </c>
    </row>
    <row r="102" spans="1:13" ht="15" customHeight="1" x14ac:dyDescent="0.25">
      <c r="A102" s="18" t="s">
        <v>218</v>
      </c>
      <c r="B102" s="19" t="s">
        <v>219</v>
      </c>
      <c r="C102" s="20">
        <v>45160.291666666664</v>
      </c>
      <c r="D102" s="20">
        <v>45271.666666666664</v>
      </c>
      <c r="E102" s="21" t="s">
        <v>37</v>
      </c>
      <c r="F102" s="41">
        <v>50000</v>
      </c>
      <c r="G102" s="41"/>
      <c r="H102" s="41"/>
      <c r="I102" s="41"/>
      <c r="J102" s="41"/>
      <c r="K102" s="41">
        <f>F102</f>
        <v>50000</v>
      </c>
      <c r="L102" s="41"/>
      <c r="M102" s="41"/>
    </row>
    <row r="103" spans="1:13" ht="15" customHeight="1" x14ac:dyDescent="0.25">
      <c r="A103" s="18" t="s">
        <v>220</v>
      </c>
      <c r="B103" s="19" t="s">
        <v>221</v>
      </c>
      <c r="C103" s="20">
        <v>45272.291666666664</v>
      </c>
      <c r="D103" s="20">
        <v>45439.666666666664</v>
      </c>
      <c r="E103" s="21" t="s">
        <v>166</v>
      </c>
      <c r="F103" s="41">
        <v>120000</v>
      </c>
      <c r="G103" s="41"/>
      <c r="H103" s="41"/>
      <c r="I103" s="41"/>
      <c r="J103" s="41"/>
      <c r="K103" s="41"/>
      <c r="L103" s="41">
        <f>F103</f>
        <v>120000</v>
      </c>
      <c r="M103" s="41"/>
    </row>
    <row r="104" spans="1:13" ht="15" customHeight="1" x14ac:dyDescent="0.25">
      <c r="A104" s="14" t="s">
        <v>222</v>
      </c>
      <c r="B104" s="15" t="s">
        <v>223</v>
      </c>
      <c r="C104" s="16">
        <v>44075.291666666664</v>
      </c>
      <c r="D104" s="16">
        <v>44634.666666666664</v>
      </c>
      <c r="E104" s="17" t="s">
        <v>224</v>
      </c>
      <c r="F104" s="48">
        <f>SUM(F107:F119)</f>
        <v>2110000</v>
      </c>
      <c r="G104" s="39"/>
      <c r="H104" s="39"/>
      <c r="I104" s="39"/>
      <c r="J104" s="39"/>
      <c r="K104" s="39"/>
      <c r="L104" s="39">
        <f t="shared" ref="L104" si="10">SUM(L105:L119)</f>
        <v>0</v>
      </c>
      <c r="M104" s="39">
        <f>SUM(G105:L119)</f>
        <v>2110000</v>
      </c>
    </row>
    <row r="105" spans="1:13" ht="15" customHeight="1" x14ac:dyDescent="0.25">
      <c r="A105" s="18" t="s">
        <v>225</v>
      </c>
      <c r="B105" s="19" t="s">
        <v>226</v>
      </c>
      <c r="C105" s="20">
        <v>44075.291666666664</v>
      </c>
      <c r="D105" s="20">
        <v>44424.666666666664</v>
      </c>
      <c r="E105" s="21" t="s">
        <v>227</v>
      </c>
      <c r="F105" s="40" t="s">
        <v>0</v>
      </c>
      <c r="G105" s="40"/>
      <c r="H105" s="40"/>
      <c r="I105" s="40"/>
      <c r="J105" s="40"/>
      <c r="K105" s="40"/>
      <c r="L105" s="40"/>
      <c r="M105" s="40"/>
    </row>
    <row r="106" spans="1:13" ht="15" customHeight="1" x14ac:dyDescent="0.25">
      <c r="A106" s="22" t="s">
        <v>228</v>
      </c>
      <c r="B106" s="23" t="s">
        <v>117</v>
      </c>
      <c r="C106" s="24">
        <v>44075.291666666664</v>
      </c>
      <c r="D106" s="24">
        <v>44256.666666666664</v>
      </c>
      <c r="E106" s="25" t="s">
        <v>229</v>
      </c>
      <c r="F106" s="41"/>
      <c r="G106" s="41"/>
      <c r="H106" s="41"/>
      <c r="I106" s="41"/>
      <c r="J106" s="41"/>
      <c r="K106" s="41"/>
      <c r="L106" s="41"/>
      <c r="M106" s="41"/>
    </row>
    <row r="107" spans="1:13" ht="15" customHeight="1" x14ac:dyDescent="0.25">
      <c r="A107" s="94" t="s">
        <v>230</v>
      </c>
      <c r="B107" s="95" t="s">
        <v>231</v>
      </c>
      <c r="C107" s="96">
        <v>44257.291666666664</v>
      </c>
      <c r="D107" s="96">
        <v>44424.666666666664</v>
      </c>
      <c r="E107" s="97" t="s">
        <v>166</v>
      </c>
      <c r="F107" s="43">
        <f>65000*6</f>
        <v>390000</v>
      </c>
      <c r="G107" s="43"/>
      <c r="H107" s="43"/>
      <c r="I107" s="43">
        <f>F107</f>
        <v>390000</v>
      </c>
      <c r="J107" s="43"/>
      <c r="K107" s="43"/>
      <c r="L107" s="43"/>
      <c r="M107" s="43"/>
    </row>
    <row r="108" spans="1:13" ht="15" customHeight="1" x14ac:dyDescent="0.25">
      <c r="A108" s="112" t="s">
        <v>232</v>
      </c>
      <c r="B108" s="113" t="s">
        <v>233</v>
      </c>
      <c r="C108" s="100">
        <v>44243.291666666664</v>
      </c>
      <c r="D108" s="100">
        <v>44508.666666666664</v>
      </c>
      <c r="E108" s="101" t="s">
        <v>234</v>
      </c>
      <c r="F108" s="47" t="s">
        <v>0</v>
      </c>
      <c r="G108" s="47"/>
      <c r="H108" s="47"/>
      <c r="I108" s="47"/>
      <c r="J108" s="47"/>
      <c r="K108" s="47"/>
      <c r="L108" s="47"/>
      <c r="M108" s="47"/>
    </row>
    <row r="109" spans="1:13" ht="15" customHeight="1" x14ac:dyDescent="0.25">
      <c r="A109" s="88" t="s">
        <v>235</v>
      </c>
      <c r="B109" s="89" t="s">
        <v>117</v>
      </c>
      <c r="C109" s="20">
        <v>44243.291666666664</v>
      </c>
      <c r="D109" s="20">
        <v>44424.666666666664</v>
      </c>
      <c r="E109" s="21" t="s">
        <v>229</v>
      </c>
      <c r="F109" s="41" t="s">
        <v>0</v>
      </c>
      <c r="G109" s="41"/>
      <c r="H109" s="41"/>
      <c r="I109" s="41"/>
      <c r="J109" s="41"/>
      <c r="K109" s="41"/>
      <c r="L109" s="41"/>
      <c r="M109" s="41"/>
    </row>
    <row r="110" spans="1:13" ht="15" customHeight="1" x14ac:dyDescent="0.25">
      <c r="A110" s="94" t="s">
        <v>236</v>
      </c>
      <c r="B110" s="95" t="s">
        <v>237</v>
      </c>
      <c r="C110" s="96">
        <v>44425.291666666664</v>
      </c>
      <c r="D110" s="96">
        <v>44508.666666666664</v>
      </c>
      <c r="E110" s="97" t="s">
        <v>24</v>
      </c>
      <c r="F110" s="43">
        <f>150000*6</f>
        <v>900000</v>
      </c>
      <c r="G110" s="43"/>
      <c r="H110" s="43"/>
      <c r="I110" s="43">
        <f>F110*0.8</f>
        <v>720000</v>
      </c>
      <c r="J110" s="43">
        <f>F110*0.2</f>
        <v>180000</v>
      </c>
      <c r="K110" s="43"/>
      <c r="L110" s="43"/>
      <c r="M110" s="43"/>
    </row>
    <row r="111" spans="1:13" ht="15" customHeight="1" x14ac:dyDescent="0.25">
      <c r="A111" s="112" t="s">
        <v>238</v>
      </c>
      <c r="B111" s="113" t="s">
        <v>239</v>
      </c>
      <c r="C111" s="100">
        <v>44243.291666666664</v>
      </c>
      <c r="D111" s="100">
        <v>44466.666666666664</v>
      </c>
      <c r="E111" s="101" t="s">
        <v>160</v>
      </c>
      <c r="F111" s="47" t="s">
        <v>0</v>
      </c>
      <c r="G111" s="47"/>
      <c r="H111" s="47"/>
      <c r="I111" s="47"/>
      <c r="J111" s="47"/>
      <c r="K111" s="47"/>
      <c r="L111" s="47"/>
      <c r="M111" s="47"/>
    </row>
    <row r="112" spans="1:13" ht="15" customHeight="1" x14ac:dyDescent="0.25">
      <c r="A112" s="88" t="s">
        <v>240</v>
      </c>
      <c r="B112" s="89" t="s">
        <v>117</v>
      </c>
      <c r="C112" s="20">
        <v>44243.291666666664</v>
      </c>
      <c r="D112" s="20">
        <v>44424.666666666664</v>
      </c>
      <c r="E112" s="21" t="s">
        <v>229</v>
      </c>
      <c r="F112" s="41" t="s">
        <v>0</v>
      </c>
      <c r="G112" s="41"/>
      <c r="H112" s="41"/>
      <c r="I112" s="41"/>
      <c r="J112" s="41"/>
      <c r="K112" s="41"/>
      <c r="L112" s="41"/>
      <c r="M112" s="41"/>
    </row>
    <row r="113" spans="1:13" ht="15" customHeight="1" x14ac:dyDescent="0.25">
      <c r="A113" s="94" t="s">
        <v>241</v>
      </c>
      <c r="B113" s="95" t="s">
        <v>242</v>
      </c>
      <c r="C113" s="96">
        <v>44425.291666666664</v>
      </c>
      <c r="D113" s="96">
        <v>44466.666666666664</v>
      </c>
      <c r="E113" s="97" t="s">
        <v>243</v>
      </c>
      <c r="F113" s="43">
        <f>70000*6</f>
        <v>420000</v>
      </c>
      <c r="G113" s="43"/>
      <c r="H113" s="43"/>
      <c r="I113" s="43">
        <f>F113</f>
        <v>420000</v>
      </c>
      <c r="J113" s="43"/>
      <c r="K113" s="43"/>
      <c r="L113" s="43"/>
      <c r="M113" s="43"/>
    </row>
    <row r="114" spans="1:13" ht="15" customHeight="1" x14ac:dyDescent="0.25">
      <c r="A114" s="112" t="s">
        <v>244</v>
      </c>
      <c r="B114" s="113" t="s">
        <v>245</v>
      </c>
      <c r="C114" s="100">
        <v>44285.291666666664</v>
      </c>
      <c r="D114" s="100">
        <v>44634.666666666664</v>
      </c>
      <c r="E114" s="101" t="s">
        <v>227</v>
      </c>
      <c r="F114" s="47" t="s">
        <v>0</v>
      </c>
      <c r="G114" s="47"/>
      <c r="H114" s="47"/>
      <c r="I114" s="47"/>
      <c r="J114" s="47"/>
      <c r="K114" s="47"/>
      <c r="L114" s="47"/>
      <c r="M114" s="47"/>
    </row>
    <row r="115" spans="1:13" ht="15" customHeight="1" x14ac:dyDescent="0.25">
      <c r="A115" s="88" t="s">
        <v>246</v>
      </c>
      <c r="B115" s="89" t="s">
        <v>117</v>
      </c>
      <c r="C115" s="20">
        <v>44285.291666666664</v>
      </c>
      <c r="D115" s="20">
        <v>44466.666666666664</v>
      </c>
      <c r="E115" s="21" t="s">
        <v>229</v>
      </c>
      <c r="F115" s="41" t="s">
        <v>0</v>
      </c>
      <c r="G115" s="41"/>
      <c r="H115" s="41"/>
      <c r="I115" s="41"/>
      <c r="J115" s="41"/>
      <c r="K115" s="41"/>
      <c r="L115" s="41"/>
      <c r="M115" s="41"/>
    </row>
    <row r="116" spans="1:13" ht="15" customHeight="1" x14ac:dyDescent="0.25">
      <c r="A116" s="94" t="s">
        <v>247</v>
      </c>
      <c r="B116" s="95" t="s">
        <v>248</v>
      </c>
      <c r="C116" s="96">
        <v>44467.291666666664</v>
      </c>
      <c r="D116" s="96">
        <v>44634.666666666664</v>
      </c>
      <c r="E116" s="97" t="s">
        <v>166</v>
      </c>
      <c r="F116" s="43">
        <f>35000*8</f>
        <v>280000</v>
      </c>
      <c r="G116" s="43"/>
      <c r="H116" s="43"/>
      <c r="I116" s="43">
        <f>F116*0.6</f>
        <v>168000</v>
      </c>
      <c r="J116" s="43">
        <f>F116*0.4</f>
        <v>112000</v>
      </c>
      <c r="K116" s="43"/>
      <c r="L116" s="43"/>
      <c r="M116" s="43"/>
    </row>
    <row r="117" spans="1:13" ht="15" customHeight="1" x14ac:dyDescent="0.25">
      <c r="A117" s="112" t="s">
        <v>249</v>
      </c>
      <c r="B117" s="113" t="s">
        <v>250</v>
      </c>
      <c r="C117" s="100">
        <v>44243.291666666664</v>
      </c>
      <c r="D117" s="100">
        <v>44452.666666666664</v>
      </c>
      <c r="E117" s="101" t="s">
        <v>251</v>
      </c>
      <c r="F117" s="47" t="s">
        <v>0</v>
      </c>
      <c r="G117" s="47"/>
      <c r="H117" s="47"/>
      <c r="I117" s="47"/>
      <c r="J117" s="47"/>
      <c r="K117" s="47"/>
      <c r="L117" s="47"/>
      <c r="M117" s="47"/>
    </row>
    <row r="118" spans="1:13" ht="15" customHeight="1" x14ac:dyDescent="0.25">
      <c r="A118" s="88" t="s">
        <v>252</v>
      </c>
      <c r="B118" s="89" t="s">
        <v>117</v>
      </c>
      <c r="C118" s="20">
        <v>44243.291666666664</v>
      </c>
      <c r="D118" s="20">
        <v>44424.666666666664</v>
      </c>
      <c r="E118" s="21" t="s">
        <v>229</v>
      </c>
      <c r="F118" s="41" t="s">
        <v>0</v>
      </c>
      <c r="G118" s="41"/>
      <c r="H118" s="41"/>
      <c r="I118" s="41"/>
      <c r="J118" s="41"/>
      <c r="K118" s="41"/>
      <c r="L118" s="41"/>
      <c r="M118" s="41"/>
    </row>
    <row r="119" spans="1:13" ht="15" customHeight="1" x14ac:dyDescent="0.25">
      <c r="A119" s="22" t="s">
        <v>253</v>
      </c>
      <c r="B119" s="23" t="s">
        <v>254</v>
      </c>
      <c r="C119" s="24">
        <v>44425.291666666664</v>
      </c>
      <c r="D119" s="24">
        <v>44452.666666666664</v>
      </c>
      <c r="E119" s="25" t="s">
        <v>27</v>
      </c>
      <c r="F119" s="42">
        <f>15000*8</f>
        <v>120000</v>
      </c>
      <c r="G119" s="42"/>
      <c r="H119" s="42"/>
      <c r="I119" s="42">
        <f>F119</f>
        <v>120000</v>
      </c>
      <c r="J119" s="42"/>
      <c r="K119" s="42"/>
      <c r="L119" s="42"/>
      <c r="M119" s="42"/>
    </row>
    <row r="120" spans="1:13" ht="15" customHeight="1" x14ac:dyDescent="0.25">
      <c r="A120" s="14" t="s">
        <v>255</v>
      </c>
      <c r="B120" s="15" t="s">
        <v>256</v>
      </c>
      <c r="C120" s="16">
        <v>44635.291666666664</v>
      </c>
      <c r="D120" s="16">
        <v>45656.666666666664</v>
      </c>
      <c r="E120" s="17" t="s">
        <v>257</v>
      </c>
      <c r="F120" s="39">
        <f>120000*10</f>
        <v>1200000</v>
      </c>
      <c r="G120" s="39">
        <f>SUM(G121:G135)</f>
        <v>0</v>
      </c>
      <c r="H120" s="39">
        <f t="shared" ref="H120:L120" si="11">SUM(H121:H135)</f>
        <v>0</v>
      </c>
      <c r="I120" s="39">
        <f t="shared" si="11"/>
        <v>0</v>
      </c>
      <c r="J120" s="39">
        <f t="shared" si="11"/>
        <v>72000</v>
      </c>
      <c r="K120" s="39">
        <f t="shared" si="11"/>
        <v>726000</v>
      </c>
      <c r="L120" s="39">
        <f t="shared" si="11"/>
        <v>402000</v>
      </c>
      <c r="M120" s="39">
        <f>SUM(G120:L120)</f>
        <v>1200000</v>
      </c>
    </row>
    <row r="121" spans="1:13" ht="15" customHeight="1" x14ac:dyDescent="0.25">
      <c r="A121" s="90" t="s">
        <v>258</v>
      </c>
      <c r="B121" s="91" t="s">
        <v>259</v>
      </c>
      <c r="C121" s="92">
        <v>44635.291666666664</v>
      </c>
      <c r="D121" s="92">
        <v>45152.666666666664</v>
      </c>
      <c r="E121" s="93" t="s">
        <v>260</v>
      </c>
      <c r="F121" s="114"/>
    </row>
    <row r="122" spans="1:13" ht="15" customHeight="1" x14ac:dyDescent="0.25">
      <c r="A122" s="88" t="s">
        <v>261</v>
      </c>
      <c r="B122" s="89" t="s">
        <v>117</v>
      </c>
      <c r="C122" s="20">
        <v>44635.291666666664</v>
      </c>
      <c r="D122" s="20">
        <v>44816.666666666664</v>
      </c>
      <c r="E122" s="21" t="s">
        <v>229</v>
      </c>
    </row>
    <row r="123" spans="1:13" ht="15" customHeight="1" x14ac:dyDescent="0.25">
      <c r="A123" s="94" t="s">
        <v>262</v>
      </c>
      <c r="B123" s="95" t="s">
        <v>231</v>
      </c>
      <c r="C123" s="96">
        <v>44817.291666666664</v>
      </c>
      <c r="D123" s="96">
        <v>45152.666666666664</v>
      </c>
      <c r="E123" s="97" t="s">
        <v>112</v>
      </c>
      <c r="F123" s="143">
        <f>F120*0.2</f>
        <v>240000</v>
      </c>
      <c r="J123" s="143">
        <f>F123*0.3</f>
        <v>72000</v>
      </c>
      <c r="K123" s="143">
        <f>F123*0.7</f>
        <v>168000</v>
      </c>
    </row>
    <row r="124" spans="1:13" ht="15" customHeight="1" x14ac:dyDescent="0.25">
      <c r="A124" s="112" t="s">
        <v>263</v>
      </c>
      <c r="B124" s="113" t="s">
        <v>264</v>
      </c>
      <c r="C124" s="100">
        <v>44971.291666666664</v>
      </c>
      <c r="D124" s="100">
        <v>45320.666666666664</v>
      </c>
      <c r="E124" s="101" t="s">
        <v>227</v>
      </c>
      <c r="F124" s="46"/>
    </row>
    <row r="125" spans="1:13" ht="15" customHeight="1" x14ac:dyDescent="0.25">
      <c r="A125" s="88" t="s">
        <v>265</v>
      </c>
      <c r="B125" s="89" t="s">
        <v>117</v>
      </c>
      <c r="C125" s="20">
        <v>44971.291666666664</v>
      </c>
      <c r="D125" s="20">
        <v>45152.666666666664</v>
      </c>
      <c r="E125" s="21" t="s">
        <v>229</v>
      </c>
    </row>
    <row r="126" spans="1:13" ht="15" customHeight="1" x14ac:dyDescent="0.25">
      <c r="A126" s="94" t="s">
        <v>266</v>
      </c>
      <c r="B126" s="95" t="s">
        <v>237</v>
      </c>
      <c r="C126" s="96">
        <v>45153.291666666664</v>
      </c>
      <c r="D126" s="96">
        <v>45320.666666666664</v>
      </c>
      <c r="E126" s="97" t="s">
        <v>166</v>
      </c>
      <c r="F126" s="143">
        <f>F120*0.4</f>
        <v>480000</v>
      </c>
      <c r="K126" s="143">
        <f>F126*0.7</f>
        <v>336000</v>
      </c>
      <c r="L126" s="143">
        <f>F126*0.3</f>
        <v>144000</v>
      </c>
    </row>
    <row r="127" spans="1:13" ht="15" customHeight="1" x14ac:dyDescent="0.25">
      <c r="A127" s="112" t="s">
        <v>267</v>
      </c>
      <c r="B127" s="113" t="s">
        <v>268</v>
      </c>
      <c r="C127" s="100">
        <v>44971.291666666664</v>
      </c>
      <c r="D127" s="100">
        <v>45320.666666666664</v>
      </c>
      <c r="E127" s="101" t="s">
        <v>227</v>
      </c>
      <c r="F127" s="46"/>
    </row>
    <row r="128" spans="1:13" ht="15" customHeight="1" x14ac:dyDescent="0.25">
      <c r="A128" s="88" t="s">
        <v>269</v>
      </c>
      <c r="B128" s="89" t="s">
        <v>117</v>
      </c>
      <c r="C128" s="20">
        <v>44971.291666666664</v>
      </c>
      <c r="D128" s="20">
        <v>45152.666666666664</v>
      </c>
      <c r="E128" s="21" t="s">
        <v>229</v>
      </c>
    </row>
    <row r="129" spans="1:13" ht="15" customHeight="1" x14ac:dyDescent="0.25">
      <c r="A129" s="94" t="s">
        <v>270</v>
      </c>
      <c r="B129" s="95" t="s">
        <v>242</v>
      </c>
      <c r="C129" s="96">
        <v>45153.291666666664</v>
      </c>
      <c r="D129" s="96">
        <v>45320.666666666664</v>
      </c>
      <c r="E129" s="97" t="s">
        <v>166</v>
      </c>
      <c r="F129" s="143">
        <f>F120*0.15</f>
        <v>180000</v>
      </c>
      <c r="K129" s="143">
        <f>F129*0.7</f>
        <v>125999.99999999999</v>
      </c>
      <c r="L129" s="143">
        <f>F129*0.3</f>
        <v>54000</v>
      </c>
    </row>
    <row r="130" spans="1:13" ht="15" customHeight="1" x14ac:dyDescent="0.25">
      <c r="A130" s="112" t="s">
        <v>271</v>
      </c>
      <c r="B130" s="113" t="s">
        <v>272</v>
      </c>
      <c r="C130" s="100">
        <v>45139.291666666664</v>
      </c>
      <c r="D130" s="100">
        <v>45656.666666666664</v>
      </c>
      <c r="E130" s="101" t="s">
        <v>260</v>
      </c>
      <c r="F130" s="46"/>
    </row>
    <row r="131" spans="1:13" ht="15" customHeight="1" x14ac:dyDescent="0.25">
      <c r="A131" s="88" t="s">
        <v>273</v>
      </c>
      <c r="B131" s="89" t="s">
        <v>117</v>
      </c>
      <c r="C131" s="20">
        <v>45139.291666666664</v>
      </c>
      <c r="D131" s="20">
        <v>45320.666666666664</v>
      </c>
      <c r="E131" s="21" t="s">
        <v>229</v>
      </c>
    </row>
    <row r="132" spans="1:13" ht="15" customHeight="1" x14ac:dyDescent="0.25">
      <c r="A132" s="94" t="s">
        <v>274</v>
      </c>
      <c r="B132" s="95" t="s">
        <v>248</v>
      </c>
      <c r="C132" s="96">
        <v>45321.291666666664</v>
      </c>
      <c r="D132" s="96">
        <v>45656.666666666664</v>
      </c>
      <c r="E132" s="97" t="s">
        <v>112</v>
      </c>
      <c r="F132" s="143">
        <f>F120*0.15</f>
        <v>180000</v>
      </c>
      <c r="L132" s="143">
        <f>F132</f>
        <v>180000</v>
      </c>
    </row>
    <row r="133" spans="1:13" ht="15" customHeight="1" x14ac:dyDescent="0.25">
      <c r="A133" s="112" t="s">
        <v>275</v>
      </c>
      <c r="B133" s="113" t="s">
        <v>250</v>
      </c>
      <c r="C133" s="100">
        <v>44971.291666666664</v>
      </c>
      <c r="D133" s="100">
        <v>45236.666666666664</v>
      </c>
      <c r="E133" s="101" t="s">
        <v>234</v>
      </c>
      <c r="F133" s="46"/>
    </row>
    <row r="134" spans="1:13" ht="15" customHeight="1" x14ac:dyDescent="0.25">
      <c r="A134" s="88" t="s">
        <v>276</v>
      </c>
      <c r="B134" s="89" t="s">
        <v>117</v>
      </c>
      <c r="C134" s="20">
        <v>44971.291666666664</v>
      </c>
      <c r="D134" s="20">
        <v>45152.666666666664</v>
      </c>
      <c r="E134" s="21" t="s">
        <v>229</v>
      </c>
    </row>
    <row r="135" spans="1:13" ht="15" customHeight="1" thickBot="1" x14ac:dyDescent="0.3">
      <c r="A135" s="22" t="s">
        <v>277</v>
      </c>
      <c r="B135" s="23" t="s">
        <v>254</v>
      </c>
      <c r="C135" s="24">
        <v>45153.291666666664</v>
      </c>
      <c r="D135" s="24">
        <v>45236.666666666664</v>
      </c>
      <c r="E135" s="25" t="s">
        <v>24</v>
      </c>
      <c r="F135" s="143">
        <f>F120*0.1</f>
        <v>120000</v>
      </c>
      <c r="K135" s="143">
        <f>F135*0.8</f>
        <v>96000</v>
      </c>
      <c r="L135" s="143">
        <f>F135*0.2</f>
        <v>24000</v>
      </c>
    </row>
    <row r="136" spans="1:13" ht="15" customHeight="1" x14ac:dyDescent="0.25">
      <c r="A136" s="10" t="s">
        <v>278</v>
      </c>
      <c r="B136" s="11" t="s">
        <v>279</v>
      </c>
      <c r="C136" s="12">
        <v>43565.666666666664</v>
      </c>
      <c r="D136" s="12">
        <v>45268.666666666664</v>
      </c>
      <c r="E136" s="13" t="s">
        <v>280</v>
      </c>
      <c r="F136" s="38">
        <f>SUM(F137+F173+F189+F192+F195+F198+F204+F207+F210+F213+F222+F226+F230)</f>
        <v>1500000</v>
      </c>
      <c r="G136" s="38">
        <f>SUM(G138:G230)</f>
        <v>210400</v>
      </c>
      <c r="H136" s="38">
        <f t="shared" ref="H136:L136" si="12">SUM(H138:H230)</f>
        <v>415800</v>
      </c>
      <c r="I136" s="38">
        <f t="shared" si="12"/>
        <v>358000</v>
      </c>
      <c r="J136" s="38">
        <f t="shared" si="12"/>
        <v>312600</v>
      </c>
      <c r="K136" s="38">
        <f t="shared" si="12"/>
        <v>196800</v>
      </c>
      <c r="L136" s="38">
        <f t="shared" si="12"/>
        <v>6400</v>
      </c>
      <c r="M136" s="38">
        <f>SUM(G136:L136)</f>
        <v>1500000</v>
      </c>
    </row>
    <row r="137" spans="1:13" ht="15" customHeight="1" x14ac:dyDescent="0.25">
      <c r="A137" s="14" t="s">
        <v>281</v>
      </c>
      <c r="B137" s="15" t="s">
        <v>282</v>
      </c>
      <c r="C137" s="16">
        <v>43566.291666666664</v>
      </c>
      <c r="D137" s="16">
        <v>45247.666666666664</v>
      </c>
      <c r="E137" s="17" t="s">
        <v>283</v>
      </c>
      <c r="F137" s="39">
        <f>SUM(F141+F140+F159+F165+F172)</f>
        <v>771000</v>
      </c>
      <c r="G137" s="39"/>
      <c r="H137" s="39"/>
      <c r="I137" s="39"/>
      <c r="J137" s="39"/>
      <c r="K137" s="39"/>
      <c r="L137" s="39"/>
      <c r="M137" s="39">
        <f>SUM(G137:L137)</f>
        <v>0</v>
      </c>
    </row>
    <row r="138" spans="1:13" ht="15" customHeight="1" x14ac:dyDescent="0.25">
      <c r="A138" s="120" t="s">
        <v>284</v>
      </c>
      <c r="B138" s="121" t="s">
        <v>285</v>
      </c>
      <c r="C138" s="122">
        <v>43566.291666666664</v>
      </c>
      <c r="D138" s="122">
        <v>43759.666666666664</v>
      </c>
      <c r="E138" s="123" t="s">
        <v>286</v>
      </c>
      <c r="F138" s="124" t="s">
        <v>0</v>
      </c>
      <c r="G138" s="40"/>
      <c r="H138" s="40"/>
      <c r="I138" s="40"/>
      <c r="J138" s="40"/>
      <c r="K138" s="40"/>
      <c r="L138" s="40"/>
      <c r="M138" s="40"/>
    </row>
    <row r="139" spans="1:13" ht="15" customHeight="1" x14ac:dyDescent="0.25">
      <c r="A139" s="88" t="s">
        <v>287</v>
      </c>
      <c r="B139" s="89" t="s">
        <v>288</v>
      </c>
      <c r="C139" s="20">
        <v>43566.291666666664</v>
      </c>
      <c r="D139" s="20">
        <v>43717.666666666664</v>
      </c>
      <c r="E139" s="21" t="s">
        <v>21</v>
      </c>
      <c r="F139" s="41" t="s">
        <v>0</v>
      </c>
      <c r="G139" s="41"/>
      <c r="H139" s="41"/>
      <c r="I139" s="41"/>
      <c r="J139" s="41"/>
      <c r="K139" s="41"/>
      <c r="L139" s="41"/>
      <c r="M139" s="41"/>
    </row>
    <row r="140" spans="1:13" ht="15" customHeight="1" x14ac:dyDescent="0.25">
      <c r="A140" s="94" t="s">
        <v>289</v>
      </c>
      <c r="B140" s="95" t="s">
        <v>290</v>
      </c>
      <c r="C140" s="96">
        <v>43718.291666666664</v>
      </c>
      <c r="D140" s="96">
        <v>43759.666666666664</v>
      </c>
      <c r="E140" s="97" t="s">
        <v>243</v>
      </c>
      <c r="F140" s="43">
        <v>20000</v>
      </c>
      <c r="G140" s="43">
        <f>F140</f>
        <v>20000</v>
      </c>
      <c r="H140" s="43"/>
      <c r="I140" s="43"/>
      <c r="J140" s="43"/>
      <c r="K140" s="43"/>
      <c r="L140" s="43"/>
      <c r="M140" s="43"/>
    </row>
    <row r="141" spans="1:13" ht="15" customHeight="1" x14ac:dyDescent="0.25">
      <c r="A141" s="102" t="s">
        <v>291</v>
      </c>
      <c r="B141" s="103" t="s">
        <v>292</v>
      </c>
      <c r="C141" s="104">
        <v>43566.291666666664</v>
      </c>
      <c r="D141" s="104">
        <v>45247.666666666664</v>
      </c>
      <c r="E141" s="105" t="s">
        <v>283</v>
      </c>
      <c r="F141" s="130">
        <f>F142+F147+F151+F155</f>
        <v>492000</v>
      </c>
      <c r="G141" s="47"/>
      <c r="H141" s="47"/>
      <c r="I141" s="47"/>
      <c r="J141" s="47"/>
      <c r="K141" s="47"/>
      <c r="L141" s="47"/>
      <c r="M141" s="47"/>
    </row>
    <row r="142" spans="1:13" ht="15" customHeight="1" x14ac:dyDescent="0.25">
      <c r="A142" s="125" t="s">
        <v>293</v>
      </c>
      <c r="B142" s="126" t="s">
        <v>294</v>
      </c>
      <c r="C142" s="127">
        <v>43566.291666666664</v>
      </c>
      <c r="D142" s="127">
        <v>44155.666666666664</v>
      </c>
      <c r="E142" s="128" t="s">
        <v>295</v>
      </c>
      <c r="F142" s="129">
        <v>123000</v>
      </c>
      <c r="G142" s="41"/>
      <c r="H142" s="41"/>
      <c r="I142" s="41"/>
      <c r="J142" s="41"/>
      <c r="K142" s="41"/>
      <c r="L142" s="41"/>
      <c r="M142" s="41"/>
    </row>
    <row r="143" spans="1:13" ht="15" customHeight="1" x14ac:dyDescent="0.25">
      <c r="A143" s="88" t="s">
        <v>296</v>
      </c>
      <c r="B143" s="89" t="s">
        <v>297</v>
      </c>
      <c r="C143" s="20">
        <v>43566.291666666664</v>
      </c>
      <c r="D143" s="20">
        <v>43717.666666666664</v>
      </c>
      <c r="E143" s="21" t="s">
        <v>21</v>
      </c>
      <c r="F143" s="41"/>
      <c r="G143" s="42"/>
      <c r="H143" s="42"/>
      <c r="I143" s="42"/>
      <c r="J143" s="42"/>
      <c r="K143" s="42"/>
      <c r="L143" s="42"/>
      <c r="M143" s="42"/>
    </row>
    <row r="144" spans="1:13" ht="15" customHeight="1" x14ac:dyDescent="0.25">
      <c r="A144" s="22" t="s">
        <v>298</v>
      </c>
      <c r="B144" s="23" t="s">
        <v>299</v>
      </c>
      <c r="C144" s="24">
        <v>43760.291666666664</v>
      </c>
      <c r="D144" s="24">
        <v>43875.666666666664</v>
      </c>
      <c r="E144" s="25" t="s">
        <v>300</v>
      </c>
      <c r="F144" s="42" t="s">
        <v>0</v>
      </c>
      <c r="G144" s="42"/>
      <c r="H144" s="42"/>
      <c r="I144" s="42"/>
      <c r="J144" s="42"/>
      <c r="K144" s="42"/>
      <c r="L144" s="42"/>
      <c r="M144" s="42"/>
    </row>
    <row r="145" spans="1:13" ht="15" customHeight="1" x14ac:dyDescent="0.25">
      <c r="A145" s="22" t="s">
        <v>301</v>
      </c>
      <c r="B145" s="23" t="s">
        <v>302</v>
      </c>
      <c r="C145" s="24">
        <v>43760.291666666664</v>
      </c>
      <c r="D145" s="24">
        <v>43875.666666666664</v>
      </c>
      <c r="E145" s="25" t="s">
        <v>300</v>
      </c>
      <c r="F145" s="42" t="s">
        <v>0</v>
      </c>
      <c r="G145" s="42"/>
      <c r="H145" s="42"/>
      <c r="I145" s="42"/>
      <c r="J145" s="42"/>
      <c r="K145" s="42"/>
      <c r="L145" s="42"/>
      <c r="M145" s="42"/>
    </row>
    <row r="146" spans="1:13" ht="15" customHeight="1" x14ac:dyDescent="0.25">
      <c r="A146" s="94" t="s">
        <v>303</v>
      </c>
      <c r="B146" s="95" t="s">
        <v>304</v>
      </c>
      <c r="C146" s="96">
        <v>43878.291666666664</v>
      </c>
      <c r="D146" s="96">
        <v>44155.666666666664</v>
      </c>
      <c r="E146" s="97" t="s">
        <v>305</v>
      </c>
      <c r="F146" s="43"/>
      <c r="G146" s="42"/>
      <c r="H146" s="42">
        <f>F142</f>
        <v>123000</v>
      </c>
      <c r="I146" s="42"/>
      <c r="J146" s="42"/>
      <c r="K146" s="42"/>
      <c r="L146" s="42"/>
      <c r="M146" s="42"/>
    </row>
    <row r="147" spans="1:13" ht="15" customHeight="1" x14ac:dyDescent="0.25">
      <c r="A147" s="98" t="s">
        <v>306</v>
      </c>
      <c r="B147" s="99" t="s">
        <v>307</v>
      </c>
      <c r="C147" s="100">
        <v>44032.291666666664</v>
      </c>
      <c r="D147" s="100">
        <v>44519.666666666664</v>
      </c>
      <c r="E147" s="101" t="s">
        <v>308</v>
      </c>
      <c r="F147" s="47">
        <v>123000</v>
      </c>
      <c r="G147" s="42"/>
      <c r="H147" s="42"/>
      <c r="I147" s="42"/>
      <c r="J147" s="42"/>
      <c r="K147" s="42"/>
      <c r="L147" s="42"/>
      <c r="M147" s="42"/>
    </row>
    <row r="148" spans="1:13" ht="15" customHeight="1" x14ac:dyDescent="0.25">
      <c r="A148" s="88" t="s">
        <v>309</v>
      </c>
      <c r="B148" s="89" t="s">
        <v>299</v>
      </c>
      <c r="C148" s="20">
        <v>44032.291666666664</v>
      </c>
      <c r="D148" s="20">
        <v>44147.666666666664</v>
      </c>
      <c r="E148" s="21" t="s">
        <v>300</v>
      </c>
      <c r="F148" s="41" t="s">
        <v>0</v>
      </c>
      <c r="G148" s="42"/>
      <c r="H148" s="42"/>
      <c r="I148" s="42"/>
      <c r="J148" s="42"/>
      <c r="K148" s="42"/>
      <c r="L148" s="42"/>
      <c r="M148" s="42"/>
    </row>
    <row r="149" spans="1:13" ht="15" customHeight="1" x14ac:dyDescent="0.25">
      <c r="A149" s="22" t="s">
        <v>310</v>
      </c>
      <c r="B149" s="23" t="s">
        <v>302</v>
      </c>
      <c r="C149" s="24">
        <v>44032.291666666664</v>
      </c>
      <c r="D149" s="24">
        <v>44147.666666666664</v>
      </c>
      <c r="E149" s="25" t="s">
        <v>300</v>
      </c>
      <c r="F149" s="42" t="s">
        <v>0</v>
      </c>
      <c r="G149" s="42"/>
      <c r="H149" s="42"/>
      <c r="I149" s="42"/>
      <c r="J149" s="42"/>
      <c r="K149" s="42"/>
      <c r="L149" s="42"/>
      <c r="M149" s="42"/>
    </row>
    <row r="150" spans="1:13" ht="15" customHeight="1" x14ac:dyDescent="0.25">
      <c r="A150" s="94" t="s">
        <v>311</v>
      </c>
      <c r="B150" s="95" t="s">
        <v>304</v>
      </c>
      <c r="C150" s="96">
        <v>44158.291666666664</v>
      </c>
      <c r="D150" s="96">
        <v>44519.666666666664</v>
      </c>
      <c r="E150" s="97" t="s">
        <v>312</v>
      </c>
      <c r="F150" s="43"/>
      <c r="G150" s="42"/>
      <c r="H150" s="42"/>
      <c r="I150" s="42">
        <f>F147</f>
        <v>123000</v>
      </c>
      <c r="J150" s="42"/>
      <c r="K150" s="42"/>
      <c r="L150" s="42"/>
      <c r="M150" s="42"/>
    </row>
    <row r="151" spans="1:13" ht="15" customHeight="1" x14ac:dyDescent="0.25">
      <c r="A151" s="98" t="s">
        <v>313</v>
      </c>
      <c r="B151" s="99" t="s">
        <v>314</v>
      </c>
      <c r="C151" s="100">
        <v>44396.291666666664</v>
      </c>
      <c r="D151" s="100">
        <v>44883.666666666664</v>
      </c>
      <c r="E151" s="101" t="s">
        <v>308</v>
      </c>
      <c r="F151" s="47">
        <v>123000</v>
      </c>
      <c r="G151" s="42"/>
      <c r="H151" s="42"/>
      <c r="I151" s="42"/>
      <c r="J151" s="42"/>
      <c r="K151" s="42"/>
      <c r="L151" s="42"/>
      <c r="M151" s="42"/>
    </row>
    <row r="152" spans="1:13" ht="15" customHeight="1" x14ac:dyDescent="0.25">
      <c r="A152" s="88" t="s">
        <v>315</v>
      </c>
      <c r="B152" s="89" t="s">
        <v>299</v>
      </c>
      <c r="C152" s="20">
        <v>44396.291666666664</v>
      </c>
      <c r="D152" s="20">
        <v>44511.666666666664</v>
      </c>
      <c r="E152" s="21" t="s">
        <v>300</v>
      </c>
      <c r="F152" s="41" t="s">
        <v>0</v>
      </c>
      <c r="G152" s="42"/>
      <c r="H152" s="42"/>
      <c r="I152" s="42"/>
      <c r="J152" s="42"/>
      <c r="K152" s="42"/>
      <c r="L152" s="42"/>
      <c r="M152" s="42"/>
    </row>
    <row r="153" spans="1:13" ht="15" customHeight="1" x14ac:dyDescent="0.25">
      <c r="A153" s="22" t="s">
        <v>316</v>
      </c>
      <c r="B153" s="23" t="s">
        <v>302</v>
      </c>
      <c r="C153" s="24">
        <v>44396.291666666664</v>
      </c>
      <c r="D153" s="24">
        <v>44511.666666666664</v>
      </c>
      <c r="E153" s="25" t="s">
        <v>300</v>
      </c>
      <c r="F153" s="42" t="s">
        <v>0</v>
      </c>
      <c r="G153" s="42"/>
      <c r="H153" s="42"/>
      <c r="I153" s="42"/>
      <c r="J153" s="42"/>
      <c r="K153" s="42"/>
      <c r="L153" s="42"/>
      <c r="M153" s="42"/>
    </row>
    <row r="154" spans="1:13" ht="15" customHeight="1" x14ac:dyDescent="0.25">
      <c r="A154" s="94" t="s">
        <v>317</v>
      </c>
      <c r="B154" s="95" t="s">
        <v>304</v>
      </c>
      <c r="C154" s="96">
        <v>44522.291666666664</v>
      </c>
      <c r="D154" s="96">
        <v>44883.666666666664</v>
      </c>
      <c r="E154" s="97" t="s">
        <v>312</v>
      </c>
      <c r="F154" s="43" t="s">
        <v>0</v>
      </c>
      <c r="G154" s="42"/>
      <c r="H154" s="42"/>
      <c r="I154" s="42"/>
      <c r="J154" s="42">
        <f>F151</f>
        <v>123000</v>
      </c>
      <c r="K154" s="42"/>
      <c r="L154" s="42"/>
      <c r="M154" s="42"/>
    </row>
    <row r="155" spans="1:13" ht="15" customHeight="1" x14ac:dyDescent="0.25">
      <c r="A155" s="98" t="s">
        <v>318</v>
      </c>
      <c r="B155" s="99" t="s">
        <v>319</v>
      </c>
      <c r="C155" s="100">
        <v>44760.291666666664</v>
      </c>
      <c r="D155" s="100">
        <v>45247.666666666664</v>
      </c>
      <c r="E155" s="101" t="s">
        <v>308</v>
      </c>
      <c r="F155" s="47">
        <v>123000</v>
      </c>
      <c r="G155" s="42"/>
      <c r="H155" s="42"/>
      <c r="I155" s="42"/>
      <c r="J155" s="42"/>
      <c r="K155" s="42"/>
      <c r="L155" s="42"/>
      <c r="M155" s="42"/>
    </row>
    <row r="156" spans="1:13" ht="15" customHeight="1" x14ac:dyDescent="0.25">
      <c r="A156" s="88" t="s">
        <v>320</v>
      </c>
      <c r="B156" s="89" t="s">
        <v>299</v>
      </c>
      <c r="C156" s="20">
        <v>44760.291666666664</v>
      </c>
      <c r="D156" s="20">
        <v>44875.666666666664</v>
      </c>
      <c r="E156" s="21" t="s">
        <v>300</v>
      </c>
      <c r="F156" s="41" t="s">
        <v>0</v>
      </c>
      <c r="G156" s="42"/>
      <c r="H156" s="42"/>
      <c r="I156" s="42"/>
      <c r="J156" s="42"/>
      <c r="K156" s="42"/>
      <c r="L156" s="42"/>
      <c r="M156" s="42"/>
    </row>
    <row r="157" spans="1:13" ht="15" customHeight="1" x14ac:dyDescent="0.25">
      <c r="A157" s="22" t="s">
        <v>321</v>
      </c>
      <c r="B157" s="23" t="s">
        <v>302</v>
      </c>
      <c r="C157" s="24">
        <v>44760.291666666664</v>
      </c>
      <c r="D157" s="24">
        <v>44875.666666666664</v>
      </c>
      <c r="E157" s="25" t="s">
        <v>300</v>
      </c>
      <c r="F157" s="42" t="s">
        <v>0</v>
      </c>
      <c r="G157" s="42"/>
      <c r="H157" s="42"/>
      <c r="I157" s="42"/>
      <c r="J157" s="42"/>
      <c r="K157" s="42"/>
      <c r="L157" s="42"/>
      <c r="M157" s="42"/>
    </row>
    <row r="158" spans="1:13" ht="15" customHeight="1" x14ac:dyDescent="0.25">
      <c r="A158" s="94" t="s">
        <v>322</v>
      </c>
      <c r="B158" s="95" t="s">
        <v>304</v>
      </c>
      <c r="C158" s="96">
        <v>44886.291666666664</v>
      </c>
      <c r="D158" s="96">
        <v>45247.666666666664</v>
      </c>
      <c r="E158" s="97" t="s">
        <v>312</v>
      </c>
      <c r="F158" s="43" t="s">
        <v>0</v>
      </c>
      <c r="G158" s="43"/>
      <c r="H158" s="43"/>
      <c r="I158" s="43"/>
      <c r="J158" s="43"/>
      <c r="K158" s="43">
        <f>F155</f>
        <v>123000</v>
      </c>
      <c r="L158" s="43"/>
      <c r="M158" s="43"/>
    </row>
    <row r="159" spans="1:13" ht="15" customHeight="1" x14ac:dyDescent="0.25">
      <c r="A159" s="115" t="s">
        <v>323</v>
      </c>
      <c r="B159" s="116" t="s">
        <v>324</v>
      </c>
      <c r="C159" s="117">
        <v>43718.291666666664</v>
      </c>
      <c r="D159" s="117">
        <v>45071.666666666664</v>
      </c>
      <c r="E159" s="118" t="s">
        <v>325</v>
      </c>
      <c r="F159" s="119">
        <f>SUM(F161:F164)</f>
        <v>60000</v>
      </c>
      <c r="G159" s="47"/>
      <c r="H159" s="47"/>
      <c r="I159" s="47"/>
      <c r="J159" s="47"/>
      <c r="K159" s="47"/>
      <c r="L159" s="47"/>
      <c r="M159" s="47"/>
    </row>
    <row r="160" spans="1:13" ht="15" customHeight="1" x14ac:dyDescent="0.25">
      <c r="A160" s="88" t="s">
        <v>326</v>
      </c>
      <c r="B160" s="89" t="s">
        <v>20</v>
      </c>
      <c r="C160" s="20">
        <v>43718.291666666664</v>
      </c>
      <c r="D160" s="20">
        <v>43867.666666666664</v>
      </c>
      <c r="E160" s="21" t="s">
        <v>21</v>
      </c>
      <c r="F160" s="41" t="s">
        <v>0</v>
      </c>
      <c r="G160" s="41"/>
      <c r="H160" s="41"/>
      <c r="I160" s="41"/>
      <c r="J160" s="41"/>
      <c r="K160" s="41"/>
      <c r="L160" s="41"/>
      <c r="M160" s="41"/>
    </row>
    <row r="161" spans="1:13" ht="15" customHeight="1" x14ac:dyDescent="0.25">
      <c r="A161" s="22" t="s">
        <v>327</v>
      </c>
      <c r="B161" s="23" t="s">
        <v>328</v>
      </c>
      <c r="C161" s="24">
        <v>43868.291666666664</v>
      </c>
      <c r="D161" s="24">
        <v>44007.666666666664</v>
      </c>
      <c r="E161" s="25" t="s">
        <v>49</v>
      </c>
      <c r="F161" s="42">
        <v>15000</v>
      </c>
      <c r="G161" s="42"/>
      <c r="H161" s="42">
        <f>F161</f>
        <v>15000</v>
      </c>
      <c r="I161" s="42"/>
      <c r="J161" s="42"/>
      <c r="K161" s="42"/>
      <c r="L161" s="42"/>
      <c r="M161" s="42"/>
    </row>
    <row r="162" spans="1:13" ht="15" customHeight="1" x14ac:dyDescent="0.25">
      <c r="A162" s="22" t="s">
        <v>329</v>
      </c>
      <c r="B162" s="23" t="s">
        <v>330</v>
      </c>
      <c r="C162" s="24">
        <v>44176.291666666664</v>
      </c>
      <c r="D162" s="24">
        <v>44343.666666666664</v>
      </c>
      <c r="E162" s="25" t="s">
        <v>166</v>
      </c>
      <c r="F162" s="42">
        <v>15000</v>
      </c>
      <c r="G162" s="42"/>
      <c r="H162" s="42"/>
      <c r="I162" s="42">
        <f>F162</f>
        <v>15000</v>
      </c>
      <c r="J162" s="42"/>
      <c r="K162" s="42"/>
      <c r="L162" s="42"/>
      <c r="M162" s="42"/>
    </row>
    <row r="163" spans="1:13" ht="15" customHeight="1" x14ac:dyDescent="0.25">
      <c r="A163" s="22" t="s">
        <v>331</v>
      </c>
      <c r="B163" s="23" t="s">
        <v>332</v>
      </c>
      <c r="C163" s="24">
        <v>44540.291666666664</v>
      </c>
      <c r="D163" s="24">
        <v>44707.666666666664</v>
      </c>
      <c r="E163" s="25" t="s">
        <v>166</v>
      </c>
      <c r="F163" s="42">
        <v>15000</v>
      </c>
      <c r="G163" s="42"/>
      <c r="H163" s="42"/>
      <c r="I163" s="42"/>
      <c r="J163" s="42">
        <f>F163</f>
        <v>15000</v>
      </c>
      <c r="K163" s="42"/>
      <c r="L163" s="42"/>
      <c r="M163" s="42"/>
    </row>
    <row r="164" spans="1:13" ht="15" customHeight="1" x14ac:dyDescent="0.25">
      <c r="A164" s="94" t="s">
        <v>333</v>
      </c>
      <c r="B164" s="95" t="s">
        <v>334</v>
      </c>
      <c r="C164" s="96">
        <v>44904.291666666664</v>
      </c>
      <c r="D164" s="96">
        <v>45071.666666666664</v>
      </c>
      <c r="E164" s="97" t="s">
        <v>166</v>
      </c>
      <c r="F164" s="43">
        <v>15000</v>
      </c>
      <c r="G164" s="43"/>
      <c r="H164" s="43"/>
      <c r="I164" s="43"/>
      <c r="J164" s="43"/>
      <c r="K164" s="43">
        <f>F164</f>
        <v>15000</v>
      </c>
      <c r="L164" s="43"/>
      <c r="M164" s="43"/>
    </row>
    <row r="165" spans="1:13" ht="15" customHeight="1" x14ac:dyDescent="0.25">
      <c r="A165" s="102" t="s">
        <v>335</v>
      </c>
      <c r="B165" s="103" t="s">
        <v>336</v>
      </c>
      <c r="C165" s="104">
        <v>44074.291666666664</v>
      </c>
      <c r="D165" s="104">
        <v>45016.666666666664</v>
      </c>
      <c r="E165" s="105" t="s">
        <v>337</v>
      </c>
      <c r="F165" s="130">
        <f>SUM(F167:F169)</f>
        <v>90000</v>
      </c>
      <c r="G165" s="47"/>
      <c r="H165" s="47"/>
      <c r="I165" s="47"/>
      <c r="J165" s="47"/>
      <c r="K165" s="47"/>
      <c r="L165" s="47"/>
      <c r="M165" s="47"/>
    </row>
    <row r="166" spans="1:13" ht="15" customHeight="1" x14ac:dyDescent="0.25">
      <c r="A166" s="88" t="s">
        <v>338</v>
      </c>
      <c r="B166" s="89" t="s">
        <v>212</v>
      </c>
      <c r="C166" s="20">
        <v>44074.291666666664</v>
      </c>
      <c r="D166" s="20">
        <v>44223.666666666664</v>
      </c>
      <c r="E166" s="21" t="s">
        <v>21</v>
      </c>
      <c r="F166" s="41" t="s">
        <v>0</v>
      </c>
      <c r="G166" s="41"/>
      <c r="H166" s="41"/>
      <c r="I166" s="41"/>
      <c r="J166" s="41"/>
      <c r="K166" s="41"/>
      <c r="L166" s="41"/>
      <c r="M166" s="41"/>
    </row>
    <row r="167" spans="1:13" ht="15" customHeight="1" x14ac:dyDescent="0.25">
      <c r="A167" s="22" t="s">
        <v>339</v>
      </c>
      <c r="B167" s="23" t="s">
        <v>340</v>
      </c>
      <c r="C167" s="24">
        <v>44227.958333333336</v>
      </c>
      <c r="D167" s="24">
        <v>44288.666666666664</v>
      </c>
      <c r="E167" s="25" t="s">
        <v>341</v>
      </c>
      <c r="F167" s="42">
        <v>30000</v>
      </c>
      <c r="G167" s="42"/>
      <c r="H167" s="42"/>
      <c r="I167" s="42">
        <f>F167</f>
        <v>30000</v>
      </c>
      <c r="J167" s="42"/>
      <c r="K167" s="42"/>
      <c r="L167" s="42"/>
      <c r="M167" s="42"/>
    </row>
    <row r="168" spans="1:13" ht="15" customHeight="1" x14ac:dyDescent="0.25">
      <c r="A168" s="22" t="s">
        <v>342</v>
      </c>
      <c r="B168" s="23" t="s">
        <v>343</v>
      </c>
      <c r="C168" s="24">
        <v>44592.291666666664</v>
      </c>
      <c r="D168" s="24">
        <v>44652.666666666664</v>
      </c>
      <c r="E168" s="25" t="s">
        <v>341</v>
      </c>
      <c r="F168" s="42">
        <v>30000</v>
      </c>
      <c r="G168" s="42"/>
      <c r="H168" s="42"/>
      <c r="I168" s="42"/>
      <c r="J168" s="42">
        <f>F168</f>
        <v>30000</v>
      </c>
      <c r="K168" s="42"/>
      <c r="L168" s="42"/>
      <c r="M168" s="42"/>
    </row>
    <row r="169" spans="1:13" ht="15" customHeight="1" x14ac:dyDescent="0.25">
      <c r="A169" s="94" t="s">
        <v>344</v>
      </c>
      <c r="B169" s="95" t="s">
        <v>345</v>
      </c>
      <c r="C169" s="96">
        <v>44956.291666666664</v>
      </c>
      <c r="D169" s="96">
        <v>45016.666666666664</v>
      </c>
      <c r="E169" s="97" t="s">
        <v>341</v>
      </c>
      <c r="F169" s="43">
        <v>30000</v>
      </c>
      <c r="G169" s="43"/>
      <c r="H169" s="43"/>
      <c r="I169" s="43"/>
      <c r="J169" s="43"/>
      <c r="K169" s="43">
        <f>F169</f>
        <v>30000</v>
      </c>
      <c r="L169" s="43"/>
      <c r="M169" s="43"/>
    </row>
    <row r="170" spans="1:13" ht="15" customHeight="1" x14ac:dyDescent="0.25">
      <c r="A170" s="102" t="s">
        <v>346</v>
      </c>
      <c r="B170" s="103" t="s">
        <v>347</v>
      </c>
      <c r="C170" s="104">
        <v>44291.291666666664</v>
      </c>
      <c r="D170" s="104">
        <v>44529.666666666664</v>
      </c>
      <c r="E170" s="105" t="s">
        <v>115</v>
      </c>
      <c r="F170" s="130"/>
      <c r="G170" s="47"/>
      <c r="H170" s="47"/>
      <c r="I170" s="47"/>
      <c r="J170" s="47"/>
      <c r="K170" s="47"/>
      <c r="L170" s="47"/>
      <c r="M170" s="47"/>
    </row>
    <row r="171" spans="1:13" ht="15" customHeight="1" x14ac:dyDescent="0.25">
      <c r="A171" s="88" t="s">
        <v>348</v>
      </c>
      <c r="B171" s="89" t="s">
        <v>117</v>
      </c>
      <c r="C171" s="20">
        <v>44291.291666666664</v>
      </c>
      <c r="D171" s="20">
        <v>44473.666666666664</v>
      </c>
      <c r="E171" s="21" t="s">
        <v>118</v>
      </c>
      <c r="F171" s="41"/>
      <c r="G171" s="41"/>
      <c r="H171" s="41"/>
      <c r="I171" s="41"/>
      <c r="J171" s="41"/>
      <c r="K171" s="41"/>
      <c r="L171" s="41"/>
      <c r="M171" s="41"/>
    </row>
    <row r="172" spans="1:13" ht="15" customHeight="1" x14ac:dyDescent="0.25">
      <c r="A172" s="22" t="s">
        <v>349</v>
      </c>
      <c r="B172" s="23" t="s">
        <v>350</v>
      </c>
      <c r="C172" s="24">
        <v>44474.291666666664</v>
      </c>
      <c r="D172" s="24">
        <v>44529.666666666664</v>
      </c>
      <c r="E172" s="25" t="s">
        <v>30</v>
      </c>
      <c r="F172" s="42">
        <v>109000</v>
      </c>
      <c r="G172" s="42"/>
      <c r="H172" s="42"/>
      <c r="I172" s="42">
        <f>F172*0.8</f>
        <v>87200</v>
      </c>
      <c r="J172" s="42">
        <f>F172*0.2</f>
        <v>21800</v>
      </c>
      <c r="K172" s="42"/>
      <c r="L172" s="42"/>
      <c r="M172" s="42"/>
    </row>
    <row r="173" spans="1:13" ht="15" customHeight="1" x14ac:dyDescent="0.25">
      <c r="A173" s="131" t="s">
        <v>351</v>
      </c>
      <c r="B173" s="132" t="s">
        <v>352</v>
      </c>
      <c r="C173" s="133">
        <v>43690.291666666664</v>
      </c>
      <c r="D173" s="133">
        <v>44967.666666666664</v>
      </c>
      <c r="E173" s="134" t="s">
        <v>353</v>
      </c>
      <c r="F173" s="39">
        <f>SUM(F174+F180+F184)</f>
        <v>268000</v>
      </c>
      <c r="G173" s="39"/>
      <c r="H173" s="39"/>
      <c r="I173" s="39"/>
      <c r="J173" s="39"/>
      <c r="K173" s="39"/>
      <c r="L173" s="39">
        <f t="shared" ref="L173" si="13">SUM(L174:L188)</f>
        <v>0</v>
      </c>
      <c r="M173" s="39">
        <f>SUM(G173:L173)</f>
        <v>0</v>
      </c>
    </row>
    <row r="174" spans="1:13" ht="15" customHeight="1" x14ac:dyDescent="0.25">
      <c r="A174" s="135" t="s">
        <v>354</v>
      </c>
      <c r="B174" s="136" t="s">
        <v>355</v>
      </c>
      <c r="C174" s="137">
        <v>43690.291666666664</v>
      </c>
      <c r="D174" s="137">
        <v>44967.666666666664</v>
      </c>
      <c r="E174" s="138" t="s">
        <v>353</v>
      </c>
      <c r="F174" s="40">
        <f>SUM(F176:F179)</f>
        <v>28000</v>
      </c>
      <c r="G174" s="40"/>
      <c r="H174" s="40"/>
      <c r="I174" s="40"/>
      <c r="J174" s="40"/>
      <c r="K174" s="40"/>
      <c r="L174" s="40"/>
      <c r="M174" s="40"/>
    </row>
    <row r="175" spans="1:13" ht="15" customHeight="1" x14ac:dyDescent="0.25">
      <c r="A175" s="88" t="s">
        <v>356</v>
      </c>
      <c r="B175" s="89" t="s">
        <v>357</v>
      </c>
      <c r="C175" s="20">
        <v>43690.291666666664</v>
      </c>
      <c r="D175" s="20">
        <v>43858.666666666664</v>
      </c>
      <c r="E175" s="21" t="s">
        <v>358</v>
      </c>
      <c r="F175" s="41" t="s">
        <v>0</v>
      </c>
      <c r="G175" s="41"/>
      <c r="H175" s="41"/>
      <c r="I175" s="41"/>
      <c r="J175" s="41"/>
      <c r="K175" s="41"/>
      <c r="L175" s="41"/>
      <c r="M175" s="41"/>
    </row>
    <row r="176" spans="1:13" ht="15" customHeight="1" x14ac:dyDescent="0.25">
      <c r="A176" s="22" t="s">
        <v>359</v>
      </c>
      <c r="B176" s="23" t="s">
        <v>360</v>
      </c>
      <c r="C176" s="24">
        <v>43858.291666666664</v>
      </c>
      <c r="D176" s="24">
        <v>43875.666666666664</v>
      </c>
      <c r="E176" s="25" t="s">
        <v>361</v>
      </c>
      <c r="F176" s="42">
        <v>7000</v>
      </c>
      <c r="G176" s="42"/>
      <c r="H176" s="42">
        <f>F176</f>
        <v>7000</v>
      </c>
      <c r="I176" s="42"/>
      <c r="J176" s="42"/>
      <c r="K176" s="42"/>
      <c r="L176" s="42"/>
      <c r="M176" s="42"/>
    </row>
    <row r="177" spans="1:13" ht="15" customHeight="1" x14ac:dyDescent="0.25">
      <c r="A177" s="22" t="s">
        <v>362</v>
      </c>
      <c r="B177" s="23" t="s">
        <v>363</v>
      </c>
      <c r="C177" s="24">
        <v>44222.291666666664</v>
      </c>
      <c r="D177" s="24">
        <v>44239.666666666664</v>
      </c>
      <c r="E177" s="25" t="s">
        <v>361</v>
      </c>
      <c r="F177" s="42">
        <v>7000</v>
      </c>
      <c r="G177" s="42"/>
      <c r="H177" s="42"/>
      <c r="I177" s="42">
        <f>F177</f>
        <v>7000</v>
      </c>
      <c r="J177" s="42"/>
      <c r="K177" s="42"/>
      <c r="L177" s="42"/>
      <c r="M177" s="42"/>
    </row>
    <row r="178" spans="1:13" ht="15" customHeight="1" x14ac:dyDescent="0.25">
      <c r="A178" s="22" t="s">
        <v>364</v>
      </c>
      <c r="B178" s="23" t="s">
        <v>365</v>
      </c>
      <c r="C178" s="24">
        <v>44586.291666666664</v>
      </c>
      <c r="D178" s="24">
        <v>44603.666666666664</v>
      </c>
      <c r="E178" s="25" t="s">
        <v>361</v>
      </c>
      <c r="F178" s="42">
        <v>7000</v>
      </c>
      <c r="G178" s="42"/>
      <c r="H178" s="42"/>
      <c r="I178" s="42"/>
      <c r="J178" s="42">
        <f>F178</f>
        <v>7000</v>
      </c>
      <c r="K178" s="42"/>
      <c r="L178" s="42"/>
      <c r="M178" s="42"/>
    </row>
    <row r="179" spans="1:13" ht="15" customHeight="1" x14ac:dyDescent="0.25">
      <c r="A179" s="94" t="s">
        <v>366</v>
      </c>
      <c r="B179" s="95" t="s">
        <v>367</v>
      </c>
      <c r="C179" s="96">
        <v>44950.291666666664</v>
      </c>
      <c r="D179" s="96">
        <v>44967.666666666664</v>
      </c>
      <c r="E179" s="97" t="s">
        <v>361</v>
      </c>
      <c r="F179" s="43">
        <v>7000</v>
      </c>
      <c r="G179" s="43"/>
      <c r="H179" s="43"/>
      <c r="I179" s="43"/>
      <c r="J179" s="43"/>
      <c r="K179" s="43">
        <f>F179</f>
        <v>7000</v>
      </c>
      <c r="L179" s="43"/>
      <c r="M179" s="43"/>
    </row>
    <row r="180" spans="1:13" ht="15" customHeight="1" x14ac:dyDescent="0.25">
      <c r="A180" s="112" t="s">
        <v>368</v>
      </c>
      <c r="B180" s="113" t="s">
        <v>369</v>
      </c>
      <c r="C180" s="100">
        <v>43878.291666666664</v>
      </c>
      <c r="D180" s="100">
        <v>44781.666666666664</v>
      </c>
      <c r="E180" s="101" t="s">
        <v>370</v>
      </c>
      <c r="F180" s="47">
        <f>SUM(F182:F183)</f>
        <v>40000</v>
      </c>
      <c r="G180" s="47"/>
      <c r="H180" s="47"/>
      <c r="I180" s="47"/>
      <c r="J180" s="47"/>
      <c r="K180" s="47"/>
      <c r="L180" s="47"/>
      <c r="M180" s="47"/>
    </row>
    <row r="181" spans="1:13" ht="15" customHeight="1" x14ac:dyDescent="0.25">
      <c r="A181" s="88" t="s">
        <v>371</v>
      </c>
      <c r="B181" s="89" t="s">
        <v>357</v>
      </c>
      <c r="C181" s="20">
        <v>43878.291666666664</v>
      </c>
      <c r="D181" s="20">
        <v>44046.666666666664</v>
      </c>
      <c r="E181" s="21" t="s">
        <v>358</v>
      </c>
      <c r="F181" s="41" t="s">
        <v>0</v>
      </c>
      <c r="G181" s="41"/>
      <c r="H181" s="41"/>
      <c r="I181" s="41"/>
      <c r="J181" s="41"/>
      <c r="K181" s="41"/>
      <c r="L181" s="41"/>
      <c r="M181" s="41"/>
    </row>
    <row r="182" spans="1:13" ht="15" customHeight="1" x14ac:dyDescent="0.25">
      <c r="A182" s="22" t="s">
        <v>372</v>
      </c>
      <c r="B182" s="23" t="s">
        <v>360</v>
      </c>
      <c r="C182" s="24">
        <v>44047.291666666664</v>
      </c>
      <c r="D182" s="24">
        <v>44053.666666666664</v>
      </c>
      <c r="E182" s="25" t="s">
        <v>373</v>
      </c>
      <c r="F182" s="42">
        <v>20000</v>
      </c>
      <c r="G182" s="42"/>
      <c r="H182" s="42">
        <f>F182</f>
        <v>20000</v>
      </c>
      <c r="I182" s="42"/>
      <c r="J182" s="42"/>
      <c r="K182" s="42"/>
      <c r="L182" s="42"/>
      <c r="M182" s="42"/>
    </row>
    <row r="183" spans="1:13" ht="15" customHeight="1" x14ac:dyDescent="0.25">
      <c r="A183" s="94" t="s">
        <v>374</v>
      </c>
      <c r="B183" s="95" t="s">
        <v>365</v>
      </c>
      <c r="C183" s="96">
        <v>44775.291666666664</v>
      </c>
      <c r="D183" s="96">
        <v>44781.666666666664</v>
      </c>
      <c r="E183" s="97" t="s">
        <v>373</v>
      </c>
      <c r="F183" s="43">
        <v>20000</v>
      </c>
      <c r="G183" s="43"/>
      <c r="H183" s="43"/>
      <c r="I183" s="43"/>
      <c r="J183" s="43">
        <f>F183</f>
        <v>20000</v>
      </c>
      <c r="K183" s="43"/>
      <c r="L183" s="43"/>
      <c r="M183" s="43"/>
    </row>
    <row r="184" spans="1:13" ht="15" customHeight="1" x14ac:dyDescent="0.25">
      <c r="A184" s="112" t="s">
        <v>375</v>
      </c>
      <c r="B184" s="113" t="s">
        <v>376</v>
      </c>
      <c r="C184" s="100">
        <v>43726.291666666664</v>
      </c>
      <c r="D184" s="100">
        <v>44824.666666666664</v>
      </c>
      <c r="E184" s="101" t="s">
        <v>377</v>
      </c>
      <c r="F184" s="47">
        <f>SUM(F185:F188)</f>
        <v>200000</v>
      </c>
      <c r="G184" s="47"/>
      <c r="H184" s="47"/>
      <c r="I184" s="47"/>
      <c r="J184" s="47"/>
      <c r="K184" s="47"/>
      <c r="L184" s="47"/>
      <c r="M184" s="47"/>
    </row>
    <row r="185" spans="1:13" ht="15" customHeight="1" x14ac:dyDescent="0.25">
      <c r="A185" s="88" t="s">
        <v>378</v>
      </c>
      <c r="B185" s="89" t="s">
        <v>379</v>
      </c>
      <c r="C185" s="20">
        <v>43726.291666666664</v>
      </c>
      <c r="D185" s="20">
        <v>43732.666666666664</v>
      </c>
      <c r="E185" s="21" t="s">
        <v>373</v>
      </c>
      <c r="F185" s="41">
        <v>50000</v>
      </c>
      <c r="G185" s="41">
        <f>F185</f>
        <v>50000</v>
      </c>
      <c r="H185" s="41"/>
      <c r="I185" s="41"/>
      <c r="J185" s="41"/>
      <c r="K185" s="41"/>
      <c r="L185" s="41"/>
      <c r="M185" s="41"/>
    </row>
    <row r="186" spans="1:13" ht="15" customHeight="1" x14ac:dyDescent="0.25">
      <c r="A186" s="22" t="s">
        <v>380</v>
      </c>
      <c r="B186" s="23" t="s">
        <v>381</v>
      </c>
      <c r="C186" s="24">
        <v>44090.291666666664</v>
      </c>
      <c r="D186" s="24">
        <v>44096.666666666664</v>
      </c>
      <c r="E186" s="25" t="s">
        <v>373</v>
      </c>
      <c r="F186" s="42">
        <v>50000</v>
      </c>
      <c r="G186" s="42"/>
      <c r="H186" s="42">
        <f>F186</f>
        <v>50000</v>
      </c>
      <c r="I186" s="42"/>
      <c r="J186" s="42"/>
      <c r="K186" s="42"/>
      <c r="L186" s="42"/>
      <c r="M186" s="42"/>
    </row>
    <row r="187" spans="1:13" ht="15" customHeight="1" x14ac:dyDescent="0.25">
      <c r="A187" s="22" t="s">
        <v>382</v>
      </c>
      <c r="B187" s="23" t="s">
        <v>383</v>
      </c>
      <c r="C187" s="24">
        <v>44454.291666666664</v>
      </c>
      <c r="D187" s="24">
        <v>44460.666666666664</v>
      </c>
      <c r="E187" s="25" t="s">
        <v>373</v>
      </c>
      <c r="F187" s="42">
        <v>50000</v>
      </c>
      <c r="G187" s="42"/>
      <c r="H187" s="42"/>
      <c r="I187" s="42">
        <f>F187</f>
        <v>50000</v>
      </c>
      <c r="J187" s="42"/>
      <c r="K187" s="42"/>
      <c r="L187" s="42"/>
      <c r="M187" s="42"/>
    </row>
    <row r="188" spans="1:13" ht="15" customHeight="1" x14ac:dyDescent="0.25">
      <c r="A188" s="22" t="s">
        <v>384</v>
      </c>
      <c r="B188" s="23" t="s">
        <v>385</v>
      </c>
      <c r="C188" s="24">
        <v>44818.291666666664</v>
      </c>
      <c r="D188" s="24">
        <v>44824.666666666664</v>
      </c>
      <c r="E188" s="25" t="s">
        <v>373</v>
      </c>
      <c r="F188" s="42">
        <v>50000</v>
      </c>
      <c r="G188" s="42"/>
      <c r="H188" s="42"/>
      <c r="I188" s="42"/>
      <c r="J188" s="42">
        <f>F188</f>
        <v>50000</v>
      </c>
      <c r="K188" s="42"/>
      <c r="L188" s="42"/>
      <c r="M188" s="42"/>
    </row>
    <row r="189" spans="1:13" ht="15" customHeight="1" x14ac:dyDescent="0.25">
      <c r="A189" s="14" t="s">
        <v>386</v>
      </c>
      <c r="B189" s="15" t="s">
        <v>387</v>
      </c>
      <c r="C189" s="16">
        <v>43868.291666666664</v>
      </c>
      <c r="D189" s="16">
        <v>44092.666666666664</v>
      </c>
      <c r="E189" s="17" t="s">
        <v>388</v>
      </c>
      <c r="F189" s="39">
        <f>F191</f>
        <v>60000</v>
      </c>
      <c r="G189" s="39">
        <f>SUM(G190:G191)</f>
        <v>0</v>
      </c>
      <c r="H189" s="39"/>
      <c r="I189" s="39">
        <f t="shared" ref="I189:L189" si="14">SUM(I190:I191)</f>
        <v>0</v>
      </c>
      <c r="J189" s="39">
        <f t="shared" si="14"/>
        <v>0</v>
      </c>
      <c r="K189" s="39">
        <f t="shared" si="14"/>
        <v>0</v>
      </c>
      <c r="L189" s="39">
        <f t="shared" si="14"/>
        <v>0</v>
      </c>
      <c r="M189" s="39">
        <f>SUM(G189:L189)</f>
        <v>0</v>
      </c>
    </row>
    <row r="190" spans="1:13" ht="15" customHeight="1" x14ac:dyDescent="0.25">
      <c r="A190" s="18" t="s">
        <v>389</v>
      </c>
      <c r="B190" s="19" t="s">
        <v>357</v>
      </c>
      <c r="C190" s="20">
        <v>43868.291666666664</v>
      </c>
      <c r="D190" s="20">
        <v>44036.666666666664</v>
      </c>
      <c r="E190" s="21" t="s">
        <v>358</v>
      </c>
      <c r="F190" s="41" t="s">
        <v>0</v>
      </c>
      <c r="G190" s="41"/>
      <c r="H190" s="41"/>
      <c r="I190" s="41"/>
      <c r="J190" s="41"/>
      <c r="K190" s="41"/>
      <c r="L190" s="41"/>
      <c r="M190" s="41"/>
    </row>
    <row r="191" spans="1:13" ht="15" customHeight="1" x14ac:dyDescent="0.25">
      <c r="A191" s="18" t="s">
        <v>390</v>
      </c>
      <c r="B191" s="19" t="s">
        <v>391</v>
      </c>
      <c r="C191" s="20">
        <v>44039.291666666664</v>
      </c>
      <c r="D191" s="20">
        <v>44092.666666666664</v>
      </c>
      <c r="E191" s="21" t="s">
        <v>30</v>
      </c>
      <c r="F191" s="41">
        <v>60000</v>
      </c>
      <c r="G191" s="41"/>
      <c r="H191" s="41">
        <f>F191</f>
        <v>60000</v>
      </c>
      <c r="I191" s="41"/>
      <c r="J191" s="41"/>
      <c r="K191" s="41"/>
      <c r="L191" s="41"/>
      <c r="M191" s="41"/>
    </row>
    <row r="192" spans="1:13" ht="15" customHeight="1" x14ac:dyDescent="0.25">
      <c r="A192" s="14" t="s">
        <v>392</v>
      </c>
      <c r="B192" s="15" t="s">
        <v>393</v>
      </c>
      <c r="C192" s="16">
        <v>43684.291666666664</v>
      </c>
      <c r="D192" s="16">
        <v>43857.666666666664</v>
      </c>
      <c r="E192" s="17" t="s">
        <v>394</v>
      </c>
      <c r="F192" s="39">
        <f>F194</f>
        <v>20000</v>
      </c>
      <c r="G192" s="39">
        <f>SUM(G193:G194)</f>
        <v>0</v>
      </c>
      <c r="H192" s="39"/>
      <c r="I192" s="39">
        <f t="shared" ref="I192:L192" si="15">SUM(I193:I194)</f>
        <v>0</v>
      </c>
      <c r="J192" s="39">
        <f t="shared" si="15"/>
        <v>0</v>
      </c>
      <c r="K192" s="39">
        <f t="shared" si="15"/>
        <v>0</v>
      </c>
      <c r="L192" s="39">
        <f t="shared" si="15"/>
        <v>0</v>
      </c>
      <c r="M192" s="39">
        <f>SUM(G192:L192)</f>
        <v>0</v>
      </c>
    </row>
    <row r="193" spans="1:13" ht="15" customHeight="1" x14ac:dyDescent="0.25">
      <c r="A193" s="18" t="s">
        <v>395</v>
      </c>
      <c r="B193" s="19" t="s">
        <v>396</v>
      </c>
      <c r="C193" s="20">
        <v>43684.291666666664</v>
      </c>
      <c r="D193" s="20">
        <v>43801.666666666664</v>
      </c>
      <c r="E193" s="21" t="s">
        <v>300</v>
      </c>
      <c r="F193" s="41" t="s">
        <v>0</v>
      </c>
      <c r="G193" s="41"/>
      <c r="H193" s="41"/>
      <c r="I193" s="41"/>
      <c r="J193" s="41"/>
      <c r="K193" s="41"/>
      <c r="L193" s="41"/>
      <c r="M193" s="41"/>
    </row>
    <row r="194" spans="1:13" ht="15" customHeight="1" x14ac:dyDescent="0.25">
      <c r="A194" s="18" t="s">
        <v>397</v>
      </c>
      <c r="B194" s="19" t="s">
        <v>398</v>
      </c>
      <c r="C194" s="20">
        <v>43802.291666666664</v>
      </c>
      <c r="D194" s="20">
        <v>43857.666666666664</v>
      </c>
      <c r="E194" s="21" t="s">
        <v>30</v>
      </c>
      <c r="F194" s="41">
        <v>20000</v>
      </c>
      <c r="G194" s="41"/>
      <c r="H194" s="41">
        <f>F194</f>
        <v>20000</v>
      </c>
      <c r="I194" s="41"/>
      <c r="J194" s="41"/>
      <c r="K194" s="41"/>
      <c r="L194" s="41"/>
      <c r="M194" s="41"/>
    </row>
    <row r="195" spans="1:13" ht="15" customHeight="1" x14ac:dyDescent="0.25">
      <c r="A195" s="14" t="s">
        <v>399</v>
      </c>
      <c r="B195" s="15" t="s">
        <v>400</v>
      </c>
      <c r="C195" s="16">
        <v>43566.291666666664</v>
      </c>
      <c r="D195" s="16">
        <v>43725.666666666664</v>
      </c>
      <c r="E195" s="17" t="s">
        <v>401</v>
      </c>
      <c r="F195" s="39">
        <f>F197</f>
        <v>65000</v>
      </c>
      <c r="G195" s="39"/>
      <c r="H195" s="39">
        <f t="shared" ref="H195:L195" si="16">SUM(H196:H197)</f>
        <v>0</v>
      </c>
      <c r="I195" s="39">
        <f t="shared" si="16"/>
        <v>0</v>
      </c>
      <c r="J195" s="39">
        <f t="shared" si="16"/>
        <v>0</v>
      </c>
      <c r="K195" s="39">
        <f t="shared" si="16"/>
        <v>0</v>
      </c>
      <c r="L195" s="39">
        <f t="shared" si="16"/>
        <v>0</v>
      </c>
      <c r="M195" s="39">
        <f>SUM(G195:L195)</f>
        <v>0</v>
      </c>
    </row>
    <row r="196" spans="1:13" ht="15" customHeight="1" x14ac:dyDescent="0.25">
      <c r="A196" s="18" t="s">
        <v>402</v>
      </c>
      <c r="B196" s="19" t="s">
        <v>212</v>
      </c>
      <c r="C196" s="20">
        <v>43566.291666666664</v>
      </c>
      <c r="D196" s="20">
        <v>43683.666666666664</v>
      </c>
      <c r="E196" s="21" t="s">
        <v>300</v>
      </c>
      <c r="F196" s="41" t="s">
        <v>0</v>
      </c>
      <c r="G196" s="41"/>
      <c r="H196" s="41"/>
      <c r="I196" s="41"/>
      <c r="J196" s="41"/>
      <c r="K196" s="41"/>
      <c r="L196" s="41"/>
      <c r="M196" s="41"/>
    </row>
    <row r="197" spans="1:13" ht="15" customHeight="1" x14ac:dyDescent="0.25">
      <c r="A197" s="18" t="s">
        <v>403</v>
      </c>
      <c r="B197" s="19" t="s">
        <v>404</v>
      </c>
      <c r="C197" s="20">
        <v>43684.291666666664</v>
      </c>
      <c r="D197" s="20">
        <v>43725.666666666664</v>
      </c>
      <c r="E197" s="21" t="s">
        <v>243</v>
      </c>
      <c r="F197" s="41">
        <v>65000</v>
      </c>
      <c r="G197" s="41">
        <f>F197</f>
        <v>65000</v>
      </c>
      <c r="H197" s="41"/>
      <c r="I197" s="41"/>
      <c r="J197" s="41"/>
      <c r="K197" s="41"/>
      <c r="L197" s="41"/>
      <c r="M197" s="41"/>
    </row>
    <row r="198" spans="1:13" ht="15" customHeight="1" x14ac:dyDescent="0.25">
      <c r="A198" s="14" t="s">
        <v>405</v>
      </c>
      <c r="B198" s="15" t="s">
        <v>406</v>
      </c>
      <c r="C198" s="16">
        <v>43868.291666666664</v>
      </c>
      <c r="D198" s="16">
        <v>45268.666666666664</v>
      </c>
      <c r="E198" s="17" t="s">
        <v>407</v>
      </c>
      <c r="F198" s="39">
        <f>SUM(F200:F203)</f>
        <v>36000</v>
      </c>
      <c r="G198" s="39">
        <f>SUM(G199:G203)</f>
        <v>0</v>
      </c>
      <c r="H198" s="39"/>
      <c r="I198" s="39"/>
      <c r="J198" s="39"/>
      <c r="K198" s="39"/>
      <c r="L198" s="39">
        <f t="shared" ref="L198" si="17">SUM(L199:L203)</f>
        <v>0</v>
      </c>
      <c r="M198" s="39">
        <f>SUM(G198:L198)</f>
        <v>0</v>
      </c>
    </row>
    <row r="199" spans="1:13" ht="15" customHeight="1" x14ac:dyDescent="0.25">
      <c r="A199" s="18" t="s">
        <v>408</v>
      </c>
      <c r="B199" s="19" t="s">
        <v>357</v>
      </c>
      <c r="C199" s="20">
        <v>43868.291666666664</v>
      </c>
      <c r="D199" s="20">
        <v>44036.666666666664</v>
      </c>
      <c r="E199" s="21" t="s">
        <v>358</v>
      </c>
      <c r="F199" s="41" t="s">
        <v>0</v>
      </c>
      <c r="G199" s="41"/>
      <c r="H199" s="41"/>
      <c r="I199" s="41"/>
      <c r="J199" s="41"/>
      <c r="K199" s="41"/>
      <c r="L199" s="41"/>
      <c r="M199" s="41"/>
    </row>
    <row r="200" spans="1:13" ht="15" customHeight="1" x14ac:dyDescent="0.25">
      <c r="A200" s="18" t="s">
        <v>409</v>
      </c>
      <c r="B200" s="19" t="s">
        <v>410</v>
      </c>
      <c r="C200" s="20">
        <v>44039.291666666664</v>
      </c>
      <c r="D200" s="20">
        <v>44176.666666666664</v>
      </c>
      <c r="E200" s="21" t="s">
        <v>49</v>
      </c>
      <c r="F200" s="41">
        <v>9000</v>
      </c>
      <c r="G200" s="41"/>
      <c r="H200" s="41">
        <f>F200</f>
        <v>9000</v>
      </c>
      <c r="I200" s="41"/>
      <c r="J200" s="41"/>
      <c r="K200" s="41"/>
      <c r="L200" s="41"/>
      <c r="M200" s="41"/>
    </row>
    <row r="201" spans="1:13" ht="15" customHeight="1" x14ac:dyDescent="0.25">
      <c r="A201" s="18" t="s">
        <v>411</v>
      </c>
      <c r="B201" s="19" t="s">
        <v>412</v>
      </c>
      <c r="C201" s="20">
        <v>44375.291666666664</v>
      </c>
      <c r="D201" s="20">
        <v>44540.666666666664</v>
      </c>
      <c r="E201" s="21" t="s">
        <v>166</v>
      </c>
      <c r="F201" s="41">
        <v>9000</v>
      </c>
      <c r="G201" s="41"/>
      <c r="H201" s="41"/>
      <c r="I201" s="41">
        <f>F201</f>
        <v>9000</v>
      </c>
      <c r="J201" s="41"/>
      <c r="K201" s="41"/>
      <c r="L201" s="41"/>
      <c r="M201" s="41"/>
    </row>
    <row r="202" spans="1:13" ht="15" customHeight="1" x14ac:dyDescent="0.25">
      <c r="A202" s="18" t="s">
        <v>413</v>
      </c>
      <c r="B202" s="19" t="s">
        <v>414</v>
      </c>
      <c r="C202" s="20">
        <v>44739.291666666664</v>
      </c>
      <c r="D202" s="20">
        <v>44904.666666666664</v>
      </c>
      <c r="E202" s="21" t="s">
        <v>166</v>
      </c>
      <c r="F202" s="41">
        <v>9000</v>
      </c>
      <c r="G202" s="41"/>
      <c r="H202" s="41"/>
      <c r="I202" s="41"/>
      <c r="J202" s="41">
        <f>F202</f>
        <v>9000</v>
      </c>
      <c r="K202" s="41"/>
      <c r="L202" s="41"/>
      <c r="M202" s="41"/>
    </row>
    <row r="203" spans="1:13" ht="15" customHeight="1" x14ac:dyDescent="0.25">
      <c r="A203" s="18" t="s">
        <v>415</v>
      </c>
      <c r="B203" s="19" t="s">
        <v>416</v>
      </c>
      <c r="C203" s="20">
        <v>45103.291666666664</v>
      </c>
      <c r="D203" s="20">
        <v>45268.666666666664</v>
      </c>
      <c r="E203" s="21" t="s">
        <v>166</v>
      </c>
      <c r="F203" s="41">
        <v>9000</v>
      </c>
      <c r="G203" s="41"/>
      <c r="H203" s="41"/>
      <c r="I203" s="41"/>
      <c r="J203" s="41"/>
      <c r="K203" s="41">
        <f>F203</f>
        <v>9000</v>
      </c>
      <c r="L203" s="41"/>
      <c r="M203" s="41"/>
    </row>
    <row r="204" spans="1:13" ht="15" customHeight="1" x14ac:dyDescent="0.25">
      <c r="A204" s="14" t="s">
        <v>417</v>
      </c>
      <c r="B204" s="15" t="s">
        <v>418</v>
      </c>
      <c r="C204" s="16">
        <v>43566.291666666664</v>
      </c>
      <c r="D204" s="16">
        <v>43759.666666666664</v>
      </c>
      <c r="E204" s="17" t="s">
        <v>286</v>
      </c>
      <c r="F204" s="39">
        <f>F206</f>
        <v>15000</v>
      </c>
      <c r="G204" s="39"/>
      <c r="H204" s="39">
        <f t="shared" ref="H204:L204" si="18">SUM(H205:H206)</f>
        <v>0</v>
      </c>
      <c r="I204" s="39">
        <f t="shared" si="18"/>
        <v>0</v>
      </c>
      <c r="J204" s="39">
        <f t="shared" si="18"/>
        <v>0</v>
      </c>
      <c r="K204" s="39">
        <f t="shared" si="18"/>
        <v>0</v>
      </c>
      <c r="L204" s="39">
        <f t="shared" si="18"/>
        <v>0</v>
      </c>
      <c r="M204" s="39">
        <f>SUM(G204:L204)</f>
        <v>0</v>
      </c>
    </row>
    <row r="205" spans="1:13" ht="15" customHeight="1" x14ac:dyDescent="0.25">
      <c r="A205" s="18" t="s">
        <v>419</v>
      </c>
      <c r="B205" s="19" t="s">
        <v>288</v>
      </c>
      <c r="C205" s="20">
        <v>43566.291666666664</v>
      </c>
      <c r="D205" s="20">
        <v>43717.666666666664</v>
      </c>
      <c r="E205" s="21" t="s">
        <v>21</v>
      </c>
      <c r="F205" s="41" t="s">
        <v>0</v>
      </c>
      <c r="G205" s="41"/>
      <c r="H205" s="41"/>
      <c r="I205" s="41"/>
      <c r="J205" s="41"/>
      <c r="K205" s="41"/>
      <c r="L205" s="41"/>
      <c r="M205" s="41"/>
    </row>
    <row r="206" spans="1:13" ht="15" customHeight="1" x14ac:dyDescent="0.25">
      <c r="A206" s="18" t="s">
        <v>420</v>
      </c>
      <c r="B206" s="19" t="s">
        <v>421</v>
      </c>
      <c r="C206" s="20">
        <v>43718.291666666664</v>
      </c>
      <c r="D206" s="20">
        <v>43759.666666666664</v>
      </c>
      <c r="E206" s="21" t="s">
        <v>243</v>
      </c>
      <c r="F206" s="41">
        <v>15000</v>
      </c>
      <c r="G206" s="41">
        <f>F206</f>
        <v>15000</v>
      </c>
      <c r="H206" s="41"/>
      <c r="I206" s="41"/>
      <c r="J206" s="41"/>
      <c r="K206" s="41"/>
      <c r="L206" s="41"/>
      <c r="M206" s="41"/>
    </row>
    <row r="207" spans="1:13" ht="15" customHeight="1" x14ac:dyDescent="0.25">
      <c r="A207" s="14" t="s">
        <v>422</v>
      </c>
      <c r="B207" s="15" t="s">
        <v>423</v>
      </c>
      <c r="C207" s="16">
        <v>43718.291666666664</v>
      </c>
      <c r="D207" s="16">
        <v>43993.666666666664</v>
      </c>
      <c r="E207" s="17" t="s">
        <v>424</v>
      </c>
      <c r="F207" s="39">
        <f>F209</f>
        <v>63000</v>
      </c>
      <c r="G207" s="39">
        <f>SUM(G208:G209)</f>
        <v>0</v>
      </c>
      <c r="H207" s="39"/>
      <c r="I207" s="39">
        <f t="shared" ref="I207:L207" si="19">SUM(I208:I209)</f>
        <v>0</v>
      </c>
      <c r="J207" s="39">
        <f t="shared" si="19"/>
        <v>0</v>
      </c>
      <c r="K207" s="39">
        <f t="shared" si="19"/>
        <v>0</v>
      </c>
      <c r="L207" s="39">
        <f t="shared" si="19"/>
        <v>0</v>
      </c>
      <c r="M207" s="39">
        <f>SUM(G207:L207)</f>
        <v>0</v>
      </c>
    </row>
    <row r="208" spans="1:13" ht="15" customHeight="1" x14ac:dyDescent="0.25">
      <c r="A208" s="18" t="s">
        <v>425</v>
      </c>
      <c r="B208" s="19" t="s">
        <v>212</v>
      </c>
      <c r="C208" s="20">
        <v>43718.291666666664</v>
      </c>
      <c r="D208" s="20">
        <v>43867.666666666664</v>
      </c>
      <c r="E208" s="21" t="s">
        <v>21</v>
      </c>
      <c r="F208" s="41" t="s">
        <v>0</v>
      </c>
      <c r="G208" s="41"/>
      <c r="H208" s="41"/>
      <c r="I208" s="41"/>
      <c r="J208" s="41"/>
      <c r="K208" s="41"/>
      <c r="L208" s="41"/>
      <c r="M208" s="41"/>
    </row>
    <row r="209" spans="1:13" ht="15" customHeight="1" x14ac:dyDescent="0.25">
      <c r="A209" s="18" t="s">
        <v>426</v>
      </c>
      <c r="B209" s="19" t="s">
        <v>427</v>
      </c>
      <c r="C209" s="20">
        <v>43868.291666666664</v>
      </c>
      <c r="D209" s="20">
        <v>43993.666666666664</v>
      </c>
      <c r="E209" s="21" t="s">
        <v>80</v>
      </c>
      <c r="F209" s="41">
        <v>63000</v>
      </c>
      <c r="G209" s="41"/>
      <c r="H209" s="41">
        <f>F209</f>
        <v>63000</v>
      </c>
      <c r="I209" s="41"/>
      <c r="J209" s="41"/>
      <c r="K209" s="41"/>
      <c r="L209" s="41"/>
      <c r="M209" s="41"/>
    </row>
    <row r="210" spans="1:13" ht="15" customHeight="1" x14ac:dyDescent="0.25">
      <c r="A210" s="14" t="s">
        <v>428</v>
      </c>
      <c r="B210" s="15" t="s">
        <v>429</v>
      </c>
      <c r="C210" s="16">
        <v>43868.291666666664</v>
      </c>
      <c r="D210" s="16">
        <v>44145.666666666664</v>
      </c>
      <c r="E210" s="17" t="s">
        <v>424</v>
      </c>
      <c r="F210" s="39">
        <f>F212</f>
        <v>30000</v>
      </c>
      <c r="G210" s="39">
        <f>SUM(G211:G212)</f>
        <v>0</v>
      </c>
      <c r="H210" s="39"/>
      <c r="I210" s="39">
        <f t="shared" ref="I210:L210" si="20">SUM(I211:I212)</f>
        <v>0</v>
      </c>
      <c r="J210" s="39">
        <f t="shared" si="20"/>
        <v>0</v>
      </c>
      <c r="K210" s="39">
        <f t="shared" si="20"/>
        <v>0</v>
      </c>
      <c r="L210" s="39">
        <f t="shared" si="20"/>
        <v>0</v>
      </c>
      <c r="M210" s="39">
        <f>SUM(G210:L210)</f>
        <v>0</v>
      </c>
    </row>
    <row r="211" spans="1:13" ht="15" customHeight="1" x14ac:dyDescent="0.25">
      <c r="A211" s="18" t="s">
        <v>430</v>
      </c>
      <c r="B211" s="19" t="s">
        <v>212</v>
      </c>
      <c r="C211" s="20">
        <v>43868.291666666664</v>
      </c>
      <c r="D211" s="20">
        <v>44019.666666666664</v>
      </c>
      <c r="E211" s="21" t="s">
        <v>21</v>
      </c>
      <c r="F211" s="41" t="s">
        <v>0</v>
      </c>
      <c r="G211" s="41"/>
      <c r="H211" s="41"/>
      <c r="I211" s="41"/>
      <c r="J211" s="41"/>
      <c r="K211" s="41"/>
      <c r="L211" s="41"/>
      <c r="M211" s="41"/>
    </row>
    <row r="212" spans="1:13" ht="15" customHeight="1" x14ac:dyDescent="0.25">
      <c r="A212" s="18" t="s">
        <v>431</v>
      </c>
      <c r="B212" s="19" t="s">
        <v>432</v>
      </c>
      <c r="C212" s="20">
        <v>44020.291666666664</v>
      </c>
      <c r="D212" s="20">
        <v>44145.666666666664</v>
      </c>
      <c r="E212" s="21" t="s">
        <v>80</v>
      </c>
      <c r="F212" s="41">
        <v>30000</v>
      </c>
      <c r="G212" s="41"/>
      <c r="H212" s="41">
        <f>F212</f>
        <v>30000</v>
      </c>
      <c r="I212" s="41"/>
      <c r="J212" s="41"/>
      <c r="K212" s="41"/>
      <c r="L212" s="41"/>
      <c r="M212" s="41"/>
    </row>
    <row r="213" spans="1:13" ht="15" customHeight="1" x14ac:dyDescent="0.25">
      <c r="A213" s="14" t="s">
        <v>433</v>
      </c>
      <c r="B213" s="15" t="s">
        <v>434</v>
      </c>
      <c r="C213" s="16">
        <v>43565.666666666664</v>
      </c>
      <c r="D213" s="16">
        <v>44847.666666666664</v>
      </c>
      <c r="E213" s="17" t="s">
        <v>435</v>
      </c>
      <c r="F213" s="39">
        <f>SUM(F214+F216+F219)</f>
        <v>36000</v>
      </c>
      <c r="G213" s="39"/>
      <c r="H213" s="39"/>
      <c r="I213" s="39"/>
      <c r="J213" s="39"/>
      <c r="K213" s="39">
        <f t="shared" ref="K213:L213" si="21">SUM(K214:K221)</f>
        <v>0</v>
      </c>
      <c r="L213" s="39">
        <f t="shared" si="21"/>
        <v>0</v>
      </c>
      <c r="M213" s="39">
        <f>SUM(G213:L213)</f>
        <v>0</v>
      </c>
    </row>
    <row r="214" spans="1:13" ht="15" customHeight="1" x14ac:dyDescent="0.25">
      <c r="A214" s="90" t="s">
        <v>436</v>
      </c>
      <c r="B214" s="91" t="s">
        <v>437</v>
      </c>
      <c r="C214" s="92">
        <v>43565.666666666664</v>
      </c>
      <c r="D214" s="92">
        <v>43565.666666666664</v>
      </c>
      <c r="E214" s="93" t="s">
        <v>75</v>
      </c>
      <c r="F214" s="40">
        <v>12000</v>
      </c>
      <c r="G214" s="40">
        <f>F214</f>
        <v>12000</v>
      </c>
      <c r="H214" s="40"/>
      <c r="I214" s="40"/>
      <c r="J214" s="40"/>
      <c r="K214" s="40"/>
      <c r="L214" s="40"/>
      <c r="M214" s="40"/>
    </row>
    <row r="215" spans="1:13" ht="15" customHeight="1" x14ac:dyDescent="0.25">
      <c r="A215" s="144" t="s">
        <v>438</v>
      </c>
      <c r="B215" s="145" t="s">
        <v>357</v>
      </c>
      <c r="C215" s="146">
        <v>43566.291666666664</v>
      </c>
      <c r="D215" s="146">
        <v>43734.666666666664</v>
      </c>
      <c r="E215" s="147" t="s">
        <v>358</v>
      </c>
      <c r="F215" s="44" t="s">
        <v>0</v>
      </c>
      <c r="G215" s="44"/>
      <c r="H215" s="44"/>
      <c r="I215" s="44"/>
      <c r="J215" s="44"/>
      <c r="K215" s="44"/>
      <c r="L215" s="44"/>
      <c r="M215" s="44"/>
    </row>
    <row r="216" spans="1:13" ht="15" customHeight="1" x14ac:dyDescent="0.25">
      <c r="A216" s="112" t="s">
        <v>439</v>
      </c>
      <c r="B216" s="113" t="s">
        <v>440</v>
      </c>
      <c r="C216" s="100">
        <v>43735.291666666664</v>
      </c>
      <c r="D216" s="100">
        <v>44476.666666666664</v>
      </c>
      <c r="E216" s="101" t="s">
        <v>441</v>
      </c>
      <c r="F216" s="47">
        <f>SUM(F217:F218)</f>
        <v>12000</v>
      </c>
      <c r="G216" s="47"/>
      <c r="H216" s="47"/>
      <c r="I216" s="47"/>
      <c r="J216" s="47"/>
      <c r="K216" s="47"/>
      <c r="L216" s="47"/>
      <c r="M216" s="47"/>
    </row>
    <row r="217" spans="1:13" ht="15" customHeight="1" x14ac:dyDescent="0.25">
      <c r="A217" s="88" t="s">
        <v>442</v>
      </c>
      <c r="B217" s="89" t="s">
        <v>379</v>
      </c>
      <c r="C217" s="20">
        <v>43735.291666666664</v>
      </c>
      <c r="D217" s="20">
        <v>43741.666666666664</v>
      </c>
      <c r="E217" s="21" t="s">
        <v>373</v>
      </c>
      <c r="F217" s="41">
        <v>6000</v>
      </c>
      <c r="G217" s="41">
        <f>F217</f>
        <v>6000</v>
      </c>
      <c r="H217" s="41"/>
      <c r="I217" s="41"/>
      <c r="J217" s="41"/>
      <c r="K217" s="41"/>
      <c r="L217" s="41"/>
      <c r="M217" s="41"/>
    </row>
    <row r="218" spans="1:13" ht="15" customHeight="1" x14ac:dyDescent="0.25">
      <c r="A218" s="94" t="s">
        <v>443</v>
      </c>
      <c r="B218" s="95" t="s">
        <v>383</v>
      </c>
      <c r="C218" s="96">
        <v>44470.291666666664</v>
      </c>
      <c r="D218" s="96">
        <v>44476.666666666664</v>
      </c>
      <c r="E218" s="97" t="s">
        <v>373</v>
      </c>
      <c r="F218" s="43">
        <v>6000</v>
      </c>
      <c r="G218" s="43"/>
      <c r="H218" s="43"/>
      <c r="I218" s="43">
        <f>F218</f>
        <v>6000</v>
      </c>
      <c r="J218" s="43"/>
      <c r="K218" s="43"/>
      <c r="L218" s="43"/>
      <c r="M218" s="43"/>
    </row>
    <row r="219" spans="1:13" ht="15" customHeight="1" x14ac:dyDescent="0.25">
      <c r="A219" s="112" t="s">
        <v>444</v>
      </c>
      <c r="B219" s="113" t="s">
        <v>445</v>
      </c>
      <c r="C219" s="100">
        <v>44106.291666666664</v>
      </c>
      <c r="D219" s="100">
        <v>44847.666666666664</v>
      </c>
      <c r="E219" s="101" t="s">
        <v>441</v>
      </c>
      <c r="F219" s="47">
        <f>SUM(F220:F221)</f>
        <v>12000</v>
      </c>
      <c r="G219" s="47"/>
      <c r="H219" s="47"/>
      <c r="I219" s="47"/>
      <c r="J219" s="47"/>
      <c r="K219" s="47"/>
      <c r="L219" s="47"/>
      <c r="M219" s="47"/>
    </row>
    <row r="220" spans="1:13" ht="15" customHeight="1" x14ac:dyDescent="0.25">
      <c r="A220" s="88" t="s">
        <v>446</v>
      </c>
      <c r="B220" s="89" t="s">
        <v>381</v>
      </c>
      <c r="C220" s="20">
        <v>44106.291666666664</v>
      </c>
      <c r="D220" s="20">
        <v>44112.666666666664</v>
      </c>
      <c r="E220" s="21" t="s">
        <v>373</v>
      </c>
      <c r="F220" s="41">
        <v>6000</v>
      </c>
      <c r="G220" s="41"/>
      <c r="H220" s="41">
        <f>F220</f>
        <v>6000</v>
      </c>
      <c r="I220" s="41"/>
      <c r="J220" s="41"/>
      <c r="K220" s="41"/>
      <c r="L220" s="41"/>
      <c r="M220" s="41"/>
    </row>
    <row r="221" spans="1:13" ht="15" customHeight="1" x14ac:dyDescent="0.25">
      <c r="A221" s="22" t="s">
        <v>447</v>
      </c>
      <c r="B221" s="23" t="s">
        <v>385</v>
      </c>
      <c r="C221" s="24">
        <v>44841.291666666664</v>
      </c>
      <c r="D221" s="24">
        <v>44847.666666666664</v>
      </c>
      <c r="E221" s="25" t="s">
        <v>373</v>
      </c>
      <c r="F221" s="42">
        <v>6000</v>
      </c>
      <c r="G221" s="42"/>
      <c r="H221" s="42"/>
      <c r="I221" s="42"/>
      <c r="J221" s="42">
        <f>F221</f>
        <v>6000</v>
      </c>
      <c r="K221" s="42"/>
      <c r="L221" s="42"/>
      <c r="M221" s="42"/>
    </row>
    <row r="222" spans="1:13" ht="15" customHeight="1" x14ac:dyDescent="0.25">
      <c r="A222" s="14" t="s">
        <v>448</v>
      </c>
      <c r="B222" s="15" t="s">
        <v>449</v>
      </c>
      <c r="C222" s="16">
        <v>43566.291666666664</v>
      </c>
      <c r="D222" s="16">
        <v>44574.666666666664</v>
      </c>
      <c r="E222" s="17" t="s">
        <v>450</v>
      </c>
      <c r="F222" s="39">
        <f>SUM(F224:F225)</f>
        <v>36000</v>
      </c>
      <c r="G222" s="39"/>
      <c r="H222" s="39">
        <f t="shared" ref="H222:L222" si="22">SUM(H223:H225)</f>
        <v>0</v>
      </c>
      <c r="I222" s="39">
        <f t="shared" si="22"/>
        <v>0</v>
      </c>
      <c r="J222" s="39"/>
      <c r="K222" s="39">
        <f t="shared" si="22"/>
        <v>0</v>
      </c>
      <c r="L222" s="39">
        <f t="shared" si="22"/>
        <v>0</v>
      </c>
      <c r="M222" s="39">
        <f>SUM(G222:L222)</f>
        <v>0</v>
      </c>
    </row>
    <row r="223" spans="1:13" ht="15" customHeight="1" x14ac:dyDescent="0.25">
      <c r="A223" s="18" t="s">
        <v>451</v>
      </c>
      <c r="B223" s="19" t="s">
        <v>357</v>
      </c>
      <c r="C223" s="20">
        <v>43566.291666666664</v>
      </c>
      <c r="D223" s="20">
        <v>43734.666666666664</v>
      </c>
      <c r="E223" s="21" t="s">
        <v>358</v>
      </c>
      <c r="F223" s="41" t="s">
        <v>0</v>
      </c>
      <c r="G223" s="41"/>
      <c r="H223" s="41"/>
      <c r="I223" s="41"/>
      <c r="J223" s="41"/>
      <c r="K223" s="41"/>
      <c r="L223" s="41"/>
      <c r="M223" s="41"/>
    </row>
    <row r="224" spans="1:13" ht="15" customHeight="1" x14ac:dyDescent="0.25">
      <c r="A224" s="18" t="s">
        <v>452</v>
      </c>
      <c r="B224" s="19" t="s">
        <v>453</v>
      </c>
      <c r="C224" s="20">
        <v>43735.291666666664</v>
      </c>
      <c r="D224" s="20">
        <v>43790.666666666664</v>
      </c>
      <c r="E224" s="21" t="s">
        <v>30</v>
      </c>
      <c r="F224" s="41">
        <v>18000</v>
      </c>
      <c r="G224" s="41">
        <f>F224</f>
        <v>18000</v>
      </c>
      <c r="H224" s="41"/>
      <c r="I224" s="41"/>
      <c r="J224" s="41"/>
      <c r="K224" s="41"/>
      <c r="L224" s="41"/>
      <c r="M224" s="41"/>
    </row>
    <row r="225" spans="1:13" ht="15" customHeight="1" x14ac:dyDescent="0.25">
      <c r="A225" s="18" t="s">
        <v>454</v>
      </c>
      <c r="B225" s="19" t="s">
        <v>455</v>
      </c>
      <c r="C225" s="20">
        <v>44519.291666666664</v>
      </c>
      <c r="D225" s="20">
        <v>44574.666666666664</v>
      </c>
      <c r="E225" s="21" t="s">
        <v>30</v>
      </c>
      <c r="F225" s="41">
        <v>18000</v>
      </c>
      <c r="G225" s="41"/>
      <c r="H225" s="41"/>
      <c r="I225" s="41"/>
      <c r="J225" s="41">
        <f>F225</f>
        <v>18000</v>
      </c>
      <c r="K225" s="41"/>
      <c r="L225" s="41"/>
      <c r="M225" s="41"/>
    </row>
    <row r="226" spans="1:13" ht="15" customHeight="1" x14ac:dyDescent="0.25">
      <c r="A226" s="14" t="s">
        <v>456</v>
      </c>
      <c r="B226" s="15" t="s">
        <v>457</v>
      </c>
      <c r="C226" s="16">
        <v>43566.291666666664</v>
      </c>
      <c r="D226" s="16">
        <v>44518.666666666664</v>
      </c>
      <c r="E226" s="17" t="s">
        <v>458</v>
      </c>
      <c r="F226" s="39">
        <f>SUM(F228:F229)</f>
        <v>36000</v>
      </c>
      <c r="G226" s="39"/>
      <c r="H226" s="39"/>
      <c r="I226" s="39"/>
      <c r="J226" s="39">
        <f t="shared" ref="J226:L226" si="23">SUM(J227:J229)</f>
        <v>0</v>
      </c>
      <c r="K226" s="39">
        <f t="shared" si="23"/>
        <v>0</v>
      </c>
      <c r="L226" s="39">
        <f t="shared" si="23"/>
        <v>0</v>
      </c>
      <c r="M226" s="39">
        <f>SUM(G226:L226)</f>
        <v>0</v>
      </c>
    </row>
    <row r="227" spans="1:13" ht="15" customHeight="1" x14ac:dyDescent="0.25">
      <c r="A227" s="18" t="s">
        <v>459</v>
      </c>
      <c r="B227" s="19" t="s">
        <v>460</v>
      </c>
      <c r="C227" s="20">
        <v>43566.291666666664</v>
      </c>
      <c r="D227" s="20">
        <v>43734.666666666664</v>
      </c>
      <c r="E227" s="21" t="s">
        <v>358</v>
      </c>
      <c r="F227" s="41" t="s">
        <v>0</v>
      </c>
      <c r="G227" s="41"/>
      <c r="H227" s="41"/>
      <c r="I227" s="41"/>
      <c r="J227" s="41"/>
      <c r="K227" s="41"/>
      <c r="L227" s="41"/>
      <c r="M227" s="41"/>
    </row>
    <row r="228" spans="1:13" ht="15" customHeight="1" x14ac:dyDescent="0.25">
      <c r="A228" s="18" t="s">
        <v>461</v>
      </c>
      <c r="B228" s="19" t="s">
        <v>462</v>
      </c>
      <c r="C228" s="20">
        <v>43735.291666666664</v>
      </c>
      <c r="D228" s="20">
        <v>43790.666666666664</v>
      </c>
      <c r="E228" s="21" t="s">
        <v>30</v>
      </c>
      <c r="F228" s="41">
        <v>18000</v>
      </c>
      <c r="G228" s="41">
        <f>F228</f>
        <v>18000</v>
      </c>
      <c r="H228" s="41"/>
      <c r="I228" s="41"/>
      <c r="J228" s="41"/>
      <c r="K228" s="41"/>
      <c r="L228" s="41"/>
      <c r="M228" s="41"/>
    </row>
    <row r="229" spans="1:13" ht="15" customHeight="1" x14ac:dyDescent="0.25">
      <c r="A229" s="18" t="s">
        <v>463</v>
      </c>
      <c r="B229" s="19" t="s">
        <v>464</v>
      </c>
      <c r="C229" s="20">
        <v>44463.291666666664</v>
      </c>
      <c r="D229" s="20">
        <v>44518.666666666664</v>
      </c>
      <c r="E229" s="21" t="s">
        <v>30</v>
      </c>
      <c r="F229" s="41">
        <v>18000</v>
      </c>
      <c r="G229" s="41"/>
      <c r="H229" s="41"/>
      <c r="I229" s="41">
        <f>F229</f>
        <v>18000</v>
      </c>
      <c r="J229" s="41"/>
      <c r="K229" s="41"/>
      <c r="L229" s="41"/>
      <c r="M229" s="41"/>
    </row>
    <row r="230" spans="1:13" ht="15" customHeight="1" thickBot="1" x14ac:dyDescent="0.3">
      <c r="A230" s="18" t="s">
        <v>484</v>
      </c>
      <c r="B230" s="19" t="s">
        <v>485</v>
      </c>
      <c r="C230" s="20" t="s">
        <v>0</v>
      </c>
      <c r="D230" s="20" t="s">
        <v>0</v>
      </c>
      <c r="E230" s="21" t="s">
        <v>0</v>
      </c>
      <c r="F230" s="41">
        <v>64000</v>
      </c>
      <c r="G230" s="41">
        <f>F230*0.1</f>
        <v>6400</v>
      </c>
      <c r="H230" s="41">
        <f>F230*0.2</f>
        <v>12800</v>
      </c>
      <c r="I230" s="41">
        <f>F230*0.2</f>
        <v>12800</v>
      </c>
      <c r="J230" s="41">
        <f>F230*0.2</f>
        <v>12800</v>
      </c>
      <c r="K230" s="41">
        <f>F230*0.2</f>
        <v>12800</v>
      </c>
      <c r="L230" s="41">
        <f>F230*0.1</f>
        <v>6400</v>
      </c>
    </row>
    <row r="231" spans="1:13" ht="15" customHeight="1" x14ac:dyDescent="0.25">
      <c r="A231" s="10"/>
      <c r="B231" s="11"/>
      <c r="C231" s="12" t="s">
        <v>466</v>
      </c>
      <c r="D231" s="12"/>
      <c r="E231" s="13"/>
      <c r="F231" s="38">
        <f>SUM(F232+F243+F244+F249+F240)</f>
        <v>1665000</v>
      </c>
      <c r="G231" s="38">
        <f t="shared" ref="G231:L231" si="24">SUM(G232+G240+G243+G244+G249)</f>
        <v>183266.66666666666</v>
      </c>
      <c r="H231" s="38">
        <f t="shared" si="24"/>
        <v>301266.66666666669</v>
      </c>
      <c r="I231" s="38">
        <f t="shared" si="24"/>
        <v>341266.66666666669</v>
      </c>
      <c r="J231" s="38">
        <f t="shared" si="24"/>
        <v>272666.66666666663</v>
      </c>
      <c r="K231" s="38">
        <f t="shared" si="24"/>
        <v>215466.66666666666</v>
      </c>
      <c r="L231" s="38">
        <f t="shared" si="24"/>
        <v>351066.66666666669</v>
      </c>
      <c r="M231" s="38">
        <f>SUM(G231:L231)</f>
        <v>1665000</v>
      </c>
    </row>
    <row r="232" spans="1:13" ht="15" customHeight="1" x14ac:dyDescent="0.25">
      <c r="C232" s="57" t="s">
        <v>467</v>
      </c>
      <c r="D232" s="58">
        <v>43565.666666666664</v>
      </c>
      <c r="E232" s="58">
        <v>45358.666666666664</v>
      </c>
      <c r="F232" s="51">
        <f>SUM(F233:F239)</f>
        <v>764000</v>
      </c>
      <c r="G232" s="39">
        <f>F232*0.1</f>
        <v>76400</v>
      </c>
      <c r="H232" s="39">
        <f>F232*0.2</f>
        <v>152800</v>
      </c>
      <c r="I232" s="39">
        <f>F232*0.2</f>
        <v>152800</v>
      </c>
      <c r="J232" s="39">
        <f>F232*0.2</f>
        <v>152800</v>
      </c>
      <c r="K232" s="39">
        <f>F232*0.2</f>
        <v>152800</v>
      </c>
      <c r="L232" s="39">
        <f>F232*0.1</f>
        <v>76400</v>
      </c>
      <c r="M232" s="39">
        <f>SUM(G232:L232)</f>
        <v>764000</v>
      </c>
    </row>
    <row r="233" spans="1:13" ht="15" customHeight="1" x14ac:dyDescent="0.25">
      <c r="A233" s="59"/>
      <c r="B233" s="59"/>
      <c r="C233" s="60" t="s">
        <v>468</v>
      </c>
      <c r="D233" s="61"/>
      <c r="E233" s="61"/>
      <c r="F233" s="52">
        <f>60*4000</f>
        <v>240000</v>
      </c>
      <c r="G233" s="41"/>
      <c r="H233" s="41"/>
      <c r="I233" s="41"/>
      <c r="J233" s="41"/>
      <c r="K233" s="41"/>
      <c r="L233" s="41"/>
      <c r="M233" s="41">
        <f>SUM(G233:L233)</f>
        <v>0</v>
      </c>
    </row>
    <row r="234" spans="1:13" ht="15" customHeight="1" x14ac:dyDescent="0.25">
      <c r="A234" s="62"/>
      <c r="B234" s="62"/>
      <c r="C234" s="63" t="s">
        <v>469</v>
      </c>
      <c r="D234" s="64"/>
      <c r="E234" s="64"/>
      <c r="F234" s="53">
        <f>60*1800</f>
        <v>108000</v>
      </c>
      <c r="G234" s="41"/>
      <c r="H234" s="41"/>
      <c r="I234" s="41"/>
      <c r="J234" s="41"/>
      <c r="K234" s="41"/>
      <c r="L234" s="41"/>
      <c r="M234" s="41"/>
    </row>
    <row r="235" spans="1:13" ht="15" customHeight="1" x14ac:dyDescent="0.25">
      <c r="A235" s="62"/>
      <c r="B235" s="62"/>
      <c r="C235" s="63" t="s">
        <v>68</v>
      </c>
      <c r="D235" s="64"/>
      <c r="E235" s="64"/>
      <c r="F235" s="53">
        <f>60*1800</f>
        <v>108000</v>
      </c>
      <c r="G235" s="41"/>
      <c r="H235" s="41"/>
      <c r="I235" s="41"/>
      <c r="J235" s="41"/>
      <c r="K235" s="41"/>
      <c r="L235" s="41"/>
      <c r="M235" s="41"/>
    </row>
    <row r="236" spans="1:13" s="190" customFormat="1" ht="15" customHeight="1" x14ac:dyDescent="0.25">
      <c r="A236" s="186"/>
      <c r="B236" s="186"/>
      <c r="C236" s="187" t="s">
        <v>84</v>
      </c>
      <c r="D236" s="188"/>
      <c r="E236" s="188"/>
      <c r="F236" s="189">
        <f>1800*60</f>
        <v>108000</v>
      </c>
    </row>
    <row r="237" spans="1:13" s="190" customFormat="1" ht="15" customHeight="1" x14ac:dyDescent="0.25">
      <c r="A237" s="191"/>
      <c r="B237" s="191"/>
      <c r="C237" s="192" t="s">
        <v>585</v>
      </c>
      <c r="D237" s="193"/>
      <c r="E237" s="193"/>
      <c r="F237" s="194">
        <v>70000</v>
      </c>
    </row>
    <row r="238" spans="1:13" s="190" customFormat="1" ht="15" customHeight="1" x14ac:dyDescent="0.25">
      <c r="A238" s="191"/>
      <c r="B238" s="191"/>
      <c r="C238" s="192" t="s">
        <v>586</v>
      </c>
      <c r="D238" s="193"/>
      <c r="E238" s="193"/>
      <c r="F238" s="194">
        <v>70000</v>
      </c>
    </row>
    <row r="239" spans="1:13" s="190" customFormat="1" ht="15" customHeight="1" x14ac:dyDescent="0.25">
      <c r="A239" s="191"/>
      <c r="B239" s="191"/>
      <c r="C239" s="192" t="s">
        <v>587</v>
      </c>
      <c r="D239" s="193"/>
      <c r="E239" s="193"/>
      <c r="F239" s="194">
        <v>60000</v>
      </c>
    </row>
    <row r="240" spans="1:13" ht="15" customHeight="1" x14ac:dyDescent="0.25">
      <c r="A240" s="73"/>
      <c r="B240" s="73"/>
      <c r="C240" s="57" t="s">
        <v>470</v>
      </c>
      <c r="D240" s="58">
        <v>43565.666666666664</v>
      </c>
      <c r="E240" s="58">
        <v>45358.666666666664</v>
      </c>
      <c r="F240" s="51">
        <f>SUM(F241:F242)</f>
        <v>280000</v>
      </c>
      <c r="G240" s="39">
        <f>SUM(G241:G242)</f>
        <v>52000</v>
      </c>
      <c r="H240" s="39">
        <f t="shared" ref="H240:L240" si="25">SUM(H241:H242)</f>
        <v>68000</v>
      </c>
      <c r="I240" s="39">
        <f t="shared" si="25"/>
        <v>68000</v>
      </c>
      <c r="J240" s="39">
        <f t="shared" si="25"/>
        <v>52000</v>
      </c>
      <c r="K240" s="39">
        <f t="shared" si="25"/>
        <v>20000</v>
      </c>
      <c r="L240" s="39">
        <f t="shared" si="25"/>
        <v>20000</v>
      </c>
      <c r="M240" s="39"/>
    </row>
    <row r="241" spans="1:13" ht="15" customHeight="1" x14ac:dyDescent="0.25">
      <c r="A241" s="61"/>
      <c r="B241" s="61"/>
      <c r="C241" s="60" t="s">
        <v>32</v>
      </c>
      <c r="D241" s="68">
        <v>43565.666666666664</v>
      </c>
      <c r="E241" s="69">
        <v>44797.666666666664</v>
      </c>
      <c r="F241" s="52">
        <f>4000*40</f>
        <v>160000</v>
      </c>
      <c r="G241" s="41">
        <f>F241*0.2</f>
        <v>32000</v>
      </c>
      <c r="H241" s="41">
        <f>F241*0.3</f>
        <v>48000</v>
      </c>
      <c r="I241" s="41">
        <f>F241*0.3</f>
        <v>48000</v>
      </c>
      <c r="J241" s="41">
        <f>F241*0.2</f>
        <v>32000</v>
      </c>
      <c r="K241" s="41"/>
      <c r="L241" s="41"/>
      <c r="M241" s="41"/>
    </row>
    <row r="242" spans="1:13" ht="15" customHeight="1" x14ac:dyDescent="0.25">
      <c r="A242" s="70"/>
      <c r="B242" s="70"/>
      <c r="C242" s="71" t="s">
        <v>471</v>
      </c>
      <c r="D242" s="72">
        <v>43565.666666666664</v>
      </c>
      <c r="E242" s="72">
        <v>45358.666666666664</v>
      </c>
      <c r="F242" s="55">
        <f>2000*60</f>
        <v>120000</v>
      </c>
      <c r="G242" s="41">
        <f>F242/6</f>
        <v>20000</v>
      </c>
      <c r="H242" s="41">
        <f>F242/6</f>
        <v>20000</v>
      </c>
      <c r="I242" s="41">
        <f>F242/6</f>
        <v>20000</v>
      </c>
      <c r="J242" s="41">
        <f>F242/6</f>
        <v>20000</v>
      </c>
      <c r="K242" s="41">
        <f>F242/6</f>
        <v>20000</v>
      </c>
      <c r="L242" s="41">
        <f>F242/6</f>
        <v>20000</v>
      </c>
      <c r="M242" s="41"/>
    </row>
    <row r="243" spans="1:13" ht="15" customHeight="1" x14ac:dyDescent="0.25">
      <c r="A243" s="56"/>
      <c r="B243" s="56"/>
      <c r="C243" s="57" t="s">
        <v>472</v>
      </c>
      <c r="D243" s="58">
        <v>43565.666666666664</v>
      </c>
      <c r="E243" s="74">
        <v>44720</v>
      </c>
      <c r="F243" s="51">
        <f>3500*36</f>
        <v>126000</v>
      </c>
      <c r="G243" s="39">
        <f>F243*0.2</f>
        <v>25200</v>
      </c>
      <c r="H243" s="39">
        <f>F243*0.3</f>
        <v>37800</v>
      </c>
      <c r="I243" s="39">
        <f>F243*0.3</f>
        <v>37800</v>
      </c>
      <c r="J243" s="39">
        <f>F243*0.2</f>
        <v>25200</v>
      </c>
      <c r="K243" s="39"/>
      <c r="L243" s="39"/>
      <c r="M243" s="39"/>
    </row>
    <row r="244" spans="1:13" ht="15" customHeight="1" x14ac:dyDescent="0.25">
      <c r="A244" s="73"/>
      <c r="B244" s="73"/>
      <c r="C244" s="57" t="s">
        <v>473</v>
      </c>
      <c r="D244" s="73"/>
      <c r="E244" s="73"/>
      <c r="F244" s="51">
        <f>SUM(F245:F248)</f>
        <v>365000</v>
      </c>
      <c r="G244" s="39">
        <f>SUM(G245:G248)</f>
        <v>16666.666666666668</v>
      </c>
      <c r="H244" s="39">
        <f t="shared" ref="H244:L244" si="26">SUM(H245:H248)</f>
        <v>16666.666666666668</v>
      </c>
      <c r="I244" s="39">
        <f t="shared" si="26"/>
        <v>56666.666666666672</v>
      </c>
      <c r="J244" s="39">
        <f t="shared" si="26"/>
        <v>16666.666666666668</v>
      </c>
      <c r="K244" s="39">
        <f t="shared" si="26"/>
        <v>16666.666666666668</v>
      </c>
      <c r="L244" s="39">
        <f t="shared" si="26"/>
        <v>241666.66666666669</v>
      </c>
      <c r="M244" s="39"/>
    </row>
    <row r="245" spans="1:13" ht="15" customHeight="1" x14ac:dyDescent="0.25">
      <c r="A245" s="73"/>
      <c r="B245" s="73"/>
      <c r="C245" s="75" t="s">
        <v>474</v>
      </c>
      <c r="D245" s="73"/>
      <c r="E245" s="73"/>
      <c r="F245" s="51">
        <v>100000</v>
      </c>
      <c r="G245" s="41">
        <f>F245/6</f>
        <v>16666.666666666668</v>
      </c>
      <c r="H245" s="41">
        <f>F245/6</f>
        <v>16666.666666666668</v>
      </c>
      <c r="I245" s="41">
        <f>F245/6</f>
        <v>16666.666666666668</v>
      </c>
      <c r="J245" s="41">
        <f>F245/6</f>
        <v>16666.666666666668</v>
      </c>
      <c r="K245" s="41">
        <f>F245/6</f>
        <v>16666.666666666668</v>
      </c>
      <c r="L245" s="41">
        <f>F245/6</f>
        <v>16666.666666666668</v>
      </c>
      <c r="M245" s="41"/>
    </row>
    <row r="246" spans="1:13" ht="15" customHeight="1" x14ac:dyDescent="0.25">
      <c r="A246" s="73"/>
      <c r="B246" s="73"/>
      <c r="C246" s="75" t="s">
        <v>475</v>
      </c>
      <c r="D246" s="73"/>
      <c r="E246" s="73"/>
      <c r="F246" s="51">
        <v>40000</v>
      </c>
      <c r="G246" s="41"/>
      <c r="H246" s="41"/>
      <c r="I246" s="41">
        <f>F246</f>
        <v>40000</v>
      </c>
      <c r="J246" s="41"/>
      <c r="K246" s="41"/>
      <c r="L246" s="41"/>
      <c r="M246" s="41"/>
    </row>
    <row r="247" spans="1:13" ht="15" customHeight="1" x14ac:dyDescent="0.25">
      <c r="A247" s="73"/>
      <c r="B247" s="73"/>
      <c r="C247" s="75" t="s">
        <v>476</v>
      </c>
      <c r="D247" s="73"/>
      <c r="E247" s="73"/>
      <c r="F247" s="51">
        <v>50000</v>
      </c>
      <c r="G247" s="41"/>
      <c r="H247" s="41"/>
      <c r="I247" s="41"/>
      <c r="J247" s="41"/>
      <c r="K247" s="41"/>
      <c r="L247" s="41">
        <f>F247</f>
        <v>50000</v>
      </c>
      <c r="M247" s="41"/>
    </row>
    <row r="248" spans="1:13" ht="15" customHeight="1" x14ac:dyDescent="0.25">
      <c r="A248" s="73"/>
      <c r="B248" s="73"/>
      <c r="C248" s="75" t="s">
        <v>477</v>
      </c>
      <c r="D248" s="73"/>
      <c r="E248" s="73"/>
      <c r="F248" s="51">
        <v>175000</v>
      </c>
      <c r="G248" s="41"/>
      <c r="H248" s="41"/>
      <c r="I248" s="41"/>
      <c r="J248" s="41"/>
      <c r="K248" s="41"/>
      <c r="L248" s="41">
        <f>F248</f>
        <v>175000</v>
      </c>
      <c r="M248" s="41"/>
    </row>
    <row r="249" spans="1:13" ht="15" customHeight="1" thickBot="1" x14ac:dyDescent="0.3">
      <c r="A249" s="73"/>
      <c r="B249" s="73"/>
      <c r="C249" s="57" t="s">
        <v>478</v>
      </c>
      <c r="D249" s="73"/>
      <c r="E249" s="73"/>
      <c r="F249" s="51">
        <v>130000</v>
      </c>
      <c r="G249" s="39">
        <f>F249*0.1</f>
        <v>13000</v>
      </c>
      <c r="H249" s="39">
        <f>F249*0.2</f>
        <v>26000</v>
      </c>
      <c r="I249" s="39">
        <f>F249*0.2</f>
        <v>26000</v>
      </c>
      <c r="J249" s="39">
        <f>F249*0.2</f>
        <v>26000</v>
      </c>
      <c r="K249" s="39">
        <f>F249*0.2</f>
        <v>26000</v>
      </c>
      <c r="L249" s="39">
        <f>F249*0.1</f>
        <v>13000</v>
      </c>
      <c r="M249" s="39"/>
    </row>
    <row r="250" spans="1:13" ht="15" customHeight="1" x14ac:dyDescent="0.25">
      <c r="A250" s="10"/>
      <c r="B250" s="11"/>
      <c r="C250" s="12" t="s">
        <v>479</v>
      </c>
      <c r="D250" s="12"/>
      <c r="E250" s="13"/>
      <c r="F250" s="38">
        <f>PEP!F250</f>
        <v>623000</v>
      </c>
      <c r="G250" s="38"/>
      <c r="H250" s="38"/>
      <c r="I250" s="38"/>
      <c r="J250" s="38"/>
      <c r="K250" s="38"/>
      <c r="L250" s="38">
        <f>F250</f>
        <v>623000</v>
      </c>
      <c r="M250" s="38">
        <f>L250</f>
        <v>623000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E607E-7A47-4A51-B45F-4304A809BBDB}">
  <dimension ref="A1:AO95"/>
  <sheetViews>
    <sheetView topLeftCell="A46" zoomScale="80" zoomScaleNormal="80" workbookViewId="0">
      <selection activeCell="A4" sqref="A4:C4"/>
    </sheetView>
  </sheetViews>
  <sheetFormatPr defaultColWidth="9.140625" defaultRowHeight="15" x14ac:dyDescent="0.25"/>
  <cols>
    <col min="1" max="1" width="9.140625" style="155"/>
    <col min="2" max="2" width="11" style="155" customWidth="1"/>
    <col min="3" max="3" width="29.85546875" style="155" customWidth="1"/>
    <col min="4" max="4" width="15.42578125" style="155" customWidth="1"/>
    <col min="5" max="5" width="10.5703125" style="155" customWidth="1"/>
    <col min="6" max="6" width="15.85546875" style="155" customWidth="1"/>
    <col min="7" max="7" width="17" style="155" customWidth="1"/>
    <col min="8" max="8" width="15.7109375" style="183" customWidth="1"/>
    <col min="9" max="9" width="14.28515625" style="155" customWidth="1"/>
    <col min="10" max="10" width="11.42578125" style="155" customWidth="1"/>
    <col min="11" max="13" width="11.140625" style="155" customWidth="1"/>
    <col min="14" max="14" width="9.85546875" style="155" customWidth="1"/>
    <col min="15" max="15" width="12" style="155" customWidth="1"/>
    <col min="16" max="16" width="12.7109375" style="155" customWidth="1"/>
    <col min="17" max="17" width="11.7109375" style="155" customWidth="1"/>
    <col min="18" max="18" width="11" style="155" customWidth="1"/>
    <col min="19" max="19" width="12" style="155" customWidth="1"/>
    <col min="20" max="20" width="9.85546875" style="155" customWidth="1"/>
    <col min="21" max="21" width="10.7109375" style="155" customWidth="1"/>
    <col min="22" max="22" width="10.42578125" style="155" customWidth="1"/>
    <col min="23" max="23" width="9.42578125" style="155" bestFit="1" customWidth="1"/>
    <col min="24" max="24" width="12.42578125" style="155" customWidth="1"/>
    <col min="25" max="25" width="9.140625" style="155"/>
    <col min="26" max="26" width="14.42578125" style="155" customWidth="1"/>
    <col min="27" max="28" width="9.140625" style="155"/>
    <col min="29" max="29" width="14" style="155" customWidth="1"/>
    <col min="30" max="30" width="11.28515625" style="155" customWidth="1"/>
    <col min="31" max="31" width="11.140625" style="155" customWidth="1"/>
    <col min="32" max="39" width="9.140625" style="155"/>
    <col min="40" max="40" width="26" style="155" customWidth="1"/>
    <col min="41" max="41" width="20.28515625" style="155" customWidth="1"/>
    <col min="42" max="16384" width="9.140625" style="155"/>
  </cols>
  <sheetData>
    <row r="1" spans="1:41" ht="34.5" customHeight="1" thickBot="1" x14ac:dyDescent="0.5">
      <c r="A1" s="27" t="s">
        <v>588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3" spans="1:41" s="150" customFormat="1" ht="21" x14ac:dyDescent="0.35">
      <c r="A3" s="195" t="s">
        <v>589</v>
      </c>
      <c r="B3" s="195"/>
      <c r="C3" s="195"/>
      <c r="D3" s="149"/>
      <c r="H3" s="151"/>
    </row>
    <row r="4" spans="1:41" s="150" customFormat="1" ht="21" x14ac:dyDescent="0.35">
      <c r="A4" s="195" t="s">
        <v>486</v>
      </c>
      <c r="B4" s="195"/>
      <c r="C4" s="195"/>
      <c r="D4" s="149"/>
      <c r="H4" s="151"/>
    </row>
    <row r="5" spans="1:41" s="150" customFormat="1" ht="21" x14ac:dyDescent="0.35">
      <c r="A5" s="195" t="s">
        <v>487</v>
      </c>
      <c r="B5" s="195"/>
      <c r="C5" s="195"/>
      <c r="D5" s="149"/>
      <c r="H5" s="151"/>
    </row>
    <row r="6" spans="1:41" s="150" customFormat="1" x14ac:dyDescent="0.25">
      <c r="A6" s="152"/>
      <c r="B6" s="152"/>
      <c r="C6" s="152"/>
      <c r="D6" s="152"/>
      <c r="H6" s="151"/>
    </row>
    <row r="7" spans="1:41" ht="16.5" customHeight="1" x14ac:dyDescent="0.25">
      <c r="A7" s="196" t="s">
        <v>488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53"/>
      <c r="AF7" s="153"/>
      <c r="AG7" s="154"/>
      <c r="AH7" s="154"/>
      <c r="AI7" s="154"/>
      <c r="AJ7" s="154"/>
      <c r="AK7" s="154"/>
      <c r="AL7" s="154"/>
      <c r="AM7" s="154"/>
      <c r="AN7" s="154"/>
      <c r="AO7" s="154"/>
    </row>
    <row r="8" spans="1:41" ht="16.5" thickBot="1" x14ac:dyDescent="0.3">
      <c r="A8" s="197" t="s">
        <v>489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9"/>
      <c r="AE8" s="153"/>
      <c r="AF8" s="153"/>
      <c r="AG8" s="154"/>
      <c r="AH8" s="154"/>
      <c r="AI8" s="154"/>
      <c r="AJ8" s="154"/>
      <c r="AK8" s="154"/>
      <c r="AL8" s="156"/>
      <c r="AM8" s="156"/>
      <c r="AN8" s="156"/>
      <c r="AO8" s="154"/>
    </row>
    <row r="9" spans="1:41" ht="15" customHeight="1" x14ac:dyDescent="0.25">
      <c r="A9" s="200" t="s">
        <v>490</v>
      </c>
      <c r="B9" s="203" t="s">
        <v>491</v>
      </c>
      <c r="C9" s="206" t="s">
        <v>492</v>
      </c>
      <c r="D9" s="206" t="s">
        <v>493</v>
      </c>
      <c r="E9" s="206" t="s">
        <v>494</v>
      </c>
      <c r="F9" s="206" t="s">
        <v>495</v>
      </c>
      <c r="G9" s="206" t="s">
        <v>496</v>
      </c>
      <c r="H9" s="218" t="s">
        <v>497</v>
      </c>
      <c r="I9" s="206" t="s">
        <v>498</v>
      </c>
      <c r="J9" s="203" t="s">
        <v>499</v>
      </c>
      <c r="K9" s="206" t="s">
        <v>500</v>
      </c>
      <c r="L9" s="206" t="s">
        <v>501</v>
      </c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 t="s">
        <v>502</v>
      </c>
      <c r="AC9" s="206" t="s">
        <v>503</v>
      </c>
      <c r="AD9" s="208" t="s">
        <v>504</v>
      </c>
      <c r="AE9" s="154"/>
      <c r="AF9" s="154"/>
      <c r="AG9" s="154"/>
      <c r="AH9" s="154"/>
      <c r="AI9" s="154"/>
      <c r="AJ9" s="154"/>
      <c r="AK9" s="154"/>
      <c r="AL9" s="156"/>
      <c r="AM9" s="156"/>
    </row>
    <row r="10" spans="1:41" ht="27.75" customHeight="1" x14ac:dyDescent="0.25">
      <c r="A10" s="201"/>
      <c r="B10" s="204"/>
      <c r="C10" s="207"/>
      <c r="D10" s="207"/>
      <c r="E10" s="207"/>
      <c r="F10" s="207"/>
      <c r="G10" s="207"/>
      <c r="H10" s="210"/>
      <c r="I10" s="207"/>
      <c r="J10" s="204"/>
      <c r="K10" s="207"/>
      <c r="L10" s="207" t="s">
        <v>505</v>
      </c>
      <c r="M10" s="207"/>
      <c r="N10" s="207" t="s">
        <v>506</v>
      </c>
      <c r="O10" s="207"/>
      <c r="P10" s="207" t="s">
        <v>507</v>
      </c>
      <c r="Q10" s="207"/>
      <c r="R10" s="207" t="s">
        <v>508</v>
      </c>
      <c r="S10" s="207"/>
      <c r="T10" s="207" t="s">
        <v>509</v>
      </c>
      <c r="U10" s="207"/>
      <c r="V10" s="207" t="s">
        <v>510</v>
      </c>
      <c r="W10" s="207"/>
      <c r="X10" s="207" t="s">
        <v>511</v>
      </c>
      <c r="Y10" s="207"/>
      <c r="Z10" s="207" t="s">
        <v>512</v>
      </c>
      <c r="AA10" s="207"/>
      <c r="AB10" s="207"/>
      <c r="AC10" s="207"/>
      <c r="AD10" s="209"/>
      <c r="AE10" s="154"/>
      <c r="AF10" s="154"/>
      <c r="AG10" s="154"/>
      <c r="AH10" s="154"/>
      <c r="AI10" s="154"/>
      <c r="AJ10" s="154"/>
      <c r="AK10" s="154"/>
      <c r="AL10" s="156"/>
      <c r="AM10" s="156"/>
    </row>
    <row r="11" spans="1:41" ht="39" customHeight="1" x14ac:dyDescent="0.25">
      <c r="A11" s="202"/>
      <c r="B11" s="205"/>
      <c r="C11" s="207"/>
      <c r="D11" s="207"/>
      <c r="E11" s="207"/>
      <c r="F11" s="207"/>
      <c r="G11" s="207"/>
      <c r="H11" s="210"/>
      <c r="I11" s="207"/>
      <c r="J11" s="205"/>
      <c r="K11" s="207"/>
      <c r="L11" s="157" t="s">
        <v>513</v>
      </c>
      <c r="M11" s="157" t="s">
        <v>514</v>
      </c>
      <c r="N11" s="157" t="s">
        <v>513</v>
      </c>
      <c r="O11" s="157" t="s">
        <v>514</v>
      </c>
      <c r="P11" s="157" t="s">
        <v>513</v>
      </c>
      <c r="Q11" s="157" t="s">
        <v>514</v>
      </c>
      <c r="R11" s="157" t="s">
        <v>513</v>
      </c>
      <c r="S11" s="157" t="s">
        <v>514</v>
      </c>
      <c r="T11" s="157" t="s">
        <v>513</v>
      </c>
      <c r="U11" s="157" t="s">
        <v>514</v>
      </c>
      <c r="V11" s="157" t="s">
        <v>513</v>
      </c>
      <c r="W11" s="157" t="s">
        <v>514</v>
      </c>
      <c r="X11" s="157" t="s">
        <v>513</v>
      </c>
      <c r="Y11" s="157" t="s">
        <v>514</v>
      </c>
      <c r="Z11" s="157" t="s">
        <v>513</v>
      </c>
      <c r="AA11" s="157" t="s">
        <v>514</v>
      </c>
      <c r="AB11" s="207"/>
      <c r="AC11" s="207"/>
      <c r="AD11" s="209"/>
      <c r="AE11" s="154"/>
      <c r="AF11" s="154"/>
      <c r="AG11" s="154"/>
      <c r="AH11" s="154"/>
      <c r="AI11" s="154"/>
      <c r="AJ11" s="154"/>
      <c r="AK11" s="154"/>
      <c r="AL11" s="156"/>
      <c r="AM11" s="156"/>
    </row>
    <row r="12" spans="1:41" ht="66" customHeight="1" x14ac:dyDescent="0.25">
      <c r="A12" s="158" t="str">
        <f>[2]PEP!A62</f>
        <v>2.3.1ﾠ</v>
      </c>
      <c r="B12" s="159">
        <v>1</v>
      </c>
      <c r="C12" s="160" t="s">
        <v>515</v>
      </c>
      <c r="D12" s="160" t="s">
        <v>516</v>
      </c>
      <c r="E12" s="160">
        <v>1</v>
      </c>
      <c r="F12" s="160"/>
      <c r="G12" s="160"/>
      <c r="H12" s="161">
        <f>PEP!F71</f>
        <v>6846000</v>
      </c>
      <c r="I12" s="160"/>
      <c r="J12" s="160"/>
      <c r="K12" s="160"/>
      <c r="L12" s="162">
        <f>[2]PEP!C63</f>
        <v>43566.291666666664</v>
      </c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2">
        <f>[2]PEP!D63</f>
        <v>43761.666666666664</v>
      </c>
      <c r="Y12" s="160"/>
      <c r="Z12" s="162">
        <f>[2]PEP!D70</f>
        <v>44797.666666666664</v>
      </c>
      <c r="AA12" s="160"/>
      <c r="AB12" s="160"/>
      <c r="AC12" s="160"/>
      <c r="AD12" s="163"/>
      <c r="AE12" s="154"/>
      <c r="AF12" s="154"/>
      <c r="AG12" s="154"/>
      <c r="AH12" s="154"/>
      <c r="AI12" s="154"/>
      <c r="AJ12" s="154"/>
      <c r="AK12" s="154"/>
      <c r="AL12" s="156"/>
      <c r="AM12" s="156"/>
    </row>
    <row r="13" spans="1:41" ht="35.25" customHeight="1" x14ac:dyDescent="0.25">
      <c r="A13" s="158" t="str">
        <f>[2]PEP!A96</f>
        <v>3.5.1ﾠ</v>
      </c>
      <c r="B13" s="159">
        <v>2</v>
      </c>
      <c r="C13" s="160" t="str">
        <f>[2]PEP!B96</f>
        <v>CCM centers with infrastructure upgraded</v>
      </c>
      <c r="D13" s="160" t="s">
        <v>516</v>
      </c>
      <c r="E13" s="160"/>
      <c r="F13" s="160"/>
      <c r="G13" s="160"/>
      <c r="H13" s="161">
        <f>PEP!F107</f>
        <v>390000</v>
      </c>
      <c r="I13" s="160"/>
      <c r="J13" s="160"/>
      <c r="K13" s="160"/>
      <c r="L13" s="162">
        <f>[2]PEP!C97</f>
        <v>44075.291666666664</v>
      </c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2">
        <f>[2]PEP!D97</f>
        <v>44256.666666666664</v>
      </c>
      <c r="Y13" s="160"/>
      <c r="Z13" s="162">
        <f>[2]PEP!C98</f>
        <v>44257.291666666664</v>
      </c>
      <c r="AA13" s="160"/>
      <c r="AB13" s="160"/>
      <c r="AC13" s="160"/>
      <c r="AD13" s="163" t="s">
        <v>517</v>
      </c>
      <c r="AE13" s="154"/>
      <c r="AF13" s="154"/>
      <c r="AG13" s="154"/>
      <c r="AH13" s="154"/>
      <c r="AI13" s="154"/>
      <c r="AJ13" s="154"/>
      <c r="AK13" s="154"/>
      <c r="AL13" s="156"/>
      <c r="AM13" s="156"/>
    </row>
    <row r="14" spans="1:41" x14ac:dyDescent="0.25">
      <c r="A14" s="158"/>
      <c r="B14" s="159"/>
      <c r="C14" s="160"/>
      <c r="D14" s="160"/>
      <c r="E14" s="160"/>
      <c r="F14" s="160"/>
      <c r="G14" s="160"/>
      <c r="H14" s="161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3"/>
      <c r="AE14" s="154"/>
      <c r="AF14" s="154"/>
      <c r="AG14" s="154"/>
      <c r="AH14" s="154"/>
      <c r="AI14" s="154"/>
      <c r="AJ14" s="154"/>
      <c r="AK14" s="154"/>
      <c r="AL14" s="156"/>
      <c r="AM14" s="156"/>
    </row>
    <row r="15" spans="1:41" x14ac:dyDescent="0.25">
      <c r="A15" s="158"/>
      <c r="B15" s="159"/>
      <c r="C15" s="160"/>
      <c r="D15" s="160"/>
      <c r="E15" s="160"/>
      <c r="F15" s="160"/>
      <c r="G15" s="160"/>
      <c r="H15" s="161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3"/>
      <c r="AE15" s="154"/>
      <c r="AF15" s="154"/>
      <c r="AG15" s="154"/>
      <c r="AH15" s="154"/>
      <c r="AI15" s="154"/>
      <c r="AJ15" s="154"/>
      <c r="AK15" s="154"/>
      <c r="AL15" s="156"/>
      <c r="AM15" s="156"/>
    </row>
    <row r="16" spans="1:41" ht="15.75" thickBot="1" x14ac:dyDescent="0.3">
      <c r="A16" s="164"/>
      <c r="B16" s="165"/>
      <c r="C16" s="166"/>
      <c r="D16" s="166"/>
      <c r="E16" s="166"/>
      <c r="F16" s="166"/>
      <c r="G16" s="166"/>
      <c r="H16" s="167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8"/>
      <c r="AE16" s="154"/>
      <c r="AF16" s="154"/>
      <c r="AG16" s="154"/>
      <c r="AH16" s="154"/>
      <c r="AI16" s="154"/>
      <c r="AJ16" s="154"/>
      <c r="AK16" s="154"/>
      <c r="AL16" s="156"/>
      <c r="AM16" s="156"/>
    </row>
    <row r="17" spans="1:41" ht="15.75" thickBot="1" x14ac:dyDescent="0.3">
      <c r="B17" s="154"/>
      <c r="C17" s="154"/>
      <c r="D17" s="154"/>
      <c r="E17" s="154"/>
      <c r="F17" s="154"/>
      <c r="G17" s="154"/>
      <c r="H17" s="169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6"/>
      <c r="AM17" s="156"/>
      <c r="AN17" s="156"/>
      <c r="AO17" s="154"/>
    </row>
    <row r="18" spans="1:41" ht="16.5" thickBot="1" x14ac:dyDescent="0.3">
      <c r="A18" s="212" t="s">
        <v>518</v>
      </c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4"/>
      <c r="AE18" s="153"/>
      <c r="AF18" s="153"/>
      <c r="AG18" s="154"/>
      <c r="AH18" s="154"/>
      <c r="AI18" s="154"/>
      <c r="AJ18" s="154"/>
      <c r="AK18" s="154"/>
      <c r="AL18" s="156"/>
      <c r="AM18" s="156"/>
      <c r="AN18" s="156"/>
      <c r="AO18" s="154"/>
    </row>
    <row r="19" spans="1:41" ht="15" customHeight="1" x14ac:dyDescent="0.25">
      <c r="A19" s="215" t="s">
        <v>490</v>
      </c>
      <c r="B19" s="211" t="s">
        <v>491</v>
      </c>
      <c r="C19" s="207" t="s">
        <v>492</v>
      </c>
      <c r="D19" s="206" t="s">
        <v>493</v>
      </c>
      <c r="E19" s="207" t="s">
        <v>494</v>
      </c>
      <c r="F19" s="207" t="s">
        <v>519</v>
      </c>
      <c r="G19" s="207" t="s">
        <v>520</v>
      </c>
      <c r="H19" s="210" t="s">
        <v>497</v>
      </c>
      <c r="I19" s="207" t="s">
        <v>521</v>
      </c>
      <c r="J19" s="211" t="s">
        <v>522</v>
      </c>
      <c r="K19" s="207" t="s">
        <v>500</v>
      </c>
      <c r="L19" s="207" t="s">
        <v>501</v>
      </c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 t="s">
        <v>502</v>
      </c>
      <c r="AC19" s="207" t="s">
        <v>503</v>
      </c>
      <c r="AD19" s="209" t="s">
        <v>504</v>
      </c>
      <c r="AE19" s="154"/>
      <c r="AF19" s="154"/>
      <c r="AG19" s="154"/>
      <c r="AH19" s="154"/>
      <c r="AI19" s="154"/>
      <c r="AJ19" s="154"/>
      <c r="AK19" s="154"/>
      <c r="AL19" s="156"/>
      <c r="AM19" s="156"/>
    </row>
    <row r="20" spans="1:41" ht="27.75" customHeight="1" x14ac:dyDescent="0.25">
      <c r="A20" s="216"/>
      <c r="B20" s="204"/>
      <c r="C20" s="207"/>
      <c r="D20" s="207"/>
      <c r="E20" s="207"/>
      <c r="F20" s="207"/>
      <c r="G20" s="207"/>
      <c r="H20" s="210"/>
      <c r="I20" s="207"/>
      <c r="J20" s="204"/>
      <c r="K20" s="207"/>
      <c r="L20" s="207" t="s">
        <v>505</v>
      </c>
      <c r="M20" s="207"/>
      <c r="N20" s="207" t="s">
        <v>506</v>
      </c>
      <c r="O20" s="207"/>
      <c r="P20" s="207" t="s">
        <v>507</v>
      </c>
      <c r="Q20" s="207"/>
      <c r="R20" s="207" t="s">
        <v>508</v>
      </c>
      <c r="S20" s="207"/>
      <c r="T20" s="207" t="s">
        <v>509</v>
      </c>
      <c r="U20" s="207"/>
      <c r="V20" s="207" t="s">
        <v>510</v>
      </c>
      <c r="W20" s="207"/>
      <c r="X20" s="207" t="s">
        <v>511</v>
      </c>
      <c r="Y20" s="207"/>
      <c r="Z20" s="207" t="s">
        <v>512</v>
      </c>
      <c r="AA20" s="207"/>
      <c r="AB20" s="207"/>
      <c r="AC20" s="207"/>
      <c r="AD20" s="209"/>
      <c r="AE20" s="154"/>
      <c r="AF20" s="154"/>
      <c r="AG20" s="154"/>
      <c r="AH20" s="154"/>
      <c r="AI20" s="154"/>
      <c r="AJ20" s="154"/>
      <c r="AK20" s="154"/>
      <c r="AL20" s="156"/>
      <c r="AM20" s="156"/>
    </row>
    <row r="21" spans="1:41" x14ac:dyDescent="0.25">
      <c r="A21" s="217"/>
      <c r="B21" s="205"/>
      <c r="C21" s="207"/>
      <c r="D21" s="207"/>
      <c r="E21" s="207"/>
      <c r="F21" s="207"/>
      <c r="G21" s="207"/>
      <c r="H21" s="210"/>
      <c r="I21" s="207"/>
      <c r="J21" s="205"/>
      <c r="K21" s="207"/>
      <c r="L21" s="157" t="s">
        <v>513</v>
      </c>
      <c r="M21" s="157" t="s">
        <v>514</v>
      </c>
      <c r="N21" s="157" t="s">
        <v>513</v>
      </c>
      <c r="O21" s="157" t="s">
        <v>514</v>
      </c>
      <c r="P21" s="157" t="s">
        <v>513</v>
      </c>
      <c r="Q21" s="157" t="s">
        <v>514</v>
      </c>
      <c r="R21" s="157" t="s">
        <v>513</v>
      </c>
      <c r="S21" s="157" t="s">
        <v>514</v>
      </c>
      <c r="T21" s="157" t="s">
        <v>513</v>
      </c>
      <c r="U21" s="157" t="s">
        <v>514</v>
      </c>
      <c r="V21" s="157" t="s">
        <v>513</v>
      </c>
      <c r="W21" s="157" t="s">
        <v>514</v>
      </c>
      <c r="X21" s="157" t="s">
        <v>513</v>
      </c>
      <c r="Y21" s="157" t="s">
        <v>514</v>
      </c>
      <c r="Z21" s="157" t="s">
        <v>513</v>
      </c>
      <c r="AA21" s="157" t="s">
        <v>514</v>
      </c>
      <c r="AB21" s="207"/>
      <c r="AC21" s="207"/>
      <c r="AD21" s="209"/>
      <c r="AE21" s="154"/>
      <c r="AF21" s="154"/>
      <c r="AG21" s="154"/>
      <c r="AH21" s="154"/>
      <c r="AI21" s="154"/>
      <c r="AJ21" s="154"/>
      <c r="AK21" s="154"/>
      <c r="AL21" s="156"/>
      <c r="AM21" s="156"/>
    </row>
    <row r="22" spans="1:41" ht="42" customHeight="1" x14ac:dyDescent="0.25">
      <c r="A22" s="158" t="str">
        <f>[2]PEP!A75</f>
        <v>2.4.1ﾠ</v>
      </c>
      <c r="B22" s="159">
        <v>1</v>
      </c>
      <c r="C22" s="160" t="s">
        <v>523</v>
      </c>
      <c r="D22" s="160" t="s">
        <v>516</v>
      </c>
      <c r="E22" s="160"/>
      <c r="F22" s="160"/>
      <c r="G22" s="160"/>
      <c r="H22" s="161">
        <f>PEP!F84</f>
        <v>400000</v>
      </c>
      <c r="I22" s="160"/>
      <c r="J22" s="160"/>
      <c r="K22" s="160"/>
      <c r="L22" s="170">
        <f>[2]PEP!C77</f>
        <v>44525.291666666664</v>
      </c>
      <c r="M22" s="171"/>
      <c r="N22" s="170"/>
      <c r="O22" s="171"/>
      <c r="P22" s="172"/>
      <c r="Q22" s="171"/>
      <c r="R22" s="170"/>
      <c r="S22" s="171"/>
      <c r="T22" s="170"/>
      <c r="U22" s="173"/>
      <c r="V22" s="170"/>
      <c r="W22" s="173"/>
      <c r="X22" s="170">
        <f>[2]PEP!D77</f>
        <v>44720.666666666664</v>
      </c>
      <c r="Y22" s="173"/>
      <c r="Z22" s="172">
        <f>[2]PEP!D78</f>
        <v>44797.666666666664</v>
      </c>
      <c r="AA22" s="172"/>
      <c r="AB22" s="160"/>
      <c r="AC22" s="160"/>
      <c r="AD22" s="163"/>
      <c r="AE22" s="154"/>
      <c r="AF22" s="154"/>
      <c r="AG22" s="154"/>
      <c r="AH22" s="154"/>
      <c r="AI22" s="154"/>
      <c r="AJ22" s="154"/>
      <c r="AK22" s="154"/>
      <c r="AL22" s="156"/>
      <c r="AM22" s="156"/>
    </row>
    <row r="23" spans="1:41" ht="44.25" customHeight="1" x14ac:dyDescent="0.25">
      <c r="A23" s="158" t="str">
        <f>[2]PEP!A79</f>
        <v>2.4.2ﾠ</v>
      </c>
      <c r="B23" s="159">
        <v>1</v>
      </c>
      <c r="C23" s="160" t="s">
        <v>524</v>
      </c>
      <c r="D23" s="160" t="s">
        <v>516</v>
      </c>
      <c r="E23" s="160"/>
      <c r="F23" s="160"/>
      <c r="G23" s="160"/>
      <c r="H23" s="161">
        <f>PEP!F88</f>
        <v>500000</v>
      </c>
      <c r="I23" s="160"/>
      <c r="J23" s="160"/>
      <c r="K23" s="160"/>
      <c r="L23" s="170">
        <f>[2]PEP!C81</f>
        <v>44518.291666666664</v>
      </c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70">
        <f>[2]PEP!D81</f>
        <v>44713.666666666664</v>
      </c>
      <c r="Y23" s="160"/>
      <c r="Z23" s="172">
        <f>[2]PEP!D82</f>
        <v>44741.666666666664</v>
      </c>
      <c r="AA23" s="160"/>
      <c r="AB23" s="160"/>
      <c r="AC23" s="160"/>
      <c r="AD23" s="163"/>
      <c r="AE23" s="154"/>
      <c r="AF23" s="154"/>
      <c r="AG23" s="154"/>
      <c r="AH23" s="154"/>
      <c r="AI23" s="154"/>
      <c r="AJ23" s="154"/>
      <c r="AK23" s="154"/>
      <c r="AL23" s="156"/>
      <c r="AM23" s="156"/>
    </row>
    <row r="24" spans="1:41" ht="74.25" customHeight="1" x14ac:dyDescent="0.25">
      <c r="A24" s="158" t="str">
        <f>[2]PEP!A146</f>
        <v>4.1.5ﾠ</v>
      </c>
      <c r="B24" s="159">
        <v>3</v>
      </c>
      <c r="C24" s="160" t="str">
        <f>[2]PEP!B146</f>
        <v>Longlasting mosquito bednets distributed (20.000 units)</v>
      </c>
      <c r="D24" s="160" t="s">
        <v>525</v>
      </c>
      <c r="E24" s="160"/>
      <c r="F24" s="160"/>
      <c r="G24" s="160"/>
      <c r="H24" s="161">
        <f>PEP!F172</f>
        <v>109000</v>
      </c>
      <c r="I24" s="160"/>
      <c r="J24" s="160"/>
      <c r="K24" s="160"/>
      <c r="L24" s="170">
        <f>[2]PEP!C147</f>
        <v>44291.291666666664</v>
      </c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70">
        <f>[2]PEP!D147</f>
        <v>44473.666666666664</v>
      </c>
      <c r="Y24" s="160"/>
      <c r="Z24" s="172">
        <f>[2]PEP!D148</f>
        <v>44529.666666666664</v>
      </c>
      <c r="AA24" s="160"/>
      <c r="AB24" s="160"/>
      <c r="AC24" s="160"/>
      <c r="AD24" s="163"/>
      <c r="AE24" s="154"/>
      <c r="AF24" s="154"/>
      <c r="AG24" s="154"/>
      <c r="AH24" s="154"/>
      <c r="AI24" s="154"/>
      <c r="AJ24" s="154"/>
      <c r="AK24" s="154"/>
      <c r="AL24" s="156"/>
      <c r="AM24" s="156"/>
    </row>
    <row r="25" spans="1:41" ht="53.25" customHeight="1" thickBot="1" x14ac:dyDescent="0.3">
      <c r="A25" s="164" t="str">
        <f>[2]PEP!A165</f>
        <v>4.3ﾠ</v>
      </c>
      <c r="B25" s="165">
        <v>3</v>
      </c>
      <c r="C25" s="166" t="str">
        <f>[2]PEP!B165</f>
        <v>TropicClinic equipped with software and hardware for data analysis and processing</v>
      </c>
      <c r="D25" s="166" t="s">
        <v>525</v>
      </c>
      <c r="E25" s="166"/>
      <c r="F25" s="166"/>
      <c r="G25" s="166"/>
      <c r="H25" s="167">
        <f>PEP!F191</f>
        <v>60000</v>
      </c>
      <c r="I25" s="166"/>
      <c r="J25" s="166"/>
      <c r="K25" s="166"/>
      <c r="L25" s="170">
        <f>[2]PEP!C166</f>
        <v>43868.291666666664</v>
      </c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70">
        <f>[2]PEP!D166</f>
        <v>44036.666666666664</v>
      </c>
      <c r="Y25" s="166"/>
      <c r="Z25" s="172">
        <f>[2]PEP!D167</f>
        <v>44092.666666666664</v>
      </c>
      <c r="AA25" s="166"/>
      <c r="AB25" s="166"/>
      <c r="AC25" s="166"/>
      <c r="AD25" s="168"/>
      <c r="AE25" s="154"/>
      <c r="AF25" s="154"/>
      <c r="AG25" s="154"/>
      <c r="AH25" s="154"/>
      <c r="AI25" s="154"/>
      <c r="AJ25" s="154"/>
      <c r="AK25" s="154"/>
      <c r="AL25" s="156"/>
      <c r="AM25" s="156"/>
    </row>
    <row r="26" spans="1:41" ht="53.25" customHeight="1" thickBot="1" x14ac:dyDescent="0.3">
      <c r="A26" s="164" t="str">
        <f>[2]PEP!A168</f>
        <v>4.4ﾠ</v>
      </c>
      <c r="B26" s="165">
        <v>3</v>
      </c>
      <c r="C26" s="166" t="str">
        <f>[2]PEP!B168</f>
        <v>8 parasitological microscopes available</v>
      </c>
      <c r="D26" s="166" t="s">
        <v>526</v>
      </c>
      <c r="E26" s="166"/>
      <c r="F26" s="166"/>
      <c r="G26" s="166"/>
      <c r="H26" s="167">
        <f>PEP!F192</f>
        <v>20000</v>
      </c>
      <c r="I26" s="166"/>
      <c r="J26" s="166"/>
      <c r="K26" s="166"/>
      <c r="L26" s="174">
        <f>[2]PEP!C169</f>
        <v>43684.291666666664</v>
      </c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74">
        <f>[2]PEP!D169</f>
        <v>43801.666666666664</v>
      </c>
      <c r="Y26" s="166"/>
      <c r="Z26" s="174">
        <f>[2]PEP!D170</f>
        <v>43857.666666666664</v>
      </c>
      <c r="AA26" s="166"/>
      <c r="AB26" s="166"/>
      <c r="AC26" s="166"/>
      <c r="AD26" s="168"/>
      <c r="AE26" s="154"/>
      <c r="AF26" s="154"/>
      <c r="AG26" s="154"/>
      <c r="AH26" s="154"/>
      <c r="AI26" s="154"/>
      <c r="AJ26" s="154"/>
      <c r="AK26" s="154"/>
      <c r="AL26" s="156"/>
      <c r="AM26" s="156"/>
    </row>
    <row r="27" spans="1:41" ht="53.25" customHeight="1" thickBot="1" x14ac:dyDescent="0.3">
      <c r="A27" s="164" t="str">
        <f>[2]PEP!A198</f>
        <v>4.11ﾠ</v>
      </c>
      <c r="B27" s="165">
        <v>3</v>
      </c>
      <c r="C27" s="166" t="str">
        <f>[2]PEP!B198</f>
        <v>Laboratory and field equipment for HIV screening  in gold mining areas provided (number of visits per year)</v>
      </c>
      <c r="D27" s="166" t="s">
        <v>525</v>
      </c>
      <c r="E27" s="166"/>
      <c r="F27" s="166"/>
      <c r="G27" s="166"/>
      <c r="H27" s="167">
        <f>PEP!F224</f>
        <v>18000</v>
      </c>
      <c r="I27" s="166"/>
      <c r="J27" s="166"/>
      <c r="K27" s="166"/>
      <c r="L27" s="174">
        <f>[2]PEP!C203</f>
        <v>43566.291666666664</v>
      </c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74">
        <f>[2]PEP!D203</f>
        <v>43734.666666666664</v>
      </c>
      <c r="Y27" s="166"/>
      <c r="Z27" s="174">
        <f>[2]PEP!D204</f>
        <v>43790.666666666664</v>
      </c>
      <c r="AA27" s="166"/>
      <c r="AB27" s="166"/>
      <c r="AC27" s="166"/>
      <c r="AD27" s="219" t="s">
        <v>527</v>
      </c>
      <c r="AE27" s="154"/>
      <c r="AF27" s="154"/>
      <c r="AG27" s="154"/>
      <c r="AH27" s="154"/>
      <c r="AI27" s="154"/>
      <c r="AJ27" s="154"/>
      <c r="AK27" s="154"/>
      <c r="AL27" s="156"/>
      <c r="AM27" s="156"/>
    </row>
    <row r="28" spans="1:41" ht="53.25" customHeight="1" thickBot="1" x14ac:dyDescent="0.3">
      <c r="A28" s="164" t="str">
        <f>[2]PEP!A202</f>
        <v>4.12ﾠ</v>
      </c>
      <c r="B28" s="165">
        <v>3</v>
      </c>
      <c r="C28" s="166" t="str">
        <f>[2]PEP!B202</f>
        <v>National Reference Laboratory equipped (Bureau of Public Health)</v>
      </c>
      <c r="D28" s="166" t="s">
        <v>525</v>
      </c>
      <c r="E28" s="166"/>
      <c r="F28" s="166"/>
      <c r="G28" s="166"/>
      <c r="H28" s="167">
        <f>PEP!F228</f>
        <v>18000</v>
      </c>
      <c r="I28" s="166"/>
      <c r="J28" s="166"/>
      <c r="K28" s="166"/>
      <c r="L28" s="174">
        <f>[2]PEP!C203</f>
        <v>43566.291666666664</v>
      </c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74">
        <f>[2]PEP!D203</f>
        <v>43734.666666666664</v>
      </c>
      <c r="Y28" s="166"/>
      <c r="Z28" s="174">
        <f>[2]PEP!D204</f>
        <v>43790.666666666664</v>
      </c>
      <c r="AA28" s="166"/>
      <c r="AB28" s="166"/>
      <c r="AC28" s="166"/>
      <c r="AD28" s="220"/>
      <c r="AE28" s="154"/>
      <c r="AF28" s="154"/>
      <c r="AG28" s="154"/>
      <c r="AH28" s="154"/>
      <c r="AI28" s="154"/>
      <c r="AJ28" s="154"/>
      <c r="AK28" s="154"/>
      <c r="AL28" s="156"/>
      <c r="AM28" s="156"/>
    </row>
    <row r="29" spans="1:41" ht="53.25" customHeight="1" thickBot="1" x14ac:dyDescent="0.3">
      <c r="A29" s="164" t="str">
        <f>[2]PEP!A50</f>
        <v>2.1.1.4ﾠ</v>
      </c>
      <c r="B29" s="165">
        <v>1</v>
      </c>
      <c r="C29" s="166" t="str">
        <f>[2]PEP!B50</f>
        <v>Equipment to run Phase 1 NHIS installed</v>
      </c>
      <c r="D29" s="166" t="s">
        <v>516</v>
      </c>
      <c r="E29" s="166"/>
      <c r="F29" s="166"/>
      <c r="G29" s="166"/>
      <c r="H29" s="167">
        <f>PEP!F52</f>
        <v>500000</v>
      </c>
      <c r="I29" s="166"/>
      <c r="J29" s="166"/>
      <c r="K29" s="166"/>
      <c r="L29" s="174">
        <f>[2]PEP!C51</f>
        <v>43951.291666666664</v>
      </c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74">
        <f>[2]PEP!D51</f>
        <v>44133.666666666664</v>
      </c>
      <c r="Y29" s="166"/>
      <c r="Z29" s="174">
        <f>[2]PEP!D52</f>
        <v>44189.666666666664</v>
      </c>
      <c r="AA29" s="166"/>
      <c r="AB29" s="166"/>
      <c r="AC29" s="166"/>
      <c r="AD29" s="168"/>
      <c r="AE29" s="154"/>
      <c r="AF29" s="154"/>
      <c r="AG29" s="154"/>
      <c r="AH29" s="154"/>
      <c r="AI29" s="154"/>
      <c r="AJ29" s="154"/>
      <c r="AK29" s="154"/>
      <c r="AL29" s="156"/>
      <c r="AM29" s="156"/>
    </row>
    <row r="30" spans="1:41" ht="53.25" customHeight="1" thickBot="1" x14ac:dyDescent="0.3">
      <c r="A30" s="164" t="str">
        <f>[2]PEP!A99</f>
        <v>3.5.2ﾠ</v>
      </c>
      <c r="B30" s="165">
        <v>2</v>
      </c>
      <c r="C30" s="166" t="str">
        <f>[2]PEP!B99</f>
        <v>CCM centers with Clinical Equipment upgraded</v>
      </c>
      <c r="D30" s="166" t="s">
        <v>516</v>
      </c>
      <c r="E30" s="166"/>
      <c r="F30" s="166"/>
      <c r="G30" s="166"/>
      <c r="H30" s="167">
        <f>PEP!F110</f>
        <v>900000</v>
      </c>
      <c r="I30" s="166"/>
      <c r="J30" s="166"/>
      <c r="K30" s="166"/>
      <c r="L30" s="174">
        <f>[2]PEP!C100</f>
        <v>44238.291666666664</v>
      </c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74">
        <f>[2]PEP!D100</f>
        <v>44419.666666666664</v>
      </c>
      <c r="Y30" s="166"/>
      <c r="Z30" s="174">
        <f>[2]PEP!D101</f>
        <v>44508.666666666664</v>
      </c>
      <c r="AA30" s="166"/>
      <c r="AB30" s="166"/>
      <c r="AC30" s="166"/>
      <c r="AD30" s="168" t="s">
        <v>517</v>
      </c>
      <c r="AE30" s="154"/>
      <c r="AF30" s="154"/>
      <c r="AG30" s="154"/>
      <c r="AH30" s="154"/>
      <c r="AI30" s="154"/>
      <c r="AJ30" s="154"/>
      <c r="AK30" s="154"/>
      <c r="AL30" s="156"/>
      <c r="AM30" s="156"/>
    </row>
    <row r="31" spans="1:41" ht="53.25" customHeight="1" thickBot="1" x14ac:dyDescent="0.3">
      <c r="A31" s="164" t="str">
        <f>[2]PEP!A102</f>
        <v>3.5.3ﾠ</v>
      </c>
      <c r="B31" s="165">
        <v>2</v>
      </c>
      <c r="C31" s="166" t="str">
        <f>[2]PEP!B102</f>
        <v>CCM centers with Non-Clinical Equipment upgraded</v>
      </c>
      <c r="D31" s="166" t="s">
        <v>516</v>
      </c>
      <c r="E31" s="166"/>
      <c r="F31" s="166"/>
      <c r="G31" s="166"/>
      <c r="H31" s="167">
        <f>PEP!F113</f>
        <v>420000</v>
      </c>
      <c r="I31" s="166"/>
      <c r="J31" s="166"/>
      <c r="K31" s="166"/>
      <c r="L31" s="174">
        <f>[2]PEP!C103</f>
        <v>44238.291666666664</v>
      </c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74">
        <f>[2]PEP!D103</f>
        <v>44424.666666666664</v>
      </c>
      <c r="Y31" s="166"/>
      <c r="Z31" s="174">
        <f>[2]PEP!D104</f>
        <v>44466.666666666664</v>
      </c>
      <c r="AA31" s="166"/>
      <c r="AB31" s="166"/>
      <c r="AC31" s="166"/>
      <c r="AD31" s="168" t="s">
        <v>517</v>
      </c>
      <c r="AE31" s="154"/>
      <c r="AF31" s="154"/>
      <c r="AG31" s="154"/>
      <c r="AH31" s="154"/>
      <c r="AI31" s="154"/>
      <c r="AJ31" s="154"/>
      <c r="AK31" s="154"/>
      <c r="AL31" s="156"/>
      <c r="AM31" s="156"/>
    </row>
    <row r="32" spans="1:41" ht="53.25" customHeight="1" thickBot="1" x14ac:dyDescent="0.3">
      <c r="A32" s="164" t="str">
        <f>[2]PEP!A108</f>
        <v>3.5.5ﾠ</v>
      </c>
      <c r="B32" s="165">
        <v>2</v>
      </c>
      <c r="C32" s="166" t="str">
        <f>[2]PEP!B108</f>
        <v>Centers with medical supplies for chronic care start up available</v>
      </c>
      <c r="D32" s="166" t="s">
        <v>516</v>
      </c>
      <c r="E32" s="166"/>
      <c r="F32" s="166"/>
      <c r="G32" s="166"/>
      <c r="H32" s="167">
        <f>PEP!F119</f>
        <v>120000</v>
      </c>
      <c r="I32" s="166"/>
      <c r="J32" s="166"/>
      <c r="K32" s="166"/>
      <c r="L32" s="174">
        <f>[2]PEP!C109</f>
        <v>44243.291666666664</v>
      </c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74">
        <f>[2]PEP!D109</f>
        <v>44424.666666666664</v>
      </c>
      <c r="Y32" s="166"/>
      <c r="Z32" s="174">
        <f>[2]PEP!D110</f>
        <v>44452.666666666664</v>
      </c>
      <c r="AA32" s="166"/>
      <c r="AB32" s="166"/>
      <c r="AC32" s="166"/>
      <c r="AD32" s="168" t="s">
        <v>528</v>
      </c>
      <c r="AE32" s="154"/>
      <c r="AF32" s="154"/>
      <c r="AG32" s="154"/>
      <c r="AH32" s="154"/>
      <c r="AI32" s="154"/>
      <c r="AJ32" s="154"/>
      <c r="AK32" s="154"/>
      <c r="AL32" s="156"/>
      <c r="AM32" s="156"/>
    </row>
    <row r="33" spans="1:41" x14ac:dyDescent="0.25">
      <c r="B33" s="154"/>
      <c r="C33" s="154"/>
      <c r="D33" s="154"/>
      <c r="E33" s="154"/>
      <c r="F33" s="154"/>
      <c r="G33" s="154"/>
      <c r="H33" s="169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6"/>
      <c r="AM33" s="156"/>
      <c r="AN33" s="156"/>
      <c r="AO33" s="154"/>
    </row>
    <row r="34" spans="1:41" ht="15.75" customHeight="1" thickBot="1" x14ac:dyDescent="0.3">
      <c r="A34" s="196" t="s">
        <v>529</v>
      </c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53"/>
      <c r="AF34" s="153"/>
      <c r="AG34" s="154"/>
      <c r="AH34" s="154"/>
      <c r="AI34" s="154"/>
      <c r="AJ34" s="154"/>
      <c r="AK34" s="154"/>
      <c r="AL34" s="156"/>
      <c r="AM34" s="156"/>
      <c r="AN34" s="156"/>
      <c r="AO34" s="154"/>
    </row>
    <row r="35" spans="1:41" ht="15" customHeight="1" x14ac:dyDescent="0.25">
      <c r="A35" s="221" t="s">
        <v>490</v>
      </c>
      <c r="B35" s="211" t="s">
        <v>491</v>
      </c>
      <c r="C35" s="207" t="s">
        <v>492</v>
      </c>
      <c r="D35" s="206" t="s">
        <v>493</v>
      </c>
      <c r="E35" s="207" t="s">
        <v>494</v>
      </c>
      <c r="F35" s="211" t="s">
        <v>519</v>
      </c>
      <c r="G35" s="207" t="s">
        <v>520</v>
      </c>
      <c r="H35" s="210" t="s">
        <v>497</v>
      </c>
      <c r="I35" s="207" t="s">
        <v>521</v>
      </c>
      <c r="J35" s="211" t="s">
        <v>522</v>
      </c>
      <c r="K35" s="207" t="s">
        <v>500</v>
      </c>
      <c r="L35" s="207" t="s">
        <v>501</v>
      </c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 t="s">
        <v>502</v>
      </c>
      <c r="AC35" s="207" t="s">
        <v>503</v>
      </c>
      <c r="AD35" s="209" t="s">
        <v>504</v>
      </c>
      <c r="AE35" s="154"/>
      <c r="AF35" s="154"/>
      <c r="AG35" s="154"/>
      <c r="AH35" s="154"/>
      <c r="AI35" s="154"/>
      <c r="AJ35" s="154"/>
      <c r="AK35" s="154"/>
      <c r="AL35" s="154"/>
      <c r="AM35" s="154"/>
    </row>
    <row r="36" spans="1:41" ht="31.5" customHeight="1" x14ac:dyDescent="0.25">
      <c r="A36" s="222"/>
      <c r="B36" s="204"/>
      <c r="C36" s="207"/>
      <c r="D36" s="207"/>
      <c r="E36" s="207"/>
      <c r="F36" s="204"/>
      <c r="G36" s="207"/>
      <c r="H36" s="210"/>
      <c r="I36" s="207"/>
      <c r="J36" s="204"/>
      <c r="K36" s="207"/>
      <c r="L36" s="207" t="s">
        <v>505</v>
      </c>
      <c r="M36" s="207"/>
      <c r="N36" s="207" t="s">
        <v>506</v>
      </c>
      <c r="O36" s="207"/>
      <c r="P36" s="207" t="s">
        <v>507</v>
      </c>
      <c r="Q36" s="207"/>
      <c r="R36" s="207" t="s">
        <v>508</v>
      </c>
      <c r="S36" s="207"/>
      <c r="T36" s="207" t="s">
        <v>509</v>
      </c>
      <c r="U36" s="207"/>
      <c r="V36" s="207" t="s">
        <v>510</v>
      </c>
      <c r="W36" s="207"/>
      <c r="X36" s="207" t="s">
        <v>511</v>
      </c>
      <c r="Y36" s="207"/>
      <c r="Z36" s="207" t="s">
        <v>512</v>
      </c>
      <c r="AA36" s="207"/>
      <c r="AB36" s="207"/>
      <c r="AC36" s="207"/>
      <c r="AD36" s="209"/>
      <c r="AE36" s="154"/>
      <c r="AF36" s="154"/>
      <c r="AG36" s="154"/>
      <c r="AH36" s="154"/>
      <c r="AI36" s="154"/>
      <c r="AJ36" s="154"/>
      <c r="AK36" s="154"/>
      <c r="AL36" s="156"/>
      <c r="AM36" s="156"/>
    </row>
    <row r="37" spans="1:41" x14ac:dyDescent="0.25">
      <c r="A37" s="223"/>
      <c r="B37" s="205"/>
      <c r="C37" s="207"/>
      <c r="D37" s="207"/>
      <c r="E37" s="207"/>
      <c r="F37" s="205"/>
      <c r="G37" s="207"/>
      <c r="H37" s="210"/>
      <c r="I37" s="207"/>
      <c r="J37" s="205"/>
      <c r="K37" s="207"/>
      <c r="L37" s="157" t="s">
        <v>513</v>
      </c>
      <c r="M37" s="157" t="s">
        <v>514</v>
      </c>
      <c r="N37" s="157" t="s">
        <v>513</v>
      </c>
      <c r="O37" s="157" t="s">
        <v>514</v>
      </c>
      <c r="P37" s="157" t="s">
        <v>513</v>
      </c>
      <c r="Q37" s="157" t="s">
        <v>514</v>
      </c>
      <c r="R37" s="157" t="s">
        <v>513</v>
      </c>
      <c r="S37" s="157" t="s">
        <v>514</v>
      </c>
      <c r="T37" s="157" t="s">
        <v>513</v>
      </c>
      <c r="U37" s="157" t="s">
        <v>514</v>
      </c>
      <c r="V37" s="157" t="s">
        <v>513</v>
      </c>
      <c r="W37" s="157" t="s">
        <v>514</v>
      </c>
      <c r="X37" s="157" t="s">
        <v>513</v>
      </c>
      <c r="Y37" s="157" t="s">
        <v>514</v>
      </c>
      <c r="Z37" s="157" t="s">
        <v>513</v>
      </c>
      <c r="AA37" s="157" t="s">
        <v>514</v>
      </c>
      <c r="AB37" s="207"/>
      <c r="AC37" s="207"/>
      <c r="AD37" s="209"/>
      <c r="AE37" s="154"/>
      <c r="AF37" s="154"/>
      <c r="AG37" s="154"/>
      <c r="AH37" s="154"/>
      <c r="AI37" s="154"/>
      <c r="AJ37" s="154"/>
      <c r="AK37" s="154"/>
      <c r="AL37" s="156"/>
      <c r="AM37" s="156"/>
    </row>
    <row r="38" spans="1:41" ht="59.25" customHeight="1" x14ac:dyDescent="0.25">
      <c r="A38" s="175" t="str">
        <f>[2]PEP!A120</f>
        <v>4.1.2.1.2ﾠ</v>
      </c>
      <c r="B38" s="159">
        <v>3</v>
      </c>
      <c r="C38" s="160" t="s">
        <v>530</v>
      </c>
      <c r="D38" s="160" t="s">
        <v>526</v>
      </c>
      <c r="E38" s="160"/>
      <c r="F38" s="160"/>
      <c r="G38" s="160"/>
      <c r="H38" s="161" t="s">
        <v>531</v>
      </c>
      <c r="I38" s="160"/>
      <c r="J38" s="160"/>
      <c r="K38" s="160"/>
      <c r="L38" s="162">
        <f>[2]PEP!C120</f>
        <v>43760.291666666664</v>
      </c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2">
        <f>[2]PEP!D120</f>
        <v>43875.666666666664</v>
      </c>
      <c r="Y38" s="160"/>
      <c r="Z38" s="162">
        <f>[2]PEP!D122</f>
        <v>44155.666666666664</v>
      </c>
      <c r="AA38" s="160"/>
      <c r="AB38" s="160"/>
      <c r="AC38" s="160"/>
      <c r="AD38" s="224" t="s">
        <v>532</v>
      </c>
      <c r="AE38" s="154"/>
      <c r="AF38" s="154"/>
      <c r="AG38" s="154"/>
      <c r="AH38" s="154"/>
      <c r="AI38" s="154"/>
      <c r="AJ38" s="154"/>
      <c r="AK38" s="154"/>
      <c r="AL38" s="156"/>
      <c r="AM38" s="156"/>
    </row>
    <row r="39" spans="1:41" ht="63" customHeight="1" x14ac:dyDescent="0.25">
      <c r="A39" s="175" t="str">
        <f>[2]PEP!A121</f>
        <v>4.1.2.1.3ﾠ</v>
      </c>
      <c r="B39" s="159">
        <v>3</v>
      </c>
      <c r="C39" s="160" t="s">
        <v>533</v>
      </c>
      <c r="D39" s="160" t="s">
        <v>526</v>
      </c>
      <c r="E39" s="160"/>
      <c r="F39" s="160"/>
      <c r="G39" s="160"/>
      <c r="H39" s="161" t="s">
        <v>531</v>
      </c>
      <c r="I39" s="160"/>
      <c r="J39" s="160"/>
      <c r="K39" s="160"/>
      <c r="L39" s="162">
        <f>[2]PEP!C121</f>
        <v>43760.291666666664</v>
      </c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2">
        <f>[2]PEP!D121</f>
        <v>43875.666666666664</v>
      </c>
      <c r="Y39" s="160"/>
      <c r="Z39" s="162">
        <f>[2]PEP!D122</f>
        <v>44155.666666666664</v>
      </c>
      <c r="AA39" s="160"/>
      <c r="AB39" s="160"/>
      <c r="AC39" s="160"/>
      <c r="AD39" s="225"/>
      <c r="AE39" s="154"/>
      <c r="AF39" s="154"/>
      <c r="AG39" s="154"/>
      <c r="AH39" s="154"/>
      <c r="AI39" s="154"/>
      <c r="AJ39" s="154"/>
      <c r="AK39" s="154"/>
      <c r="AL39" s="156"/>
      <c r="AM39" s="156"/>
    </row>
    <row r="40" spans="1:41" x14ac:dyDescent="0.25">
      <c r="A40" s="175"/>
      <c r="B40" s="159"/>
      <c r="C40" s="160"/>
      <c r="D40" s="160"/>
      <c r="E40" s="160"/>
      <c r="F40" s="160"/>
      <c r="G40" s="160"/>
      <c r="H40" s="16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3"/>
      <c r="AE40" s="154"/>
      <c r="AF40" s="154"/>
      <c r="AG40" s="154"/>
      <c r="AH40" s="154"/>
      <c r="AI40" s="154"/>
      <c r="AJ40" s="154"/>
      <c r="AK40" s="154"/>
      <c r="AL40" s="156"/>
      <c r="AM40" s="156"/>
    </row>
    <row r="41" spans="1:41" x14ac:dyDescent="0.25">
      <c r="A41" s="175"/>
      <c r="B41" s="159"/>
      <c r="C41" s="160"/>
      <c r="D41" s="160"/>
      <c r="E41" s="160"/>
      <c r="F41" s="160"/>
      <c r="G41" s="160"/>
      <c r="H41" s="161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3"/>
      <c r="AE41" s="154"/>
      <c r="AF41" s="154"/>
      <c r="AG41" s="154"/>
      <c r="AH41" s="154"/>
      <c r="AI41" s="154"/>
      <c r="AJ41" s="154"/>
      <c r="AK41" s="154"/>
      <c r="AL41" s="156"/>
      <c r="AM41" s="156"/>
    </row>
    <row r="42" spans="1:41" ht="15.75" thickBot="1" x14ac:dyDescent="0.3">
      <c r="A42" s="176"/>
      <c r="B42" s="165"/>
      <c r="C42" s="166"/>
      <c r="D42" s="166"/>
      <c r="E42" s="166"/>
      <c r="F42" s="166"/>
      <c r="G42" s="166"/>
      <c r="H42" s="167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8"/>
      <c r="AE42" s="154"/>
      <c r="AF42" s="154"/>
      <c r="AG42" s="154"/>
      <c r="AH42" s="154"/>
      <c r="AI42" s="154"/>
      <c r="AJ42" s="154"/>
      <c r="AK42" s="154"/>
      <c r="AL42" s="156"/>
      <c r="AM42" s="156"/>
    </row>
    <row r="43" spans="1:41" ht="15.75" thickBot="1" x14ac:dyDescent="0.3">
      <c r="B43" s="154"/>
      <c r="C43" s="154"/>
      <c r="D43" s="154"/>
      <c r="E43" s="154"/>
      <c r="F43" s="154"/>
      <c r="G43" s="154"/>
      <c r="H43" s="169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6"/>
      <c r="AM43" s="156"/>
      <c r="AN43" s="156"/>
      <c r="AO43" s="156"/>
    </row>
    <row r="44" spans="1:41" ht="15.75" customHeight="1" thickBot="1" x14ac:dyDescent="0.3">
      <c r="A44" s="226" t="s">
        <v>534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8"/>
      <c r="AH44" s="229"/>
      <c r="AI44" s="229"/>
      <c r="AJ44" s="229"/>
      <c r="AK44" s="230"/>
      <c r="AL44" s="177"/>
      <c r="AM44" s="177"/>
      <c r="AN44" s="156"/>
      <c r="AO44" s="156"/>
    </row>
    <row r="45" spans="1:41" ht="15" customHeight="1" x14ac:dyDescent="0.25">
      <c r="A45" s="231" t="s">
        <v>490</v>
      </c>
      <c r="B45" s="211" t="s">
        <v>491</v>
      </c>
      <c r="C45" s="207" t="s">
        <v>492</v>
      </c>
      <c r="D45" s="206" t="s">
        <v>493</v>
      </c>
      <c r="E45" s="207" t="s">
        <v>535</v>
      </c>
      <c r="F45" s="207" t="s">
        <v>520</v>
      </c>
      <c r="G45" s="207" t="s">
        <v>497</v>
      </c>
      <c r="H45" s="210" t="s">
        <v>521</v>
      </c>
      <c r="I45" s="211" t="s">
        <v>522</v>
      </c>
      <c r="J45" s="207" t="s">
        <v>536</v>
      </c>
      <c r="K45" s="207" t="s">
        <v>501</v>
      </c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537</v>
      </c>
      <c r="AH45" s="207" t="s">
        <v>538</v>
      </c>
      <c r="AI45" s="207" t="s">
        <v>539</v>
      </c>
      <c r="AJ45" s="207" t="s">
        <v>540</v>
      </c>
      <c r="AK45" s="209" t="s">
        <v>504</v>
      </c>
      <c r="AL45" s="156"/>
      <c r="AM45" s="156"/>
    </row>
    <row r="46" spans="1:41" ht="73.5" customHeight="1" x14ac:dyDescent="0.25">
      <c r="A46" s="202"/>
      <c r="B46" s="204"/>
      <c r="C46" s="207"/>
      <c r="D46" s="207"/>
      <c r="E46" s="207"/>
      <c r="F46" s="207"/>
      <c r="G46" s="207"/>
      <c r="H46" s="210"/>
      <c r="I46" s="204"/>
      <c r="J46" s="207"/>
      <c r="K46" s="207" t="s">
        <v>541</v>
      </c>
      <c r="L46" s="207"/>
      <c r="M46" s="207" t="s">
        <v>542</v>
      </c>
      <c r="N46" s="207"/>
      <c r="O46" s="207" t="s">
        <v>543</v>
      </c>
      <c r="P46" s="207"/>
      <c r="Q46" s="207" t="s">
        <v>544</v>
      </c>
      <c r="R46" s="207"/>
      <c r="S46" s="207" t="s">
        <v>508</v>
      </c>
      <c r="T46" s="207"/>
      <c r="U46" s="207" t="s">
        <v>545</v>
      </c>
      <c r="V46" s="207"/>
      <c r="W46" s="207" t="s">
        <v>546</v>
      </c>
      <c r="X46" s="207"/>
      <c r="Y46" s="207" t="s">
        <v>547</v>
      </c>
      <c r="Z46" s="207"/>
      <c r="AA46" s="207" t="s">
        <v>548</v>
      </c>
      <c r="AB46" s="207"/>
      <c r="AC46" s="207" t="s">
        <v>511</v>
      </c>
      <c r="AD46" s="207"/>
      <c r="AE46" s="207" t="s">
        <v>512</v>
      </c>
      <c r="AF46" s="207"/>
      <c r="AG46" s="207"/>
      <c r="AH46" s="207"/>
      <c r="AI46" s="207"/>
      <c r="AJ46" s="207"/>
      <c r="AK46" s="209"/>
      <c r="AL46" s="156"/>
      <c r="AM46" s="156"/>
    </row>
    <row r="47" spans="1:41" ht="36.75" hidden="1" customHeight="1" x14ac:dyDescent="0.25">
      <c r="A47" s="178"/>
      <c r="B47" s="205"/>
      <c r="C47" s="207"/>
      <c r="D47" s="157"/>
      <c r="E47" s="207"/>
      <c r="F47" s="207"/>
      <c r="G47" s="207"/>
      <c r="H47" s="210"/>
      <c r="I47" s="205"/>
      <c r="J47" s="207"/>
      <c r="K47" s="157" t="s">
        <v>513</v>
      </c>
      <c r="L47" s="157" t="s">
        <v>514</v>
      </c>
      <c r="M47" s="157" t="s">
        <v>513</v>
      </c>
      <c r="N47" s="157" t="s">
        <v>514</v>
      </c>
      <c r="O47" s="157" t="s">
        <v>513</v>
      </c>
      <c r="P47" s="157" t="s">
        <v>514</v>
      </c>
      <c r="Q47" s="157" t="s">
        <v>513</v>
      </c>
      <c r="R47" s="157" t="s">
        <v>514</v>
      </c>
      <c r="S47" s="157" t="s">
        <v>513</v>
      </c>
      <c r="T47" s="157" t="s">
        <v>514</v>
      </c>
      <c r="U47" s="157" t="s">
        <v>513</v>
      </c>
      <c r="V47" s="157" t="s">
        <v>514</v>
      </c>
      <c r="W47" s="157" t="s">
        <v>513</v>
      </c>
      <c r="X47" s="157" t="s">
        <v>514</v>
      </c>
      <c r="Y47" s="157" t="s">
        <v>513</v>
      </c>
      <c r="Z47" s="157" t="s">
        <v>514</v>
      </c>
      <c r="AA47" s="157" t="s">
        <v>513</v>
      </c>
      <c r="AB47" s="157" t="s">
        <v>514</v>
      </c>
      <c r="AC47" s="157" t="s">
        <v>513</v>
      </c>
      <c r="AD47" s="157" t="s">
        <v>514</v>
      </c>
      <c r="AE47" s="157" t="s">
        <v>513</v>
      </c>
      <c r="AF47" s="157" t="s">
        <v>514</v>
      </c>
      <c r="AG47" s="207"/>
      <c r="AH47" s="207"/>
      <c r="AI47" s="207"/>
      <c r="AJ47" s="207"/>
      <c r="AK47" s="209"/>
      <c r="AL47" s="156"/>
      <c r="AM47" s="156"/>
    </row>
    <row r="48" spans="1:41" ht="38.25" customHeight="1" x14ac:dyDescent="0.25">
      <c r="A48" s="158" t="str">
        <f>[2]PEP!A46</f>
        <v>2.1.1ﾠ</v>
      </c>
      <c r="B48" s="159">
        <v>1</v>
      </c>
      <c r="C48" s="160" t="s">
        <v>549</v>
      </c>
      <c r="D48" s="160" t="s">
        <v>550</v>
      </c>
      <c r="E48" s="160"/>
      <c r="F48" s="160"/>
      <c r="G48" s="161">
        <f>PEP!F47</f>
        <v>1000000</v>
      </c>
      <c r="H48" s="161"/>
      <c r="I48" s="160"/>
      <c r="J48" s="160"/>
      <c r="K48" s="162">
        <f>[2]PEP!C47</f>
        <v>43566.291666666664</v>
      </c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162">
        <f>[2]PEP!D47</f>
        <v>43866.666666666664</v>
      </c>
      <c r="AD48" s="160"/>
      <c r="AE48" s="162">
        <f>[2]PEP!D49</f>
        <v>44454.666666666664</v>
      </c>
      <c r="AF48" s="160"/>
      <c r="AG48" s="160"/>
      <c r="AH48" s="160"/>
      <c r="AI48" s="160"/>
      <c r="AJ48" s="160"/>
      <c r="AK48" s="163"/>
      <c r="AL48" s="179"/>
      <c r="AM48" s="179"/>
    </row>
    <row r="49" spans="1:41" ht="34.5" customHeight="1" x14ac:dyDescent="0.25">
      <c r="A49" s="158" t="str">
        <f>[2]PEP!A53</f>
        <v>2.1.1.5ﾠ</v>
      </c>
      <c r="B49" s="159">
        <v>1</v>
      </c>
      <c r="C49" s="160" t="s">
        <v>140</v>
      </c>
      <c r="D49" s="160" t="s">
        <v>550</v>
      </c>
      <c r="E49" s="160"/>
      <c r="F49" s="160"/>
      <c r="G49" s="161">
        <f>PEP!F55</f>
        <v>500000</v>
      </c>
      <c r="H49" s="161"/>
      <c r="I49" s="160"/>
      <c r="J49" s="160"/>
      <c r="K49" s="162">
        <f>[2]PEP!C54</f>
        <v>43818.291666666664</v>
      </c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2">
        <f>[3]PEP!D54</f>
        <v>43768.666666666664</v>
      </c>
      <c r="AD49" s="160"/>
      <c r="AE49" s="162">
        <f>[3]PEP!D55</f>
        <v>44622.666666666664</v>
      </c>
      <c r="AF49" s="160"/>
      <c r="AG49" s="160"/>
      <c r="AH49" s="160"/>
      <c r="AI49" s="160"/>
      <c r="AJ49" s="160"/>
      <c r="AK49" s="163"/>
      <c r="AL49" s="179"/>
      <c r="AM49" s="179"/>
    </row>
    <row r="50" spans="1:41" ht="37.5" customHeight="1" x14ac:dyDescent="0.25">
      <c r="A50" s="175" t="str">
        <f>[3]PEP!A70</f>
        <v>2.3.2ﾠ</v>
      </c>
      <c r="B50" s="159">
        <v>1</v>
      </c>
      <c r="C50" s="160" t="s">
        <v>551</v>
      </c>
      <c r="D50" s="160" t="s">
        <v>550</v>
      </c>
      <c r="E50" s="160"/>
      <c r="F50" s="160"/>
      <c r="G50" s="161">
        <f>PEP!F82</f>
        <v>326000</v>
      </c>
      <c r="H50" s="161"/>
      <c r="I50" s="160"/>
      <c r="J50" s="160"/>
      <c r="K50" s="162">
        <f>[2]PEP!C72</f>
        <v>43654.291666666664</v>
      </c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2">
        <f>[2]PEP!D72</f>
        <v>43957.666666666664</v>
      </c>
      <c r="AD50" s="160"/>
      <c r="AE50" s="162">
        <f>[2]PEP!D73</f>
        <v>44797.666666666664</v>
      </c>
      <c r="AF50" s="160"/>
      <c r="AG50" s="160"/>
      <c r="AH50" s="160"/>
      <c r="AI50" s="160"/>
      <c r="AJ50" s="160"/>
      <c r="AK50" s="163"/>
      <c r="AL50" s="179"/>
      <c r="AM50" s="179"/>
    </row>
    <row r="51" spans="1:41" ht="34.5" customHeight="1" x14ac:dyDescent="0.25">
      <c r="A51" s="158" t="str">
        <f>[2]PEP!A57</f>
        <v>2.2ﾠ</v>
      </c>
      <c r="B51" s="159">
        <v>1</v>
      </c>
      <c r="C51" s="160" t="str">
        <f>[2]PEP!B57</f>
        <v>Steps survey administered</v>
      </c>
      <c r="D51" s="160" t="s">
        <v>550</v>
      </c>
      <c r="E51" s="160"/>
      <c r="F51" s="160"/>
      <c r="G51" s="161">
        <f>PEP!F68</f>
        <v>150000</v>
      </c>
      <c r="H51" s="161"/>
      <c r="I51" s="160"/>
      <c r="J51" s="160"/>
      <c r="K51" s="162">
        <f>[2]PEP!C58</f>
        <v>43566.291666666664</v>
      </c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2">
        <f>[2]PEP!D58</f>
        <v>43866.666666666664</v>
      </c>
      <c r="AD51" s="160"/>
      <c r="AE51" s="162">
        <f>[2]PEP!D59</f>
        <v>43992.666666666664</v>
      </c>
      <c r="AF51" s="160"/>
      <c r="AG51" s="160"/>
      <c r="AH51" s="160"/>
      <c r="AI51" s="160"/>
      <c r="AJ51" s="160"/>
      <c r="AK51" s="163" t="s">
        <v>552</v>
      </c>
      <c r="AL51" s="179"/>
      <c r="AM51" s="179"/>
    </row>
    <row r="52" spans="1:41" ht="41.25" customHeight="1" thickBot="1" x14ac:dyDescent="0.3">
      <c r="A52" s="164" t="str">
        <f>[2]PEP!A85</f>
        <v>3.2ﾠ</v>
      </c>
      <c r="B52" s="165">
        <v>2</v>
      </c>
      <c r="C52" s="166" t="str">
        <f>[2]PEP!B85</f>
        <v>Continuous Quality Improvement strategy designed and implemented in CCM centers</v>
      </c>
      <c r="D52" s="166" t="s">
        <v>550</v>
      </c>
      <c r="E52" s="166"/>
      <c r="F52" s="166"/>
      <c r="G52" s="161">
        <f>PEP!F96</f>
        <v>300000</v>
      </c>
      <c r="H52" s="167"/>
      <c r="I52" s="166"/>
      <c r="J52" s="166"/>
      <c r="K52" s="174">
        <f>[2]PEP!C86</f>
        <v>43718.291666666664</v>
      </c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74">
        <f>[2]PEP!D86</f>
        <v>44018.666666666664</v>
      </c>
      <c r="AD52" s="166"/>
      <c r="AE52" s="174">
        <f>[2]PEP!D87</f>
        <v>44858.666666666664</v>
      </c>
      <c r="AF52" s="166"/>
      <c r="AG52" s="166"/>
      <c r="AH52" s="166"/>
      <c r="AI52" s="166"/>
      <c r="AJ52" s="166"/>
      <c r="AK52" s="168"/>
      <c r="AL52" s="179"/>
      <c r="AM52" s="179"/>
    </row>
    <row r="53" spans="1:41" ht="41.25" customHeight="1" thickBot="1" x14ac:dyDescent="0.3">
      <c r="A53" s="175" t="str">
        <f>[2]PEP!A91</f>
        <v>3.4ﾠ</v>
      </c>
      <c r="B53" s="159">
        <v>2</v>
      </c>
      <c r="C53" s="160" t="str">
        <f>[2]PEP!B91</f>
        <v>CCM centers with behavioral change and patient activation strategy implemented</v>
      </c>
      <c r="D53" s="160" t="s">
        <v>550</v>
      </c>
      <c r="E53" s="160"/>
      <c r="F53" s="161"/>
      <c r="G53" s="161">
        <f>PEP!F100</f>
        <v>170000</v>
      </c>
      <c r="H53" s="161"/>
      <c r="I53" s="160"/>
      <c r="J53" s="160"/>
      <c r="K53" s="162">
        <f>[2]PEP!C92</f>
        <v>44859.291666666664</v>
      </c>
      <c r="L53" s="160"/>
      <c r="M53" s="162"/>
      <c r="N53" s="160"/>
      <c r="O53" s="162"/>
      <c r="P53" s="160"/>
      <c r="Q53" s="160"/>
      <c r="R53" s="160"/>
      <c r="S53" s="160"/>
      <c r="T53" s="160"/>
      <c r="U53" s="163"/>
      <c r="V53" s="166"/>
      <c r="W53" s="166"/>
      <c r="X53" s="166"/>
      <c r="Y53" s="166"/>
      <c r="Z53" s="166"/>
      <c r="AA53" s="166"/>
      <c r="AB53" s="166"/>
      <c r="AC53" s="174">
        <f>[2]PEP!D92</f>
        <v>45159.666666666664</v>
      </c>
      <c r="AD53" s="166"/>
      <c r="AE53" s="174">
        <f>[2]PEP!D94</f>
        <v>45439.666666666664</v>
      </c>
      <c r="AF53" s="166"/>
      <c r="AG53" s="166"/>
      <c r="AH53" s="166"/>
      <c r="AI53" s="166"/>
      <c r="AJ53" s="166"/>
      <c r="AK53" s="168"/>
      <c r="AL53" s="179"/>
      <c r="AM53" s="179"/>
    </row>
    <row r="54" spans="1:41" x14ac:dyDescent="0.25">
      <c r="B54" s="154"/>
      <c r="C54" s="154"/>
      <c r="D54" s="154"/>
      <c r="E54" s="154"/>
      <c r="F54" s="154"/>
      <c r="G54" s="154"/>
      <c r="H54" s="169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6"/>
      <c r="AM54" s="156"/>
      <c r="AN54" s="179"/>
      <c r="AO54" s="179"/>
    </row>
    <row r="55" spans="1:41" ht="25.5" customHeight="1" thickBot="1" x14ac:dyDescent="0.3">
      <c r="A55" s="196" t="s">
        <v>553</v>
      </c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53"/>
      <c r="W55" s="153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6"/>
      <c r="AM55" s="156"/>
      <c r="AN55" s="179"/>
      <c r="AO55" s="179"/>
    </row>
    <row r="56" spans="1:41" ht="15" customHeight="1" x14ac:dyDescent="0.25">
      <c r="A56" s="232" t="s">
        <v>490</v>
      </c>
      <c r="B56" s="211" t="s">
        <v>491</v>
      </c>
      <c r="C56" s="207" t="s">
        <v>492</v>
      </c>
      <c r="D56" s="203" t="s">
        <v>493</v>
      </c>
      <c r="E56" s="207" t="s">
        <v>535</v>
      </c>
      <c r="F56" s="207" t="s">
        <v>497</v>
      </c>
      <c r="G56" s="207" t="s">
        <v>554</v>
      </c>
      <c r="H56" s="210" t="s">
        <v>521</v>
      </c>
      <c r="I56" s="211" t="s">
        <v>522</v>
      </c>
      <c r="J56" s="207" t="s">
        <v>500</v>
      </c>
      <c r="K56" s="207" t="s">
        <v>501</v>
      </c>
      <c r="L56" s="207"/>
      <c r="M56" s="207"/>
      <c r="N56" s="207"/>
      <c r="O56" s="207"/>
      <c r="P56" s="207"/>
      <c r="Q56" s="207" t="s">
        <v>555</v>
      </c>
      <c r="R56" s="207" t="s">
        <v>556</v>
      </c>
      <c r="S56" s="207"/>
      <c r="T56" s="207" t="s">
        <v>557</v>
      </c>
      <c r="U56" s="209" t="s">
        <v>504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79"/>
      <c r="AM56" s="179"/>
    </row>
    <row r="57" spans="1:41" x14ac:dyDescent="0.25">
      <c r="A57" s="233"/>
      <c r="B57" s="204"/>
      <c r="C57" s="207"/>
      <c r="D57" s="204"/>
      <c r="E57" s="207"/>
      <c r="F57" s="207"/>
      <c r="G57" s="207"/>
      <c r="H57" s="210"/>
      <c r="I57" s="204"/>
      <c r="J57" s="207"/>
      <c r="K57" s="207" t="s">
        <v>558</v>
      </c>
      <c r="L57" s="207"/>
      <c r="M57" s="207" t="s">
        <v>559</v>
      </c>
      <c r="N57" s="207"/>
      <c r="O57" s="207" t="s">
        <v>560</v>
      </c>
      <c r="P57" s="207"/>
      <c r="Q57" s="207"/>
      <c r="R57" s="207" t="s">
        <v>561</v>
      </c>
      <c r="S57" s="207" t="s">
        <v>562</v>
      </c>
      <c r="T57" s="207"/>
      <c r="U57" s="209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79"/>
      <c r="AM57" s="179"/>
    </row>
    <row r="58" spans="1:41" x14ac:dyDescent="0.25">
      <c r="A58" s="234"/>
      <c r="B58" s="205"/>
      <c r="C58" s="207"/>
      <c r="D58" s="235"/>
      <c r="E58" s="207"/>
      <c r="F58" s="207"/>
      <c r="G58" s="207"/>
      <c r="H58" s="210"/>
      <c r="I58" s="205"/>
      <c r="J58" s="207"/>
      <c r="K58" s="157" t="s">
        <v>513</v>
      </c>
      <c r="L58" s="157" t="s">
        <v>514</v>
      </c>
      <c r="M58" s="157" t="s">
        <v>513</v>
      </c>
      <c r="N58" s="157" t="s">
        <v>514</v>
      </c>
      <c r="O58" s="157" t="s">
        <v>513</v>
      </c>
      <c r="P58" s="157" t="s">
        <v>514</v>
      </c>
      <c r="Q58" s="207"/>
      <c r="R58" s="207"/>
      <c r="S58" s="207"/>
      <c r="T58" s="207"/>
      <c r="U58" s="209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79"/>
      <c r="AM58" s="179"/>
    </row>
    <row r="59" spans="1:41" ht="38.25" customHeight="1" x14ac:dyDescent="0.25">
      <c r="A59" s="175" t="str">
        <f>[2]PEP!A88</f>
        <v>3.3ﾠ</v>
      </c>
      <c r="B59" s="159">
        <v>2</v>
      </c>
      <c r="C59" s="160" t="str">
        <f>[2]PEP!B88</f>
        <v>CCM model guidelines updated</v>
      </c>
      <c r="D59" s="160" t="s">
        <v>563</v>
      </c>
      <c r="E59" s="160"/>
      <c r="F59" s="161">
        <f>PEP!F97</f>
        <v>60000</v>
      </c>
      <c r="G59" s="160"/>
      <c r="H59" s="161"/>
      <c r="I59" s="160"/>
      <c r="J59" s="160"/>
      <c r="K59" s="162">
        <f>[2]PEP!C89</f>
        <v>43566.291666666664</v>
      </c>
      <c r="L59" s="160"/>
      <c r="M59" s="162">
        <f>[2]PEP!D89</f>
        <v>43717.666666666664</v>
      </c>
      <c r="N59" s="160"/>
      <c r="O59" s="162">
        <f>[2]PEP!D90</f>
        <v>43829.666666666664</v>
      </c>
      <c r="P59" s="160"/>
      <c r="Q59" s="160"/>
      <c r="R59" s="160"/>
      <c r="S59" s="160"/>
      <c r="T59" s="160"/>
      <c r="U59" s="163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79"/>
      <c r="AM59" s="179"/>
    </row>
    <row r="60" spans="1:41" ht="33.75" customHeight="1" thickBot="1" x14ac:dyDescent="0.3">
      <c r="A60" s="176" t="str">
        <f>[2]PEP!A114</f>
        <v>4.1.1ﾠ</v>
      </c>
      <c r="B60" s="165">
        <v>3</v>
      </c>
      <c r="C60" s="166" t="str">
        <f>[2]PEP!B114</f>
        <v>BCC campaign designed</v>
      </c>
      <c r="D60" s="166" t="s">
        <v>564</v>
      </c>
      <c r="E60" s="166"/>
      <c r="F60" s="161">
        <f>PEP!F140</f>
        <v>20000</v>
      </c>
      <c r="G60" s="166"/>
      <c r="H60" s="167"/>
      <c r="I60" s="166"/>
      <c r="J60" s="166"/>
      <c r="K60" s="174">
        <f>[2]PEP!C115</f>
        <v>43566.291666666664</v>
      </c>
      <c r="L60" s="166"/>
      <c r="M60" s="174">
        <f>[2]PEP!D115</f>
        <v>43717.666666666664</v>
      </c>
      <c r="N60" s="166"/>
      <c r="O60" s="174">
        <f>[2]PEP!D116</f>
        <v>43759.666666666664</v>
      </c>
      <c r="P60" s="166"/>
      <c r="Q60" s="166"/>
      <c r="R60" s="166"/>
      <c r="S60" s="166"/>
      <c r="T60" s="166"/>
      <c r="U60" s="168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6"/>
      <c r="AM60" s="156"/>
    </row>
    <row r="61" spans="1:41" ht="33.75" customHeight="1" thickBot="1" x14ac:dyDescent="0.3">
      <c r="A61" s="176" t="str">
        <f>[2]PEP!A141</f>
        <v>4.1.4ﾠ</v>
      </c>
      <c r="B61" s="165">
        <v>3</v>
      </c>
      <c r="C61" s="166" t="s">
        <v>565</v>
      </c>
      <c r="D61" s="166" t="s">
        <v>564</v>
      </c>
      <c r="E61" s="166"/>
      <c r="F61" s="161">
        <f>PEP!F167</f>
        <v>30000</v>
      </c>
      <c r="G61" s="166"/>
      <c r="H61" s="167"/>
      <c r="I61" s="166"/>
      <c r="J61" s="166"/>
      <c r="K61" s="174">
        <f>[2]PEP!C142</f>
        <v>44074.291666666664</v>
      </c>
      <c r="L61" s="166"/>
      <c r="M61" s="174">
        <f>[2]PEP!D142</f>
        <v>44223.666666666664</v>
      </c>
      <c r="N61" s="166"/>
      <c r="O61" s="174">
        <f>[2]PEP!D143</f>
        <v>44288.666666666664</v>
      </c>
      <c r="P61" s="166"/>
      <c r="Q61" s="166"/>
      <c r="R61" s="166"/>
      <c r="S61" s="166"/>
      <c r="T61" s="166"/>
      <c r="U61" s="168" t="s">
        <v>566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6"/>
      <c r="AM61" s="156"/>
    </row>
    <row r="62" spans="1:41" ht="53.25" customHeight="1" thickBot="1" x14ac:dyDescent="0.3">
      <c r="A62" s="176" t="str">
        <f>[2]PEP!A171</f>
        <v>4.5ﾠ</v>
      </c>
      <c r="B62" s="165">
        <v>3</v>
      </c>
      <c r="C62" s="166" t="str">
        <f>[2]PEP!B171</f>
        <v>Quality Assurance and Quality Control Guide developed</v>
      </c>
      <c r="D62" s="166" t="s">
        <v>563</v>
      </c>
      <c r="E62" s="166"/>
      <c r="F62" s="161">
        <f>PEP!F195</f>
        <v>65000</v>
      </c>
      <c r="G62" s="166"/>
      <c r="H62" s="167"/>
      <c r="I62" s="166"/>
      <c r="J62" s="166"/>
      <c r="K62" s="174">
        <f>[2]PEP!C172</f>
        <v>43566.291666666664</v>
      </c>
      <c r="L62" s="166"/>
      <c r="M62" s="174">
        <f>[2]PEP!D172</f>
        <v>43683.666666666664</v>
      </c>
      <c r="N62" s="166"/>
      <c r="O62" s="174">
        <f>[2]PEP!D173</f>
        <v>43725.666666666664</v>
      </c>
      <c r="P62" s="166"/>
      <c r="Q62" s="166"/>
      <c r="R62" s="166"/>
      <c r="S62" s="166"/>
      <c r="T62" s="166"/>
      <c r="U62" s="168" t="s">
        <v>567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56"/>
      <c r="AM62" s="156"/>
    </row>
    <row r="63" spans="1:41" ht="51" customHeight="1" thickBot="1" x14ac:dyDescent="0.3">
      <c r="A63" s="176" t="str">
        <f>[2]PEP!A180</f>
        <v>4.7ﾠ</v>
      </c>
      <c r="B63" s="165">
        <v>3</v>
      </c>
      <c r="C63" s="166" t="str">
        <f>[2]PEP!B180</f>
        <v>National strategy for provision of health services for priority infectious diseases to (mobile) migrant populations designed</v>
      </c>
      <c r="D63" s="166" t="s">
        <v>564</v>
      </c>
      <c r="E63" s="166"/>
      <c r="F63" s="161">
        <f>PEP!F206</f>
        <v>15000</v>
      </c>
      <c r="G63" s="166"/>
      <c r="H63" s="167"/>
      <c r="I63" s="166"/>
      <c r="J63" s="166"/>
      <c r="K63" s="174">
        <f>[2]PEP!C181</f>
        <v>43566.291666666664</v>
      </c>
      <c r="L63" s="166"/>
      <c r="M63" s="174">
        <f>[2]PEP!D181</f>
        <v>43717.666666666664</v>
      </c>
      <c r="N63" s="166"/>
      <c r="O63" s="174">
        <f>[2]PEP!D182</f>
        <v>43759.666666666664</v>
      </c>
      <c r="P63" s="166"/>
      <c r="Q63" s="166"/>
      <c r="R63" s="166"/>
      <c r="S63" s="166"/>
      <c r="T63" s="166"/>
      <c r="U63" s="168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6"/>
      <c r="AM63" s="156"/>
    </row>
    <row r="64" spans="1:41" ht="53.25" customHeight="1" thickBot="1" x14ac:dyDescent="0.3">
      <c r="A64" s="176" t="str">
        <f>[2]PEP!A183</f>
        <v>4.8ﾠ</v>
      </c>
      <c r="B64" s="165">
        <v>3</v>
      </c>
      <c r="C64" s="166" t="str">
        <f>[2]PEP!B183</f>
        <v>Baseline prevalence study in migrant populations(HIV/Leishmaniasis, TB/Leprosy) elaborated</v>
      </c>
      <c r="D64" s="166" t="s">
        <v>563</v>
      </c>
      <c r="E64" s="166"/>
      <c r="F64" s="161">
        <f>PEP!F209</f>
        <v>63000</v>
      </c>
      <c r="G64" s="166"/>
      <c r="H64" s="167"/>
      <c r="I64" s="166"/>
      <c r="J64" s="166"/>
      <c r="K64" s="174">
        <f>[2]PEP!C184</f>
        <v>43718.291666666664</v>
      </c>
      <c r="L64" s="166"/>
      <c r="M64" s="174">
        <f>[2]PEP!D184</f>
        <v>43867.666666666664</v>
      </c>
      <c r="N64" s="166"/>
      <c r="O64" s="174">
        <f>[2]PEP!D185</f>
        <v>43993.666666666664</v>
      </c>
      <c r="P64" s="166"/>
      <c r="Q64" s="166"/>
      <c r="R64" s="166"/>
      <c r="S64" s="166"/>
      <c r="T64" s="166"/>
      <c r="U64" s="168"/>
      <c r="V64" s="154"/>
      <c r="W64" s="154"/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  <c r="AI64" s="154"/>
      <c r="AJ64" s="154"/>
      <c r="AK64" s="154"/>
      <c r="AL64" s="156"/>
      <c r="AM64" s="156"/>
    </row>
    <row r="65" spans="1:41" ht="52.5" customHeight="1" thickBot="1" x14ac:dyDescent="0.3">
      <c r="A65" s="176" t="str">
        <f>[2]PEP!A186</f>
        <v>4.9ﾠ</v>
      </c>
      <c r="B65" s="165">
        <v>3</v>
      </c>
      <c r="C65" s="166" t="str">
        <f>[2]PEP!B186</f>
        <v xml:space="preserve">Migrant study on population size, migration, turnover and health priorities elaborated </v>
      </c>
      <c r="D65" s="166" t="s">
        <v>564</v>
      </c>
      <c r="E65" s="166"/>
      <c r="F65" s="161">
        <f>PEP!F212</f>
        <v>30000</v>
      </c>
      <c r="G65" s="166"/>
      <c r="H65" s="167"/>
      <c r="I65" s="166"/>
      <c r="J65" s="166"/>
      <c r="K65" s="174">
        <f>[2]PEP!C187</f>
        <v>43868.291666666664</v>
      </c>
      <c r="L65" s="166"/>
      <c r="M65" s="174">
        <f>[2]PEP!D187</f>
        <v>44019.666666666664</v>
      </c>
      <c r="N65" s="166"/>
      <c r="O65" s="174">
        <f>[2]PEP!D188</f>
        <v>44145.666666666664</v>
      </c>
      <c r="P65" s="166"/>
      <c r="Q65" s="166"/>
      <c r="R65" s="166"/>
      <c r="S65" s="166"/>
      <c r="T65" s="166"/>
      <c r="U65" s="168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  <c r="AI65" s="154"/>
      <c r="AJ65" s="154"/>
      <c r="AK65" s="154"/>
      <c r="AL65" s="156"/>
      <c r="AM65" s="156"/>
    </row>
    <row r="66" spans="1:41" ht="36.75" customHeight="1" x14ac:dyDescent="0.25">
      <c r="B66" s="154"/>
      <c r="C66" s="154"/>
      <c r="D66" s="154"/>
      <c r="E66" s="154"/>
      <c r="F66" s="154"/>
      <c r="G66" s="154"/>
      <c r="H66" s="169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6"/>
      <c r="AM66" s="156"/>
      <c r="AN66" s="179"/>
      <c r="AO66" s="179"/>
    </row>
    <row r="67" spans="1:41" ht="15.75" customHeight="1" thickBot="1" x14ac:dyDescent="0.3">
      <c r="A67" s="196" t="s">
        <v>568</v>
      </c>
      <c r="B67" s="196"/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53"/>
      <c r="U67" s="153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6"/>
      <c r="AM67" s="156"/>
      <c r="AN67" s="179"/>
      <c r="AO67" s="179"/>
    </row>
    <row r="68" spans="1:41" ht="15" customHeight="1" x14ac:dyDescent="0.25">
      <c r="A68" s="180" t="s">
        <v>490</v>
      </c>
      <c r="B68" s="211" t="s">
        <v>491</v>
      </c>
      <c r="C68" s="207" t="s">
        <v>492</v>
      </c>
      <c r="D68" s="203" t="s">
        <v>493</v>
      </c>
      <c r="E68" s="207" t="s">
        <v>535</v>
      </c>
      <c r="F68" s="207" t="s">
        <v>496</v>
      </c>
      <c r="G68" s="207" t="s">
        <v>497</v>
      </c>
      <c r="H68" s="210" t="s">
        <v>521</v>
      </c>
      <c r="I68" s="211" t="s">
        <v>522</v>
      </c>
      <c r="J68" s="207" t="s">
        <v>536</v>
      </c>
      <c r="K68" s="207" t="s">
        <v>501</v>
      </c>
      <c r="L68" s="207"/>
      <c r="M68" s="207"/>
      <c r="N68" s="207"/>
      <c r="O68" s="207"/>
      <c r="P68" s="207"/>
      <c r="Q68" s="211" t="s">
        <v>569</v>
      </c>
      <c r="R68" s="207" t="s">
        <v>570</v>
      </c>
      <c r="S68" s="209" t="s">
        <v>504</v>
      </c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79"/>
      <c r="AM68" s="179"/>
    </row>
    <row r="69" spans="1:41" ht="30" customHeight="1" x14ac:dyDescent="0.25">
      <c r="A69" s="181"/>
      <c r="B69" s="204"/>
      <c r="C69" s="207"/>
      <c r="D69" s="204"/>
      <c r="E69" s="207"/>
      <c r="F69" s="207"/>
      <c r="G69" s="207"/>
      <c r="H69" s="210"/>
      <c r="I69" s="204"/>
      <c r="J69" s="207"/>
      <c r="K69" s="207" t="s">
        <v>571</v>
      </c>
      <c r="L69" s="207"/>
      <c r="M69" s="207" t="s">
        <v>572</v>
      </c>
      <c r="N69" s="207"/>
      <c r="O69" s="207" t="s">
        <v>560</v>
      </c>
      <c r="P69" s="207"/>
      <c r="Q69" s="204"/>
      <c r="R69" s="207"/>
      <c r="S69" s="209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79"/>
      <c r="AM69" s="179"/>
    </row>
    <row r="70" spans="1:41" ht="38.25" hidden="1" customHeight="1" x14ac:dyDescent="0.25">
      <c r="B70" s="205"/>
      <c r="C70" s="207"/>
      <c r="D70" s="157"/>
      <c r="E70" s="207"/>
      <c r="F70" s="207"/>
      <c r="G70" s="207"/>
      <c r="H70" s="210"/>
      <c r="I70" s="205"/>
      <c r="J70" s="207"/>
      <c r="K70" s="157" t="s">
        <v>513</v>
      </c>
      <c r="L70" s="157" t="s">
        <v>514</v>
      </c>
      <c r="M70" s="157" t="s">
        <v>513</v>
      </c>
      <c r="N70" s="157" t="s">
        <v>514</v>
      </c>
      <c r="O70" s="157" t="s">
        <v>513</v>
      </c>
      <c r="P70" s="157" t="s">
        <v>514</v>
      </c>
      <c r="Q70" s="205"/>
      <c r="R70" s="207"/>
      <c r="S70" s="209"/>
      <c r="T70" s="182"/>
      <c r="U70" s="182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79"/>
      <c r="AM70" s="179"/>
    </row>
    <row r="71" spans="1:41" ht="82.5" customHeight="1" x14ac:dyDescent="0.25">
      <c r="A71" s="175" t="str">
        <f>[2]PEP!A135</f>
        <v>4.1.3ﾠ</v>
      </c>
      <c r="B71" s="159">
        <v>3</v>
      </c>
      <c r="C71" s="160" t="str">
        <f>[2]PEP!B135</f>
        <v>MSD personnel trained for outreach activities</v>
      </c>
      <c r="D71" s="160" t="s">
        <v>525</v>
      </c>
      <c r="E71" s="160"/>
      <c r="F71" s="160"/>
      <c r="G71" s="161">
        <f>PEP!F159</f>
        <v>60000</v>
      </c>
      <c r="H71" s="161"/>
      <c r="I71" s="160"/>
      <c r="J71" s="160"/>
      <c r="K71" s="162">
        <f>[2]PEP!C136</f>
        <v>43718.291666666664</v>
      </c>
      <c r="L71" s="160"/>
      <c r="M71" s="160"/>
      <c r="N71" s="160"/>
      <c r="O71" s="162">
        <f>[2]PEP!D140</f>
        <v>45071.666666666664</v>
      </c>
      <c r="P71" s="160"/>
      <c r="Q71" s="160"/>
      <c r="R71" s="160"/>
      <c r="S71" s="163" t="s">
        <v>573</v>
      </c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4"/>
      <c r="AL71" s="179"/>
      <c r="AM71" s="179"/>
    </row>
    <row r="72" spans="1:41" ht="91.5" customHeight="1" x14ac:dyDescent="0.25">
      <c r="A72" s="175" t="str">
        <f>[2]PEP!A174</f>
        <v>4.6ﾠ</v>
      </c>
      <c r="B72" s="159">
        <v>3</v>
      </c>
      <c r="C72" s="160" t="str">
        <f>[2]PEP!B174</f>
        <v>Basic Language Training (Portuguese) provided to Medical Mission clinics personnel located near mining areas</v>
      </c>
      <c r="D72" s="160" t="s">
        <v>525</v>
      </c>
      <c r="E72" s="160"/>
      <c r="F72" s="160"/>
      <c r="G72" s="161">
        <f>PEP!F198</f>
        <v>36000</v>
      </c>
      <c r="H72" s="161"/>
      <c r="I72" s="160"/>
      <c r="J72" s="160"/>
      <c r="K72" s="162">
        <f>[2]PEP!C175</f>
        <v>43868.291666666664</v>
      </c>
      <c r="L72" s="160"/>
      <c r="M72" s="160"/>
      <c r="N72" s="160"/>
      <c r="O72" s="162">
        <f>[2]PEP!D179</f>
        <v>45268.666666666664</v>
      </c>
      <c r="P72" s="160"/>
      <c r="Q72" s="160"/>
      <c r="R72" s="160"/>
      <c r="S72" s="163" t="s">
        <v>573</v>
      </c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79"/>
      <c r="AM72" s="179"/>
    </row>
    <row r="73" spans="1:41" ht="60.75" customHeight="1" thickBot="1" x14ac:dyDescent="0.3">
      <c r="A73" s="176" t="str">
        <f>[2]PEP!A189</f>
        <v>4.10ﾠ</v>
      </c>
      <c r="B73" s="165">
        <v>3</v>
      </c>
      <c r="C73" s="166" t="str">
        <f>[2]PEP!B189</f>
        <v>HIV staff in TropClinic and national counterparts trained annually</v>
      </c>
      <c r="D73" s="166" t="s">
        <v>525</v>
      </c>
      <c r="E73" s="166"/>
      <c r="F73" s="166"/>
      <c r="G73" s="161">
        <f>PEP!F213</f>
        <v>36000</v>
      </c>
      <c r="H73" s="167"/>
      <c r="I73" s="166"/>
      <c r="J73" s="166"/>
      <c r="K73" s="174">
        <f>[2]PEP!C191</f>
        <v>43566.291666666664</v>
      </c>
      <c r="L73" s="166"/>
      <c r="M73" s="166"/>
      <c r="N73" s="166"/>
      <c r="O73" s="174">
        <f>[2]PEP!D197</f>
        <v>44847.666666666664</v>
      </c>
      <c r="P73" s="166"/>
      <c r="Q73" s="166"/>
      <c r="R73" s="166"/>
      <c r="S73" s="168" t="s">
        <v>573</v>
      </c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6"/>
      <c r="AM73" s="156"/>
    </row>
    <row r="74" spans="1:41" ht="60.75" customHeight="1" thickBot="1" x14ac:dyDescent="0.3">
      <c r="A74" s="176" t="str">
        <f>[2]PEP!A150</f>
        <v>4.2.1ﾠ</v>
      </c>
      <c r="B74" s="165">
        <v>3</v>
      </c>
      <c r="C74" s="166" t="str">
        <f>[2]PEP!B150</f>
        <v>2 Annual training program for microscopists (basic laboratory level, national public and private labs, around 40 people)</v>
      </c>
      <c r="D74" s="166" t="s">
        <v>525</v>
      </c>
      <c r="E74" s="166"/>
      <c r="F74" s="166"/>
      <c r="G74" s="161">
        <f>PEP!F174</f>
        <v>28000</v>
      </c>
      <c r="H74" s="167"/>
      <c r="I74" s="166"/>
      <c r="J74" s="166"/>
      <c r="K74" s="174">
        <f>[2]PEP!C151</f>
        <v>43690.291666666664</v>
      </c>
      <c r="L74" s="166"/>
      <c r="M74" s="166"/>
      <c r="N74" s="166"/>
      <c r="O74" s="174">
        <f>[2]PEP!D155</f>
        <v>44967.666666666664</v>
      </c>
      <c r="P74" s="166"/>
      <c r="Q74" s="166"/>
      <c r="R74" s="166"/>
      <c r="S74" s="168" t="s">
        <v>573</v>
      </c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6"/>
      <c r="AM74" s="156"/>
    </row>
    <row r="75" spans="1:41" ht="60.75" customHeight="1" thickBot="1" x14ac:dyDescent="0.3">
      <c r="A75" s="176" t="str">
        <f>[2]PEP!A156</f>
        <v>4.2.2ﾠ</v>
      </c>
      <c r="B75" s="165">
        <v>3</v>
      </c>
      <c r="C75" s="166" t="str">
        <f>[2]PEP!B156</f>
        <v>1 Bi-annual Expert training of microscopists (reference level for quality control, 5-10 persons)</v>
      </c>
      <c r="D75" s="166" t="s">
        <v>525</v>
      </c>
      <c r="E75" s="166"/>
      <c r="F75" s="166"/>
      <c r="G75" s="161">
        <f>PEP!F180</f>
        <v>40000</v>
      </c>
      <c r="H75" s="167"/>
      <c r="I75" s="166"/>
      <c r="J75" s="166"/>
      <c r="K75" s="174">
        <f>[2]PEP!C157</f>
        <v>43878.291666666664</v>
      </c>
      <c r="L75" s="166"/>
      <c r="M75" s="166"/>
      <c r="N75" s="166"/>
      <c r="O75" s="174">
        <f>[2]PEP!D159</f>
        <v>44781.666666666664</v>
      </c>
      <c r="P75" s="166"/>
      <c r="Q75" s="166"/>
      <c r="R75" s="166"/>
      <c r="S75" s="168" t="s">
        <v>574</v>
      </c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6"/>
      <c r="AM75" s="156"/>
    </row>
    <row r="76" spans="1:41" ht="60.75" customHeight="1" thickBot="1" x14ac:dyDescent="0.3">
      <c r="A76" s="176" t="str">
        <f>[2]PEP!A160</f>
        <v>4.2.3ﾠ</v>
      </c>
      <c r="B76" s="165">
        <v>3</v>
      </c>
      <c r="C76" s="166" t="str">
        <f>[2]PEP!B160</f>
        <v>Annual Training for MSDs and lab staff in QA and QC</v>
      </c>
      <c r="D76" s="166" t="s">
        <v>525</v>
      </c>
      <c r="E76" s="166"/>
      <c r="F76" s="166"/>
      <c r="G76" s="161">
        <f>PEP!F184</f>
        <v>200000</v>
      </c>
      <c r="H76" s="167"/>
      <c r="I76" s="166"/>
      <c r="J76" s="166"/>
      <c r="K76" s="174">
        <f>[2]PEP!C160</f>
        <v>43726.291666666664</v>
      </c>
      <c r="L76" s="166"/>
      <c r="M76" s="166"/>
      <c r="N76" s="166"/>
      <c r="O76" s="174">
        <f>[2]PEP!D164</f>
        <v>44824.666666666664</v>
      </c>
      <c r="P76" s="166"/>
      <c r="Q76" s="166"/>
      <c r="R76" s="166"/>
      <c r="S76" s="168" t="s">
        <v>573</v>
      </c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6"/>
      <c r="AM76" s="156"/>
    </row>
    <row r="77" spans="1:41" ht="60.75" customHeight="1" thickBot="1" x14ac:dyDescent="0.3">
      <c r="A77" s="176" t="str">
        <f>[2]PEP!A105</f>
        <v>3.5.4ﾠ</v>
      </c>
      <c r="B77" s="165">
        <v>2</v>
      </c>
      <c r="C77" s="166" t="str">
        <f>[2]PEP!B105</f>
        <v>Centers with clinical staff at CCM trained on guidelines application</v>
      </c>
      <c r="D77" s="166" t="s">
        <v>516</v>
      </c>
      <c r="E77" s="166"/>
      <c r="F77" s="166"/>
      <c r="G77" s="161">
        <f>PEP!F116</f>
        <v>280000</v>
      </c>
      <c r="H77" s="167"/>
      <c r="I77" s="166"/>
      <c r="J77" s="166"/>
      <c r="K77" s="174">
        <f>[2]PEP!C106</f>
        <v>44285.291666666664</v>
      </c>
      <c r="L77" s="166"/>
      <c r="M77" s="166"/>
      <c r="N77" s="166"/>
      <c r="O77" s="174">
        <f>[2]PEP!D107</f>
        <v>44634.666666666664</v>
      </c>
      <c r="P77" s="166"/>
      <c r="Q77" s="166"/>
      <c r="R77" s="166"/>
      <c r="S77" s="168" t="s">
        <v>528</v>
      </c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6"/>
      <c r="AM77" s="156"/>
    </row>
    <row r="78" spans="1:41" x14ac:dyDescent="0.25">
      <c r="B78" s="154"/>
      <c r="C78" s="154"/>
      <c r="D78" s="154"/>
      <c r="E78" s="154"/>
      <c r="F78" s="154"/>
      <c r="G78" s="154"/>
      <c r="H78" s="169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6"/>
      <c r="AM78" s="156"/>
      <c r="AN78" s="179"/>
      <c r="AO78" s="179"/>
    </row>
    <row r="79" spans="1:41" ht="25.5" customHeight="1" x14ac:dyDescent="0.25">
      <c r="A79" s="196" t="s">
        <v>575</v>
      </c>
      <c r="B79" s="196"/>
      <c r="C79" s="196"/>
      <c r="D79" s="196"/>
      <c r="E79" s="196"/>
      <c r="F79" s="196"/>
      <c r="G79" s="196"/>
      <c r="H79" s="196"/>
      <c r="I79" s="196"/>
      <c r="J79" s="196"/>
      <c r="K79" s="196"/>
      <c r="L79" s="196"/>
      <c r="M79" s="196"/>
      <c r="N79" s="196"/>
      <c r="O79" s="196"/>
      <c r="P79" s="153"/>
      <c r="Q79" s="153"/>
      <c r="R79" s="154"/>
      <c r="S79" s="153"/>
      <c r="T79" s="156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6"/>
      <c r="AM79" s="156"/>
      <c r="AN79" s="179"/>
      <c r="AO79" s="179"/>
    </row>
    <row r="80" spans="1:41" ht="15.75" customHeight="1" x14ac:dyDescent="0.25">
      <c r="A80" s="221" t="s">
        <v>490</v>
      </c>
      <c r="B80" s="211" t="s">
        <v>491</v>
      </c>
      <c r="C80" s="207" t="s">
        <v>576</v>
      </c>
      <c r="D80" s="157"/>
      <c r="E80" s="207" t="s">
        <v>520</v>
      </c>
      <c r="F80" s="207" t="s">
        <v>521</v>
      </c>
      <c r="G80" s="207" t="s">
        <v>577</v>
      </c>
      <c r="H80" s="210" t="s">
        <v>500</v>
      </c>
      <c r="I80" s="239" t="s">
        <v>501</v>
      </c>
      <c r="J80" s="240"/>
      <c r="K80" s="240"/>
      <c r="L80" s="241"/>
      <c r="M80" s="211" t="s">
        <v>569</v>
      </c>
      <c r="N80" s="207" t="s">
        <v>578</v>
      </c>
      <c r="O80" s="236" t="s">
        <v>504</v>
      </c>
      <c r="P80" s="154"/>
      <c r="Q80" s="156"/>
      <c r="R80" s="156"/>
      <c r="S80" s="156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79"/>
      <c r="AM80" s="179"/>
    </row>
    <row r="81" spans="1:41" ht="28.5" customHeight="1" x14ac:dyDescent="0.25">
      <c r="A81" s="222"/>
      <c r="B81" s="204"/>
      <c r="C81" s="207"/>
      <c r="D81" s="157"/>
      <c r="E81" s="207"/>
      <c r="F81" s="207"/>
      <c r="G81" s="207"/>
      <c r="H81" s="210"/>
      <c r="I81" s="207" t="s">
        <v>579</v>
      </c>
      <c r="J81" s="207"/>
      <c r="K81" s="207" t="s">
        <v>580</v>
      </c>
      <c r="L81" s="207"/>
      <c r="M81" s="204"/>
      <c r="N81" s="207"/>
      <c r="O81" s="237"/>
      <c r="P81" s="154"/>
      <c r="Q81" s="156"/>
      <c r="R81" s="156"/>
      <c r="S81" s="156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56"/>
      <c r="AM81" s="179"/>
    </row>
    <row r="82" spans="1:41" x14ac:dyDescent="0.25">
      <c r="A82" s="223"/>
      <c r="B82" s="205"/>
      <c r="C82" s="207"/>
      <c r="D82" s="157"/>
      <c r="E82" s="207"/>
      <c r="F82" s="207"/>
      <c r="G82" s="207"/>
      <c r="H82" s="210"/>
      <c r="I82" s="157" t="s">
        <v>513</v>
      </c>
      <c r="J82" s="157" t="s">
        <v>514</v>
      </c>
      <c r="K82" s="157" t="s">
        <v>513</v>
      </c>
      <c r="L82" s="157" t="s">
        <v>514</v>
      </c>
      <c r="M82" s="205"/>
      <c r="N82" s="207"/>
      <c r="O82" s="238"/>
      <c r="P82" s="154"/>
      <c r="Q82" s="156"/>
      <c r="R82" s="156"/>
      <c r="S82" s="156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6"/>
      <c r="AM82" s="179"/>
    </row>
    <row r="83" spans="1:41" ht="28.5" customHeight="1" x14ac:dyDescent="0.25">
      <c r="A83" s="175"/>
      <c r="B83" s="159"/>
      <c r="C83" s="160"/>
      <c r="D83" s="160"/>
      <c r="E83" s="160"/>
      <c r="F83" s="160"/>
      <c r="G83" s="160"/>
      <c r="H83" s="161"/>
      <c r="I83" s="160"/>
      <c r="J83" s="160"/>
      <c r="K83" s="160"/>
      <c r="L83" s="160"/>
      <c r="M83" s="160"/>
      <c r="N83" s="160"/>
      <c r="O83" s="163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79"/>
      <c r="AM83" s="179"/>
    </row>
    <row r="84" spans="1:41" ht="20.25" customHeight="1" x14ac:dyDescent="0.25">
      <c r="A84" s="175"/>
      <c r="B84" s="159"/>
      <c r="C84" s="160"/>
      <c r="D84" s="160"/>
      <c r="E84" s="160"/>
      <c r="F84" s="160"/>
      <c r="G84" s="160"/>
      <c r="H84" s="161"/>
      <c r="I84" s="160"/>
      <c r="J84" s="160"/>
      <c r="K84" s="160"/>
      <c r="L84" s="160"/>
      <c r="M84" s="160"/>
      <c r="N84" s="160"/>
      <c r="O84" s="163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6"/>
      <c r="AM84" s="179"/>
    </row>
    <row r="85" spans="1:41" ht="29.25" customHeight="1" x14ac:dyDescent="0.25">
      <c r="A85" s="175"/>
      <c r="B85" s="159"/>
      <c r="C85" s="160"/>
      <c r="D85" s="160"/>
      <c r="E85" s="160"/>
      <c r="F85" s="160"/>
      <c r="G85" s="160"/>
      <c r="H85" s="161"/>
      <c r="I85" s="160"/>
      <c r="J85" s="160"/>
      <c r="K85" s="160"/>
      <c r="L85" s="160"/>
      <c r="M85" s="160"/>
      <c r="N85" s="160"/>
      <c r="O85" s="163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79"/>
      <c r="AM85" s="179"/>
    </row>
    <row r="86" spans="1:41" x14ac:dyDescent="0.25">
      <c r="A86" s="175"/>
      <c r="B86" s="159"/>
      <c r="C86" s="160"/>
      <c r="D86" s="160"/>
      <c r="E86" s="160"/>
      <c r="F86" s="160"/>
      <c r="G86" s="160"/>
      <c r="H86" s="161"/>
      <c r="I86" s="160"/>
      <c r="J86" s="160"/>
      <c r="K86" s="160"/>
      <c r="L86" s="160"/>
      <c r="M86" s="160"/>
      <c r="N86" s="160"/>
      <c r="O86" s="163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79"/>
      <c r="AM86" s="179"/>
    </row>
    <row r="87" spans="1:41" ht="15.75" thickBot="1" x14ac:dyDescent="0.3">
      <c r="A87" s="176"/>
      <c r="B87" s="165"/>
      <c r="C87" s="166"/>
      <c r="D87" s="166"/>
      <c r="E87" s="166"/>
      <c r="F87" s="166"/>
      <c r="G87" s="166"/>
      <c r="H87" s="167"/>
      <c r="I87" s="166"/>
      <c r="J87" s="166"/>
      <c r="K87" s="166"/>
      <c r="L87" s="166"/>
      <c r="M87" s="166"/>
      <c r="N87" s="166"/>
      <c r="O87" s="168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</row>
    <row r="88" spans="1:41" x14ac:dyDescent="0.25">
      <c r="B88" s="154"/>
      <c r="C88" s="154"/>
      <c r="D88" s="154"/>
      <c r="E88" s="154"/>
      <c r="F88" s="154"/>
      <c r="G88" s="154"/>
      <c r="H88" s="169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6"/>
      <c r="AO88" s="154"/>
    </row>
    <row r="89" spans="1:41" x14ac:dyDescent="0.25">
      <c r="B89" s="154"/>
      <c r="C89" s="154"/>
      <c r="D89" s="154"/>
      <c r="E89" s="154"/>
      <c r="F89" s="154"/>
      <c r="G89" s="154"/>
      <c r="H89" s="169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79"/>
      <c r="AO89" s="154"/>
    </row>
    <row r="90" spans="1:41" x14ac:dyDescent="0.25">
      <c r="B90" s="154"/>
      <c r="C90" s="154"/>
      <c r="D90" s="154"/>
      <c r="E90" s="154"/>
      <c r="F90" s="154"/>
      <c r="G90" s="154"/>
      <c r="H90" s="169"/>
      <c r="I90" s="154" t="s">
        <v>581</v>
      </c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  <c r="AN90" s="179"/>
      <c r="AO90" s="154"/>
    </row>
    <row r="91" spans="1:41" x14ac:dyDescent="0.25">
      <c r="B91" s="154"/>
      <c r="C91" s="154"/>
      <c r="D91" s="154"/>
      <c r="E91" s="154"/>
      <c r="F91" s="154"/>
      <c r="G91" s="154"/>
      <c r="H91" s="169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6"/>
      <c r="AO91" s="154"/>
    </row>
    <row r="92" spans="1:41" x14ac:dyDescent="0.25">
      <c r="B92" s="154"/>
      <c r="C92" s="154"/>
      <c r="D92" s="154"/>
      <c r="E92" s="154"/>
      <c r="F92" s="154"/>
      <c r="G92" s="154"/>
      <c r="H92" s="169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54"/>
      <c r="AM92" s="154"/>
      <c r="AN92" s="156"/>
      <c r="AO92" s="154"/>
    </row>
    <row r="93" spans="1:41" x14ac:dyDescent="0.25">
      <c r="B93" s="154"/>
      <c r="C93" s="154"/>
      <c r="D93" s="154"/>
      <c r="E93" s="154"/>
      <c r="F93" s="154"/>
      <c r="G93" s="154"/>
      <c r="H93" s="169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6"/>
      <c r="AO93" s="154"/>
    </row>
    <row r="94" spans="1:41" x14ac:dyDescent="0.25">
      <c r="B94" s="154"/>
      <c r="C94" s="154"/>
      <c r="D94" s="154"/>
      <c r="E94" s="154"/>
      <c r="F94" s="154"/>
      <c r="G94" s="154"/>
      <c r="H94" s="169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6"/>
      <c r="AO94" s="154"/>
    </row>
    <row r="95" spans="1:41" x14ac:dyDescent="0.25">
      <c r="B95" s="154"/>
      <c r="C95" s="154"/>
      <c r="D95" s="154"/>
      <c r="E95" s="154"/>
      <c r="F95" s="154"/>
      <c r="G95" s="154"/>
      <c r="H95" s="169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  <c r="AI95" s="154"/>
      <c r="AJ95" s="154"/>
      <c r="AK95" s="154"/>
      <c r="AL95" s="154"/>
      <c r="AM95" s="154"/>
      <c r="AN95" s="156"/>
      <c r="AO95" s="154"/>
    </row>
  </sheetData>
  <mergeCells count="159">
    <mergeCell ref="N80:N82"/>
    <mergeCell ref="O80:O82"/>
    <mergeCell ref="I81:J81"/>
    <mergeCell ref="K81:L81"/>
    <mergeCell ref="A79:O79"/>
    <mergeCell ref="A80:A82"/>
    <mergeCell ref="B80:B82"/>
    <mergeCell ref="C80:C82"/>
    <mergeCell ref="E80:E82"/>
    <mergeCell ref="F80:F82"/>
    <mergeCell ref="G80:G82"/>
    <mergeCell ref="H80:H82"/>
    <mergeCell ref="I80:L80"/>
    <mergeCell ref="M80:M82"/>
    <mergeCell ref="J68:J70"/>
    <mergeCell ref="K68:P68"/>
    <mergeCell ref="Q68:Q70"/>
    <mergeCell ref="R68:R70"/>
    <mergeCell ref="S68:S70"/>
    <mergeCell ref="K69:L69"/>
    <mergeCell ref="M69:N69"/>
    <mergeCell ref="O69:P69"/>
    <mergeCell ref="S57:S58"/>
    <mergeCell ref="A67:S67"/>
    <mergeCell ref="B68:B70"/>
    <mergeCell ref="C68:C70"/>
    <mergeCell ref="D68:D69"/>
    <mergeCell ref="E68:E70"/>
    <mergeCell ref="F68:F70"/>
    <mergeCell ref="G68:G70"/>
    <mergeCell ref="H68:H70"/>
    <mergeCell ref="I68:I70"/>
    <mergeCell ref="J56:J58"/>
    <mergeCell ref="K56:P56"/>
    <mergeCell ref="Q56:Q58"/>
    <mergeCell ref="R56:S56"/>
    <mergeCell ref="M46:N46"/>
    <mergeCell ref="O46:P46"/>
    <mergeCell ref="Q46:R46"/>
    <mergeCell ref="S46:T46"/>
    <mergeCell ref="U46:V46"/>
    <mergeCell ref="W46:X46"/>
    <mergeCell ref="T56:T58"/>
    <mergeCell ref="U56:U58"/>
    <mergeCell ref="K57:L57"/>
    <mergeCell ref="M57:N57"/>
    <mergeCell ref="O57:P57"/>
    <mergeCell ref="R57:R58"/>
    <mergeCell ref="A55:U55"/>
    <mergeCell ref="A56:A58"/>
    <mergeCell ref="B56:B58"/>
    <mergeCell ref="C56:C58"/>
    <mergeCell ref="D56:D58"/>
    <mergeCell ref="E56:E58"/>
    <mergeCell ref="F56:F58"/>
    <mergeCell ref="G56:G58"/>
    <mergeCell ref="H56:H58"/>
    <mergeCell ref="I56:I58"/>
    <mergeCell ref="AD38:AD39"/>
    <mergeCell ref="A44:AF44"/>
    <mergeCell ref="AG44:AK44"/>
    <mergeCell ref="A45:A46"/>
    <mergeCell ref="B45:B47"/>
    <mergeCell ref="C45:C47"/>
    <mergeCell ref="D45:D46"/>
    <mergeCell ref="E45:E47"/>
    <mergeCell ref="F45:F47"/>
    <mergeCell ref="G45:G47"/>
    <mergeCell ref="H45:H47"/>
    <mergeCell ref="I45:I47"/>
    <mergeCell ref="J45:J47"/>
    <mergeCell ref="K45:AF45"/>
    <mergeCell ref="AG45:AG47"/>
    <mergeCell ref="AH45:AH47"/>
    <mergeCell ref="Y46:Z46"/>
    <mergeCell ref="AA46:AB46"/>
    <mergeCell ref="AC46:AD46"/>
    <mergeCell ref="AE46:AF46"/>
    <mergeCell ref="AI45:AI47"/>
    <mergeCell ref="AJ45:AJ47"/>
    <mergeCell ref="AK45:AK47"/>
    <mergeCell ref="K46:L46"/>
    <mergeCell ref="AB35:AB37"/>
    <mergeCell ref="AC35:AC37"/>
    <mergeCell ref="AD27:AD28"/>
    <mergeCell ref="A34:AD34"/>
    <mergeCell ref="A35:A37"/>
    <mergeCell ref="B35:B37"/>
    <mergeCell ref="C35:C37"/>
    <mergeCell ref="D35:D37"/>
    <mergeCell ref="E35:E37"/>
    <mergeCell ref="F35:F37"/>
    <mergeCell ref="G35:G37"/>
    <mergeCell ref="H35:H37"/>
    <mergeCell ref="AD35:AD37"/>
    <mergeCell ref="L36:M36"/>
    <mergeCell ref="N36:O36"/>
    <mergeCell ref="P36:Q36"/>
    <mergeCell ref="R36:S36"/>
    <mergeCell ref="T36:U36"/>
    <mergeCell ref="V36:W36"/>
    <mergeCell ref="X36:Y36"/>
    <mergeCell ref="Z36:AA36"/>
    <mergeCell ref="L20:M20"/>
    <mergeCell ref="N20:O20"/>
    <mergeCell ref="P20:Q20"/>
    <mergeCell ref="R20:S20"/>
    <mergeCell ref="T20:U20"/>
    <mergeCell ref="V20:W20"/>
    <mergeCell ref="X20:Y20"/>
    <mergeCell ref="Z20:AA20"/>
    <mergeCell ref="I35:I37"/>
    <mergeCell ref="J35:J37"/>
    <mergeCell ref="K35:K37"/>
    <mergeCell ref="L35:AA35"/>
    <mergeCell ref="H19:H21"/>
    <mergeCell ref="I19:I21"/>
    <mergeCell ref="J19:J21"/>
    <mergeCell ref="K19:K21"/>
    <mergeCell ref="L19:AA19"/>
    <mergeCell ref="AB19:AB21"/>
    <mergeCell ref="X10:Y10"/>
    <mergeCell ref="Z10:AA10"/>
    <mergeCell ref="A18:AD18"/>
    <mergeCell ref="A19:A21"/>
    <mergeCell ref="B19:B21"/>
    <mergeCell ref="C19:C21"/>
    <mergeCell ref="D19:D21"/>
    <mergeCell ref="E19:E21"/>
    <mergeCell ref="F19:F21"/>
    <mergeCell ref="G19:G21"/>
    <mergeCell ref="F9:F11"/>
    <mergeCell ref="G9:G11"/>
    <mergeCell ref="H9:H11"/>
    <mergeCell ref="I9:I11"/>
    <mergeCell ref="J9:J11"/>
    <mergeCell ref="K9:K11"/>
    <mergeCell ref="AC19:AC21"/>
    <mergeCell ref="AD19:AD21"/>
    <mergeCell ref="A3:C3"/>
    <mergeCell ref="A4:C4"/>
    <mergeCell ref="A5:C5"/>
    <mergeCell ref="A7:AD7"/>
    <mergeCell ref="A8:AD8"/>
    <mergeCell ref="A9:A11"/>
    <mergeCell ref="B9:B11"/>
    <mergeCell ref="C9:C11"/>
    <mergeCell ref="D9:D11"/>
    <mergeCell ref="E9:E11"/>
    <mergeCell ref="L9:AA9"/>
    <mergeCell ref="AB9:AB11"/>
    <mergeCell ref="AC9:AC11"/>
    <mergeCell ref="AD9:AD11"/>
    <mergeCell ref="L10:M10"/>
    <mergeCell ref="N10:O10"/>
    <mergeCell ref="P10:Q10"/>
    <mergeCell ref="R10:S10"/>
    <mergeCell ref="T10:U10"/>
    <mergeCell ref="V10:W10"/>
  </mergeCells>
  <dataValidations count="10">
    <dataValidation type="list" allowBlank="1" showInputMessage="1" showErrorMessage="1" sqref="F48:F52" xr:uid="{13C77491-05DE-4B01-8AB1-B25A05A07921}">
      <formula1>$AL$58:$AL$58</formula1>
    </dataValidation>
    <dataValidation type="list" allowBlank="1" showInputMessage="1" showErrorMessage="1" sqref="F12:F16" xr:uid="{FC229309-7216-4F24-94DF-1AF4975524CC}">
      <formula1>$AN$78:$AN$79</formula1>
    </dataValidation>
    <dataValidation type="list" allowBlank="1" showInputMessage="1" showErrorMessage="1" sqref="F71:F77" xr:uid="{1E7E45A2-3F04-4EFA-9D98-F9F27D3021BC}">
      <formula1>$AL$58:$AL$59</formula1>
    </dataValidation>
    <dataValidation type="list" allowBlank="1" showInputMessage="1" showErrorMessage="1" sqref="J12:J16 J22:J32 J38:J42 I71:I77 I48:I53 I59:I65" xr:uid="{F5EC0B5E-0519-4575-B6B3-33E9C40C81F5}">
      <formula1>$AL$9:$AL$10</formula1>
    </dataValidation>
    <dataValidation type="list" allowBlank="1" showInputMessage="1" showErrorMessage="1" sqref="G22:G32" xr:uid="{94950593-D7A8-45D7-82BE-CFC24D63FAD2}">
      <formula1>$AL$48:$AL$50</formula1>
    </dataValidation>
    <dataValidation type="list" allowBlank="1" showInputMessage="1" showErrorMessage="1" sqref="G38:G42" xr:uid="{617BE883-CA26-4938-944D-6E5D5DD6E126}">
      <formula1>$AL$57</formula1>
    </dataValidation>
    <dataValidation type="list" allowBlank="1" showInputMessage="1" showErrorMessage="1" sqref="F38:F42" xr:uid="{B1F57A84-3CEF-4079-AA31-5F076A356A0E}">
      <formula1>$AL$81:$AL$84</formula1>
    </dataValidation>
    <dataValidation type="list" allowBlank="1" showInputMessage="1" showErrorMessage="1" sqref="K22:K32 K12:K16 K38:K42 H83:H87 J71:J77 J48:J53 J59:J65" xr:uid="{37258ACF-692E-4E9A-A7C5-5296DAE665A9}">
      <formula1>$AN$11:$AN$19</formula1>
    </dataValidation>
    <dataValidation type="list" allowBlank="1" showInputMessage="1" showErrorMessage="1" sqref="G12:G16 E83:E87" xr:uid="{4C9AC1C1-BBCA-4CF2-B461-BBA722229519}">
      <formula1>$AN$51:$AN$54</formula1>
    </dataValidation>
    <dataValidation type="list" allowBlank="1" showInputMessage="1" showErrorMessage="1" sqref="F22:F32" xr:uid="{AC32E137-B5E3-4419-A375-2B96B57582DF}">
      <formula1>$AN$66:$AN$72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9465FF09947BD40A217FAC186E9A6AF" ma:contentTypeVersion="75" ma:contentTypeDescription="The base project type from which other project content types inherit their information." ma:contentTypeScope="" ma:versionID="917eed4b1ee9914e85f027473777f1e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4a5962d2d5fdd34b6fac1dc80b3d0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SU-L1054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6EB3D221782E844819C7D2B73A38095" ma:contentTypeVersion="83" ma:contentTypeDescription="A content type to manage public (operations) IDB documents" ma:contentTypeScope="" ma:versionID="03f942d399ef4b11a49c77dcc3225ce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2f8e1f095e79cc5174b078fcdea54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SU-L105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>Pinto Masis, Diana</Other_x0020_Author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Guerra, Martha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69</Value>
      <Value>137</Value>
      <Value>3</Value>
      <Value>22</Value>
      <Value>70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PR-4590</Identifier>
    <Project_x0020_Number xmlns="cdc7663a-08f0-4737-9e8c-148ce897a09c">SU-L1054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R0002436091</Record_x0020_Number>
    <_dlc_DocId xmlns="cdc7663a-08f0-4737-9e8c-148ce897a09c">EZSHARE-559924612-33</_dlc_DocId>
    <_dlc_DocIdUrl xmlns="cdc7663a-08f0-4737-9e8c-148ce897a09c">
      <Url>https://idbg.sharepoint.com/teams/EZ-SU-LON/SU-L1054/_layouts/15/DocIdRedir.aspx?ID=EZSHARE-559924612-33</Url>
      <Description>EZSHARE-559924612-33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Health;Health;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75847A6-8C3E-4BC5-944B-8BDED4609766}"/>
</file>

<file path=customXml/itemProps2.xml><?xml version="1.0" encoding="utf-8"?>
<ds:datastoreItem xmlns:ds="http://schemas.openxmlformats.org/officeDocument/2006/customXml" ds:itemID="{8FCA9E6D-6D1C-47B3-8A69-6A78CC34B66D}"/>
</file>

<file path=customXml/itemProps3.xml><?xml version="1.0" encoding="utf-8"?>
<ds:datastoreItem xmlns:ds="http://schemas.openxmlformats.org/officeDocument/2006/customXml" ds:itemID="{1BF44D49-0BBE-452D-8F7C-42A52E1D4361}"/>
</file>

<file path=customXml/itemProps4.xml><?xml version="1.0" encoding="utf-8"?>
<ds:datastoreItem xmlns:ds="http://schemas.openxmlformats.org/officeDocument/2006/customXml" ds:itemID="{8C37B58F-B1DF-4BBF-A93B-1AACA24D8DA1}"/>
</file>

<file path=customXml/itemProps5.xml><?xml version="1.0" encoding="utf-8"?>
<ds:datastoreItem xmlns:ds="http://schemas.openxmlformats.org/officeDocument/2006/customXml" ds:itemID="{C9CF7BF1-F8E9-41EF-A700-8FA152671F45}"/>
</file>

<file path=customXml/itemProps6.xml><?xml version="1.0" encoding="utf-8"?>
<ds:datastoreItem xmlns:ds="http://schemas.openxmlformats.org/officeDocument/2006/customXml" ds:itemID="{6AB83E64-49DD-4FF0-A0E8-E20CB5EBC9A3}"/>
</file>

<file path=customXml/itemProps7.xml><?xml version="1.0" encoding="utf-8"?>
<ds:datastoreItem xmlns:ds="http://schemas.openxmlformats.org/officeDocument/2006/customXml" ds:itemID="{0C9E1EA5-F182-4A9A-B98E-3D2D1CC1B7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WBS</vt:lpstr>
      <vt:lpstr>Pre-elegibility Timeline</vt:lpstr>
      <vt:lpstr>PEP</vt:lpstr>
      <vt:lpstr>AOP 2018-2019</vt:lpstr>
      <vt:lpstr>Financial Plan</vt:lpstr>
      <vt:lpstr>Procurement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keywords>Loan Proposal</cp:keywords>
  <cp:lastModifiedBy>Guerra, Martha M.</cp:lastModifiedBy>
  <dcterms:created xsi:type="dcterms:W3CDTF">2018-06-24T11:10:38Z</dcterms:created>
  <dcterms:modified xsi:type="dcterms:W3CDTF">2018-07-18T17:42:27Z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>137;#Loan Proposal|01ebf3d9-e177-4a70-b661-89855d9820a6</vt:lpwstr>
  </property>
  <property fmtid="{D5CDD505-2E9C-101B-9397-08002B2CF9AE}" pid="4" name="TaxKeywordTaxHTField">
    <vt:lpwstr>Loan Proposal|01ebf3d9-e177-4a70-b661-89855d9820a6</vt:lpwstr>
  </property>
  <property fmtid="{D5CDD505-2E9C-101B-9397-08002B2CF9AE}" pid="5" name="Series Operations IDB">
    <vt:lpwstr/>
  </property>
  <property fmtid="{D5CDD505-2E9C-101B-9397-08002B2CF9AE}" pid="6" name="Sub-Sector">
    <vt:lpwstr>70;#HEALTH SYSTEM STRENGTHENING|98be7628-374e-4ecf-a12c-bb48b439037b</vt:lpwstr>
  </property>
  <property fmtid="{D5CDD505-2E9C-101B-9397-08002B2CF9AE}" pid="7" name="Fund IDB">
    <vt:lpwstr/>
  </property>
  <property fmtid="{D5CDD505-2E9C-101B-9397-08002B2CF9AE}" pid="8" name="Country">
    <vt:lpwstr>22;#Suriname|78f391d2-6a9c-4a90-96e5-b3c0fdf8e7da</vt:lpwstr>
  </property>
  <property fmtid="{D5CDD505-2E9C-101B-9397-08002B2CF9AE}" pid="9" name="Sector IDB">
    <vt:lpwstr>69;#HEALTH|e15154b4-8fa2-4f19-a924-5a9b44dc8218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d783af24-8ffc-4fb8-9b14-843f08835263</vt:lpwstr>
  </property>
  <property fmtid="{D5CDD505-2E9C-101B-9397-08002B2CF9AE}" pid="12" name="ContentTypeId">
    <vt:lpwstr>0x0101001A458A224826124E8B45B1D613300CFC00B6EB3D221782E844819C7D2B73A38095</vt:lpwstr>
  </property>
</Properties>
</file>