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1.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2.xml" ContentType="application/vnd.openxmlformats-officedocument.spreadsheetml.worksheet+xml"/>
  <Override PartName="/xl/styles.xml" ContentType="application/vnd.openxmlformats-officedocument.spreadsheetml.style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5.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C:\Users\ethelm\Desktop\PNL1153\OPC\"/>
    </mc:Choice>
  </mc:AlternateContent>
  <xr:revisionPtr revIDLastSave="0" documentId="8_{7018E8A2-060B-4FF3-A401-4F755347EF12}" xr6:coauthVersionLast="36" xr6:coauthVersionMax="36" xr10:uidLastSave="{00000000-0000-0000-0000-000000000000}"/>
  <bookViews>
    <workbookView xWindow="0" yWindow="0" windowWidth="20730" windowHeight="11760" tabRatio="819" activeTab="1"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(Evaluability)'!$A$1:$K$94</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33" i="18" l="1"/>
  <c r="C38" i="6"/>
  <c r="C38" i="9"/>
  <c r="B38" i="9"/>
  <c r="C11" i="19"/>
  <c r="C11" i="18"/>
  <c r="C11" i="9"/>
  <c r="C11" i="6"/>
  <c r="C9" i="18"/>
  <c r="B3" i="6"/>
  <c r="B3" i="19"/>
  <c r="B3" i="18"/>
  <c r="B3" i="9"/>
  <c r="B9" i="6"/>
  <c r="D15" i="5"/>
  <c r="F15" i="5" s="1"/>
  <c r="G15" i="5" s="1"/>
  <c r="H15" i="5" s="1"/>
  <c r="C33" i="19"/>
  <c r="B33" i="19"/>
  <c r="B26" i="19"/>
  <c r="B25" i="19"/>
  <c r="B24" i="19"/>
  <c r="C10" i="19"/>
  <c r="B10" i="19"/>
  <c r="B9" i="19"/>
  <c r="B33" i="18"/>
  <c r="B27" i="18"/>
  <c r="B26" i="18"/>
  <c r="B25" i="18"/>
  <c r="B24" i="18"/>
  <c r="B23" i="18"/>
  <c r="C10" i="18"/>
  <c r="B10" i="18"/>
  <c r="B9" i="18"/>
  <c r="B8" i="18"/>
  <c r="B10" i="6"/>
  <c r="C10" i="9"/>
  <c r="C10" i="6"/>
  <c r="F22" i="7"/>
  <c r="G22" i="7" s="1"/>
  <c r="D18" i="5"/>
  <c r="F40" i="7"/>
  <c r="G21" i="7"/>
  <c r="F23" i="7" s="1"/>
  <c r="G23" i="7" s="1"/>
  <c r="G20" i="7"/>
  <c r="E72" i="14"/>
  <c r="I72" i="14" s="1"/>
  <c r="D72" i="14"/>
  <c r="E71" i="14"/>
  <c r="F71" i="14" s="1"/>
  <c r="G71" i="14" s="1"/>
  <c r="H71" i="14" s="1"/>
  <c r="D71" i="14"/>
  <c r="E70" i="14"/>
  <c r="I70" i="14" s="1"/>
  <c r="D70" i="14"/>
  <c r="E69" i="14"/>
  <c r="F69" i="14" s="1"/>
  <c r="G69" i="14" s="1"/>
  <c r="J69" i="14" s="1"/>
  <c r="D69" i="14"/>
  <c r="E68" i="14"/>
  <c r="I68" i="14" s="1"/>
  <c r="D68" i="14"/>
  <c r="E63" i="14"/>
  <c r="I63" i="14" s="1"/>
  <c r="D63" i="14"/>
  <c r="E60" i="14"/>
  <c r="I60" i="14" s="1"/>
  <c r="D60" i="14"/>
  <c r="F72" i="14"/>
  <c r="G72" i="14" s="1"/>
  <c r="H72" i="14" s="1"/>
  <c r="F11" i="5"/>
  <c r="G11" i="5" s="1"/>
  <c r="G89" i="7"/>
  <c r="G91" i="7"/>
  <c r="G82" i="7"/>
  <c r="G75" i="7"/>
  <c r="G70" i="7"/>
  <c r="G71" i="7"/>
  <c r="G72" i="7"/>
  <c r="G73" i="7"/>
  <c r="G74" i="7"/>
  <c r="G32" i="7"/>
  <c r="I77" i="5"/>
  <c r="F77" i="5"/>
  <c r="G77" i="5"/>
  <c r="H77" i="5" s="1"/>
  <c r="I76" i="5"/>
  <c r="F76" i="5"/>
  <c r="G76" i="5" s="1"/>
  <c r="I75" i="5"/>
  <c r="F75" i="5"/>
  <c r="G75" i="5" s="1"/>
  <c r="H75" i="5" s="1"/>
  <c r="I74" i="5"/>
  <c r="F74" i="5"/>
  <c r="G74" i="5" s="1"/>
  <c r="I73" i="5"/>
  <c r="F73" i="5"/>
  <c r="G73" i="5" s="1"/>
  <c r="H73" i="5" s="1"/>
  <c r="I68" i="5"/>
  <c r="F68" i="5"/>
  <c r="G68" i="5" s="1"/>
  <c r="I65" i="5"/>
  <c r="F65" i="5"/>
  <c r="G65" i="5"/>
  <c r="G58" i="7"/>
  <c r="G57" i="7"/>
  <c r="G94" i="7"/>
  <c r="G93" i="7"/>
  <c r="G92" i="7"/>
  <c r="G88" i="7"/>
  <c r="G87" i="7"/>
  <c r="G86" i="7"/>
  <c r="G85" i="7"/>
  <c r="G13" i="7"/>
  <c r="G14" i="7"/>
  <c r="G15" i="7"/>
  <c r="G16" i="7"/>
  <c r="G17" i="7"/>
  <c r="G18" i="7"/>
  <c r="G26" i="7"/>
  <c r="G25" i="7" s="1"/>
  <c r="G31" i="7"/>
  <c r="G33" i="7"/>
  <c r="G35" i="7"/>
  <c r="G36" i="7"/>
  <c r="G34" i="7" s="1"/>
  <c r="G37" i="7"/>
  <c r="G42" i="7"/>
  <c r="G43" i="7"/>
  <c r="G44" i="7"/>
  <c r="G45" i="7"/>
  <c r="G46" i="7"/>
  <c r="G49" i="7"/>
  <c r="G50" i="7"/>
  <c r="G51" i="7"/>
  <c r="G52" i="7"/>
  <c r="G53" i="7"/>
  <c r="G56" i="7"/>
  <c r="G55" i="7" s="1"/>
  <c r="G59" i="7"/>
  <c r="G60" i="7"/>
  <c r="G77" i="7"/>
  <c r="G78" i="7"/>
  <c r="G79" i="7"/>
  <c r="G80" i="7"/>
  <c r="D44" i="14"/>
  <c r="E44" i="14"/>
  <c r="F44" i="14" s="1"/>
  <c r="G44" i="14" s="1"/>
  <c r="H44" i="14" s="1"/>
  <c r="D45" i="14"/>
  <c r="E45" i="14"/>
  <c r="F45" i="14" s="1"/>
  <c r="G45" i="14" s="1"/>
  <c r="D46" i="14"/>
  <c r="E46" i="14"/>
  <c r="I46" i="14"/>
  <c r="D47" i="14"/>
  <c r="E47" i="14"/>
  <c r="F47" i="14" s="1"/>
  <c r="G47" i="14" s="1"/>
  <c r="J47" i="14" s="1"/>
  <c r="D48" i="14"/>
  <c r="E48" i="14"/>
  <c r="F48" i="14" s="1"/>
  <c r="G48" i="14" s="1"/>
  <c r="J48" i="14" s="1"/>
  <c r="D49" i="14"/>
  <c r="E49" i="14"/>
  <c r="I49" i="14" s="1"/>
  <c r="D50" i="14"/>
  <c r="E50" i="14"/>
  <c r="I50" i="14" s="1"/>
  <c r="D51" i="14"/>
  <c r="E51" i="14"/>
  <c r="D52" i="14"/>
  <c r="E52" i="14"/>
  <c r="I52" i="14" s="1"/>
  <c r="D53" i="14"/>
  <c r="E53" i="14"/>
  <c r="F53" i="14"/>
  <c r="G53" i="14" s="1"/>
  <c r="H53" i="14" s="1"/>
  <c r="D54" i="14"/>
  <c r="E54" i="14"/>
  <c r="I54" i="14" s="1"/>
  <c r="D55" i="14"/>
  <c r="E55" i="14"/>
  <c r="F55" i="14" s="1"/>
  <c r="G55" i="14" s="1"/>
  <c r="H55" i="14" s="1"/>
  <c r="D56" i="14"/>
  <c r="E56" i="14"/>
  <c r="F56" i="14" s="1"/>
  <c r="G56" i="14"/>
  <c r="J56" i="14" s="1"/>
  <c r="D57" i="14"/>
  <c r="E57" i="14"/>
  <c r="F57" i="14" s="1"/>
  <c r="G57" i="14" s="1"/>
  <c r="D58" i="14"/>
  <c r="E58" i="14"/>
  <c r="F58" i="14"/>
  <c r="G58" i="14" s="1"/>
  <c r="H58" i="14" s="1"/>
  <c r="D59" i="14"/>
  <c r="E59" i="14"/>
  <c r="D61" i="14"/>
  <c r="E61" i="14"/>
  <c r="D62" i="14"/>
  <c r="E62" i="14"/>
  <c r="D64" i="14"/>
  <c r="E64" i="14"/>
  <c r="I64" i="14" s="1"/>
  <c r="D65" i="14"/>
  <c r="E65" i="14"/>
  <c r="I65" i="14" s="1"/>
  <c r="D66" i="14"/>
  <c r="E66" i="14"/>
  <c r="F66" i="14" s="1"/>
  <c r="G66" i="14" s="1"/>
  <c r="D67" i="14"/>
  <c r="E67" i="14"/>
  <c r="F67" i="14" s="1"/>
  <c r="G67" i="14" s="1"/>
  <c r="D73" i="14"/>
  <c r="E73" i="14"/>
  <c r="I73" i="14" s="1"/>
  <c r="I49" i="5"/>
  <c r="I50" i="5"/>
  <c r="I51" i="5"/>
  <c r="I52" i="5"/>
  <c r="I53" i="5"/>
  <c r="I54" i="5"/>
  <c r="I55" i="5"/>
  <c r="I56" i="5"/>
  <c r="I57" i="5"/>
  <c r="I58" i="5"/>
  <c r="I59" i="5"/>
  <c r="I60" i="5"/>
  <c r="I61" i="5"/>
  <c r="I62" i="5"/>
  <c r="I63" i="5"/>
  <c r="I64" i="5"/>
  <c r="I66" i="5"/>
  <c r="I67" i="5"/>
  <c r="I69" i="5"/>
  <c r="I70" i="5"/>
  <c r="I71" i="5"/>
  <c r="I72" i="5"/>
  <c r="I78" i="5"/>
  <c r="F78" i="5"/>
  <c r="G78" i="5" s="1"/>
  <c r="J78" i="5" s="1"/>
  <c r="F49" i="5"/>
  <c r="G49" i="5" s="1"/>
  <c r="H49" i="5" s="1"/>
  <c r="J49" i="5" s="1"/>
  <c r="F50" i="5"/>
  <c r="G50" i="5"/>
  <c r="J50" i="5" s="1"/>
  <c r="F51" i="5"/>
  <c r="G51" i="5" s="1"/>
  <c r="H51" i="5" s="1"/>
  <c r="F52" i="5"/>
  <c r="G52" i="5" s="1"/>
  <c r="J52" i="5" s="1"/>
  <c r="F53" i="5"/>
  <c r="G53" i="5" s="1"/>
  <c r="F54" i="5"/>
  <c r="G54" i="5" s="1"/>
  <c r="J54" i="5" s="1"/>
  <c r="F55" i="5"/>
  <c r="G55" i="5" s="1"/>
  <c r="J55" i="5" s="1"/>
  <c r="F56" i="5"/>
  <c r="G56" i="5" s="1"/>
  <c r="J56" i="5" s="1"/>
  <c r="F57" i="5"/>
  <c r="G57" i="5" s="1"/>
  <c r="F58" i="5"/>
  <c r="G58" i="5" s="1"/>
  <c r="J58" i="5" s="1"/>
  <c r="F59" i="5"/>
  <c r="G59" i="5" s="1"/>
  <c r="J59" i="5" s="1"/>
  <c r="F60" i="5"/>
  <c r="G60" i="5" s="1"/>
  <c r="J60" i="5" s="1"/>
  <c r="F61" i="5"/>
  <c r="G61" i="5" s="1"/>
  <c r="H61" i="5" s="1"/>
  <c r="F62" i="5"/>
  <c r="G62" i="5" s="1"/>
  <c r="F63" i="5"/>
  <c r="G63" i="5" s="1"/>
  <c r="H63" i="5" s="1"/>
  <c r="F64" i="5"/>
  <c r="G64" i="5" s="1"/>
  <c r="J64" i="5" s="1"/>
  <c r="F66" i="5"/>
  <c r="G66" i="5" s="1"/>
  <c r="J66" i="5" s="1"/>
  <c r="F67" i="5"/>
  <c r="G67" i="5"/>
  <c r="H67" i="5" s="1"/>
  <c r="F69" i="5"/>
  <c r="G69" i="5" s="1"/>
  <c r="J69" i="5" s="1"/>
  <c r="F70" i="5"/>
  <c r="G70" i="5" s="1"/>
  <c r="F71" i="5"/>
  <c r="G71" i="5"/>
  <c r="F72" i="5"/>
  <c r="G72" i="5" s="1"/>
  <c r="D11" i="14"/>
  <c r="F11" i="14" s="1"/>
  <c r="G11" i="14" s="1"/>
  <c r="H11" i="14" s="1"/>
  <c r="I11" i="14" s="1"/>
  <c r="D12" i="14"/>
  <c r="F12" i="14"/>
  <c r="G12" i="14" s="1"/>
  <c r="H12" i="14" s="1"/>
  <c r="D13" i="14"/>
  <c r="F13" i="14"/>
  <c r="G13" i="14" s="1"/>
  <c r="H13" i="14" s="1"/>
  <c r="D17" i="14"/>
  <c r="F17" i="14" s="1"/>
  <c r="G17" i="14" s="1"/>
  <c r="D19" i="14"/>
  <c r="F19" i="14" s="1"/>
  <c r="G19" i="14" s="1"/>
  <c r="E19" i="14"/>
  <c r="I19" i="14"/>
  <c r="D20" i="14"/>
  <c r="F20" i="14"/>
  <c r="G20" i="14" s="1"/>
  <c r="J20" i="14" s="1"/>
  <c r="E20" i="14"/>
  <c r="I20" i="14" s="1"/>
  <c r="D21" i="14"/>
  <c r="E21" i="14"/>
  <c r="F21" i="14"/>
  <c r="G21" i="14" s="1"/>
  <c r="D22" i="14"/>
  <c r="E22" i="14"/>
  <c r="I22" i="14" s="1"/>
  <c r="D23" i="14"/>
  <c r="E23" i="14"/>
  <c r="F23" i="14" s="1"/>
  <c r="G23" i="14"/>
  <c r="H23" i="14" s="1"/>
  <c r="D24" i="14"/>
  <c r="F24" i="14"/>
  <c r="G24" i="14" s="1"/>
  <c r="J24" i="14" s="1"/>
  <c r="E24" i="14"/>
  <c r="I24" i="14" s="1"/>
  <c r="D25" i="14"/>
  <c r="F25" i="14" s="1"/>
  <c r="G25" i="14" s="1"/>
  <c r="E25" i="14"/>
  <c r="I25" i="14" s="1"/>
  <c r="D26" i="14"/>
  <c r="E26" i="14"/>
  <c r="D27" i="14"/>
  <c r="E27" i="14"/>
  <c r="I27" i="14"/>
  <c r="D28" i="14"/>
  <c r="E28" i="14"/>
  <c r="D29" i="14"/>
  <c r="E29" i="14"/>
  <c r="F29" i="14" s="1"/>
  <c r="G29" i="14" s="1"/>
  <c r="J29" i="14" s="1"/>
  <c r="D30" i="14"/>
  <c r="E30" i="14"/>
  <c r="D31" i="14"/>
  <c r="E31" i="14"/>
  <c r="I31" i="14" s="1"/>
  <c r="D32" i="14"/>
  <c r="E32" i="14"/>
  <c r="D33" i="14"/>
  <c r="E33" i="14"/>
  <c r="F33" i="14"/>
  <c r="G33" i="14" s="1"/>
  <c r="J33" i="14" s="1"/>
  <c r="D34" i="14"/>
  <c r="E34" i="14"/>
  <c r="F34" i="14" s="1"/>
  <c r="G34" i="14" s="1"/>
  <c r="H34" i="14" s="1"/>
  <c r="D35" i="14"/>
  <c r="E35" i="14"/>
  <c r="F35" i="14"/>
  <c r="G35" i="14" s="1"/>
  <c r="H35" i="14" s="1"/>
  <c r="D36" i="14"/>
  <c r="E36" i="14"/>
  <c r="F36" i="14" s="1"/>
  <c r="G36" i="14" s="1"/>
  <c r="D37" i="14"/>
  <c r="E37" i="14"/>
  <c r="F37" i="14"/>
  <c r="G37" i="14" s="1"/>
  <c r="H37" i="14" s="1"/>
  <c r="D38" i="14"/>
  <c r="E38" i="14"/>
  <c r="I38" i="14" s="1"/>
  <c r="D39" i="14"/>
  <c r="E39" i="14"/>
  <c r="I39" i="14" s="1"/>
  <c r="D40" i="14"/>
  <c r="E40" i="14"/>
  <c r="F40" i="14"/>
  <c r="G40" i="14" s="1"/>
  <c r="H40" i="14" s="1"/>
  <c r="D41" i="14"/>
  <c r="E41" i="14"/>
  <c r="I41" i="14" s="1"/>
  <c r="D42" i="14"/>
  <c r="E42" i="14"/>
  <c r="I42" i="14" s="1"/>
  <c r="D43" i="14"/>
  <c r="E43" i="14"/>
  <c r="F47" i="5"/>
  <c r="G47" i="5" s="1"/>
  <c r="H47" i="5" s="1"/>
  <c r="F46" i="5"/>
  <c r="G46" i="5"/>
  <c r="H46" i="5" s="1"/>
  <c r="F45" i="5"/>
  <c r="G45" i="5"/>
  <c r="H45" i="5" s="1"/>
  <c r="F44" i="5"/>
  <c r="G44" i="5" s="1"/>
  <c r="H44" i="5"/>
  <c r="F43" i="5"/>
  <c r="G43" i="5"/>
  <c r="F42" i="5"/>
  <c r="G42" i="5" s="1"/>
  <c r="F41" i="5"/>
  <c r="G41" i="5" s="1"/>
  <c r="H41" i="5" s="1"/>
  <c r="F40" i="5"/>
  <c r="G40" i="5" s="1"/>
  <c r="J40" i="5" s="1"/>
  <c r="F39" i="5"/>
  <c r="G39" i="5" s="1"/>
  <c r="F38" i="5"/>
  <c r="G38" i="5" s="1"/>
  <c r="H38" i="5" s="1"/>
  <c r="F37" i="5"/>
  <c r="G37" i="5" s="1"/>
  <c r="F36" i="5"/>
  <c r="G36" i="5" s="1"/>
  <c r="J36" i="5" s="1"/>
  <c r="F35" i="5"/>
  <c r="G35" i="5" s="1"/>
  <c r="H35" i="5"/>
  <c r="F34" i="5"/>
  <c r="G34" i="5"/>
  <c r="J34" i="5" s="1"/>
  <c r="F33" i="5"/>
  <c r="G33" i="5" s="1"/>
  <c r="F32" i="5"/>
  <c r="G32" i="5" s="1"/>
  <c r="H32" i="5" s="1"/>
  <c r="F31" i="5"/>
  <c r="G31" i="5" s="1"/>
  <c r="I31" i="5"/>
  <c r="F30" i="5"/>
  <c r="G30" i="5" s="1"/>
  <c r="H30" i="5" s="1"/>
  <c r="J30" i="5"/>
  <c r="F27" i="5"/>
  <c r="G27" i="5"/>
  <c r="H27" i="5" s="1"/>
  <c r="F26" i="5"/>
  <c r="G26" i="5" s="1"/>
  <c r="H26" i="5" s="1"/>
  <c r="J26" i="5"/>
  <c r="F25" i="5"/>
  <c r="G25" i="5"/>
  <c r="I25" i="5"/>
  <c r="D16" i="14"/>
  <c r="F16" i="14" s="1"/>
  <c r="G16" i="14" s="1"/>
  <c r="B8" i="6"/>
  <c r="B8" i="9"/>
  <c r="F12" i="5"/>
  <c r="G12" i="5"/>
  <c r="H12" i="5" s="1"/>
  <c r="F13" i="5"/>
  <c r="G13" i="5"/>
  <c r="H13" i="5" s="1"/>
  <c r="F21" i="5"/>
  <c r="G21" i="5" s="1"/>
  <c r="F28" i="5"/>
  <c r="G28" i="5" s="1"/>
  <c r="F29" i="5"/>
  <c r="G29" i="5" s="1"/>
  <c r="I38" i="5"/>
  <c r="I44" i="5"/>
  <c r="I47" i="5"/>
  <c r="F23" i="5"/>
  <c r="G23" i="5" s="1"/>
  <c r="F24" i="5"/>
  <c r="G24" i="5" s="1"/>
  <c r="I27" i="5"/>
  <c r="I24" i="5"/>
  <c r="I26" i="5"/>
  <c r="I28" i="5"/>
  <c r="I29" i="5"/>
  <c r="I30" i="5"/>
  <c r="I32" i="5"/>
  <c r="I33" i="5"/>
  <c r="I34" i="5"/>
  <c r="I35" i="5"/>
  <c r="I36" i="5"/>
  <c r="I37" i="5"/>
  <c r="I39" i="5"/>
  <c r="I40" i="5"/>
  <c r="I41" i="5"/>
  <c r="I42" i="5"/>
  <c r="I43" i="5"/>
  <c r="I45" i="5"/>
  <c r="I46" i="5"/>
  <c r="I23" i="5"/>
  <c r="E14" i="11"/>
  <c r="D14" i="15" s="1"/>
  <c r="D15" i="15"/>
  <c r="E15" i="15"/>
  <c r="F15" i="15" s="1"/>
  <c r="D16" i="15"/>
  <c r="H16" i="15" s="1"/>
  <c r="D17" i="15"/>
  <c r="D18" i="15"/>
  <c r="E18" i="15" s="1"/>
  <c r="F18" i="15"/>
  <c r="D19" i="15"/>
  <c r="E19" i="15" s="1"/>
  <c r="F19" i="15"/>
  <c r="D21" i="15"/>
  <c r="D22" i="15"/>
  <c r="E22" i="15" s="1"/>
  <c r="D23" i="15"/>
  <c r="E23" i="15"/>
  <c r="D25" i="15"/>
  <c r="D26" i="15"/>
  <c r="D29" i="15"/>
  <c r="D31" i="15"/>
  <c r="D32" i="15"/>
  <c r="E32" i="15"/>
  <c r="D33" i="15"/>
  <c r="E33" i="15"/>
  <c r="F33" i="15" s="1"/>
  <c r="D34" i="15"/>
  <c r="D35" i="15"/>
  <c r="D36" i="15"/>
  <c r="D37" i="15"/>
  <c r="D38" i="15"/>
  <c r="D39" i="15"/>
  <c r="E30" i="11"/>
  <c r="I30" i="11" s="1"/>
  <c r="E28" i="11"/>
  <c r="E24" i="11"/>
  <c r="D24" i="15" s="1"/>
  <c r="B28" i="6"/>
  <c r="K46" i="15"/>
  <c r="K45" i="15"/>
  <c r="K41" i="15"/>
  <c r="K39" i="15"/>
  <c r="K43" i="15" s="1"/>
  <c r="K40" i="15"/>
  <c r="B10" i="9"/>
  <c r="B9" i="9"/>
  <c r="F32" i="11"/>
  <c r="G32" i="11" s="1"/>
  <c r="I32" i="11"/>
  <c r="F33" i="11"/>
  <c r="G33" i="11"/>
  <c r="H33" i="11" s="1"/>
  <c r="F21" i="11"/>
  <c r="G21" i="11" s="1"/>
  <c r="H21" i="11" s="1"/>
  <c r="I21" i="11" s="1"/>
  <c r="F22" i="11"/>
  <c r="G22" i="11" s="1"/>
  <c r="H22" i="11" s="1"/>
  <c r="I22" i="11" s="1"/>
  <c r="F23" i="11"/>
  <c r="G23" i="11"/>
  <c r="H23" i="11" s="1"/>
  <c r="F15" i="11"/>
  <c r="G15" i="11" s="1"/>
  <c r="H15" i="11" s="1"/>
  <c r="I15" i="11" s="1"/>
  <c r="F16" i="11"/>
  <c r="G16" i="11"/>
  <c r="H16" i="11" s="1"/>
  <c r="F17" i="11"/>
  <c r="G17" i="11"/>
  <c r="H17" i="11" s="1"/>
  <c r="I17" i="11"/>
  <c r="F18" i="11"/>
  <c r="G18" i="11" s="1"/>
  <c r="I18" i="11"/>
  <c r="F19" i="11"/>
  <c r="I19" i="11"/>
  <c r="L42" i="11"/>
  <c r="L41" i="11"/>
  <c r="L37" i="11"/>
  <c r="L36" i="11"/>
  <c r="L39" i="11" s="1"/>
  <c r="B32" i="6"/>
  <c r="B29" i="6"/>
  <c r="B31" i="9"/>
  <c r="B30" i="9"/>
  <c r="B29" i="9"/>
  <c r="B31" i="6"/>
  <c r="B30" i="6"/>
  <c r="B38" i="6"/>
  <c r="F18" i="5"/>
  <c r="G18" i="5"/>
  <c r="I18" i="5" s="1"/>
  <c r="H33" i="15"/>
  <c r="I16" i="11"/>
  <c r="I33" i="11"/>
  <c r="F27" i="14"/>
  <c r="G27" i="14" s="1"/>
  <c r="J27" i="14"/>
  <c r="I33" i="14"/>
  <c r="I67" i="14"/>
  <c r="I36" i="14"/>
  <c r="J67" i="5"/>
  <c r="H60" i="5"/>
  <c r="J51" i="5"/>
  <c r="I21" i="14"/>
  <c r="J41" i="5"/>
  <c r="F42" i="14"/>
  <c r="G42" i="14" s="1"/>
  <c r="J42" i="14" s="1"/>
  <c r="I23" i="14"/>
  <c r="I37" i="14"/>
  <c r="I47" i="14"/>
  <c r="F50" i="14"/>
  <c r="G50" i="14"/>
  <c r="H50" i="14" s="1"/>
  <c r="F46" i="14"/>
  <c r="G46" i="14" s="1"/>
  <c r="H46" i="14"/>
  <c r="I45" i="14"/>
  <c r="I48" i="14"/>
  <c r="I55" i="14"/>
  <c r="F52" i="14"/>
  <c r="G52" i="14" s="1"/>
  <c r="H52" i="14" s="1"/>
  <c r="F62" i="14"/>
  <c r="G62" i="14" s="1"/>
  <c r="I62" i="14"/>
  <c r="F54" i="14"/>
  <c r="G54" i="14" s="1"/>
  <c r="F30" i="14"/>
  <c r="G30" i="14"/>
  <c r="J30" i="14" s="1"/>
  <c r="I30" i="14"/>
  <c r="I66" i="14"/>
  <c r="I23" i="11"/>
  <c r="H19" i="15"/>
  <c r="H23" i="15"/>
  <c r="H47" i="14"/>
  <c r="H18" i="5"/>
  <c r="I13" i="14"/>
  <c r="J63" i="5"/>
  <c r="F49" i="14"/>
  <c r="G49" i="14"/>
  <c r="J49" i="14"/>
  <c r="J32" i="5"/>
  <c r="F60" i="14"/>
  <c r="G60" i="14" s="1"/>
  <c r="I40" i="14"/>
  <c r="I53" i="14"/>
  <c r="J45" i="5"/>
  <c r="J77" i="5"/>
  <c r="D28" i="15"/>
  <c r="E28" i="15" s="1"/>
  <c r="F24" i="11"/>
  <c r="G24" i="11" s="1"/>
  <c r="E20" i="11"/>
  <c r="E24" i="15"/>
  <c r="F24" i="15" s="1"/>
  <c r="J33" i="5"/>
  <c r="H33" i="5"/>
  <c r="J42" i="5"/>
  <c r="H42" i="5"/>
  <c r="H20" i="14"/>
  <c r="H52" i="5"/>
  <c r="J35" i="5"/>
  <c r="F70" i="14"/>
  <c r="G70" i="14"/>
  <c r="J70" i="14" s="1"/>
  <c r="H49" i="14"/>
  <c r="H27" i="14"/>
  <c r="F39" i="14"/>
  <c r="G39" i="14" s="1"/>
  <c r="H59" i="5"/>
  <c r="H32" i="15"/>
  <c r="I56" i="14"/>
  <c r="I58" i="14"/>
  <c r="H32" i="11"/>
  <c r="G84" i="7"/>
  <c r="J73" i="5"/>
  <c r="F68" i="14"/>
  <c r="G68" i="14"/>
  <c r="H68" i="14" s="1"/>
  <c r="G90" i="7"/>
  <c r="I35" i="14"/>
  <c r="D15" i="14"/>
  <c r="F15" i="14" s="1"/>
  <c r="G15" i="14" s="1"/>
  <c r="H15" i="14" s="1"/>
  <c r="I12" i="5"/>
  <c r="H42" i="14"/>
  <c r="H17" i="15"/>
  <c r="E17" i="15"/>
  <c r="F17" i="15" s="1"/>
  <c r="G17" i="15" s="1"/>
  <c r="B35" i="6"/>
  <c r="J72" i="14"/>
  <c r="J46" i="14"/>
  <c r="J44" i="5"/>
  <c r="J46" i="5"/>
  <c r="H57" i="5"/>
  <c r="J57" i="5"/>
  <c r="H55" i="5"/>
  <c r="H24" i="14"/>
  <c r="J68" i="5"/>
  <c r="H68" i="5"/>
  <c r="J74" i="5"/>
  <c r="H74" i="5"/>
  <c r="J50" i="14"/>
  <c r="H11" i="5"/>
  <c r="I11" i="5" s="1"/>
  <c r="H36" i="5"/>
  <c r="F32" i="15"/>
  <c r="H56" i="5"/>
  <c r="G69" i="7"/>
  <c r="I15" i="5"/>
  <c r="B8" i="19"/>
  <c r="I24" i="11"/>
  <c r="H24" i="15"/>
  <c r="H19" i="14" l="1"/>
  <c r="J19" i="14"/>
  <c r="H66" i="14"/>
  <c r="J66" i="14"/>
  <c r="B20" i="19"/>
  <c r="B20" i="18"/>
  <c r="B25" i="6"/>
  <c r="H62" i="14"/>
  <c r="J62" i="14"/>
  <c r="J24" i="5"/>
  <c r="H24" i="5"/>
  <c r="H36" i="14"/>
  <c r="J36" i="14"/>
  <c r="H54" i="14"/>
  <c r="J54" i="14"/>
  <c r="J28" i="5"/>
  <c r="H28" i="5"/>
  <c r="I16" i="14"/>
  <c r="H16" i="14"/>
  <c r="J25" i="14"/>
  <c r="H25" i="14"/>
  <c r="H57" i="14"/>
  <c r="J57" i="14"/>
  <c r="J76" i="5"/>
  <c r="H76" i="5"/>
  <c r="F22" i="15"/>
  <c r="G22" i="15"/>
  <c r="H22" i="15" s="1"/>
  <c r="H23" i="5"/>
  <c r="J23" i="5"/>
  <c r="H31" i="5"/>
  <c r="J31" i="5"/>
  <c r="J45" i="14"/>
  <c r="H45" i="14"/>
  <c r="I44" i="14"/>
  <c r="J44" i="14" s="1"/>
  <c r="F31" i="14"/>
  <c r="G31" i="14" s="1"/>
  <c r="H31" i="14" s="1"/>
  <c r="I57" i="14"/>
  <c r="F41" i="14"/>
  <c r="G41" i="14" s="1"/>
  <c r="H41" i="14" s="1"/>
  <c r="F38" i="14"/>
  <c r="G38" i="14" s="1"/>
  <c r="H38" i="14" s="1"/>
  <c r="G15" i="15"/>
  <c r="H15" i="15" s="1"/>
  <c r="J47" i="5"/>
  <c r="G48" i="7"/>
  <c r="H29" i="14"/>
  <c r="I13" i="5"/>
  <c r="J35" i="14"/>
  <c r="F22" i="14"/>
  <c r="G22" i="14" s="1"/>
  <c r="G24" i="15"/>
  <c r="H70" i="14"/>
  <c r="H50" i="5"/>
  <c r="I12" i="14"/>
  <c r="J68" i="14"/>
  <c r="G33" i="15"/>
  <c r="F14" i="11"/>
  <c r="G14" i="11" s="1"/>
  <c r="H14" i="11" s="1"/>
  <c r="I14" i="11" s="1"/>
  <c r="J14" i="11" s="1"/>
  <c r="F63" i="14"/>
  <c r="G63" i="14" s="1"/>
  <c r="J23" i="14"/>
  <c r="E16" i="15"/>
  <c r="H34" i="5"/>
  <c r="J58" i="14"/>
  <c r="I34" i="14"/>
  <c r="I71" i="14"/>
  <c r="J27" i="5"/>
  <c r="I29" i="14"/>
  <c r="H30" i="14"/>
  <c r="F64" i="14"/>
  <c r="G64" i="14" s="1"/>
  <c r="F73" i="14"/>
  <c r="G73" i="14" s="1"/>
  <c r="H18" i="11"/>
  <c r="H64" i="5"/>
  <c r="J61" i="5"/>
  <c r="H58" i="5"/>
  <c r="H78" i="5"/>
  <c r="G83" i="7"/>
  <c r="J60" i="14"/>
  <c r="H60" i="14"/>
  <c r="H63" i="14"/>
  <c r="J63" i="14"/>
  <c r="D20" i="15"/>
  <c r="F20" i="11"/>
  <c r="I15" i="14"/>
  <c r="E14" i="15"/>
  <c r="I59" i="14"/>
  <c r="F59" i="14"/>
  <c r="G59" i="14" s="1"/>
  <c r="J71" i="14"/>
  <c r="J53" i="14"/>
  <c r="G19" i="11"/>
  <c r="H19" i="11"/>
  <c r="E21" i="15"/>
  <c r="B27" i="19"/>
  <c r="B32" i="9"/>
  <c r="I43" i="14"/>
  <c r="F43" i="14"/>
  <c r="G43" i="14" s="1"/>
  <c r="H53" i="5"/>
  <c r="J53" i="5"/>
  <c r="H65" i="5"/>
  <c r="J65" i="5"/>
  <c r="H24" i="11"/>
  <c r="I69" i="14"/>
  <c r="J37" i="14"/>
  <c r="F23" i="15"/>
  <c r="G23" i="15" s="1"/>
  <c r="H29" i="5"/>
  <c r="J29" i="5"/>
  <c r="J34" i="14"/>
  <c r="J21" i="14"/>
  <c r="H21" i="14"/>
  <c r="H70" i="5"/>
  <c r="J70" i="5"/>
  <c r="J62" i="5"/>
  <c r="H62" i="5"/>
  <c r="H67" i="14"/>
  <c r="J67" i="14"/>
  <c r="H56" i="14"/>
  <c r="J38" i="5"/>
  <c r="H39" i="14"/>
  <c r="J39" i="14"/>
  <c r="J41" i="14"/>
  <c r="F65" i="14"/>
  <c r="G65" i="14" s="1"/>
  <c r="J40" i="14"/>
  <c r="G18" i="15"/>
  <c r="J37" i="5"/>
  <c r="H37" i="5"/>
  <c r="F26" i="14"/>
  <c r="G26" i="14" s="1"/>
  <c r="I26" i="14"/>
  <c r="H72" i="5"/>
  <c r="J72" i="5"/>
  <c r="B25" i="9"/>
  <c r="E13" i="11"/>
  <c r="H39" i="5"/>
  <c r="J39" i="5" s="1"/>
  <c r="H66" i="5"/>
  <c r="H69" i="14"/>
  <c r="B30" i="18"/>
  <c r="H69" i="5"/>
  <c r="J55" i="14"/>
  <c r="H18" i="15"/>
  <c r="J38" i="14"/>
  <c r="H33" i="14"/>
  <c r="J31" i="14"/>
  <c r="J52" i="14"/>
  <c r="H48" i="14"/>
  <c r="B23" i="19"/>
  <c r="B28" i="9"/>
  <c r="G32" i="15"/>
  <c r="I32" i="14"/>
  <c r="F32" i="14"/>
  <c r="G32" i="14" s="1"/>
  <c r="H25" i="5"/>
  <c r="J25" i="5"/>
  <c r="H71" i="5"/>
  <c r="J71" i="5"/>
  <c r="F51" i="14"/>
  <c r="G51" i="14" s="1"/>
  <c r="I51" i="14"/>
  <c r="G12" i="7"/>
  <c r="B15" i="9" s="1"/>
  <c r="H40" i="5"/>
  <c r="J75" i="5"/>
  <c r="H54" i="5"/>
  <c r="G19" i="15"/>
  <c r="H43" i="5"/>
  <c r="J43" i="5"/>
  <c r="F28" i="14"/>
  <c r="G28" i="14" s="1"/>
  <c r="I28" i="14"/>
  <c r="I61" i="14"/>
  <c r="F61" i="14"/>
  <c r="G61" i="14" s="1"/>
  <c r="G41" i="7"/>
  <c r="G38" i="7" s="1"/>
  <c r="B18" i="9" s="1"/>
  <c r="E18" i="9" s="1"/>
  <c r="D30" i="15"/>
  <c r="F30" i="11"/>
  <c r="E27" i="11"/>
  <c r="B31" i="19" s="1"/>
  <c r="F28" i="15"/>
  <c r="G28" i="15" s="1"/>
  <c r="H28" i="15" s="1"/>
  <c r="F28" i="11"/>
  <c r="H21" i="5"/>
  <c r="I21" i="5"/>
  <c r="J11" i="5" s="1"/>
  <c r="I17" i="14"/>
  <c r="J11" i="14" s="1"/>
  <c r="H17" i="14"/>
  <c r="H19" i="7"/>
  <c r="H23" i="7" s="1"/>
  <c r="G19" i="7" s="1"/>
  <c r="G76" i="7"/>
  <c r="G62" i="7" s="1"/>
  <c r="G61" i="7" s="1"/>
  <c r="B21" i="19" s="1"/>
  <c r="G30" i="7"/>
  <c r="G24" i="7" s="1"/>
  <c r="B17" i="19" s="1"/>
  <c r="B15" i="18"/>
  <c r="B15" i="6" l="1"/>
  <c r="K48" i="5"/>
  <c r="J64" i="14"/>
  <c r="H64" i="14"/>
  <c r="H41" i="7"/>
  <c r="B19" i="6" s="1"/>
  <c r="F16" i="15"/>
  <c r="G16" i="15" s="1"/>
  <c r="H73" i="14"/>
  <c r="J73" i="14"/>
  <c r="H22" i="14"/>
  <c r="J22" i="14"/>
  <c r="K14" i="11"/>
  <c r="K22" i="5"/>
  <c r="H32" i="14"/>
  <c r="J32" i="14"/>
  <c r="J65" i="14"/>
  <c r="H65" i="14"/>
  <c r="J59" i="14"/>
  <c r="H59" i="14"/>
  <c r="G20" i="11"/>
  <c r="H20" i="11"/>
  <c r="I20" i="11" s="1"/>
  <c r="J20" i="11" s="1"/>
  <c r="H43" i="14"/>
  <c r="J43" i="14" s="1"/>
  <c r="B15" i="19"/>
  <c r="J28" i="14"/>
  <c r="H28" i="14"/>
  <c r="B30" i="19"/>
  <c r="D13" i="15"/>
  <c r="B35" i="9"/>
  <c r="E20" i="15"/>
  <c r="J61" i="14"/>
  <c r="H61" i="14"/>
  <c r="J51" i="14"/>
  <c r="H51" i="14"/>
  <c r="J26" i="14"/>
  <c r="H26" i="14"/>
  <c r="F21" i="15"/>
  <c r="G21" i="15"/>
  <c r="H21" i="15" s="1"/>
  <c r="F14" i="15"/>
  <c r="G14" i="15"/>
  <c r="H14" i="15" s="1"/>
  <c r="I14" i="15" s="1"/>
  <c r="B22" i="9"/>
  <c r="B20" i="6"/>
  <c r="B21" i="9"/>
  <c r="B18" i="6"/>
  <c r="E18" i="6" s="1"/>
  <c r="B19" i="9"/>
  <c r="B23" i="6"/>
  <c r="B22" i="6"/>
  <c r="B23" i="9"/>
  <c r="B21" i="6"/>
  <c r="B20" i="9"/>
  <c r="B36" i="6"/>
  <c r="D27" i="15"/>
  <c r="B36" i="9"/>
  <c r="B31" i="18"/>
  <c r="E12" i="11"/>
  <c r="D12" i="15" s="1"/>
  <c r="G30" i="11"/>
  <c r="H30" i="11" s="1"/>
  <c r="H30" i="15"/>
  <c r="I28" i="15" s="1"/>
  <c r="J28" i="15" s="1"/>
  <c r="K28" i="15" s="1"/>
  <c r="E30" i="15"/>
  <c r="G28" i="11"/>
  <c r="H28" i="11" s="1"/>
  <c r="I28" i="11" s="1"/>
  <c r="J28" i="11" s="1"/>
  <c r="B6" i="9"/>
  <c r="B6" i="19"/>
  <c r="B6" i="6"/>
  <c r="B6" i="18"/>
  <c r="B17" i="6"/>
  <c r="B17" i="18"/>
  <c r="B17" i="9"/>
  <c r="B16" i="19"/>
  <c r="B16" i="18"/>
  <c r="G11" i="7"/>
  <c r="B14" i="19" s="1"/>
  <c r="B16" i="6"/>
  <c r="B16" i="9"/>
  <c r="G54" i="7"/>
  <c r="B24" i="9" s="1"/>
  <c r="E24" i="9" s="1"/>
  <c r="B21" i="18"/>
  <c r="B26" i="6"/>
  <c r="B26" i="9"/>
  <c r="K18" i="14" l="1"/>
  <c r="J14" i="15"/>
  <c r="K14" i="15"/>
  <c r="B5" i="18"/>
  <c r="K20" i="11"/>
  <c r="L20" i="11"/>
  <c r="B7" i="18"/>
  <c r="B7" i="6"/>
  <c r="B5" i="6" s="1"/>
  <c r="F20" i="15"/>
  <c r="G20" i="15"/>
  <c r="H20" i="15" s="1"/>
  <c r="I20" i="15" s="1"/>
  <c r="L14" i="11"/>
  <c r="M14" i="11" s="1"/>
  <c r="B24" i="6"/>
  <c r="E24" i="6" s="1"/>
  <c r="B19" i="19"/>
  <c r="E19" i="19" s="1"/>
  <c r="B19" i="18"/>
  <c r="E19" i="18" s="1"/>
  <c r="F30" i="15"/>
  <c r="G30" i="15" s="1"/>
  <c r="K28" i="11"/>
  <c r="L28" i="15"/>
  <c r="B14" i="9"/>
  <c r="E14" i="9" s="1"/>
  <c r="E11" i="9" s="1"/>
  <c r="E12" i="9" s="1"/>
  <c r="B14" i="18"/>
  <c r="B14" i="6"/>
  <c r="E14" i="6" s="1"/>
  <c r="E11" i="6" s="1"/>
  <c r="E12" i="6" s="1"/>
  <c r="E14" i="19"/>
  <c r="B5" i="9" l="1"/>
  <c r="B5" i="19"/>
  <c r="C13" i="19"/>
  <c r="K20" i="15"/>
  <c r="J20" i="15"/>
  <c r="N14" i="11"/>
  <c r="L14" i="15"/>
  <c r="E11" i="19"/>
  <c r="E12" i="19" s="1"/>
  <c r="M20" i="11"/>
  <c r="B7" i="19"/>
  <c r="B7" i="9"/>
  <c r="C13" i="18"/>
  <c r="E14" i="18"/>
  <c r="E11" i="18" s="1"/>
  <c r="E12" i="18" s="1"/>
  <c r="M28" i="11"/>
  <c r="C31" i="19"/>
  <c r="C36" i="9"/>
  <c r="L28" i="11"/>
  <c r="B13" i="9"/>
  <c r="C12" i="9" s="1"/>
  <c r="B13" i="6"/>
  <c r="C12" i="6" s="1"/>
  <c r="C12" i="19"/>
  <c r="C35" i="6" l="1"/>
  <c r="C30" i="18"/>
  <c r="L20" i="15"/>
  <c r="M14" i="15" s="1"/>
  <c r="C12" i="18"/>
  <c r="C36" i="6"/>
  <c r="C31" i="18"/>
  <c r="C35" i="9" l="1"/>
  <c r="C30" i="19"/>
</calcChain>
</file>

<file path=xl/sharedStrings.xml><?xml version="1.0" encoding="utf-8"?>
<sst xmlns="http://schemas.openxmlformats.org/spreadsheetml/2006/main" count="738" uniqueCount="517">
  <si>
    <t>Development Effectiveness Matrix</t>
  </si>
  <si>
    <t>Summary</t>
  </si>
  <si>
    <t>I. Corporate and Country Priorities</t>
  </si>
  <si>
    <t>1. IDB Development Objectives</t>
  </si>
  <si>
    <t xml:space="preserve">     Development Challenges &amp; Cross-cutting Themes</t>
  </si>
  <si>
    <t xml:space="preserve">     Country Development Results Indicators</t>
  </si>
  <si>
    <t>2. Country Development Objectives</t>
  </si>
  <si>
    <t xml:space="preserve">     Country Strategy Results Matrix</t>
  </si>
  <si>
    <t xml:space="preserve">     Country Program Results Matrix</t>
  </si>
  <si>
    <t>Relevance of this project to country development challenges (If not aligned to country strategy or country program)</t>
  </si>
  <si>
    <t>II. Development Outcomes - Evaluability</t>
  </si>
  <si>
    <t>3. Evidence-based Assessment &amp; Solution</t>
  </si>
  <si>
    <t xml:space="preserve">     3.1 Program Diagnosis</t>
  </si>
  <si>
    <t xml:space="preserve">     3.2 Proposed Interventions or Solutions</t>
  </si>
  <si>
    <t xml:space="preserve">     3.3 Results Matrix Quality</t>
  </si>
  <si>
    <t>4. Ex ante Economic Analysis</t>
  </si>
  <si>
    <t xml:space="preserve">     4.1 Program has an ERR/NPV, or key outcomes identified for CEA</t>
  </si>
  <si>
    <t xml:space="preserve">     4.2 Identified and Quantified Benefits and Costs</t>
  </si>
  <si>
    <t xml:space="preserve">     4.3 Reasonable Assumptions</t>
  </si>
  <si>
    <t xml:space="preserve">     4.4 Sensitivity Analysis</t>
  </si>
  <si>
    <t xml:space="preserve">     4.5 Consistency with results matrix</t>
  </si>
  <si>
    <t xml:space="preserve">5. Monitoring and Evaluation </t>
  </si>
  <si>
    <t xml:space="preserve">     5.1 Monitoring Mechanisms</t>
  </si>
  <si>
    <t xml:space="preserve">     5.2 Evaluation Plan</t>
  </si>
  <si>
    <t>III. Risks &amp; Mitigation Monitoring Matrix</t>
  </si>
  <si>
    <t>Overall risks rate = magnitude of risks*likelihood</t>
  </si>
  <si>
    <t>Identified risks have been rated for magnitude and likelihood</t>
  </si>
  <si>
    <t>Mitigation measures have been identified for major risks</t>
  </si>
  <si>
    <t>Mitigation measures have indicators for tracking their implementation</t>
  </si>
  <si>
    <t>Environmental &amp; social risk classification</t>
  </si>
  <si>
    <t>IV. IDB´s Role - Additionality</t>
  </si>
  <si>
    <t>The project relies on the use of country systems</t>
  </si>
  <si>
    <t>Fiduciary (VPC/FMP Criteria)</t>
  </si>
  <si>
    <t>Non-Fiduciary</t>
  </si>
  <si>
    <t>The IDB’s involvement promotes additional improvements of the intended beneficiaries and/or public sector entity in the following dimensions:</t>
  </si>
  <si>
    <t>Additional (to project preparation) technical assistance was provided to the public sector entity prior to approval to increase the likelihood of success of the project</t>
  </si>
  <si>
    <t>Note: (*) Indicates contribution to the corresponding CRF’s Country Development Results Indicator.</t>
  </si>
  <si>
    <t>Matriz de Efectividad en el Desarrollo</t>
  </si>
  <si>
    <t>Resumen</t>
  </si>
  <si>
    <t>I. Prioridades corporativas y del país</t>
  </si>
  <si>
    <t xml:space="preserve">1. Objetivos de desarrollo del BID </t>
  </si>
  <si>
    <t xml:space="preserve">     Retos Regionales y Temas Transversales</t>
  </si>
  <si>
    <t xml:space="preserve">     Indicadores de desarrollo de países</t>
  </si>
  <si>
    <t>2. Objetivos de desarrollo del país</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</si>
  <si>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</si>
  <si>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</si>
  <si>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</si>
  <si>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</si>
  <si>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 xml:space="preserve">     3.1 Diagnóstico del Programa</t>
  </si>
  <si>
    <t xml:space="preserve">     3.2 Intervenciones o Soluciones Propuestas</t>
  </si>
  <si>
    <t xml:space="preserve">     3.3 Calidad de la Matriz de Resultados</t>
  </si>
  <si>
    <t>4. Análisis económico ex ante</t>
  </si>
  <si>
    <t xml:space="preserve">     4.1 El programa tiene una TIR/VPN, o resultados clave identificados para ACE</t>
  </si>
  <si>
    <t xml:space="preserve">     4.2 Beneficios Identificados y Cuantificados</t>
  </si>
  <si>
    <t xml:space="preserve">     4.3 Supuestos Razonables</t>
  </si>
  <si>
    <t xml:space="preserve">     4.4 Análisis de Sensibilidad</t>
  </si>
  <si>
    <t xml:space="preserve">     4.5 Consistencia con la matriz de resultados</t>
  </si>
  <si>
    <t>5. Evaluación y seguimiento</t>
  </si>
  <si>
    <t xml:space="preserve">     5.1 Mecanismos de Monitoreo</t>
  </si>
  <si>
    <t xml:space="preserve">     5.2 Plan de Evaluación</t>
  </si>
  <si>
    <t>III. Matriz de seguimiento de riesgos y mitigación</t>
  </si>
  <si>
    <t>Calificación de riesgo global = magnitud de los riesgos*probabilidad</t>
  </si>
  <si>
    <t>Se han calificado todos los riesgos por magnitud y probabilidad</t>
  </si>
  <si>
    <t>Se han identificado medidas adecuadas de mitigación para los riesgos principales</t>
  </si>
  <si>
    <t>Las medidas de mitigación tienen indicadores para el seguimiento de su implementación</t>
  </si>
  <si>
    <t>Clasificación de los riesgos ambientales y sociales</t>
  </si>
  <si>
    <t>IV. Función del BID - Adicionalidad</t>
  </si>
  <si>
    <t xml:space="preserve">El proyecto se basa en el uso de los sistemas nacionales </t>
  </si>
  <si>
    <t>Fiduciarios (criterios de VPC/FMP)</t>
  </si>
  <si>
    <t>No-Fiduciarios</t>
  </si>
  <si>
    <t>La participación del BID promueve mejoras adicionales en los presuntos beneficiarios o la entidad del sector público en las siguientes dimensiones:</t>
  </si>
  <si>
    <t xml:space="preserve">     Antes de la aprobación se brindó a la entidad del sector público asistencia técnica adicional (por encima de la preparación de proyecto) para aumentar las probabilidades de éxito del proyecto</t>
  </si>
  <si>
    <t>Nota: (*) Indica contribución al Indicador de Desarrollo de Países correspondiente.</t>
  </si>
  <si>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</si>
  <si>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</si>
  <si>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</si>
  <si>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 xml:space="preserve"> Development Effectiveness Matrix for Sovereign Guaranteed Operations - 2018</t>
  </si>
  <si>
    <t>Part I  - Strategic Priorities</t>
  </si>
  <si>
    <t xml:space="preserve">       Instructions: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</si>
  <si>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</si>
  <si>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</si>
  <si>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Operation Number (fill in cell C7)</t>
  </si>
  <si>
    <t>Criterion</t>
  </si>
  <si>
    <t>Information &amp; References</t>
  </si>
  <si>
    <t>Yes/No</t>
  </si>
  <si>
    <t>Comments (optional)</t>
  </si>
  <si>
    <t>Section 1. IDB Development Objectives</t>
  </si>
  <si>
    <t>SPD-QRR</t>
  </si>
  <si>
    <t>Team Response</t>
  </si>
  <si>
    <t>SPD-OPC</t>
  </si>
  <si>
    <t>Development Challenges</t>
  </si>
  <si>
    <t>Strategic Alignment</t>
  </si>
  <si>
    <t>Social Inclusion and Equality</t>
  </si>
  <si>
    <t>Yes</t>
  </si>
  <si>
    <t>Productivity and Innovation</t>
  </si>
  <si>
    <t>Contribuye a la productividad laboral a través de la reducción de la brecha de habilidades</t>
  </si>
  <si>
    <t>Economic Integration</t>
  </si>
  <si>
    <t>Cross-cutting Themes</t>
  </si>
  <si>
    <t>Gender Equality and Diversity</t>
  </si>
  <si>
    <t>Gender Equality</t>
  </si>
  <si>
    <t>Diversity</t>
  </si>
  <si>
    <t>Climate Change and Environmental Sustainability</t>
  </si>
  <si>
    <t>Climate Change</t>
  </si>
  <si>
    <t>Environmental Sustainability</t>
  </si>
  <si>
    <t>Institutional Capacity and the Rule of Law</t>
  </si>
  <si>
    <t>Country Development Results Indicators (main list)</t>
  </si>
  <si>
    <t>Alignment</t>
  </si>
  <si>
    <t>Contribution</t>
  </si>
  <si>
    <t>Countries in the region with improved learning outcomes according to PISA (%)</t>
  </si>
  <si>
    <t>Maternal mortality ratio (number of maternal deaths per 100,000 live births)</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</si>
  <si>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</si>
  <si>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</si>
  <si>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</si>
  <si>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</si>
  <si>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</si>
  <si>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Students benefited by education projects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</si>
  <si>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</si>
  <si>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</si>
  <si>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</si>
  <si>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</si>
  <si>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</si>
  <si>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</si>
  <si>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</si>
  <si>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</si>
  <si>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MR- Indicador de producto 1</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</si>
  <si>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</si>
  <si>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</si>
  <si>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</si>
  <si>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</si>
  <si>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</si>
  <si>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</si>
  <si>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</si>
  <si>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</si>
  <si>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</si>
  <si>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MR-Indicador de producto 2</t>
  </si>
  <si>
    <t>Country Development Results Indicators (auxiliary list)</t>
  </si>
  <si>
    <t>Teachers trained (#)</t>
  </si>
  <si>
    <t>MR-Indicadores de producto 3 y 4</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</si>
  <si>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</si>
  <si>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</si>
  <si>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</si>
  <si>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</si>
  <si>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</si>
  <si>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</si>
  <si>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</si>
  <si>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</si>
  <si>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</si>
  <si>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</si>
  <si>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</si>
  <si>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</si>
  <si>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</si>
  <si>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</si>
  <si>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</si>
  <si>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that have improved disaster risk management (#)</t>
  </si>
  <si>
    <t>Countries benefited by IDB’s projects aimed at improving domestic resource mobilization  (#)</t>
  </si>
  <si>
    <t>Subnational governments benefited by decentralization, fiscal management and institutional capacity projects  (#)</t>
  </si>
  <si>
    <t>Countries that use fiduciary country systems (#)</t>
  </si>
  <si>
    <t>Public registries strengthened  (#)</t>
  </si>
  <si>
    <t>Accountability institutions strengthened  (#)</t>
  </si>
  <si>
    <t>Crime information systems strengthened  (#)</t>
  </si>
  <si>
    <t>Business environment reforms enacted  (#)</t>
  </si>
  <si>
    <t>Projects supporting innovation ecosystems (#)</t>
  </si>
  <si>
    <t>Cross-border and transnational projects (#)</t>
  </si>
  <si>
    <t>Amount of international trade promoted (US$)</t>
  </si>
  <si>
    <t>Companies supported in innovation activities (#)</t>
  </si>
  <si>
    <t>Amount of FDI promoted (US$)</t>
  </si>
  <si>
    <t>Beneficiaries of improved management and sustainable use of cultural capital  (#)</t>
  </si>
  <si>
    <t>Section 2. Country Development Objectives</t>
  </si>
  <si>
    <t>Country Strategy Results Matrix</t>
  </si>
  <si>
    <t>The intervention is aligned with an objective of the Country Strategy Results Matrix</t>
  </si>
  <si>
    <t>GN-2838</t>
  </si>
  <si>
    <t>The Country Strategy (CS or CSU) objective to which the project is aligned has been identified</t>
  </si>
  <si>
    <t>Country Program Results Matrix</t>
  </si>
  <si>
    <t>The project is included in the CPD of the corresponding year</t>
  </si>
  <si>
    <t>GN-2915-2</t>
  </si>
  <si>
    <t>If the intervention is not aligned with the Country Strategy Results Matrix or Country Program</t>
  </si>
  <si>
    <t xml:space="preserve"> Provide justification of the relevance of this project to current country development challenges</t>
  </si>
  <si>
    <t>Fill in referenced paragraph in the POD</t>
  </si>
  <si>
    <t xml:space="preserve"> Development Effectiveness Matrix for Sovereign Guaranteed Operations - 2015</t>
  </si>
  <si>
    <t>Part I  - Strategic Alignment</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</si>
  <si>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</si>
  <si>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</si>
  <si>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Criterio</t>
  </si>
  <si>
    <t>Alineación</t>
  </si>
  <si>
    <t>Contribución</t>
  </si>
  <si>
    <t xml:space="preserve">Sección 1. Alineación Estragégica con el Noveno Aumento </t>
  </si>
  <si>
    <t>Programa de préstamos</t>
  </si>
  <si>
    <t>Inclusión Social e Igualdad</t>
  </si>
  <si>
    <t>Productividad e Innovación</t>
  </si>
  <si>
    <t>Integración Económica</t>
  </si>
  <si>
    <t>Temas transversales</t>
  </si>
  <si>
    <t>Equidad de Género y Diversidad</t>
  </si>
  <si>
    <t>Cambio Climático y Sostenibilidad Ambiental</t>
  </si>
  <si>
    <t>Capacidad Institucional y Estado de Derecho</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</si>
  <si>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</si>
  <si>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</si>
  <si>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</si>
  <si>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</si>
  <si>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</si>
  <si>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</si>
  <si>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</si>
  <si>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</si>
  <si>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</si>
  <si>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</si>
  <si>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</si>
  <si>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</si>
  <si>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</si>
  <si>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</si>
  <si>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</si>
  <si>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</si>
  <si>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</si>
  <si>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</si>
  <si>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</si>
  <si>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</si>
  <si>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</si>
  <si>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</si>
  <si>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</si>
  <si>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</si>
  <si>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</si>
  <si>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</si>
  <si>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</si>
  <si>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</si>
  <si>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</si>
  <si>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</si>
  <si>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</si>
  <si>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</si>
  <si>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</si>
  <si>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</si>
  <si>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</si>
  <si>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</si>
  <si>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</si>
  <si>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</si>
  <si>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</si>
  <si>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</si>
  <si>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</si>
  <si>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</si>
  <si>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que han mejorado la gestión del riesgo de desastres (#)</t>
  </si>
  <si>
    <t>Países beneficiados por los proyectos del BID destinados a mejorar la movilización de recursos domésticos (#)</t>
  </si>
  <si>
    <t>Gobiernos subnacionales beneficiados por la descentralización, la gestión fiscal y proyectos de capacidad institucional (#)</t>
  </si>
  <si>
    <t>Países que usan sistemas nacionales fiduciarios (#)</t>
  </si>
  <si>
    <t>Registros públicos fortalecidos (#)</t>
  </si>
  <si>
    <t>Instituciones de rendición de cuenta fortalecidas (#)</t>
  </si>
  <si>
    <t>Sistemas de información del delito fortalecidos (#)</t>
  </si>
  <si>
    <t>Reformas al ambiente de negocio promulgadas (#)</t>
  </si>
  <si>
    <t>Proyectos que apoyan los ecosistemas de innovación (#)</t>
  </si>
  <si>
    <t>Proyectos transfronterizos y transnacionales (#)</t>
  </si>
  <si>
    <t>Monto del comercio internacional promovido (US$)</t>
  </si>
  <si>
    <t>Empresas apoyadas en actividades de innovación (#)</t>
  </si>
  <si>
    <t>Monto de la IED promovida (US$)</t>
  </si>
  <si>
    <t>Beneficiarios de una mejor gestión y uso sostenible del capital cultural (#)</t>
  </si>
  <si>
    <t xml:space="preserve">Section 2. Country Strategy/Country Program Alignment  </t>
  </si>
  <si>
    <t>The intervention is aligned with an objective or result of the Country Strategy Results Matrix</t>
  </si>
  <si>
    <t>Fill in GN # of current Country Strategy</t>
  </si>
  <si>
    <t>The Country Strategy (CS or CSU) objective or result to which project outcome is expected to contribute has been identified</t>
  </si>
  <si>
    <t>Fill in CS Results Matrix objective</t>
  </si>
  <si>
    <t>Fill in GN # of Country Program Document</t>
  </si>
  <si>
    <t>If the intervention is not aligned with the country strategy matrix or country program</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</si>
  <si>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</si>
  <si>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</si>
  <si>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</si>
  <si>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</si>
  <si>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</si>
  <si>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Yes/No</t>
  </si>
  <si>
    <t>Score</t>
  </si>
  <si>
    <t xml:space="preserve">Section 3. Program Logic </t>
  </si>
  <si>
    <t>Changes Made by Team &amp; Reference(s)</t>
  </si>
  <si>
    <t>Program Diagnosis</t>
  </si>
  <si>
    <t>The main problems being addressed by the project are clearly identified</t>
  </si>
  <si>
    <t>Párrafos 1.2-1.4; 1.6-1.9; 1.12-1.15</t>
  </si>
  <si>
    <t>The intended beneficiary population is clearly identified (households, localities, firms, users, or overall population)</t>
  </si>
  <si>
    <t>The main factors (or causes) contributing to the problems are clearly identified</t>
  </si>
  <si>
    <t>Párrafos 1.4; 1.6-1.9; 1.12-1.15</t>
  </si>
  <si>
    <t>Empirical evidence of the main determinants of the problems  is provided</t>
  </si>
  <si>
    <t>Párrafos 1.4; 1.6-1.9; 1.12-1.15 y respectivos pies de página</t>
  </si>
  <si>
    <t>Magnitudes of deficiencies are provided for main factors (in order to assess the relative importance of identified factors)</t>
  </si>
  <si>
    <t>Párrafos 1.2-1.4; 1.6-1.9; 1.12-1.15 y respectivos pies de página</t>
  </si>
  <si>
    <t>Diagnosis takes into account specific country characteristics in the area of project intervention</t>
  </si>
  <si>
    <t xml:space="preserve">Párrafos 1.2-1.4; 1.6-1.9; 1.11-1.15; 1.19-1.20 y respectivos pies de página </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</si>
  <si>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</si>
  <si>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</si>
  <si>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</si>
  <si>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Párrafos 1.5, 1.10-1.11; 1.16</t>
  </si>
  <si>
    <t>Information about the applicability of the intervention in the country where it is implemented is provided (external validity)</t>
  </si>
  <si>
    <t>Párrafos 1.11; 1.16; 1.26 (NEO)</t>
  </si>
  <si>
    <t>If there is no external or interal validity, then an impact evaluation or other empirical analysis with attribution to measure effectiveness is proposed for these interventions.</t>
  </si>
  <si>
    <t>Evaluación no experimental Plan de MyE</t>
  </si>
  <si>
    <t xml:space="preserve">Results Matrix Quality </t>
  </si>
  <si>
    <t>Vertical Logic</t>
  </si>
  <si>
    <t>The results matrix has a clear vertical logic. Each level logically contributes to the next higher level</t>
  </si>
  <si>
    <t xml:space="preserve">Impact Indicators
</t>
  </si>
  <si>
    <t>The POD and results matrix cleary state medium or long term impacts</t>
  </si>
  <si>
    <t>Indicadores de Impacto</t>
  </si>
  <si>
    <t>The results matrix or the monitoring and evaluation plan of the project includes a defined source of data or a clear data collection plan for each  indicator</t>
  </si>
  <si>
    <t>Anexo II - Fuentes de verificación; Plan de MyE Recolección y fuente e datos</t>
  </si>
  <si>
    <t>Outcome Indicators</t>
  </si>
  <si>
    <t>Every outcome indicator is Specific, Measurable, Achievable, Relevant, and Time-bound (SMART)</t>
  </si>
  <si>
    <t>Every outcome indicator has a baseline value, target and means of verification</t>
  </si>
  <si>
    <t>The results matrix or the monitoring and evaluation plan of the project includes a defined source of data or a clear data collection plan for each outcome indicator</t>
  </si>
  <si>
    <t>Outputs</t>
  </si>
  <si>
    <t>Every output indicator is Specific, Measurable, Achievable, Relevant, and Time-bound (SMART)</t>
  </si>
  <si>
    <t>Every output indicator has a baseline value, target and means of verification</t>
  </si>
  <si>
    <t>The results matrix or the monitoring and evaluation plan of the project includes a defined source of data or a clear data collection plan for each output indicator</t>
  </si>
  <si>
    <t>Section 4. Economic Analysis</t>
  </si>
  <si>
    <t>Exempted Lending Instruments</t>
  </si>
  <si>
    <t>The operation is a PBL, PBP or Immediate Response Facility</t>
  </si>
  <si>
    <t>No</t>
  </si>
  <si>
    <t>Cost-Benefit Analysis (CBA)</t>
  </si>
  <si>
    <r>
      <t xml:space="preserve">An ERR for the project is estimated - Fill in estimated ERR value expressed as 14.75 for 14.75% (can be negative) in </t>
    </r>
    <r>
      <rPr>
        <b/>
        <sz val="11"/>
        <rFont val="Arial"/>
        <family val="2"/>
      </rPr>
      <t>cell C42</t>
    </r>
  </si>
  <si>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</si>
  <si>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</si>
  <si>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</si>
  <si>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Sección VI. Análisis de sensibilidad</t>
  </si>
  <si>
    <t>The CBA is consistent with the baseline and target values for key outcome and/or impact indicators in the results matrix</t>
  </si>
  <si>
    <t>Cost-Effectiveness (CEA)</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</si>
  <si>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</si>
  <si>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</si>
  <si>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</si>
  <si>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</si>
  <si>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</si>
  <si>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</si>
  <si>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I. Monitoring</t>
  </si>
  <si>
    <t xml:space="preserve">Output indicators have annual targets </t>
  </si>
  <si>
    <t>Tabla 2</t>
  </si>
  <si>
    <t>Total project costs are grouped by each expected output</t>
  </si>
  <si>
    <t>Tabla 5</t>
  </si>
  <si>
    <t>All annual output targets are supported by corresponding annual costs</t>
  </si>
  <si>
    <t xml:space="preserve">Tabla 5 </t>
  </si>
  <si>
    <t>The sum of the total costs for all outputs, plus other costs if applicable, is equivalent to the total project amount (including counterpart funding)</t>
  </si>
  <si>
    <t>Tabla 5 total</t>
  </si>
  <si>
    <t>Monitoring mechanisms have been budgeted</t>
  </si>
  <si>
    <t>Tabla 4</t>
  </si>
  <si>
    <t xml:space="preserve">II. Evaluation </t>
  </si>
  <si>
    <t>Evaluation with Attribution</t>
  </si>
  <si>
    <t>Relevance</t>
  </si>
  <si>
    <t>There is a lack of empirical evidence with attribution on the effectiveness of the interventions (internal validity)</t>
  </si>
  <si>
    <t>Párrafo 1.19</t>
  </si>
  <si>
    <t>There is a lack of empirical evidence on the effectiveness of the interventions in a comparable context (external validity)</t>
  </si>
  <si>
    <t>Párrafo 1.18</t>
  </si>
  <si>
    <t xml:space="preserve">An evaluation of this intervention can contribute to close knowledge gaps identified in strategic corporate documents. </t>
  </si>
  <si>
    <t>Párrafo 1.20</t>
  </si>
  <si>
    <t>The interventions have innovative components</t>
  </si>
  <si>
    <t>Mecanismo de fondos concursables</t>
  </si>
  <si>
    <t>Project counterparts consider that an evaluation with attribution is important to inform the project design, contribute to sustainability or promote accountability.</t>
  </si>
  <si>
    <t>Methodology</t>
  </si>
  <si>
    <t>Experimental (random assignment)</t>
  </si>
  <si>
    <t>Regression Discontinuity</t>
  </si>
  <si>
    <t>Instrumental Variables</t>
  </si>
  <si>
    <t>Difference in differences</t>
  </si>
  <si>
    <t>Matching</t>
  </si>
  <si>
    <t>Synthetic Control</t>
  </si>
  <si>
    <t>Quality of Evaluation Plan</t>
  </si>
  <si>
    <t>The questions that the evaluation will try to answer are clearly stated</t>
  </si>
  <si>
    <t>Sección i. Preguntas de investigación</t>
  </si>
  <si>
    <t>The methodology proposed to determine attribution is appropriate and its assumptions are likely to hold</t>
  </si>
  <si>
    <t>ii. Aspectos técnicos de la metodología selecta</t>
  </si>
  <si>
    <t>Power analysis was performed to ensure that expected impacts may be detected</t>
  </si>
  <si>
    <t>b. Cálculos de poder, Tabla 9 y enlace (excel)</t>
  </si>
  <si>
    <t>Data sources and their availability or timelines to gather/access data necessary for the IE are specified</t>
  </si>
  <si>
    <t>c. Recolección y fuentes de datos</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</si>
  <si>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</si>
  <si>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</si>
  <si>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</si>
  <si>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</si>
  <si>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</si>
  <si>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</si>
  <si>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</si>
  <si>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</si>
  <si>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</si>
  <si>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b. Análisis de atribución</t>
  </si>
  <si>
    <t xml:space="preserve">The evaluation methodology proposed is appropriate to attempt answering the evaluation questions </t>
  </si>
  <si>
    <t>Data sources and their availability or timelines to gather/access data necessary are specified</t>
  </si>
  <si>
    <t>Risk Management and Additionality</t>
  </si>
  <si>
    <t>See "Guidelines for  the Development Effectiveness Matrix for Sovereign Operations, Part III" for more detailed instructions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</si>
  <si>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</si>
  <si>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t>Part III  - Risk Management</t>
  </si>
  <si>
    <t>Section 6. Risk Management</t>
  </si>
  <si>
    <t>Overall risk rate = magnitude of risks*likelihood</t>
  </si>
  <si>
    <t>Specify Overall risk rate: High, Medium or Low</t>
  </si>
  <si>
    <t>Low</t>
  </si>
  <si>
    <t>Environmental and Social Category</t>
  </si>
  <si>
    <t>Specify Environmental and Social Category: A, B, C, B.13</t>
  </si>
  <si>
    <t>C</t>
  </si>
  <si>
    <t xml:space="preserve">Risk Matrix </t>
  </si>
  <si>
    <t>Identified risks have been rated for magnitude</t>
  </si>
  <si>
    <t>Columna Clasificación Impacto</t>
  </si>
  <si>
    <t>Identified risks have been rated for likelihood</t>
  </si>
  <si>
    <t>Columna Probabilidad Impacto</t>
  </si>
  <si>
    <t>Mitigation Measures</t>
  </si>
  <si>
    <t>Major risks have identified proper mitigation measures</t>
  </si>
  <si>
    <t>Columna Medidas de Mitigación</t>
  </si>
  <si>
    <t>Mitigation measures have SMART indicators for tracking their implementation</t>
  </si>
  <si>
    <t>Columna Indicador de Cumplimiento</t>
  </si>
  <si>
    <t>Part IV  - Additionality</t>
  </si>
  <si>
    <t>Información y referencias</t>
  </si>
  <si>
    <t>Section 7. Additionality</t>
  </si>
  <si>
    <t xml:space="preserve">The project relies on the use of country systems </t>
  </si>
  <si>
    <t>Fiduciary Systems(VPC/FMP criteria)</t>
  </si>
  <si>
    <r>
      <t xml:space="preserve">    </t>
    </r>
    <r>
      <rPr>
        <b/>
        <i/>
        <sz val="11"/>
        <rFont val="Arial"/>
        <family val="2"/>
      </rPr>
      <t xml:space="preserve"> Financial Management</t>
    </r>
  </si>
  <si>
    <t xml:space="preserve">         Budget</t>
  </si>
  <si>
    <t xml:space="preserve">         Treasury</t>
  </si>
  <si>
    <t xml:space="preserve">         Accounting and Reporting</t>
  </si>
  <si>
    <t xml:space="preserve">         External Control</t>
  </si>
  <si>
    <t xml:space="preserve">         Internal Audit</t>
  </si>
  <si>
    <r>
      <t xml:space="preserve">    </t>
    </r>
    <r>
      <rPr>
        <b/>
        <i/>
        <sz val="11"/>
        <rFont val="Arial"/>
        <family val="2"/>
      </rPr>
      <t xml:space="preserve"> Procurement</t>
    </r>
  </si>
  <si>
    <t xml:space="preserve">        Information System</t>
  </si>
  <si>
    <t>Price Comparison</t>
  </si>
  <si>
    <t xml:space="preserve">        Contracting Individual Consultant</t>
  </si>
  <si>
    <t xml:space="preserve">        National Public Bidding</t>
  </si>
  <si>
    <t xml:space="preserve">               Partial National Competitive Bidding</t>
  </si>
  <si>
    <t xml:space="preserve">               Advanced National Competitive Bidding</t>
  </si>
  <si>
    <t>Non-Fiduciary Systems</t>
  </si>
  <si>
    <t xml:space="preserve">     Strategic Planning National System</t>
  </si>
  <si>
    <t xml:space="preserve">          Use of some Sectorial or Sub-national system</t>
  </si>
  <si>
    <t xml:space="preserve">     Monitoring and Evaluation National System</t>
  </si>
  <si>
    <t xml:space="preserve">     Statistics National System</t>
  </si>
  <si>
    <t xml:space="preserve">     Environmental Assessment National System</t>
  </si>
  <si>
    <t xml:space="preserve">La PN-T1153 apoyará para el desarrollo de productos que servirán para informar el desarrollo de los mecanismos de participación del sector productivo considerados en el Componente 1 (PN-L1153), los instrumentos de recolección de información (Componente 2) y los programas de capacitación para docentes y estándares de gestión de la calidad (Componente 3). </t>
  </si>
  <si>
    <t>Escriba la justificación para esta adicionalidad en español</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</si>
  <si>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</si>
  <si>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Fiduciary Systems(VPC/PDP criteria)</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</si>
  <si>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</si>
  <si>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</si>
  <si>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</si>
  <si>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</si>
  <si>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</si>
  <si>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</si>
  <si>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</si>
  <si>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</si>
  <si>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</si>
  <si>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</si>
  <si>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</si>
  <si>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Licitación pública nacional parcial</t>
  </si>
  <si>
    <t xml:space="preserve">               Licitación pública nacional avanzada</t>
  </si>
  <si>
    <t xml:space="preserve">     Sistema Nacional de Planeación Estratégica</t>
  </si>
  <si>
    <t xml:space="preserve">     Sistema Nacional de Monitoreo y Evaluación</t>
  </si>
  <si>
    <t xml:space="preserve">     Sistema Nacional de Estadística</t>
  </si>
  <si>
    <t xml:space="preserve">     Sistema Nacional de Evaluación Ambiental</t>
  </si>
  <si>
    <t>The IDB’s involvement promotes improvements of the intended beneficiaries and/or public sector entity in the following dimensions:</t>
  </si>
  <si>
    <t>(Please provide justification for this additionality)</t>
  </si>
  <si>
    <t>Labor</t>
  </si>
  <si>
    <t>Environment</t>
  </si>
  <si>
    <t>Provide reference to how this is achieved</t>
  </si>
  <si>
    <t>The ex-post impact evaluation of the project will produce evidence to close knowledge gaps in the sector that were identified in the project document and/or in the evaluation plan.</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</si>
  <si>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</si>
  <si>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A</t>
  </si>
  <si>
    <t>Medium</t>
  </si>
  <si>
    <t>B</t>
  </si>
  <si>
    <t>High</t>
  </si>
  <si>
    <t>B.13</t>
  </si>
  <si>
    <t>Estructura</t>
  </si>
  <si>
    <t>Titulo principal</t>
  </si>
  <si>
    <t>Titulo secundario</t>
  </si>
  <si>
    <t>Total</t>
  </si>
  <si>
    <t>Subtotal 1</t>
  </si>
  <si>
    <t>Subtotal 2</t>
  </si>
  <si>
    <t>Agregados</t>
  </si>
  <si>
    <t>Es necesario cuantificar los beneficiarios, no solo describirlos</t>
  </si>
  <si>
    <t>Literatura referenciada no se refiere a evidencia de evaluaciones de impacto.</t>
  </si>
  <si>
    <t>No se presenta evidencia de evaluaciones de impacto. (Y no se puede validar validez externa, sin validez interna).</t>
  </si>
  <si>
    <t>Supuestos utilizados no son basados en evidencia empírica y datos factuales.</t>
  </si>
  <si>
    <t>La meta del indicador de impacto 2 debería ser negativa si el proyecto reduce la brecha de habilidades.
En la nota del mismo indicador, donde ahora dice "linea de base", por favor cambiar por "valor de referencia del promedio de firmas de Panamá" y proveer un valor para el indicador.</t>
  </si>
  <si>
    <t>La MdR debe aparecer completa en el Anexo II. Por favor poner todos los indicadores, sus formulas de cálculo, Línea de Base, y Metas en el Anexo I. Detalles más técnicos si pueden ir a el anexo de M&amp;E. Eliminar pie de página 1 de Anexo I, así como los comentarios "Ver M&amp;E para detalles completos" (en todo caso cambiar a "justificación en M&amp;E" cuando sea necesario.</t>
  </si>
  <si>
    <r>
      <t xml:space="preserve">Componente 1, indicador 2: en la manera en que "nivel de involucramiento alto" está definido,no es fácil entender cuando una firma </t>
    </r>
    <r>
      <rPr>
        <u/>
        <sz val="10"/>
        <rFont val="Arial"/>
        <family val="2"/>
      </rPr>
      <t>no</t>
    </r>
    <r>
      <rPr>
        <sz val="10"/>
        <rFont val="Arial"/>
        <family val="2"/>
      </rPr>
      <t xml:space="preserve"> lo cumpliría, lo que hace que el indicador parezca más un producto y no un resultdo. Adicionalmente, no es la participación significativa de las empresas en los programas educativos una condición previa para que los programas obtengan fondos en primer lugar?
Componente 3, Indicador 1: no queda claro que este indicador realmente mide el objetivo ("apoyar la implementacion de un sistema de informacion relevante sobre la oferta y demanda de habilidades"). Asume que lo que se necesita es STEM, y no se sigue ninguna otra opción de carrera. Este indicador no nos dice mucho sobre la calidad del sistema de información; simplemente asume que el sistema de información le está diciendo a las personas (mujeres) que hagan STEM. En el POD nunca se discute que se intenta incentivar STEM, sólo se habla de las carreras más redituables. Es decir, un indicador asociado a STEM no está justificado en la lógica vertical.
El POD tiene un indicador para el Componente 3, y el PME tiene dos (uno para mujeres, uno para hombres) en un lugar (p11) y uno en el otro (p39). Se recomienda incluir el indicador para hombres y mujeres en la MdR.</t>
    </r>
  </si>
  <si>
    <t xml:space="preserve">
Componente 3, indicador 1: no se entiende en "comentarios" a que se refiere con "escuelas participantes", y no se entiende de donde va a salir el valor de Linea de base, no es explicado en ningún lado. Porque no está disponible?</t>
  </si>
  <si>
    <t>Por favor hacer el Anexo I autocontenido, poner todos los detalles de los productos en la MdR.</t>
  </si>
  <si>
    <t>Aclarar a que se refiere el producto 3 "cupos de capacitacion"
Aclarar unidad de medida en producto 7 "# ofertas formativas", probablemente se refiere a "· de reportes" o "# de mapeos"?</t>
  </si>
  <si>
    <t>El anexo de M&amp;E presenta una lista de variables potenciales a utilizar, pero no queda claro de donde saldrian estas variables. De una encuesta existente o de una encuesta que se va a ejecutar?</t>
  </si>
  <si>
    <t>No esta claro que la EPFRH incluya a las empresas de tratamiento y mejores matches posibles. No termina de quedar claro del documento, si se va a realizar una encuesta nueva o no (el plan de trabajo parece sugeriorlo, pero el texto es poco claro).</t>
  </si>
  <si>
    <t>El plan de M&amp;E no ofrece ninguna información al respecto para poder afirmar que se seguirán las prácticas de transparencia y credibilidad (por ejemplo, protección de información y privacidad de encuestados, si se sujetará la encusta propuesta al control de algún comité institucional, estándares de consentimiento informado, etc.)</t>
  </si>
  <si>
    <t>Si, pero no se explican en detalle cómo se usará ese presupuesto. Porqué ese monto? Cual es el costo por encuesta esperado? Por favor proveer un presupuesto realista y detallado.</t>
  </si>
  <si>
    <t>En el texto que se refiere al calculo de poder, se dice que hay 135 clusters de tamano 33 y intracluster correlation de 0.03. Sin embargo, el MDE en la Tabla 9 no fue calculado utilizando estos datos, sino con cluster size=1. Por favor corregir el texto. Ademas, Tabla 9 dice que el MDE se expresa en desviaciones estandar; sin embargo, este no es el caso (es la diferencia entre el grupo de tratamiento y el grupo de control).  Finalmente, no es obvio porque asumir que todas las empresas son independientes, el tipo de intervencion implica que hay grandes posibilidades de spillover effects entre empresas del mismo sector. Un cálculo de poder más realista asumiría 3 clusters de tratamiento y 3 de control, con un MDE de 24.8% bajo un ICC de .03 (que es bastante bajo). Se sugiere poner ambos cálculos de potencia, y también ofrecer alternativas bajo escenarios de distintos valores del ICC.</t>
  </si>
  <si>
    <t>En POD se indica NPV de US$3 millones, en anexo de CBA se indica US$4.7 millones en párrafo 1.21 de anexo M&amp;E.</t>
  </si>
  <si>
    <t>Componente 2, indicador1: En LB indicar como se va a determinar y cuando (puede ponerse una nota, y explicar la nota en comentarios). En comentarios la fórmula se refiere a LB y Meta, no puede ser sólo medido después del programa (LB es antes). En Meta explicar mejor y poner "1.3 veces el valor de LB" (mismo comentario para Componenente, indicador 1).</t>
  </si>
  <si>
    <t xml:space="preserve">Preguntas de evaluación no están claramente especificadas. </t>
  </si>
  <si>
    <t>No se entiende la justificación del escenario 0, que mide? Que se aprende del mismo? El escenario pesimista muestra que con cambios muy pequeños los valores de TIR y NPV son muy sensibles.</t>
  </si>
  <si>
    <t xml:space="preserve">Es muy dificil seguir el CBA. No podemos replicar los números provistos en las tablas. Deben explicarse de manera más clara los cálculos y como se llegan a los números en las tablas. El documento está poco organizado y se beneficiaría de una presentación clara de beneficios y costos por componente. Algunos de los indicadores presentados están en el lugar equivocado (por ejemplo, Tabla 8 dice que es sobre componente 2, pero los productos son de componente 3; Tabla 9 está a la inversa).
Componente 1: 
i) Explicar ecuación en página 3 (no se indican términos, y para qué se presenta la ecuación).
Ii) Varios supuestos no son creibles: porqué estudiantes ganarían el salario medio de la economía después de la capacitación, y no un "entry salary"? Es el retorno el mismo para estudiantes y no estudiantes?
Componente 2:
1) Explicar ecuación y terminología en página 9 del anexo M&amp;E.
2) No se justifica supuesto en tabla 7 respecto a efecto de mejorar IPTs sobre salarios de estudiantes
3) No se ofrece justificación para tasa de graduación de escuela media ("podrían rondar en 92%"?).
4) Supuesto que jóvenes al graduarse ganan el salario promedio no es realista. Basado en qué se puede asumir rendimiento del 12%? Parece un poco optimista?
Componente 3:
1) Tabla página 13: no es claro porque IPTs aparecen como beneficiarios (adicionalmente a veces aparecen como IPT y otras como ITP). Los beneficiarios son solo los estudiantes.
2) Los beneficios sólo se podrían observar, como muy temprano, a partir de 2024, asumiendo que la primer intervención se hace en 2019 en el último año escolar, y la educación lleva como mínimo 4 año hasta el 2023. No parece ser lo que se etá considerando en la tabla.
3) Se indica que se espera que al menos 10% de las jóvenes mujeres de educación media se matriculen en un programa STEM. No es claro de donde sale ese número, el indicador en la MdR indica 1.10* LB, y no sabemos el valor de LB.
4) Mismo problema que en componente 2, no se justifica tasa de graduación de 92%.
5) Supuesto que jóvenes van a ganar salario promedio no es realista.
- Corregir Tabla 9, meta no es la de la MdR.
- En párrafo 1.16 se indica que productividad marginal del trabajador es US$919.62, pero en Tabla en página 20 se usa el número US$9,196. Aclarar.
</t>
  </si>
  <si>
    <t xml:space="preserve">Se corregió en el anexo, gracias. </t>
  </si>
  <si>
    <t xml:space="preserve">De acuerdo. </t>
  </si>
  <si>
    <t xml:space="preserve">Hemos tomado nota y hemos reflejado la matriz de resultados completa (con fórmula, línea de base, meta y forma de monitoreo y evaluación) en el Anexo II. </t>
  </si>
  <si>
    <t xml:space="preserve">Hemos tomado nota. Cambiamos a valor negativo el ahora impacto 1; e incluidos el valor de referencia en la línea de base. Como acordamos en pláticas, hemos dejado el 0 en la línea de base dada la explicación: "0 ya que se asumen nulas diferencias entre los grupos de comparación pareados"
</t>
  </si>
  <si>
    <t xml:space="preserve">Entendido; en el párrafo 1.30 se mencionaba que se incluirían en la encuesta pero lo hemos especificado también a la hora de describir las variables (párrafo 1.25). Asimismo, al inicio de la sección de evaluación (p. 1.22) hemos aclarado que se hará la encuesta haciendo referencia a la sección donde la hemos descrito con mayor detalle (sección ix, p. 1.29). Esperamos esto ayude a clarificar que sí se realizará la encuesta, y cómo se hará.  </t>
  </si>
  <si>
    <t xml:space="preserve">Muchas gracias por las sugerencias; hemos corregido para que el texto sea consistente con la tabla 9; además, hemos incluido el escenario de clusters (dado que podríamos tener la participación de 4 o más sectores) y de valores de ICC siguiendo las recomendaciones. </t>
  </si>
  <si>
    <t xml:space="preserve">Muchas gracias por las sugerencias; hemos realizado los siguientes ajustes esperando sea más claro: (i) incluir en el párrafo 1.22 la referencia a la encuesta; (ii)  especificar en la sección C. Recolección y fuente de datos que la encuesta cubrirá a un mínimo de 372 establecimientos, incorporará a las empresas que formen parte de los FC (si es que no fueron parte del muestreo inicial), y que el diseño del cuestionario se basará en la EPFRH.; (iii) la tabla 10 especifica los momentos en los cuales se implementaría el cuestionario. </t>
  </si>
  <si>
    <t xml:space="preserve">En el párrafo 1.29 se indica que la información de la muestra la proveerá el Jefe de la Sección de Muestreo del INEC siguiendo sus propios lineamientos, y que se respetará la Ley de Protección de Datos del país. </t>
  </si>
  <si>
    <t xml:space="preserve">De acuerdo, se ha detallado el presupuesto de cada levantamiento en la Tabla 10. La estimación de costos se realizó calculando un costo de US$100 por encuesta como lo indicado en la nota de pie de página 27.. </t>
  </si>
  <si>
    <t xml:space="preserve">De acuerdo; hemos incorporado las preguntas de evaluación relacionadas a los indicadores de resultados en el párrafo 1.23 y tabla 6. </t>
  </si>
  <si>
    <t xml:space="preserve">Gracias, se han realizado los ajustes esperando responder a este comentario. </t>
  </si>
  <si>
    <t>1- Siguiendo las recomendaciones, hemos acotado lo que define un involucramiento alto. Como condición previa, las empresas deben presentar una propuesta en conjunto con un oferente de formación; sin embargo, esta lista de acciones no son parte de los requisitos. 
2- De acuerdo. Después de lo conversado, hemos propuesto medir el cambio a programas relacionados a carreras mejor remuneradas, lo cuál será definido por el especialista de MyE del componente 3 al inicio del proyecto utilizando la encuesta de hogares. Esto último lo incluimos en la matriz y el cómo lo hará lo desarrollamos en el PME.  
3- Hemos homologado los indicadores dentro del POD, de la matriz, y del PME. Decidimos dejar el indicador de las mujeres porque está alineado con la lógica vertical según lo desarrollado en el párrafo del POD 1.15 cuando se describe la situación actual de las mujeres en este rubro según el Diagnóstico de Paridad de Género en Panamá 2018.0</t>
  </si>
  <si>
    <t>Se ha cambiado cupos por capacitaciones para mayor claridad.
Exacto, se ha cambio la unidad del producto 7 a reportes</t>
  </si>
  <si>
    <t xml:space="preserve">Se ha cambiado escuelas participantes por IPTs participantes. Si bien los potenciales beneficiarios son los estudiantes de escuelas de pre-media y media (tanto profesional y técnica como académica), el seguimiento se realizará sobre las IPTs que ofrecen pre-media dado los mecanismos de monitoreo que se implementarán en ellas. La línea de base no está porque el día de hoy estas escuelas no cuentan con los sistemas para dar seguimiento a los estudiantes, pero parte de las acciones del proyecto en la plataforma Marca tu Rumbo está orientada a darle seguimiento a los estudiantes. Esto último se explica de mejor manera en el párrafo 1.15 del PME-  </t>
  </si>
  <si>
    <t xml:space="preserve">De acuerdo, hemos ajustado el párrafo de beneficiarios. </t>
  </si>
  <si>
    <t xml:space="preserve">Se ha ajustado a escenario equilibrio y se ha explicado en el párrafo 1.24. Se añadieron dos escenario pesimistas mostrando que el componente 2 es de gran sensibilidad. Ello podría ser dado que la mayor parte de los beneficios provienen de dicho componente al ser los retornos más duraderos. </t>
  </si>
  <si>
    <t>MR-Indicadores de resultado 1 y 2</t>
  </si>
  <si>
    <t xml:space="preserve">Al área de diálogo de mercados laborales (párrafo 3.32 de la Estrategia de País). To the dialogue area of labor markets (paragraph 3.32 of the Country Strategy). </t>
  </si>
  <si>
    <t xml:space="preserve">To the dialogue area of labor markets (paragraph 3.32 of the Country Strategy). </t>
  </si>
  <si>
    <t xml:space="preserve">Al área de diálogo de mercados laborales (párrafo 3.32 de la Estrategia de País). </t>
  </si>
  <si>
    <t xml:space="preserve">Entendido; hemos ajustado el indicador 1 del resultado 2 para aclarar cómo se va a determinar (fórmula), cuándo se forma la línea de base y que la meta se definirá como el valor de la línea de base por 1.3 (marcando así un incremento del 30%).  De manera similar, hemos ajustado el indicador 1 del resultado 3 aclarando que la lista de ocupaciones  mejor remuneradas se definirán al inicio del programa con la encuesta de hogares y haciendo referencia al PME para mayor detalle. Hemos aclarado que las escuelas participantes son las IPTs que ofrecen pre-media; que la línea de base será definida como el porcentaje de mujeres en el último año de pre-media que se inscriben a estas carreras; y que la meta sería un aumento del 7pp de esta línea de base marcándolo como LB+7pp.  Lo dejamos como "No" porque no tenemos información para línea de base. </t>
  </si>
  <si>
    <t xml:space="preserve">Hemos ajustado substancialmente el ACB. Hemos separado cada componente en las siguientes secciones: 
1- Conocimiento existente donde se presenta la literatura en la cual se basan los cálculos
2- Supuestos y metodología donde se exponen los supuestos por beneficiario
3- Beneficios económicos y costos donde se enlistan los costos y beneficios a tomar en cuenta por cada beneficiario
4- Estimación de los beneficios donde se desarrolla cómo se estimaron los escenarios con y sin proyecto (contra-factuales). 
Componente 1: 
i) dicha ecuación era parte de la revisión literaria; se ha pasado a una nota al pie de página y se ha incluido la explicación completa. Las ecuaciones usadas para las estimaciones se encuentran dentro de las tablas de Beneficios y Costos de cada componente. 
ii) De acuerdo; hemos diferenciado salarios dependiendo de si los individuos tienen experiencia o no. Hemos ajustado estudiantes por graduados; dado que se requerirá que los jóvenes tengan educación media para no promover la deserción entre los mismos. 
Componente 2: 
1) Igual, dicha ecuación es parte de la revisión literaria y se ha pasado a una nota al pie de página.
2) Ver párrafo 1.15; una mejora en la calidad de las IPTs se vería reflejado en el aprendizaje de los estudiantes,ello en las perspectivas salariales. 
3) Se explica en el supuesto 2 de los estudiantes graduados (Tabla 6) de dónde sale el 92% (datos del INEC). Se modificó la redacción. 
4) De acuerdo, se calculó la mediana de jóvenes entre 18 y 23 años con educación media. Hemos reajustado el impacto al 6%; el 12% está basado en la literatura de Hanushek (Ver Conocimiento existente).
Componente 3: 
1)  De acuerdo. Se eliminaron los beneficios de las IPTs. IPTs son las correctas, se corrigieron typos. 
2) El beneficio se observaria en el 2025; se explica en el supuesto 2 de los estudiantes graduados de la Tabla 10.
3)  El nuevo valor es 7% y está basado en la experiencia en México . Si bien no se sabe la línea de base en la matriz para el análisis se estima que un 7% de las jóvenes graduadas (usando usando como base 133 graduados en el 2009) salen de carreras técnicas mejor remuneradas. 
4) Ver respuesta (3) sobre el Componente 2. </t>
  </si>
  <si>
    <t>Párrafo 1.34</t>
  </si>
  <si>
    <t>Intervenciones en párrafos 1.24-1.33 están ligados a diagnóstico mencionado</t>
  </si>
  <si>
    <t>Tablas 3, 7 y 11. Además párrafos 1.12; 1.16 y 1.19</t>
  </si>
  <si>
    <t>Tablas 2, 6 y 10</t>
  </si>
  <si>
    <t>Párrafos 1.9 ; 1.15 ; 1.16y tablas 2, 6 y 10</t>
  </si>
  <si>
    <t>ERR=3%</t>
  </si>
  <si>
    <t xml:space="preserve">Entendemos y estamos de acuerdo con el comentario, sin embargo hemos realizado un gran esfuerzo en incorporar toda la evidencia a la cual hemos tenido acceso y hacer uso de la literatura disponible. Estamos conscientes de dos limitantes importantes: (i) no existe una evaluación rigurosa de NEO ni casos similares a este (programas formativos flexibles y planes de mejora de la calidad para los institutos de profesión y técnica  desarrollados bajo esta metodología) ; (y ii) no hemos contado con información detallada y necesaria acerca de las IPTs y situación de los graduados, dado que no existen mecanismos en el país para recolectar dicha información. </t>
  </si>
  <si>
    <t>OK, se valida.</t>
  </si>
  <si>
    <t>Se valida, pero se nota que los supuestos son basados en la literatura, pero sin una justificación totalmente clara del mapeo de las cifras de la literatura a la situación particular de Panamá y a las características de la intervención. Se reconoce que no es un ejercicio fácil de hacer este mapeo, y se valida tomando en cuenta que en general se toman valores conservadores.</t>
  </si>
  <si>
    <t>No se valida. Los análisis de sensibilidad todavía muestran que cambios muy pequños generan grandes variaciones en la TIR y NPV, lo que sugiere que los cambios probados son o demasiado grandes, o que hay problemas fundamentales con los supuestos. El escenario equlibrio supuestamente identifica "la utilidad mínima requerida sobre el capital invertido; es decir, el criterio mínimo que se requiere para que los ingresos cubran los costos y que el proyecto sea económicamente justificado", pero eso debería un NPV de 0, que no es lo que muestra el escenario. Los escenarios pesimistas combinan escenarios pesimistas y optimistas por componente que no son claros de justificar, y el escenario optimista mueve una serie de parámetros sin una justificación clara. En definitiva, no se aprende demasiado de este análisis de sensibilidad, excepto que el CBA es extremadamente sensible, y que el Componente 2 explica la mayor parte de las variaciones.</t>
  </si>
  <si>
    <t>Gracias por realizar los cambios solicitados.</t>
  </si>
  <si>
    <t>Gracias, se valida.</t>
  </si>
  <si>
    <t>Se valida.</t>
  </si>
  <si>
    <t>Se valida</t>
  </si>
  <si>
    <t>Gracias por realizar los cambios. Se valida.</t>
  </si>
  <si>
    <r>
      <t xml:space="preserve">Se valida. </t>
    </r>
    <r>
      <rPr>
        <b/>
        <sz val="10"/>
        <color rgb="FFFF0000"/>
        <rFont val="Arial"/>
        <family val="2"/>
      </rPr>
      <t>Por favor corregir brecha de habilidades de 35% indicada en párrafo 1.27, debería ser 46.9%.</t>
    </r>
  </si>
  <si>
    <t>Se valida.ç</t>
  </si>
  <si>
    <t xml:space="preserve">The objective of the program is to reduce the skills gap of the labor force in Panama. The specific objectives are: (i) to encourage the productive sector to train its workers with the required skills through a financing scheme that encourages the productive sector leadership and participation; (ii) promote the improvement of the institutional capacity of the providers of technical-professional skills development and training through a system of quality assurance; and (iii) support the implementation of a system that delivers relevant information on the supply and demand of skills, with a gender focus.
The project identifies deficiencies in the quality and relevance of the technical-professional skills development and training system as the main problems that the program will address, with the aim of reducing the labor force skills gap in Panama. The percentage of companies that indicates that one of the main difficulties in hiring personnel is the lack of skills is 18.9% for the whole country and 46.9% in Chiriqui (Region Occidental). This reflects deficiencies in the quality and relevance of the technical-professional skills development and training system, the limited involvement of companies in the system, and the insufficiency of information on the labor market to support the decision-making process of the key actors of the system. The components of the program appear highly relevant to address these problems.
The economic analysis of the project is adequate, with reasonable assumptions, and with a sensitivity analysis that shows extreme values. The internal rate of return of the project is 3%, but with values associated with sensitivity scenarios ranging from -39% to 43%. This variability reflects the uncertainty about the expected impacts on salaries of the training programs in Panama.
Given the scarcity of relevant evidence on the effectiveness of this type of program, the project includes an impact evaluation. The evaluation plan is based on a non-experimental methodology, which appears as adequate. The impact evaluation is important because it will generate very relevant evidence about this type of intervention.
</t>
  </si>
  <si>
    <t xml:space="preserve">El objetivo del programa es reducir la brecha de habilidades de la fuerza laboral en Panamá. Los objetivos específicos son: (i) incentivar al sector productivo para que forme a sus trabajadores con las competencias requeridas a través de un esquema de financiamiento que incentiva su liderazgo y participación; (ii) fomentar el mejoramiento de la capacidad institucional de los oferentes de formación técnico-profesional y de capacitación a través de un sistema de aseguramiento de la calidad; y (iii) apoyar la implementación de un sistema de información relevante sobre la oferta y demanda de habilidades, con enfoque de género. 
El proyecto identifica deficiencias en la calidad y pertinencia del sistema de formación técnico-profesional y capacitación como problemas principales que el programa abordará para reducir la brecha de habilidades de la fuerza laboral en Panamá. El porcentaje de empresas que señala como una de las principales dificultades para contratar personal la insuficiencia de habilidades es de 18.9% para todo el país y de 46.9% en Chiriquí, Región Occidental.  Esto refleja deficiencias en la calidad y pertinencia del sistema de formación técnico-profesional y capacitación, el limitado involucramiento de las empresas en el sistema de formación técnico-profesional y capacitación y la insuficiencia de información sobre el mercado laboral para apoyar la toma de decisiones de los actores clave del sistema. Los componentes del programa aparecen como altamente pertinentes para atacar estos problemas.
El análisis económico del proyecto es adecuado, con supuestos razonables, y con un análisis de sensibilidad que muestra valores extremos. La tasa interna de retorno del proyecto es de 3%, pero con valores asociados a escenarios de sensibilidad que van de -39% a 43%. Esta variabilidad refleja la incertidumbre en los programas de capacitación en Panamá acerca de los impactos esperados sobre salarios.
Dada la escasez de evidencia relevante sobre la efectividad de este tipo de programa, el proyecto incluye una evaluación de impacto. El plan de evaluación se basa en una metodología no experimental, que aparece como adecuada. La evaluación de impacto es importante porque generaría evidencia muy relevante sobre este tipo de intervenciones.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</si>
</sst>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43"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
      <u/>
      <sz val="10"/>
      <name val="Arial"/>
      <family val="2"/>
    </font>
    <font>
      <b/>
      <i/>
      <sz val="11"/>
      <color indexed="9"/>
      <name val="Arial"/>
      <family val="2"/>
    </font>
    <font>
      <b/>
      <sz val="11"/>
      <color indexed="8"/>
      <name val="Arial"/>
      <family val="2"/>
    </font>
    <font>
      <i/>
      <sz val="11"/>
      <name val="Arial"/>
      <family val="2"/>
    </font>
    <font>
      <b/>
      <i/>
      <sz val="11"/>
      <color theme="0"/>
      <name val="Arial"/>
      <family val="2"/>
    </font>
  </fonts>
  <fills count="29">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
      <patternFill patternType="solid">
        <fgColor rgb="FF006666"/>
        <bgColor indexed="64"/>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531">
    <xf numFmtId="0" fontId="0" fillId="0" borderId="0" xfId="0"/>
    <xf numFmtId="0" fontId="22" fillId="19" borderId="48" xfId="0" applyFont="1" applyFill="1" applyBorder="1" applyAlignment="1">
      <alignment horizontal="center" vertical="center" wrapText="1"/>
    </xf>
    <xf numFmtId="0" fontId="3" fillId="0" borderId="0" xfId="0" applyFont="1" applyAlignment="1">
      <alignment vertical="center"/>
    </xf>
    <xf numFmtId="0" fontId="3" fillId="0" borderId="0" xfId="0" applyFont="1" applyAlignment="1">
      <alignment vertical="center" wrapText="1"/>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Border="1" applyAlignment="1">
      <alignment vertical="center" wrapText="1"/>
    </xf>
    <xf numFmtId="0" fontId="7" fillId="0" borderId="10" xfId="0" applyFont="1" applyBorder="1" applyAlignment="1">
      <alignment vertical="center" wrapText="1"/>
    </xf>
    <xf numFmtId="0" fontId="10" fillId="11" borderId="4" xfId="0" applyFont="1" applyFill="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13"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Alignment="1">
      <alignment vertical="center"/>
    </xf>
    <xf numFmtId="0" fontId="13" fillId="0" borderId="22" xfId="0" applyFont="1" applyBorder="1" applyAlignment="1">
      <alignment vertical="center"/>
    </xf>
    <xf numFmtId="0" fontId="7" fillId="0" borderId="20" xfId="0" applyFont="1" applyBorder="1" applyAlignment="1">
      <alignment vertical="center"/>
    </xf>
    <xf numFmtId="0" fontId="12" fillId="0" borderId="10" xfId="0" applyFont="1" applyBorder="1" applyAlignment="1">
      <alignment vertical="center" wrapText="1"/>
    </xf>
    <xf numFmtId="0" fontId="12" fillId="0" borderId="0" xfId="0" applyFont="1" applyAlignment="1">
      <alignment vertical="center" wrapText="1"/>
    </xf>
    <xf numFmtId="0" fontId="12" fillId="0" borderId="0" xfId="0" applyFont="1" applyAlignment="1">
      <alignment vertical="center"/>
    </xf>
    <xf numFmtId="0" fontId="11" fillId="0" borderId="10" xfId="0" applyFont="1" applyBorder="1" applyAlignment="1">
      <alignment vertical="center" wrapText="1"/>
    </xf>
    <xf numFmtId="0" fontId="11" fillId="15" borderId="4" xfId="0" applyFont="1" applyFill="1" applyBorder="1" applyAlignment="1">
      <alignment horizontal="center" vertical="center" wrapText="1"/>
    </xf>
    <xf numFmtId="0" fontId="11" fillId="0" borderId="0" xfId="0" applyFont="1" applyAlignment="1">
      <alignment horizontal="center" vertical="center"/>
    </xf>
    <xf numFmtId="0" fontId="15" fillId="13" borderId="7" xfId="0" applyFont="1" applyFill="1" applyBorder="1" applyAlignment="1">
      <alignment vertical="center" wrapText="1"/>
    </xf>
    <xf numFmtId="0" fontId="15" fillId="13" borderId="8" xfId="0" applyFont="1" applyFill="1" applyBorder="1" applyAlignment="1">
      <alignment horizontal="center" vertical="center"/>
    </xf>
    <xf numFmtId="0" fontId="15" fillId="13" borderId="9" xfId="0" applyFont="1" applyFill="1" applyBorder="1" applyAlignment="1">
      <alignment horizontal="center" vertical="center"/>
    </xf>
    <xf numFmtId="0" fontId="3" fillId="0" borderId="12" xfId="0" applyFont="1" applyBorder="1" applyAlignment="1">
      <alignment vertical="center" wrapText="1"/>
    </xf>
    <xf numFmtId="0" fontId="11" fillId="0" borderId="4" xfId="0" applyFont="1" applyBorder="1" applyAlignment="1" applyProtection="1">
      <alignment vertical="center" wrapText="1"/>
      <protection locked="0"/>
    </xf>
    <xf numFmtId="0" fontId="12" fillId="0" borderId="4" xfId="0" applyFont="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Border="1" applyAlignment="1" applyProtection="1">
      <alignment horizontal="center"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Border="1" applyAlignment="1" applyProtection="1">
      <alignment vertical="center"/>
      <protection locked="0"/>
    </xf>
    <xf numFmtId="0" fontId="3" fillId="0" borderId="27" xfId="0" applyFont="1" applyBorder="1" applyAlignment="1" applyProtection="1">
      <alignment vertical="center"/>
      <protection locked="0"/>
    </xf>
    <xf numFmtId="0" fontId="3" fillId="0" borderId="21" xfId="0" applyFont="1" applyBorder="1" applyAlignment="1" applyProtection="1">
      <alignment vertical="center"/>
      <protection locked="0"/>
    </xf>
    <xf numFmtId="0" fontId="12" fillId="0" borderId="0" xfId="0" applyFont="1" applyAlignment="1" applyProtection="1">
      <alignment vertical="center"/>
      <protection locked="0"/>
    </xf>
    <xf numFmtId="0" fontId="11" fillId="0" borderId="10" xfId="0" applyFont="1" applyBorder="1" applyAlignment="1">
      <alignment horizontal="right" vertical="center" wrapText="1"/>
    </xf>
    <xf numFmtId="0" fontId="11" fillId="0" borderId="12" xfId="0" applyFont="1" applyBorder="1" applyAlignment="1">
      <alignment vertical="center" wrapText="1"/>
    </xf>
    <xf numFmtId="0" fontId="11" fillId="0" borderId="5" xfId="0" applyFont="1" applyBorder="1" applyAlignment="1" applyProtection="1">
      <alignment vertical="center" wrapText="1"/>
      <protection locked="0"/>
    </xf>
    <xf numFmtId="0" fontId="16" fillId="11" borderId="4" xfId="0" applyFont="1" applyFill="1" applyBorder="1" applyAlignment="1">
      <alignment vertical="center" wrapText="1"/>
    </xf>
    <xf numFmtId="0" fontId="3" fillId="0" borderId="0" xfId="0" applyFont="1"/>
    <xf numFmtId="0" fontId="15" fillId="25" borderId="10" xfId="0" applyFont="1" applyFill="1" applyBorder="1" applyAlignment="1">
      <alignment vertical="center" wrapText="1"/>
    </xf>
    <xf numFmtId="0" fontId="15" fillId="25" borderId="32" xfId="0" applyFont="1" applyFill="1" applyBorder="1" applyAlignment="1">
      <alignment vertical="center" wrapText="1"/>
    </xf>
    <xf numFmtId="0" fontId="15" fillId="25" borderId="33" xfId="0" applyFont="1" applyFill="1" applyBorder="1" applyAlignment="1">
      <alignment vertical="center" wrapText="1"/>
    </xf>
    <xf numFmtId="0" fontId="15" fillId="25" borderId="34" xfId="0" applyFont="1" applyFill="1" applyBorder="1" applyAlignment="1">
      <alignment horizontal="center" vertical="center" wrapText="1"/>
    </xf>
    <xf numFmtId="0" fontId="16"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10"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wrapText="1"/>
      <protection locked="0"/>
    </xf>
    <xf numFmtId="0" fontId="17" fillId="13" borderId="6" xfId="0" applyFont="1" applyFill="1" applyBorder="1" applyAlignment="1">
      <alignment vertical="center" wrapText="1"/>
    </xf>
    <xf numFmtId="0" fontId="8" fillId="13" borderId="8" xfId="0" applyFont="1" applyFill="1" applyBorder="1" applyAlignment="1">
      <alignment horizontal="center" vertical="center"/>
    </xf>
    <xf numFmtId="0" fontId="17"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Border="1" applyAlignment="1">
      <alignment vertical="center" wrapText="1"/>
    </xf>
    <xf numFmtId="0" fontId="16" fillId="11" borderId="4" xfId="0" applyFont="1" applyFill="1" applyBorder="1" applyAlignment="1">
      <alignment horizontal="center" vertical="center" wrapText="1"/>
    </xf>
    <xf numFmtId="0" fontId="12" fillId="0" borderId="4"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3" fillId="0" borderId="0" xfId="0" applyFont="1" applyAlignment="1">
      <alignment wrapText="1"/>
    </xf>
    <xf numFmtId="0" fontId="7" fillId="21" borderId="10" xfId="0" applyFont="1" applyFill="1" applyBorder="1" applyAlignment="1">
      <alignment vertical="center" wrapText="1"/>
    </xf>
    <xf numFmtId="0" fontId="20" fillId="0" borderId="10" xfId="0" applyFont="1" applyBorder="1" applyAlignment="1">
      <alignment vertical="center" wrapText="1"/>
    </xf>
    <xf numFmtId="165" fontId="7" fillId="0" borderId="4" xfId="0" applyNumberFormat="1" applyFont="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Border="1" applyAlignment="1">
      <alignment horizontal="right" vertical="center" wrapText="1"/>
    </xf>
    <xf numFmtId="165" fontId="20" fillId="0" borderId="4" xfId="0" applyNumberFormat="1" applyFont="1" applyBorder="1" applyAlignment="1">
      <alignment horizontal="center" vertical="center" wrapText="1"/>
    </xf>
    <xf numFmtId="0" fontId="3" fillId="0" borderId="10" xfId="0" applyFont="1" applyBorder="1" applyAlignment="1">
      <alignment horizontal="right" vertical="center" wrapText="1"/>
    </xf>
    <xf numFmtId="0" fontId="7" fillId="0" borderId="12" xfId="0" applyFont="1" applyBorder="1" applyAlignment="1">
      <alignment vertical="center" wrapText="1"/>
    </xf>
    <xf numFmtId="0" fontId="3" fillId="0" borderId="0" xfId="0" applyFont="1" applyAlignment="1">
      <alignment horizontal="left" vertical="center" wrapText="1"/>
    </xf>
    <xf numFmtId="0" fontId="20" fillId="0" borderId="4" xfId="0" applyFont="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1" fillId="15" borderId="11" xfId="0" applyFont="1" applyFill="1" applyBorder="1" applyAlignment="1">
      <alignment horizontal="center" vertical="center" wrapText="1"/>
    </xf>
    <xf numFmtId="0" fontId="15" fillId="14" borderId="4" xfId="0" applyFont="1" applyFill="1" applyBorder="1" applyAlignment="1">
      <alignment vertical="center" wrapText="1"/>
    </xf>
    <xf numFmtId="0" fontId="15"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Alignment="1" applyProtection="1">
      <alignment horizontal="center" vertical="center"/>
      <protection locked="0"/>
    </xf>
    <xf numFmtId="0" fontId="3" fillId="0" borderId="26" xfId="0" applyFont="1" applyBorder="1" applyAlignment="1" applyProtection="1">
      <alignment vertical="center"/>
      <protection hidden="1"/>
    </xf>
    <xf numFmtId="0" fontId="3" fillId="0" borderId="27" xfId="0" applyFont="1" applyBorder="1" applyAlignment="1" applyProtection="1">
      <alignment vertical="center"/>
      <protection hidden="1"/>
    </xf>
    <xf numFmtId="0" fontId="3" fillId="0" borderId="21" xfId="0" applyFont="1" applyBorder="1" applyAlignment="1" applyProtection="1">
      <alignment vertical="center"/>
      <protection hidden="1"/>
    </xf>
    <xf numFmtId="0" fontId="12" fillId="0" borderId="0" xfId="0" applyFont="1" applyAlignment="1" applyProtection="1">
      <alignment vertical="center"/>
      <protection hidden="1"/>
    </xf>
    <xf numFmtId="0" fontId="16"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1" fillId="0" borderId="11" xfId="0" applyFont="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15" fillId="14" borderId="7" xfId="0" applyFont="1" applyFill="1" applyBorder="1" applyAlignment="1">
      <alignment vertical="center" wrapText="1"/>
    </xf>
    <xf numFmtId="0" fontId="15" fillId="14" borderId="8" xfId="0" applyFont="1" applyFill="1" applyBorder="1" applyAlignment="1">
      <alignment vertical="center" wrapText="1"/>
    </xf>
    <xf numFmtId="0" fontId="15" fillId="14" borderId="8" xfId="0" applyFont="1" applyFill="1" applyBorder="1" applyAlignment="1">
      <alignment horizontal="center" vertical="center" wrapText="1"/>
    </xf>
    <xf numFmtId="165" fontId="15" fillId="14" borderId="9" xfId="0" applyNumberFormat="1" applyFont="1" applyFill="1" applyBorder="1" applyAlignment="1">
      <alignment horizontal="right" vertical="center" wrapText="1"/>
    </xf>
    <xf numFmtId="0" fontId="15" fillId="11" borderId="10" xfId="0" applyFont="1" applyFill="1" applyBorder="1" applyAlignment="1">
      <alignment vertical="center" wrapText="1"/>
    </xf>
    <xf numFmtId="0" fontId="15" fillId="11" borderId="4" xfId="0" applyFont="1" applyFill="1" applyBorder="1" applyAlignment="1">
      <alignment horizontal="center" vertical="center" wrapText="1"/>
    </xf>
    <xf numFmtId="165" fontId="26" fillId="11" borderId="11" xfId="0" applyNumberFormat="1" applyFont="1" applyFill="1" applyBorder="1" applyAlignment="1">
      <alignment horizontal="right" vertical="center" wrapText="1"/>
    </xf>
    <xf numFmtId="165" fontId="11" fillId="0" borderId="11" xfId="9" applyNumberFormat="1" applyFont="1" applyFill="1" applyBorder="1" applyAlignment="1">
      <alignment horizontal="right" vertical="center" wrapText="1"/>
    </xf>
    <xf numFmtId="0" fontId="11" fillId="10" borderId="10" xfId="0" applyFont="1" applyFill="1" applyBorder="1" applyAlignment="1">
      <alignment vertical="center" wrapText="1"/>
    </xf>
    <xf numFmtId="0" fontId="11" fillId="10" borderId="4" xfId="0" applyFont="1" applyFill="1" applyBorder="1" applyAlignment="1">
      <alignment vertical="center" wrapText="1"/>
    </xf>
    <xf numFmtId="0" fontId="11" fillId="10" borderId="4" xfId="0" applyFont="1" applyFill="1" applyBorder="1" applyAlignment="1">
      <alignment horizontal="center" vertical="center" wrapText="1"/>
    </xf>
    <xf numFmtId="165" fontId="11" fillId="10" borderId="11" xfId="0" applyNumberFormat="1" applyFont="1" applyFill="1" applyBorder="1" applyAlignment="1">
      <alignment horizontal="right" vertical="center" wrapText="1"/>
    </xf>
    <xf numFmtId="0" fontId="10" fillId="22" borderId="4" xfId="0" applyFont="1" applyFill="1" applyBorder="1" applyAlignment="1">
      <alignment horizontal="center" vertical="center" wrapText="1"/>
    </xf>
    <xf numFmtId="0" fontId="21" fillId="23" borderId="11" xfId="0" applyFont="1" applyFill="1" applyBorder="1" applyAlignment="1">
      <alignment horizontal="center" vertical="center" wrapText="1"/>
    </xf>
    <xf numFmtId="0" fontId="7" fillId="15" borderId="4" xfId="0" applyFont="1" applyFill="1" applyBorder="1" applyAlignment="1">
      <alignment horizontal="center" vertical="center" wrapText="1"/>
    </xf>
    <xf numFmtId="0" fontId="7" fillId="15" borderId="11" xfId="0" applyFont="1" applyFill="1" applyBorder="1" applyAlignment="1">
      <alignment horizontal="center" vertical="center" wrapText="1"/>
    </xf>
    <xf numFmtId="0" fontId="28" fillId="18" borderId="10" xfId="0" applyFont="1" applyFill="1" applyBorder="1" applyAlignment="1">
      <alignment vertical="center" wrapText="1"/>
    </xf>
    <xf numFmtId="0" fontId="28" fillId="18" borderId="4" xfId="0" applyFont="1" applyFill="1" applyBorder="1" applyAlignment="1">
      <alignment vertical="center" wrapText="1"/>
    </xf>
    <xf numFmtId="165" fontId="15" fillId="11" borderId="11" xfId="0" applyNumberFormat="1" applyFont="1" applyFill="1" applyBorder="1" applyAlignment="1">
      <alignment horizontal="right" vertical="center" wrapText="1"/>
    </xf>
    <xf numFmtId="165" fontId="11" fillId="0" borderId="11" xfId="9" applyNumberFormat="1" applyFont="1" applyFill="1" applyBorder="1" applyAlignment="1">
      <alignment horizontal="right" vertical="center"/>
    </xf>
    <xf numFmtId="165" fontId="11" fillId="10" borderId="4" xfId="0" applyNumberFormat="1" applyFont="1" applyFill="1" applyBorder="1" applyAlignment="1">
      <alignment vertical="center" wrapText="1"/>
    </xf>
    <xf numFmtId="0" fontId="11" fillId="16" borderId="10" xfId="8" applyFont="1" applyFill="1" applyBorder="1" applyAlignment="1">
      <alignment vertical="center" wrapText="1"/>
    </xf>
    <xf numFmtId="0" fontId="11" fillId="16" borderId="4" xfId="8" applyFont="1" applyFill="1" applyBorder="1" applyAlignment="1">
      <alignment horizontal="center" vertical="center" wrapText="1"/>
    </xf>
    <xf numFmtId="165" fontId="11" fillId="16" borderId="11" xfId="8" applyNumberFormat="1" applyFont="1" applyFill="1" applyBorder="1" applyAlignment="1">
      <alignment horizontal="right" vertical="center" wrapText="1"/>
    </xf>
    <xf numFmtId="0" fontId="12" fillId="0" borderId="10" xfId="8" applyFont="1" applyBorder="1" applyAlignment="1">
      <alignment horizontal="left" vertical="center" wrapText="1"/>
    </xf>
    <xf numFmtId="0" fontId="12" fillId="0" borderId="4" xfId="8" applyFont="1" applyBorder="1" applyAlignment="1" applyProtection="1">
      <alignment horizontal="center" vertical="center" wrapText="1"/>
      <protection locked="0"/>
    </xf>
    <xf numFmtId="0" fontId="12" fillId="0" borderId="10" xfId="8" applyFont="1" applyBorder="1" applyAlignment="1">
      <alignment vertical="center" wrapText="1"/>
    </xf>
    <xf numFmtId="0" fontId="7" fillId="10" borderId="11" xfId="0" applyFont="1" applyFill="1" applyBorder="1" applyAlignment="1" applyProtection="1">
      <alignment vertical="center" wrapText="1"/>
      <protection locked="0"/>
    </xf>
    <xf numFmtId="0" fontId="8" fillId="13" borderId="4" xfId="0" applyFont="1" applyFill="1" applyBorder="1" applyAlignment="1">
      <alignment horizontal="center" vertical="center"/>
    </xf>
    <xf numFmtId="0" fontId="3" fillId="24" borderId="0" xfId="0" applyFont="1" applyFill="1" applyAlignment="1">
      <alignment vertical="center"/>
    </xf>
    <xf numFmtId="0" fontId="14" fillId="0" borderId="0" xfId="0" applyFont="1" applyAlignment="1">
      <alignment vertical="center"/>
    </xf>
    <xf numFmtId="0" fontId="12" fillId="24" borderId="0" xfId="0" applyFont="1" applyFill="1" applyAlignment="1">
      <alignment horizontal="left" vertical="center" wrapText="1"/>
    </xf>
    <xf numFmtId="0" fontId="7" fillId="0" borderId="0" xfId="0" applyFont="1" applyAlignment="1" applyProtection="1">
      <alignment horizontal="center" vertical="center" wrapText="1"/>
      <protection locked="0"/>
    </xf>
    <xf numFmtId="0" fontId="8" fillId="0" borderId="0" xfId="0" applyFont="1" applyAlignment="1">
      <alignment horizontal="center" vertical="center" wrapText="1"/>
    </xf>
    <xf numFmtId="0" fontId="10" fillId="0" borderId="0" xfId="0" applyFont="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6"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Border="1" applyAlignment="1" applyProtection="1">
      <alignment horizontal="center" vertical="center"/>
      <protection hidden="1"/>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Border="1" applyAlignment="1">
      <alignment horizontal="left" vertical="center" wrapText="1" indent="1"/>
    </xf>
    <xf numFmtId="0" fontId="8" fillId="14" borderId="4" xfId="0" applyFont="1" applyFill="1" applyBorder="1" applyAlignment="1">
      <alignment horizontal="center" vertical="center" wrapText="1"/>
    </xf>
    <xf numFmtId="0" fontId="16"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5" fillId="25" borderId="4" xfId="0" applyFont="1" applyFill="1" applyBorder="1" applyAlignment="1">
      <alignment vertical="center" wrapText="1"/>
    </xf>
    <xf numFmtId="2" fontId="15"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15" fillId="11" borderId="11" xfId="0" applyFont="1" applyFill="1" applyBorder="1" applyAlignment="1">
      <alignment vertical="center" wrapText="1"/>
    </xf>
    <xf numFmtId="0" fontId="15" fillId="14" borderId="10" xfId="0" applyFont="1" applyFill="1" applyBorder="1" applyAlignment="1">
      <alignment vertical="center" wrapText="1"/>
    </xf>
    <xf numFmtId="0" fontId="23" fillId="0" borderId="10" xfId="0" applyFont="1" applyBorder="1" applyAlignment="1">
      <alignment vertical="center" wrapText="1"/>
    </xf>
    <xf numFmtId="0" fontId="12" fillId="0" borderId="12" xfId="0" applyFont="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3" fillId="0" borderId="37" xfId="0" applyFont="1" applyBorder="1" applyAlignment="1" applyProtection="1">
      <alignment vertical="center"/>
      <protection locked="0"/>
    </xf>
    <xf numFmtId="0" fontId="3" fillId="0" borderId="31" xfId="0" applyFont="1" applyBorder="1" applyAlignment="1" applyProtection="1">
      <alignment vertical="center"/>
      <protection locked="0"/>
    </xf>
    <xf numFmtId="0" fontId="3" fillId="0" borderId="42" xfId="0" applyFont="1" applyBorder="1" applyAlignment="1" applyProtection="1">
      <alignment vertical="center"/>
      <protection locked="0"/>
    </xf>
    <xf numFmtId="0" fontId="8" fillId="13" borderId="9" xfId="0" applyFont="1" applyFill="1" applyBorder="1" applyAlignment="1">
      <alignment horizontal="center" vertical="center" wrapText="1"/>
    </xf>
    <xf numFmtId="0" fontId="15" fillId="14" borderId="11" xfId="0" applyFont="1" applyFill="1" applyBorder="1" applyAlignment="1">
      <alignment vertical="center" wrapText="1"/>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5" fillId="14" borderId="4" xfId="0" applyFont="1" applyFill="1" applyBorder="1" applyAlignment="1">
      <alignment horizontal="center" vertical="center" wrapText="1"/>
    </xf>
    <xf numFmtId="165" fontId="15" fillId="14" borderId="11" xfId="0" applyNumberFormat="1" applyFont="1" applyFill="1" applyBorder="1" applyAlignment="1">
      <alignment horizontal="right" vertical="center" wrapText="1"/>
    </xf>
    <xf numFmtId="0" fontId="7" fillId="0" borderId="5" xfId="0" applyFont="1" applyBorder="1" applyAlignment="1" applyProtection="1">
      <alignment horizontal="center" vertical="center"/>
      <protection locked="0"/>
    </xf>
    <xf numFmtId="0" fontId="7" fillId="15" borderId="5" xfId="0" applyFont="1" applyFill="1" applyBorder="1" applyAlignment="1">
      <alignment horizontal="center" vertical="center" wrapText="1"/>
    </xf>
    <xf numFmtId="0" fontId="3" fillId="0" borderId="16" xfId="0" applyFont="1" applyBorder="1" applyAlignment="1" applyProtection="1">
      <alignment vertical="center"/>
      <protection hidden="1"/>
    </xf>
    <xf numFmtId="0" fontId="3" fillId="0" borderId="14" xfId="0" applyFont="1" applyBorder="1" applyAlignment="1" applyProtection="1">
      <alignment vertical="center"/>
      <protection hidden="1"/>
    </xf>
    <xf numFmtId="0" fontId="15" fillId="14" borderId="39" xfId="0" applyFont="1" applyFill="1" applyBorder="1" applyAlignment="1">
      <alignment horizontal="center" vertical="center" wrapText="1"/>
    </xf>
    <xf numFmtId="165" fontId="15" fillId="14" borderId="41" xfId="0" applyNumberFormat="1" applyFont="1" applyFill="1" applyBorder="1" applyAlignment="1">
      <alignment horizontal="right" vertical="center" wrapText="1"/>
    </xf>
    <xf numFmtId="0" fontId="28" fillId="17" borderId="40" xfId="0" applyFont="1" applyFill="1" applyBorder="1" applyAlignment="1">
      <alignment vertical="center" wrapText="1"/>
    </xf>
    <xf numFmtId="0" fontId="28" fillId="17" borderId="39" xfId="0" applyFont="1" applyFill="1" applyBorder="1" applyAlignment="1">
      <alignment vertical="center" wrapText="1"/>
    </xf>
    <xf numFmtId="0" fontId="3" fillId="0" borderId="4" xfId="0" applyFont="1" applyBorder="1" applyAlignment="1" applyProtection="1">
      <alignment vertical="center"/>
      <protection hidden="1"/>
    </xf>
    <xf numFmtId="0" fontId="3" fillId="24" borderId="4" xfId="0" applyFont="1" applyFill="1" applyBorder="1" applyAlignment="1" applyProtection="1">
      <alignment vertical="center"/>
      <protection hidden="1"/>
    </xf>
    <xf numFmtId="0" fontId="12" fillId="0" borderId="8" xfId="0" applyFont="1" applyBorder="1" applyAlignment="1" applyProtection="1">
      <alignment vertical="center"/>
      <protection hidden="1"/>
    </xf>
    <xf numFmtId="0" fontId="31" fillId="0" borderId="10" xfId="0" applyFont="1" applyBorder="1" applyAlignment="1">
      <alignment vertical="center" wrapText="1"/>
    </xf>
    <xf numFmtId="0" fontId="3" fillId="24" borderId="5" xfId="0" applyFont="1" applyFill="1" applyBorder="1" applyAlignment="1" applyProtection="1">
      <alignment vertical="center"/>
      <protection hidden="1"/>
    </xf>
    <xf numFmtId="0" fontId="12" fillId="0" borderId="35" xfId="0" applyFont="1" applyBorder="1" applyAlignment="1" applyProtection="1">
      <alignment vertical="center"/>
      <protection hidden="1"/>
    </xf>
    <xf numFmtId="0" fontId="3" fillId="0" borderId="30" xfId="0" applyFont="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2" fillId="0" borderId="10" xfId="0" applyFont="1" applyBorder="1" applyAlignment="1">
      <alignment horizontal="left" vertical="center" wrapText="1" indent="2"/>
    </xf>
    <xf numFmtId="0" fontId="32" fillId="9" borderId="10" xfId="0" applyFont="1" applyFill="1" applyBorder="1" applyAlignment="1">
      <alignment vertical="center" wrapText="1"/>
    </xf>
    <xf numFmtId="0" fontId="19"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0" fillId="0" borderId="4" xfId="0" applyNumberFormat="1" applyFont="1" applyBorder="1" applyAlignment="1" applyProtection="1">
      <alignment horizontal="center" vertical="center" wrapText="1"/>
      <protection hidden="1"/>
    </xf>
    <xf numFmtId="0" fontId="7" fillId="0" borderId="4" xfId="0" applyFont="1" applyBorder="1" applyAlignment="1">
      <alignment vertical="center" wrapText="1"/>
    </xf>
    <xf numFmtId="0" fontId="7" fillId="10" borderId="4" xfId="0" applyFont="1" applyFill="1" applyBorder="1" applyAlignment="1" applyProtection="1">
      <alignment horizontal="center" vertical="center" wrapText="1"/>
      <protection hidden="1"/>
    </xf>
    <xf numFmtId="0" fontId="11"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1" fillId="16" borderId="11" xfId="8" applyNumberFormat="1" applyFont="1" applyFill="1" applyBorder="1" applyAlignment="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3" fillId="0" borderId="11" xfId="9" applyNumberFormat="1" applyFont="1" applyFill="1" applyBorder="1" applyAlignment="1">
      <alignment horizontal="right" vertical="center" wrapText="1"/>
    </xf>
    <xf numFmtId="0" fontId="28" fillId="18" borderId="10" xfId="0" applyFont="1" applyFill="1" applyBorder="1" applyAlignment="1">
      <alignment horizontal="center" vertical="center" wrapText="1"/>
    </xf>
    <xf numFmtId="0" fontId="33" fillId="9" borderId="28" xfId="0"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27" borderId="0" xfId="0" applyFont="1" applyFill="1" applyAlignment="1">
      <alignment wrapText="1"/>
    </xf>
    <xf numFmtId="0" fontId="3" fillId="0" borderId="19" xfId="0" applyFont="1" applyBorder="1" applyAlignment="1" applyProtection="1">
      <alignment vertical="center"/>
      <protection hidden="1"/>
    </xf>
    <xf numFmtId="9" fontId="3" fillId="0" borderId="19" xfId="0" applyNumberFormat="1" applyFont="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Border="1" applyAlignment="1" applyProtection="1">
      <alignment vertical="center"/>
      <protection hidden="1"/>
    </xf>
    <xf numFmtId="0" fontId="3" fillId="0" borderId="24" xfId="0" applyFont="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Border="1" applyAlignment="1" applyProtection="1">
      <alignment vertical="center"/>
      <protection hidden="1"/>
    </xf>
    <xf numFmtId="0" fontId="3" fillId="0" borderId="18" xfId="0" applyFont="1" applyBorder="1" applyAlignment="1" applyProtection="1">
      <alignment vertical="center"/>
      <protection hidden="1"/>
    </xf>
    <xf numFmtId="0" fontId="13" fillId="0" borderId="0" xfId="0" applyFont="1" applyAlignment="1">
      <alignment vertical="center"/>
    </xf>
    <xf numFmtId="0" fontId="13" fillId="0" borderId="0" xfId="0" applyFont="1" applyAlignment="1" applyProtection="1">
      <alignment vertical="center"/>
      <protection hidden="1"/>
    </xf>
    <xf numFmtId="0" fontId="12" fillId="0" borderId="0" xfId="0" applyFont="1" applyAlignment="1" applyProtection="1">
      <alignment vertical="center" wrapText="1"/>
      <protection hidden="1"/>
    </xf>
    <xf numFmtId="0" fontId="3" fillId="0" borderId="0" xfId="0" applyFont="1" applyAlignment="1" applyProtection="1">
      <alignment horizontal="center" vertical="center"/>
      <protection hidden="1"/>
    </xf>
    <xf numFmtId="0" fontId="26" fillId="13" borderId="8" xfId="0" applyFont="1" applyFill="1" applyBorder="1" applyAlignment="1" applyProtection="1">
      <alignment vertical="center" wrapText="1"/>
      <protection hidden="1"/>
    </xf>
    <xf numFmtId="0" fontId="12" fillId="0" borderId="4" xfId="0" applyFont="1" applyBorder="1" applyAlignment="1" applyProtection="1">
      <alignment vertical="center" wrapText="1"/>
      <protection hidden="1"/>
    </xf>
    <xf numFmtId="9" fontId="15" fillId="14" borderId="4" xfId="0" applyNumberFormat="1" applyFont="1" applyFill="1" applyBorder="1" applyAlignment="1" applyProtection="1">
      <alignment vertical="center" wrapText="1"/>
      <protection hidden="1"/>
    </xf>
    <xf numFmtId="165" fontId="22" fillId="14" borderId="4" xfId="0" applyNumberFormat="1" applyFont="1" applyFill="1" applyBorder="1" applyAlignment="1" applyProtection="1">
      <alignment vertical="center" wrapText="1"/>
      <protection hidden="1"/>
    </xf>
    <xf numFmtId="9" fontId="26" fillId="11" borderId="4" xfId="0" applyNumberFormat="1" applyFont="1" applyFill="1" applyBorder="1" applyAlignment="1" applyProtection="1">
      <alignment vertical="center" wrapText="1"/>
      <protection hidden="1"/>
    </xf>
    <xf numFmtId="165" fontId="27" fillId="11" borderId="4" xfId="0" applyNumberFormat="1" applyFont="1" applyFill="1" applyBorder="1" applyAlignment="1" applyProtection="1">
      <alignment vertical="center" wrapText="1"/>
      <protection hidden="1"/>
    </xf>
    <xf numFmtId="9" fontId="11" fillId="0" borderId="4" xfId="0" applyNumberFormat="1" applyFont="1" applyBorder="1" applyAlignment="1" applyProtection="1">
      <alignment vertical="center" wrapText="1"/>
      <protection hidden="1"/>
    </xf>
    <xf numFmtId="2" fontId="3" fillId="0" borderId="4" xfId="8" applyNumberFormat="1" applyBorder="1" applyAlignment="1" applyProtection="1">
      <alignment vertical="center" wrapText="1"/>
      <protection hidden="1"/>
    </xf>
    <xf numFmtId="2" fontId="12" fillId="0" borderId="4" xfId="0" applyNumberFormat="1" applyFont="1" applyBorder="1" applyAlignment="1" applyProtection="1">
      <alignment vertical="center" wrapText="1"/>
      <protection hidden="1"/>
    </xf>
    <xf numFmtId="9" fontId="11" fillId="22" borderId="4" xfId="0" applyNumberFormat="1" applyFont="1" applyFill="1" applyBorder="1" applyAlignment="1" applyProtection="1">
      <alignment vertical="center" wrapText="1"/>
      <protection hidden="1"/>
    </xf>
    <xf numFmtId="2" fontId="11" fillId="10" borderId="4" xfId="0" applyNumberFormat="1" applyFont="1" applyFill="1" applyBorder="1" applyAlignment="1" applyProtection="1">
      <alignment vertical="center" wrapText="1"/>
      <protection hidden="1"/>
    </xf>
    <xf numFmtId="0" fontId="10" fillId="23" borderId="4" xfId="0" applyFont="1" applyFill="1" applyBorder="1" applyAlignment="1" applyProtection="1">
      <alignment horizontal="center" vertical="center" wrapText="1"/>
      <protection hidden="1"/>
    </xf>
    <xf numFmtId="2" fontId="23" fillId="10" borderId="4" xfId="0" applyNumberFormat="1" applyFont="1" applyFill="1" applyBorder="1" applyAlignment="1" applyProtection="1">
      <alignment vertical="center" wrapText="1"/>
      <protection hidden="1"/>
    </xf>
    <xf numFmtId="164" fontId="12" fillId="0" borderId="4" xfId="0" applyNumberFormat="1" applyFont="1" applyBorder="1" applyAlignment="1" applyProtection="1">
      <alignment vertical="center" wrapText="1"/>
      <protection hidden="1"/>
    </xf>
    <xf numFmtId="9" fontId="11" fillId="10" borderId="4" xfId="0" applyNumberFormat="1" applyFont="1" applyFill="1" applyBorder="1" applyAlignment="1" applyProtection="1">
      <alignment vertical="center" wrapText="1"/>
      <protection hidden="1"/>
    </xf>
    <xf numFmtId="9" fontId="15" fillId="14" borderId="39" xfId="0" applyNumberFormat="1" applyFont="1" applyFill="1" applyBorder="1" applyAlignment="1" applyProtection="1">
      <alignment horizontal="center" vertical="center" wrapText="1"/>
      <protection hidden="1"/>
    </xf>
    <xf numFmtId="165" fontId="15" fillId="14" borderId="39" xfId="0" applyNumberFormat="1" applyFont="1" applyFill="1" applyBorder="1" applyAlignment="1" applyProtection="1">
      <alignment horizontal="center" vertical="center" wrapText="1"/>
      <protection hidden="1"/>
    </xf>
    <xf numFmtId="1" fontId="15" fillId="14" borderId="39" xfId="0" applyNumberFormat="1" applyFont="1" applyFill="1" applyBorder="1" applyAlignment="1" applyProtection="1">
      <alignment horizontal="center" vertical="center" wrapText="1"/>
      <protection hidden="1"/>
    </xf>
    <xf numFmtId="165" fontId="11" fillId="0" borderId="11" xfId="9" applyNumberFormat="1" applyFont="1" applyFill="1" applyBorder="1" applyAlignment="1" applyProtection="1">
      <alignment horizontal="right" vertical="center"/>
      <protection hidden="1"/>
    </xf>
    <xf numFmtId="9" fontId="15" fillId="11" borderId="4" xfId="0" applyNumberFormat="1" applyFont="1" applyFill="1" applyBorder="1" applyAlignment="1" applyProtection="1">
      <alignment horizontal="center" vertical="center" wrapText="1"/>
      <protection hidden="1"/>
    </xf>
    <xf numFmtId="165" fontId="15" fillId="11" borderId="4" xfId="0" applyNumberFormat="1" applyFont="1" applyFill="1" applyBorder="1" applyAlignment="1" applyProtection="1">
      <alignment horizontal="center" vertical="center" wrapText="1"/>
      <protection hidden="1"/>
    </xf>
    <xf numFmtId="9" fontId="11" fillId="0" borderId="4" xfId="0" applyNumberFormat="1" applyFont="1" applyBorder="1" applyAlignment="1" applyProtection="1">
      <alignment horizontal="center" vertical="center" wrapText="1"/>
      <protection hidden="1"/>
    </xf>
    <xf numFmtId="165" fontId="3" fillId="0" borderId="4" xfId="8" applyNumberFormat="1" applyBorder="1" applyAlignment="1" applyProtection="1">
      <alignment horizontal="center" vertical="center"/>
      <protection hidden="1"/>
    </xf>
    <xf numFmtId="167" fontId="11" fillId="0" borderId="4" xfId="0" applyNumberFormat="1" applyFont="1" applyBorder="1" applyAlignment="1" applyProtection="1">
      <alignment horizontal="center" vertical="center" wrapText="1"/>
      <protection hidden="1"/>
    </xf>
    <xf numFmtId="2" fontId="3" fillId="0" borderId="4" xfId="8" applyNumberFormat="1" applyBorder="1" applyAlignment="1" applyProtection="1">
      <alignment horizontal="center" vertical="center"/>
      <protection hidden="1"/>
    </xf>
    <xf numFmtId="9" fontId="15" fillId="14" borderId="8" xfId="0" applyNumberFormat="1" applyFont="1" applyFill="1" applyBorder="1" applyAlignment="1" applyProtection="1">
      <alignment vertical="center" wrapText="1"/>
      <protection hidden="1"/>
    </xf>
    <xf numFmtId="165" fontId="15" fillId="14" borderId="8" xfId="0" applyNumberFormat="1" applyFont="1" applyFill="1" applyBorder="1" applyAlignment="1" applyProtection="1">
      <alignment vertical="center" wrapText="1"/>
      <protection hidden="1"/>
    </xf>
    <xf numFmtId="9" fontId="15" fillId="18" borderId="4" xfId="0" applyNumberFormat="1" applyFont="1" applyFill="1" applyBorder="1" applyAlignment="1" applyProtection="1">
      <alignment vertical="center" wrapText="1"/>
      <protection hidden="1"/>
    </xf>
    <xf numFmtId="165" fontId="15" fillId="18" borderId="4" xfId="0" applyNumberFormat="1" applyFont="1" applyFill="1" applyBorder="1" applyAlignment="1" applyProtection="1">
      <alignment vertical="center" wrapText="1"/>
      <protection hidden="1"/>
    </xf>
    <xf numFmtId="165" fontId="12" fillId="0" borderId="4" xfId="0" applyNumberFormat="1" applyFont="1" applyBorder="1" applyAlignment="1" applyProtection="1">
      <alignment vertical="center" wrapText="1"/>
      <protection hidden="1"/>
    </xf>
    <xf numFmtId="165" fontId="11" fillId="10" borderId="4" xfId="0" applyNumberFormat="1" applyFont="1" applyFill="1" applyBorder="1" applyAlignment="1" applyProtection="1">
      <alignment vertical="center" wrapText="1"/>
      <protection hidden="1"/>
    </xf>
    <xf numFmtId="0" fontId="11" fillId="16" borderId="4" xfId="8" applyFont="1" applyFill="1" applyBorder="1" applyAlignment="1" applyProtection="1">
      <alignment horizontal="center" vertical="center" wrapText="1"/>
      <protection hidden="1"/>
    </xf>
    <xf numFmtId="9" fontId="11" fillId="16" borderId="4" xfId="8" applyNumberFormat="1" applyFont="1" applyFill="1" applyBorder="1" applyAlignment="1" applyProtection="1">
      <alignment vertical="center" wrapText="1"/>
      <protection hidden="1"/>
    </xf>
    <xf numFmtId="165" fontId="11" fillId="16" borderId="4" xfId="8" applyNumberFormat="1" applyFont="1" applyFill="1" applyBorder="1" applyAlignment="1" applyProtection="1">
      <alignment vertical="center" wrapText="1"/>
      <protection hidden="1"/>
    </xf>
    <xf numFmtId="9" fontId="11" fillId="0" borderId="0" xfId="0" applyNumberFormat="1" applyFont="1" applyAlignment="1" applyProtection="1">
      <alignment vertical="center" wrapText="1"/>
      <protection hidden="1"/>
    </xf>
    <xf numFmtId="165" fontId="12" fillId="0" borderId="0" xfId="0" applyNumberFormat="1" applyFont="1" applyAlignment="1" applyProtection="1">
      <alignment vertical="center" wrapText="1"/>
      <protection hidden="1"/>
    </xf>
    <xf numFmtId="2" fontId="11"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4" fillId="0" borderId="0" xfId="0" applyFont="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4" fillId="0" borderId="3" xfId="0" applyFont="1" applyBorder="1" applyAlignment="1">
      <alignment vertical="center"/>
    </xf>
    <xf numFmtId="0" fontId="14"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5" fillId="11" borderId="10" xfId="0" applyFont="1" applyFill="1" applyBorder="1" applyAlignment="1">
      <alignment vertical="top" wrapText="1"/>
    </xf>
    <xf numFmtId="0" fontId="15" fillId="11" borderId="11" xfId="0" applyFont="1" applyFill="1" applyBorder="1" applyAlignment="1">
      <alignment vertical="top" wrapText="1"/>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1" fillId="10" borderId="10" xfId="8" applyFont="1" applyFill="1" applyBorder="1" applyAlignment="1">
      <alignment vertical="top" wrapText="1"/>
    </xf>
    <xf numFmtId="0" fontId="11" fillId="10" borderId="11" xfId="8" applyFont="1" applyFill="1" applyBorder="1" applyAlignment="1">
      <alignment vertical="top" wrapText="1"/>
    </xf>
    <xf numFmtId="164" fontId="3" fillId="0" borderId="11" xfId="0" applyNumberFormat="1" applyFont="1" applyBorder="1" applyAlignment="1" applyProtection="1">
      <alignment vertical="top" wrapText="1"/>
      <protection locked="0"/>
    </xf>
    <xf numFmtId="0" fontId="28" fillId="17" borderId="40" xfId="0" applyFont="1" applyFill="1" applyBorder="1" applyAlignment="1">
      <alignment vertical="top" wrapText="1"/>
    </xf>
    <xf numFmtId="0" fontId="28" fillId="17" borderId="41" xfId="0" applyFont="1" applyFill="1" applyBorder="1" applyAlignment="1">
      <alignment vertical="top" wrapText="1"/>
    </xf>
    <xf numFmtId="0" fontId="12" fillId="0" borderId="4" xfId="0" applyFont="1" applyBorder="1" applyAlignment="1" applyProtection="1">
      <alignment vertical="top" wrapText="1"/>
      <protection locked="0"/>
    </xf>
    <xf numFmtId="0" fontId="28" fillId="17" borderId="7" xfId="0" applyFont="1" applyFill="1" applyBorder="1" applyAlignment="1">
      <alignment vertical="top" wrapText="1"/>
    </xf>
    <xf numFmtId="0" fontId="28" fillId="17" borderId="9" xfId="0" applyFont="1" applyFill="1" applyBorder="1" applyAlignment="1">
      <alignment vertical="top" wrapText="1"/>
    </xf>
    <xf numFmtId="165" fontId="12" fillId="0" borderId="10" xfId="0" applyNumberFormat="1" applyFont="1" applyBorder="1" applyAlignment="1" applyProtection="1">
      <alignment vertical="top" wrapText="1"/>
      <protection locked="0"/>
    </xf>
    <xf numFmtId="166" fontId="3" fillId="0" borderId="11" xfId="0" applyNumberFormat="1" applyFont="1" applyBorder="1" applyAlignment="1" applyProtection="1">
      <alignment vertical="top" wrapText="1"/>
      <protection locked="0"/>
    </xf>
    <xf numFmtId="0" fontId="11" fillId="16" borderId="10" xfId="8" applyFont="1" applyFill="1" applyBorder="1" applyAlignment="1">
      <alignment vertical="top" wrapText="1"/>
    </xf>
    <xf numFmtId="0" fontId="11"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0" fontId="37" fillId="25" borderId="30" xfId="0" applyFont="1" applyFill="1" applyBorder="1" applyAlignment="1" applyProtection="1">
      <alignment horizontal="center" vertical="center" wrapText="1"/>
      <protection hidden="1"/>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17" fillId="19" borderId="30" xfId="0" applyFont="1" applyFill="1" applyBorder="1" applyAlignment="1">
      <alignment horizontal="right" vertical="center" wrapText="1"/>
    </xf>
    <xf numFmtId="0" fontId="17" fillId="19" borderId="19" xfId="0" applyFont="1" applyFill="1" applyBorder="1" applyAlignment="1">
      <alignment vertical="center" wrapText="1"/>
    </xf>
    <xf numFmtId="0" fontId="17" fillId="19" borderId="31" xfId="0" applyFont="1" applyFill="1" applyBorder="1" applyAlignment="1">
      <alignment vertical="center" wrapText="1"/>
    </xf>
    <xf numFmtId="0" fontId="17" fillId="19" borderId="19" xfId="0" applyFont="1" applyFill="1" applyBorder="1" applyAlignment="1">
      <alignment horizontal="center" vertical="center" wrapText="1"/>
    </xf>
    <xf numFmtId="0" fontId="17" fillId="28" borderId="45" xfId="0" applyFont="1" applyFill="1" applyBorder="1" applyAlignment="1" applyProtection="1">
      <alignment horizontal="center" vertical="center" wrapText="1"/>
      <protection locked="0"/>
    </xf>
    <xf numFmtId="0" fontId="15" fillId="28" borderId="23" xfId="0" applyFont="1" applyFill="1" applyBorder="1" applyAlignment="1">
      <alignment vertical="center" wrapText="1"/>
    </xf>
    <xf numFmtId="0" fontId="3" fillId="10" borderId="11" xfId="0" applyFont="1" applyFill="1" applyBorder="1" applyAlignment="1" applyProtection="1">
      <alignment vertical="center" wrapText="1"/>
      <protection locked="0"/>
    </xf>
    <xf numFmtId="0" fontId="3" fillId="0" borderId="4" xfId="0" applyFont="1" applyBorder="1" applyAlignment="1" applyProtection="1">
      <alignment vertical="top" wrapText="1"/>
      <protection locked="0"/>
    </xf>
    <xf numFmtId="0" fontId="3" fillId="0" borderId="5" xfId="0" applyFont="1" applyBorder="1" applyAlignment="1" applyProtection="1">
      <alignment vertical="top" wrapText="1"/>
      <protection locked="0"/>
    </xf>
    <xf numFmtId="0" fontId="12" fillId="0" borderId="10" xfId="0" applyFont="1" applyBorder="1" applyAlignment="1" applyProtection="1">
      <alignment vertical="top" wrapText="1"/>
      <protection locked="0"/>
    </xf>
    <xf numFmtId="0" fontId="12" fillId="0" borderId="11" xfId="0" applyFont="1" applyBorder="1" applyAlignment="1" applyProtection="1">
      <alignment vertical="top" wrapText="1"/>
      <protection locked="0"/>
    </xf>
    <xf numFmtId="0" fontId="3" fillId="10" borderId="11" xfId="0" applyFont="1" applyFill="1" applyBorder="1" applyAlignment="1" applyProtection="1">
      <alignment vertical="top" wrapText="1"/>
      <protection locked="0"/>
    </xf>
    <xf numFmtId="0" fontId="13" fillId="0" borderId="0" xfId="0" applyFont="1" applyAlignment="1">
      <alignment horizontal="center" vertical="center"/>
    </xf>
    <xf numFmtId="0" fontId="15" fillId="13" borderId="8" xfId="0" applyFont="1" applyFill="1" applyBorder="1" applyAlignment="1">
      <alignment horizontal="center" vertical="center" wrapText="1"/>
    </xf>
    <xf numFmtId="0" fontId="3" fillId="0" borderId="0" xfId="0" applyFont="1" applyAlignment="1">
      <alignment horizontal="center" vertical="center"/>
    </xf>
    <xf numFmtId="0" fontId="8" fillId="14" borderId="11" xfId="0" applyFont="1" applyFill="1" applyBorder="1" applyAlignment="1">
      <alignment horizontal="center" vertical="center" wrapText="1"/>
    </xf>
    <xf numFmtId="0" fontId="7" fillId="20" borderId="4" xfId="0" applyFont="1" applyFill="1" applyBorder="1" applyAlignment="1" applyProtection="1">
      <alignment horizontal="center" vertical="center"/>
      <protection locked="0"/>
    </xf>
    <xf numFmtId="0" fontId="7" fillId="20" borderId="4" xfId="0" applyFont="1" applyFill="1" applyBorder="1" applyAlignment="1" applyProtection="1">
      <alignment vertical="top" wrapText="1"/>
      <protection locked="0"/>
    </xf>
    <xf numFmtId="0" fontId="7" fillId="20" borderId="4" xfId="0" applyFont="1" applyFill="1" applyBorder="1" applyAlignment="1" applyProtection="1">
      <alignment horizontal="center" vertical="center" wrapText="1"/>
      <protection locked="0"/>
    </xf>
    <xf numFmtId="0" fontId="7" fillId="0" borderId="4" xfId="0" applyFont="1" applyBorder="1" applyAlignment="1" applyProtection="1">
      <alignment vertical="center"/>
      <protection locked="0"/>
    </xf>
    <xf numFmtId="0" fontId="11" fillId="20" borderId="11" xfId="0" applyFont="1" applyFill="1" applyBorder="1" applyAlignment="1" applyProtection="1">
      <alignment horizontal="center" vertical="center" wrapText="1"/>
      <protection locked="0"/>
    </xf>
    <xf numFmtId="0" fontId="11" fillId="20" borderId="4" xfId="0" applyFont="1" applyFill="1" applyBorder="1" applyAlignment="1" applyProtection="1">
      <alignment vertical="center" wrapText="1"/>
      <protection locked="0"/>
    </xf>
    <xf numFmtId="1" fontId="11" fillId="0" borderId="4" xfId="0" applyNumberFormat="1" applyFont="1" applyBorder="1" applyAlignment="1" applyProtection="1">
      <alignment vertical="center" wrapText="1"/>
      <protection locked="0"/>
    </xf>
    <xf numFmtId="0" fontId="11" fillId="24" borderId="4"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xf numFmtId="0" fontId="3" fillId="0" borderId="10" xfId="0" applyFont="1" applyFill="1" applyBorder="1" applyAlignment="1" applyProtection="1">
      <alignment vertical="top" wrapText="1"/>
      <protection locked="0"/>
    </xf>
    <xf numFmtId="0" fontId="11" fillId="20" borderId="4" xfId="0" applyFont="1" applyFill="1" applyBorder="1" applyAlignment="1" applyProtection="1">
      <alignment horizontal="center" vertical="center" wrapText="1"/>
      <protection locked="0"/>
    </xf>
    <xf numFmtId="164" fontId="3" fillId="0" borderId="11" xfId="0" applyNumberFormat="1"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7" fillId="24" borderId="4" xfId="0" applyFont="1" applyFill="1" applyBorder="1" applyAlignment="1" applyProtection="1">
      <alignment vertical="center" wrapText="1"/>
      <protection locked="0"/>
    </xf>
    <xf numFmtId="0" fontId="7" fillId="24" borderId="4" xfId="0" applyFont="1" applyFill="1" applyBorder="1" applyAlignment="1" applyProtection="1">
      <alignment horizontal="center" vertical="center" wrapText="1"/>
      <protection locked="0"/>
    </xf>
    <xf numFmtId="0" fontId="7" fillId="24" borderId="4" xfId="0" applyFont="1" applyFill="1" applyBorder="1" applyAlignment="1" applyProtection="1">
      <alignment vertical="top" wrapText="1"/>
      <protection locked="0"/>
    </xf>
    <xf numFmtId="0" fontId="11" fillId="24" borderId="11" xfId="0" applyFont="1" applyFill="1" applyBorder="1" applyAlignment="1" applyProtection="1">
      <alignment horizontal="center" vertical="center" wrapText="1"/>
      <protection locked="0"/>
    </xf>
    <xf numFmtId="0" fontId="3" fillId="0" borderId="0" xfId="0" applyFont="1" applyFill="1" applyAlignment="1" applyProtection="1">
      <alignment vertical="top" wrapText="1"/>
      <protection locked="0"/>
    </xf>
    <xf numFmtId="0" fontId="12" fillId="0" borderId="0" xfId="0" applyFont="1" applyAlignment="1">
      <alignment horizontal="left" vertical="center" wrapText="1"/>
    </xf>
    <xf numFmtId="0" fontId="3" fillId="24" borderId="11" xfId="0" applyFont="1" applyFill="1" applyBorder="1" applyAlignment="1" applyProtection="1">
      <alignment vertical="top" wrapText="1"/>
      <protection locked="0"/>
    </xf>
    <xf numFmtId="0" fontId="11" fillId="0" borderId="0" xfId="0" applyFont="1" applyAlignment="1">
      <alignment horizontal="center" vertical="center" wrapText="1"/>
    </xf>
    <xf numFmtId="0" fontId="12" fillId="0" borderId="0" xfId="0" applyFont="1" applyAlignment="1">
      <alignment wrapText="1"/>
    </xf>
    <xf numFmtId="0" fontId="22" fillId="19" borderId="30" xfId="0" applyFont="1" applyFill="1" applyBorder="1" applyAlignment="1">
      <alignment horizontal="right" vertical="center" wrapText="1"/>
    </xf>
    <xf numFmtId="0" fontId="22" fillId="19" borderId="19" xfId="0" applyFont="1" applyFill="1" applyBorder="1" applyAlignment="1">
      <alignment horizontal="center" vertical="center" wrapText="1"/>
    </xf>
    <xf numFmtId="0" fontId="22" fillId="19" borderId="19" xfId="0" applyFont="1" applyFill="1" applyBorder="1" applyAlignment="1">
      <alignment vertical="center" wrapText="1"/>
    </xf>
    <xf numFmtId="0" fontId="22" fillId="19" borderId="31" xfId="0" applyFont="1" applyFill="1" applyBorder="1" applyAlignment="1">
      <alignment vertical="center" wrapText="1"/>
    </xf>
    <xf numFmtId="0" fontId="11" fillId="21" borderId="10" xfId="0" applyFont="1" applyFill="1" applyBorder="1" applyAlignment="1">
      <alignment vertical="center" wrapText="1"/>
    </xf>
    <xf numFmtId="0" fontId="40" fillId="0" borderId="10" xfId="0" applyFont="1" applyBorder="1" applyAlignment="1">
      <alignment vertical="center" wrapText="1"/>
    </xf>
    <xf numFmtId="0" fontId="40" fillId="0" borderId="4" xfId="0" applyFont="1" applyBorder="1" applyAlignment="1" applyProtection="1">
      <alignment horizontal="center" vertical="center" wrapText="1"/>
      <protection hidden="1"/>
    </xf>
    <xf numFmtId="0" fontId="11" fillId="0" borderId="10" xfId="0" applyFont="1" applyBorder="1" applyAlignment="1">
      <alignment horizontal="left" vertical="center" wrapText="1" indent="1"/>
    </xf>
    <xf numFmtId="165" fontId="11" fillId="0" borderId="4" xfId="0" applyNumberFormat="1" applyFont="1" applyBorder="1" applyAlignment="1" applyProtection="1">
      <alignment horizontal="right" vertical="center" wrapText="1"/>
      <protection locked="0"/>
    </xf>
    <xf numFmtId="0" fontId="39" fillId="9" borderId="10" xfId="0" applyFont="1" applyFill="1" applyBorder="1" applyAlignment="1">
      <alignment vertical="center" wrapText="1"/>
    </xf>
    <xf numFmtId="0" fontId="15" fillId="9" borderId="28" xfId="0" applyFont="1" applyFill="1" applyBorder="1" applyAlignment="1" applyProtection="1">
      <alignment vertical="center" wrapText="1"/>
      <protection hidden="1"/>
    </xf>
    <xf numFmtId="0" fontId="22" fillId="25" borderId="30" xfId="0" applyFont="1" applyFill="1" applyBorder="1" applyAlignment="1" applyProtection="1">
      <alignment horizontal="center" vertical="center" wrapText="1"/>
      <protection hidden="1"/>
    </xf>
    <xf numFmtId="0" fontId="39" fillId="9" borderId="10" xfId="0" applyFont="1" applyFill="1" applyBorder="1" applyAlignment="1" applyProtection="1">
      <alignment vertical="center" wrapText="1"/>
      <protection hidden="1"/>
    </xf>
    <xf numFmtId="168" fontId="11" fillId="24" borderId="4" xfId="0" applyNumberFormat="1" applyFont="1" applyFill="1" applyBorder="1" applyAlignment="1" applyProtection="1">
      <alignment horizontal="center" vertical="center" wrapText="1"/>
      <protection hidden="1"/>
    </xf>
    <xf numFmtId="165" fontId="11" fillId="26" borderId="4" xfId="0" applyNumberFormat="1" applyFont="1" applyFill="1" applyBorder="1" applyAlignment="1" applyProtection="1">
      <alignment horizontal="center" vertical="center" wrapText="1"/>
      <protection hidden="1"/>
    </xf>
    <xf numFmtId="0" fontId="15" fillId="9" borderId="11" xfId="0" applyFont="1" applyFill="1" applyBorder="1" applyAlignment="1" applyProtection="1">
      <alignment horizontal="center" vertical="center" wrapText="1"/>
      <protection hidden="1"/>
    </xf>
    <xf numFmtId="0" fontId="11" fillId="21" borderId="10" xfId="0" applyFont="1" applyFill="1" applyBorder="1" applyAlignment="1">
      <alignment horizontal="left" vertical="center" wrapText="1"/>
    </xf>
    <xf numFmtId="165" fontId="40" fillId="0" borderId="4" xfId="0" applyNumberFormat="1" applyFont="1" applyBorder="1" applyAlignment="1">
      <alignment horizontal="center" vertical="center" wrapText="1"/>
    </xf>
    <xf numFmtId="0" fontId="12" fillId="0" borderId="10" xfId="0" applyFont="1" applyBorder="1" applyAlignment="1">
      <alignment horizontal="right" vertical="center" wrapText="1"/>
    </xf>
    <xf numFmtId="165" fontId="40" fillId="0" borderId="4" xfId="0" applyNumberFormat="1" applyFont="1" applyBorder="1" applyAlignment="1" applyProtection="1">
      <alignment horizontal="center" vertical="center" wrapText="1"/>
      <protection hidden="1"/>
    </xf>
    <xf numFmtId="0" fontId="22" fillId="19" borderId="46" xfId="0" applyFont="1" applyFill="1" applyBorder="1" applyAlignment="1">
      <alignment horizontal="center" vertical="center" wrapText="1"/>
    </xf>
    <xf numFmtId="0" fontId="22" fillId="19" borderId="47" xfId="0" applyFont="1" applyFill="1" applyBorder="1" applyAlignment="1">
      <alignment horizontal="center" vertical="center" wrapText="1"/>
    </xf>
    <xf numFmtId="0" fontId="11" fillId="21" borderId="4" xfId="0" applyFont="1" applyFill="1" applyBorder="1" applyAlignment="1" applyProtection="1">
      <alignment horizontal="center" vertical="center" wrapText="1"/>
      <protection hidden="1"/>
    </xf>
    <xf numFmtId="0" fontId="11" fillId="21" borderId="11" xfId="0" applyFont="1" applyFill="1" applyBorder="1" applyAlignment="1" applyProtection="1">
      <alignment horizontal="center" vertical="center" wrapText="1"/>
      <protection hidden="1"/>
    </xf>
    <xf numFmtId="165" fontId="40" fillId="0" borderId="30" xfId="0" applyNumberFormat="1" applyFont="1" applyBorder="1" applyAlignment="1" applyProtection="1">
      <alignment horizontal="left" vertical="center" wrapText="1"/>
      <protection hidden="1"/>
    </xf>
    <xf numFmtId="165" fontId="40" fillId="0" borderId="19" xfId="0" applyNumberFormat="1" applyFont="1" applyBorder="1" applyAlignment="1" applyProtection="1">
      <alignment horizontal="left" vertical="center" wrapText="1"/>
      <protection hidden="1"/>
    </xf>
    <xf numFmtId="165" fontId="40" fillId="0" borderId="28" xfId="0" applyNumberFormat="1" applyFont="1" applyBorder="1" applyAlignment="1" applyProtection="1">
      <alignment horizontal="left" vertical="center" wrapText="1"/>
      <protection hidden="1"/>
    </xf>
    <xf numFmtId="0" fontId="39" fillId="9" borderId="40" xfId="0" applyFont="1" applyFill="1" applyBorder="1" applyAlignment="1">
      <alignment horizontal="left" vertical="center" wrapText="1"/>
    </xf>
    <xf numFmtId="0" fontId="39" fillId="9" borderId="39" xfId="0" applyFont="1" applyFill="1" applyBorder="1" applyAlignment="1">
      <alignment horizontal="left" vertical="center" wrapText="1"/>
    </xf>
    <xf numFmtId="0" fontId="39" fillId="9" borderId="41" xfId="0" applyFont="1" applyFill="1" applyBorder="1" applyAlignment="1">
      <alignment horizontal="left" vertical="center" wrapText="1"/>
    </xf>
    <xf numFmtId="9" fontId="40" fillId="0" borderId="4" xfId="0" applyNumberFormat="1" applyFont="1" applyBorder="1" applyAlignment="1" applyProtection="1">
      <alignment horizontal="left" vertical="center" wrapText="1"/>
      <protection locked="0" hidden="1"/>
    </xf>
    <xf numFmtId="9" fontId="40" fillId="0" borderId="11" xfId="0" applyNumberFormat="1" applyFont="1" applyBorder="1" applyAlignment="1" applyProtection="1">
      <alignment horizontal="left" vertical="center" wrapText="1"/>
      <protection locked="0" hidden="1"/>
    </xf>
    <xf numFmtId="9" fontId="40" fillId="0" borderId="4" xfId="0" applyNumberFormat="1" applyFont="1" applyBorder="1" applyAlignment="1" applyProtection="1">
      <alignment horizontal="left" vertical="center" wrapText="1"/>
      <protection hidden="1"/>
    </xf>
    <xf numFmtId="9" fontId="40" fillId="0" borderId="11" xfId="0" applyNumberFormat="1" applyFont="1" applyBorder="1" applyAlignment="1" applyProtection="1">
      <alignment horizontal="left" vertical="center" wrapText="1"/>
      <protection hidden="1"/>
    </xf>
    <xf numFmtId="9" fontId="40" fillId="0" borderId="30" xfId="0" applyNumberFormat="1" applyFont="1" applyBorder="1" applyAlignment="1" applyProtection="1">
      <alignment horizontal="left" vertical="center" wrapText="1"/>
      <protection locked="0" hidden="1"/>
    </xf>
    <xf numFmtId="9" fontId="40" fillId="0" borderId="28" xfId="0" applyNumberFormat="1" applyFont="1" applyBorder="1" applyAlignment="1" applyProtection="1">
      <alignment horizontal="left" vertical="center" wrapText="1"/>
      <protection locked="0" hidden="1"/>
    </xf>
    <xf numFmtId="0" fontId="41" fillId="0" borderId="0" xfId="0" applyFont="1" applyAlignment="1" applyProtection="1">
      <alignment vertical="top" wrapText="1"/>
      <protection locked="0"/>
    </xf>
    <xf numFmtId="0" fontId="12" fillId="0" borderId="0" xfId="0" applyFont="1" applyAlignment="1" applyProtection="1">
      <alignment wrapText="1"/>
      <protection locked="0"/>
    </xf>
    <xf numFmtId="1" fontId="11" fillId="0" borderId="30" xfId="0" applyNumberFormat="1" applyFont="1" applyBorder="1" applyAlignment="1" applyProtection="1">
      <alignment horizontal="center" vertical="center" wrapText="1"/>
      <protection locked="0" hidden="1"/>
    </xf>
    <xf numFmtId="1" fontId="11" fillId="0" borderId="28" xfId="0" applyNumberFormat="1" applyFont="1" applyBorder="1" applyAlignment="1" applyProtection="1">
      <alignment horizontal="center" vertical="center" wrapText="1"/>
      <protection locked="0" hidden="1"/>
    </xf>
    <xf numFmtId="0" fontId="11" fillId="0" borderId="30" xfId="0" applyFont="1" applyBorder="1" applyAlignment="1" applyProtection="1">
      <alignment horizontal="left" vertical="center" wrapText="1"/>
      <protection hidden="1"/>
    </xf>
    <xf numFmtId="0" fontId="11" fillId="0" borderId="28" xfId="0" applyFont="1" applyBorder="1" applyAlignment="1" applyProtection="1">
      <alignment horizontal="left" vertical="center" wrapText="1"/>
      <protection hidden="1"/>
    </xf>
    <xf numFmtId="0" fontId="12" fillId="0" borderId="0" xfId="0" applyFont="1" applyAlignment="1">
      <alignment horizontal="left" vertical="center" wrapText="1"/>
    </xf>
    <xf numFmtId="165" fontId="11" fillId="21" borderId="4" xfId="0" applyNumberFormat="1" applyFont="1" applyFill="1" applyBorder="1" applyAlignment="1" applyProtection="1">
      <alignment horizontal="center" vertical="center" wrapText="1"/>
      <protection hidden="1"/>
    </xf>
    <xf numFmtId="165" fontId="11" fillId="21" borderId="11" xfId="0" applyNumberFormat="1" applyFont="1" applyFill="1" applyBorder="1" applyAlignment="1" applyProtection="1">
      <alignment horizontal="center" vertical="center" wrapText="1"/>
      <protection hidden="1"/>
    </xf>
    <xf numFmtId="165" fontId="23" fillId="0" borderId="4" xfId="0" applyNumberFormat="1" applyFont="1" applyBorder="1" applyAlignment="1" applyProtection="1">
      <alignment horizontal="center" vertical="center" wrapText="1"/>
      <protection hidden="1"/>
    </xf>
    <xf numFmtId="165" fontId="23" fillId="0" borderId="11" xfId="0" applyNumberFormat="1" applyFont="1" applyBorder="1" applyAlignment="1" applyProtection="1">
      <alignment horizontal="center" vertical="center" wrapText="1"/>
      <protection hidden="1"/>
    </xf>
    <xf numFmtId="1" fontId="40" fillId="0" borderId="4" xfId="0" applyNumberFormat="1" applyFont="1" applyBorder="1" applyAlignment="1" applyProtection="1">
      <alignment horizontal="center" vertical="center" wrapText="1"/>
      <protection locked="0"/>
    </xf>
    <xf numFmtId="1" fontId="40" fillId="0" borderId="11" xfId="0" applyNumberFormat="1" applyFont="1" applyBorder="1" applyAlignment="1" applyProtection="1">
      <alignment horizontal="center" vertical="center" wrapText="1"/>
      <protection locked="0"/>
    </xf>
    <xf numFmtId="0" fontId="39" fillId="9" borderId="10" xfId="0" applyFont="1" applyFill="1" applyBorder="1" applyAlignment="1">
      <alignment horizontal="left" vertical="center" wrapText="1"/>
    </xf>
    <xf numFmtId="0" fontId="39" fillId="9" borderId="4" xfId="0" applyFont="1" applyFill="1" applyBorder="1" applyAlignment="1">
      <alignment horizontal="left" vertical="center" wrapText="1"/>
    </xf>
    <xf numFmtId="0" fontId="39" fillId="9" borderId="11" xfId="0" applyFont="1" applyFill="1" applyBorder="1" applyAlignment="1">
      <alignment horizontal="left" vertical="center" wrapText="1"/>
    </xf>
    <xf numFmtId="165" fontId="11" fillId="0" borderId="4" xfId="0" applyNumberFormat="1" applyFont="1" applyBorder="1" applyAlignment="1" applyProtection="1">
      <alignment horizontal="center" vertical="center" wrapText="1"/>
      <protection hidden="1"/>
    </xf>
    <xf numFmtId="0" fontId="11" fillId="0" borderId="4" xfId="0" applyFont="1" applyBorder="1" applyAlignment="1" applyProtection="1">
      <alignment horizontal="center" vertical="center" wrapText="1"/>
      <protection hidden="1"/>
    </xf>
    <xf numFmtId="0" fontId="11" fillId="0" borderId="11" xfId="0" applyFont="1" applyBorder="1" applyAlignment="1" applyProtection="1">
      <alignment horizontal="center" vertical="center" wrapText="1"/>
      <protection hidden="1"/>
    </xf>
    <xf numFmtId="1" fontId="11" fillId="0" borderId="4" xfId="0" applyNumberFormat="1" applyFont="1" applyBorder="1" applyAlignment="1">
      <alignment horizontal="left" vertical="center" wrapText="1"/>
    </xf>
    <xf numFmtId="1" fontId="11" fillId="0" borderId="11" xfId="0" applyNumberFormat="1" applyFont="1" applyBorder="1" applyAlignment="1">
      <alignment horizontal="left" vertical="center" wrapText="1"/>
    </xf>
    <xf numFmtId="165" fontId="11" fillId="0" borderId="30" xfId="0" applyNumberFormat="1" applyFont="1" applyBorder="1" applyAlignment="1" applyProtection="1">
      <alignment horizontal="center" vertical="center" wrapText="1"/>
      <protection hidden="1"/>
    </xf>
    <xf numFmtId="165" fontId="11" fillId="0" borderId="19" xfId="0" applyNumberFormat="1" applyFont="1" applyBorder="1" applyAlignment="1" applyProtection="1">
      <alignment horizontal="center" vertical="center" wrapText="1"/>
      <protection hidden="1"/>
    </xf>
    <xf numFmtId="165" fontId="11" fillId="0" borderId="28" xfId="0" applyNumberFormat="1" applyFont="1" applyBorder="1" applyAlignment="1" applyProtection="1">
      <alignment horizontal="center" vertical="center" wrapText="1"/>
      <protection hidden="1"/>
    </xf>
    <xf numFmtId="165" fontId="11" fillId="21" borderId="30" xfId="0" applyNumberFormat="1" applyFont="1" applyFill="1" applyBorder="1" applyAlignment="1" applyProtection="1">
      <alignment horizontal="center" vertical="center" wrapText="1"/>
      <protection hidden="1"/>
    </xf>
    <xf numFmtId="165" fontId="11" fillId="21" borderId="19" xfId="0" applyNumberFormat="1" applyFont="1" applyFill="1" applyBorder="1" applyAlignment="1" applyProtection="1">
      <alignment horizontal="center" vertical="center" wrapText="1"/>
      <protection hidden="1"/>
    </xf>
    <xf numFmtId="165" fontId="11" fillId="21" borderId="28" xfId="0" applyNumberFormat="1" applyFont="1" applyFill="1" applyBorder="1" applyAlignment="1" applyProtection="1">
      <alignment horizontal="center" vertical="center" wrapText="1"/>
      <protection hidden="1"/>
    </xf>
    <xf numFmtId="0" fontId="3" fillId="0" borderId="0" xfId="0" applyFont="1" applyAlignment="1">
      <alignment wrapText="1"/>
    </xf>
    <xf numFmtId="1" fontId="11" fillId="0" borderId="4" xfId="0" applyNumberFormat="1" applyFont="1" applyBorder="1" applyAlignment="1" applyProtection="1">
      <alignment horizontal="center" vertical="center" wrapText="1"/>
      <protection hidden="1"/>
    </xf>
    <xf numFmtId="1" fontId="11" fillId="0" borderId="11" xfId="0" applyNumberFormat="1" applyFont="1" applyBorder="1" applyAlignment="1" applyProtection="1">
      <alignment horizontal="center" vertical="center" wrapText="1"/>
      <protection hidden="1"/>
    </xf>
    <xf numFmtId="1" fontId="11" fillId="0" borderId="4" xfId="0" applyNumberFormat="1" applyFont="1" applyBorder="1" applyAlignment="1" applyProtection="1">
      <alignment horizontal="left" vertical="center" wrapText="1"/>
      <protection hidden="1"/>
    </xf>
    <xf numFmtId="1" fontId="11" fillId="0" borderId="11" xfId="0" applyNumberFormat="1" applyFont="1" applyBorder="1" applyAlignment="1" applyProtection="1">
      <alignment horizontal="left" vertical="center" wrapText="1"/>
      <protection hidden="1"/>
    </xf>
    <xf numFmtId="1" fontId="11" fillId="20" borderId="4" xfId="0" applyNumberFormat="1" applyFont="1" applyFill="1" applyBorder="1" applyAlignment="1" applyProtection="1">
      <alignment horizontal="left" vertical="center" wrapText="1"/>
      <protection locked="0" hidden="1"/>
    </xf>
    <xf numFmtId="1" fontId="11" fillId="20" borderId="11" xfId="0" applyNumberFormat="1" applyFont="1" applyFill="1" applyBorder="1" applyAlignment="1" applyProtection="1">
      <alignment horizontal="left" vertical="center" wrapText="1"/>
      <protection locked="0" hidden="1"/>
    </xf>
    <xf numFmtId="0" fontId="42" fillId="9" borderId="10" xfId="0" applyFont="1" applyFill="1" applyBorder="1" applyAlignment="1">
      <alignment horizontal="left" vertical="center" wrapText="1"/>
    </xf>
    <xf numFmtId="0" fontId="42" fillId="9" borderId="4" xfId="0" applyFont="1" applyFill="1" applyBorder="1" applyAlignment="1">
      <alignment horizontal="left" vertical="center" wrapText="1"/>
    </xf>
    <xf numFmtId="0" fontId="42" fillId="9" borderId="11" xfId="0" applyFont="1" applyFill="1" applyBorder="1" applyAlignment="1">
      <alignment horizontal="left" vertical="center" wrapText="1"/>
    </xf>
    <xf numFmtId="1" fontId="11" fillId="0" borderId="30" xfId="0" applyNumberFormat="1" applyFont="1" applyBorder="1" applyAlignment="1" applyProtection="1">
      <alignment horizontal="left" vertical="center" wrapText="1"/>
      <protection hidden="1"/>
    </xf>
    <xf numFmtId="0" fontId="12" fillId="0" borderId="28" xfId="0" applyFont="1" applyBorder="1" applyAlignment="1" applyProtection="1">
      <alignment horizontal="left" vertical="center" wrapText="1"/>
      <protection hidden="1"/>
    </xf>
    <xf numFmtId="0" fontId="12" fillId="0" borderId="16" xfId="0" applyFont="1" applyBorder="1" applyAlignment="1">
      <alignment horizontal="left" vertical="center" wrapText="1"/>
    </xf>
    <xf numFmtId="0" fontId="12" fillId="0" borderId="4" xfId="0" applyFont="1" applyBorder="1" applyAlignment="1" applyProtection="1">
      <alignment horizontal="center" vertical="center" wrapText="1"/>
      <protection hidden="1"/>
    </xf>
    <xf numFmtId="0" fontId="12" fillId="0" borderId="11" xfId="0" applyFont="1" applyBorder="1" applyAlignment="1" applyProtection="1">
      <alignment horizontal="center" vertical="center" wrapText="1"/>
      <protection hidden="1"/>
    </xf>
    <xf numFmtId="165" fontId="11" fillId="0" borderId="4" xfId="0" applyNumberFormat="1" applyFont="1" applyBorder="1" applyAlignment="1" applyProtection="1">
      <alignment horizontal="left" vertical="center" wrapText="1"/>
      <protection hidden="1"/>
    </xf>
    <xf numFmtId="165" fontId="11" fillId="0" borderId="11" xfId="0" applyNumberFormat="1" applyFont="1" applyBorder="1" applyAlignment="1" applyProtection="1">
      <alignment horizontal="left" vertical="center" wrapText="1"/>
      <protection hidden="1"/>
    </xf>
    <xf numFmtId="9" fontId="40" fillId="0" borderId="30" xfId="0" applyNumberFormat="1" applyFont="1" applyBorder="1" applyAlignment="1" applyProtection="1">
      <alignment horizontal="left" vertical="center" wrapText="1"/>
      <protection hidden="1"/>
    </xf>
    <xf numFmtId="9" fontId="40" fillId="0" borderId="28" xfId="0" applyNumberFormat="1" applyFont="1" applyBorder="1" applyAlignment="1" applyProtection="1">
      <alignment horizontal="left" vertical="center" wrapText="1"/>
      <protection hidden="1"/>
    </xf>
    <xf numFmtId="165" fontId="20" fillId="0" borderId="30" xfId="0" applyNumberFormat="1" applyFont="1" applyBorder="1" applyAlignment="1" applyProtection="1">
      <alignment horizontal="left" vertical="center" wrapText="1"/>
      <protection hidden="1"/>
    </xf>
    <xf numFmtId="165" fontId="20" fillId="0" borderId="19" xfId="0" applyNumberFormat="1" applyFont="1" applyBorder="1" applyAlignment="1" applyProtection="1">
      <alignment horizontal="left" vertical="center" wrapText="1"/>
      <protection hidden="1"/>
    </xf>
    <xf numFmtId="165" fontId="20" fillId="0" borderId="28" xfId="0" applyNumberFormat="1" applyFont="1" applyBorder="1" applyAlignment="1" applyProtection="1">
      <alignment horizontal="left" vertical="center" wrapText="1"/>
      <protection hidden="1"/>
    </xf>
    <xf numFmtId="0" fontId="17" fillId="19" borderId="48" xfId="0" applyFont="1" applyFill="1" applyBorder="1" applyAlignment="1">
      <alignment horizontal="center" vertical="center" wrapText="1"/>
    </xf>
    <xf numFmtId="0" fontId="17" fillId="19" borderId="46" xfId="0" applyFont="1" applyFill="1" applyBorder="1" applyAlignment="1">
      <alignment horizontal="center" vertical="center" wrapText="1"/>
    </xf>
    <xf numFmtId="0" fontId="17" fillId="19" borderId="47" xfId="0" applyFont="1" applyFill="1" applyBorder="1" applyAlignment="1">
      <alignment horizontal="center" vertical="center" wrapText="1"/>
    </xf>
    <xf numFmtId="0" fontId="19" fillId="9" borderId="40" xfId="0" applyFont="1" applyFill="1" applyBorder="1" applyAlignment="1">
      <alignment horizontal="left" vertical="center" wrapText="1"/>
    </xf>
    <xf numFmtId="0" fontId="19" fillId="9" borderId="39" xfId="0" applyFont="1" applyFill="1" applyBorder="1" applyAlignment="1">
      <alignment horizontal="left" vertical="center" wrapText="1"/>
    </xf>
    <xf numFmtId="0" fontId="19" fillId="9" borderId="41" xfId="0" applyFont="1" applyFill="1" applyBorder="1" applyAlignment="1">
      <alignment horizontal="left" vertical="center" wrapText="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165" fontId="7" fillId="0" borderId="30" xfId="0" applyNumberFormat="1" applyFont="1" applyBorder="1" applyAlignment="1" applyProtection="1">
      <alignment horizontal="center" vertical="center" wrapText="1"/>
      <protection hidden="1"/>
    </xf>
    <xf numFmtId="165" fontId="7" fillId="0" borderId="19" xfId="0" applyNumberFormat="1" applyFont="1" applyBorder="1" applyAlignment="1" applyProtection="1">
      <alignment horizontal="center" vertical="center" wrapText="1"/>
      <protection hidden="1"/>
    </xf>
    <xf numFmtId="165" fontId="7" fillId="0" borderId="28" xfId="0" applyNumberFormat="1" applyFont="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9" fontId="20" fillId="0" borderId="4" xfId="0" applyNumberFormat="1" applyFont="1" applyBorder="1" applyAlignment="1" applyProtection="1">
      <alignment horizontal="left" vertical="center" wrapText="1"/>
      <protection locked="0" hidden="1"/>
    </xf>
    <xf numFmtId="9" fontId="20" fillId="0" borderId="11" xfId="0" applyNumberFormat="1" applyFont="1" applyBorder="1" applyAlignment="1" applyProtection="1">
      <alignment horizontal="left" vertical="center" wrapText="1"/>
      <protection locked="0" hidden="1"/>
    </xf>
    <xf numFmtId="9" fontId="20" fillId="0" borderId="4" xfId="0" applyNumberFormat="1" applyFont="1" applyBorder="1" applyAlignment="1" applyProtection="1">
      <alignment horizontal="left" vertical="center" wrapText="1"/>
      <protection hidden="1"/>
    </xf>
    <xf numFmtId="9" fontId="20" fillId="0" borderId="11" xfId="0" applyNumberFormat="1" applyFont="1" applyBorder="1" applyAlignment="1" applyProtection="1">
      <alignment horizontal="left" vertical="center" wrapText="1"/>
      <protection hidden="1"/>
    </xf>
    <xf numFmtId="9" fontId="20" fillId="0" borderId="30" xfId="0" applyNumberFormat="1" applyFont="1" applyBorder="1" applyAlignment="1" applyProtection="1">
      <alignment horizontal="left" vertical="center" wrapText="1"/>
      <protection locked="0" hidden="1"/>
    </xf>
    <xf numFmtId="9" fontId="20" fillId="0" borderId="28" xfId="0" applyNumberFormat="1" applyFont="1" applyBorder="1" applyAlignment="1" applyProtection="1">
      <alignment horizontal="left" vertical="center" wrapText="1"/>
      <protection locked="0" hidden="1"/>
    </xf>
    <xf numFmtId="0" fontId="19" fillId="9" borderId="10"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9" fillId="9" borderId="11" xfId="0" applyFont="1" applyFill="1" applyBorder="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1" fillId="0" borderId="4" xfId="0" applyNumberFormat="1" applyFont="1" applyBorder="1" applyAlignment="1" applyProtection="1">
      <alignment horizontal="center" vertical="center" wrapText="1"/>
      <protection hidden="1"/>
    </xf>
    <xf numFmtId="165" fontId="21" fillId="0" borderId="11" xfId="0" applyNumberFormat="1" applyFont="1" applyBorder="1" applyAlignment="1" applyProtection="1">
      <alignment horizontal="center" vertical="center" wrapText="1"/>
      <protection hidden="1"/>
    </xf>
    <xf numFmtId="165" fontId="7" fillId="0" borderId="4" xfId="0" applyNumberFormat="1" applyFont="1" applyBorder="1" applyAlignment="1" applyProtection="1">
      <alignment horizontal="center" vertical="center" wrapText="1"/>
      <protection hidden="1"/>
    </xf>
    <xf numFmtId="0" fontId="7" fillId="0" borderId="4" xfId="0" applyFont="1" applyBorder="1" applyAlignment="1" applyProtection="1">
      <alignment horizontal="center" vertical="center" wrapText="1"/>
      <protection hidden="1"/>
    </xf>
    <xf numFmtId="0" fontId="7" fillId="0" borderId="11" xfId="0" applyFont="1" applyBorder="1" applyAlignment="1" applyProtection="1">
      <alignment horizontal="center" vertical="center" wrapText="1"/>
      <protection hidden="1"/>
    </xf>
    <xf numFmtId="0" fontId="3" fillId="0" borderId="0" xfId="0" applyFont="1" applyAlignment="1">
      <alignment horizontal="left" vertical="center" wrapText="1"/>
    </xf>
    <xf numFmtId="0" fontId="18" fillId="0" borderId="0" xfId="0" applyFont="1" applyAlignment="1" applyProtection="1">
      <alignment vertical="top" wrapText="1"/>
      <protection locked="0"/>
    </xf>
    <xf numFmtId="0" fontId="3" fillId="0" borderId="0" xfId="0" applyFont="1" applyAlignment="1" applyProtection="1">
      <alignment wrapText="1"/>
      <protection locked="0"/>
    </xf>
    <xf numFmtId="1" fontId="20" fillId="0" borderId="4" xfId="0" applyNumberFormat="1" applyFont="1" applyBorder="1" applyAlignment="1" applyProtection="1">
      <alignment horizontal="center" vertical="center" wrapText="1"/>
      <protection locked="0"/>
    </xf>
    <xf numFmtId="1" fontId="20" fillId="0" borderId="11" xfId="0" applyNumberFormat="1" applyFont="1" applyBorder="1" applyAlignment="1" applyProtection="1">
      <alignment horizontal="center" vertical="center" wrapText="1"/>
      <protection locked="0"/>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1" fontId="7" fillId="0" borderId="4"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1" fontId="7" fillId="0" borderId="4" xfId="0" applyNumberFormat="1" applyFont="1" applyBorder="1" applyAlignment="1" applyProtection="1">
      <alignment horizontal="left" vertical="center" wrapText="1"/>
      <protection locked="0" hidden="1"/>
    </xf>
    <xf numFmtId="1" fontId="7" fillId="0" borderId="11" xfId="0" applyNumberFormat="1" applyFont="1" applyBorder="1" applyAlignment="1" applyProtection="1">
      <alignment horizontal="left" vertical="center" wrapText="1"/>
      <protection locked="0" hidden="1"/>
    </xf>
    <xf numFmtId="165" fontId="7" fillId="0" borderId="4" xfId="0" applyNumberFormat="1" applyFont="1" applyBorder="1" applyAlignment="1" applyProtection="1">
      <alignment horizontal="left" vertical="center" wrapText="1"/>
      <protection hidden="1"/>
    </xf>
    <xf numFmtId="165" fontId="7" fillId="0" borderId="11" xfId="0" applyNumberFormat="1" applyFont="1" applyBorder="1" applyAlignment="1" applyProtection="1">
      <alignment horizontal="left" vertical="center" wrapText="1"/>
      <protection hidden="1"/>
    </xf>
    <xf numFmtId="0" fontId="17" fillId="19" borderId="7" xfId="0" applyFont="1" applyFill="1" applyBorder="1" applyAlignment="1">
      <alignment horizontal="center" vertical="center" wrapText="1"/>
    </xf>
    <xf numFmtId="0" fontId="17" fillId="19" borderId="8" xfId="0" applyFont="1" applyFill="1" applyBorder="1" applyAlignment="1">
      <alignment horizontal="center" vertical="center" wrapText="1"/>
    </xf>
    <xf numFmtId="0" fontId="17" fillId="19" borderId="9" xfId="0" applyFont="1" applyFill="1" applyBorder="1" applyAlignment="1">
      <alignment horizontal="center" vertical="center" wrapText="1"/>
    </xf>
    <xf numFmtId="9" fontId="20" fillId="0" borderId="30" xfId="0" applyNumberFormat="1" applyFont="1" applyBorder="1" applyAlignment="1" applyProtection="1">
      <alignment horizontal="left" vertical="center" wrapText="1"/>
      <protection hidden="1"/>
    </xf>
    <xf numFmtId="9" fontId="20" fillId="0" borderId="28" xfId="0" applyNumberFormat="1" applyFont="1" applyBorder="1" applyAlignment="1" applyProtection="1">
      <alignment horizontal="left" vertical="center" wrapText="1"/>
      <protection hidden="1"/>
    </xf>
    <xf numFmtId="0" fontId="25" fillId="9" borderId="10"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25" fillId="9" borderId="11" xfId="0" applyFont="1" applyFill="1" applyBorder="1" applyAlignment="1">
      <alignment horizontal="left" vertical="center" wrapText="1"/>
    </xf>
    <xf numFmtId="0" fontId="3" fillId="0" borderId="4" xfId="0" applyFont="1" applyBorder="1" applyAlignment="1" applyProtection="1">
      <alignment horizontal="center" vertical="center" wrapText="1"/>
      <protection hidden="1"/>
    </xf>
    <xf numFmtId="0" fontId="3" fillId="0" borderId="11" xfId="0" applyFont="1" applyBorder="1" applyAlignment="1" applyProtection="1">
      <alignment horizontal="center" vertical="center" wrapText="1"/>
      <protection hidden="1"/>
    </xf>
    <xf numFmtId="1" fontId="7" fillId="0" borderId="4" xfId="0" applyNumberFormat="1" applyFont="1" applyBorder="1" applyAlignment="1" applyProtection="1">
      <alignment horizontal="center" vertical="center" wrapText="1"/>
      <protection hidden="1"/>
    </xf>
    <xf numFmtId="1" fontId="7" fillId="0" borderId="11" xfId="0" applyNumberFormat="1" applyFont="1" applyBorder="1" applyAlignment="1" applyProtection="1">
      <alignment horizontal="center" vertical="center" wrapText="1"/>
      <protection hidden="1"/>
    </xf>
    <xf numFmtId="1" fontId="7" fillId="0" borderId="30" xfId="0" applyNumberFormat="1" applyFont="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1" fontId="7" fillId="0" borderId="4" xfId="0" applyNumberFormat="1" applyFont="1" applyBorder="1" applyAlignment="1" applyProtection="1">
      <alignment horizontal="left" vertical="center" wrapText="1"/>
      <protection hidden="1"/>
    </xf>
    <xf numFmtId="1" fontId="7" fillId="0" borderId="11" xfId="0" applyNumberFormat="1" applyFont="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3" fillId="0" borderId="16" xfId="0" applyFont="1" applyBorder="1" applyAlignment="1">
      <alignment horizontal="left" vertical="center" wrapText="1"/>
    </xf>
    <xf numFmtId="0" fontId="15" fillId="13" borderId="22" xfId="0" applyFont="1" applyFill="1" applyBorder="1" applyAlignment="1">
      <alignment horizontal="center" vertical="top" wrapText="1"/>
    </xf>
    <xf numFmtId="0" fontId="15" fillId="13" borderId="24" xfId="0" applyFont="1" applyFill="1" applyBorder="1" applyAlignment="1">
      <alignment horizontal="center" vertical="top" wrapText="1"/>
    </xf>
    <xf numFmtId="0" fontId="13" fillId="0" borderId="0" xfId="0" applyFont="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2" fillId="0" borderId="36" xfId="0" applyFont="1" applyBorder="1" applyAlignment="1">
      <alignment horizontal="left" vertical="center" wrapText="1"/>
    </xf>
    <xf numFmtId="0" fontId="12" fillId="24" borderId="14" xfId="0" applyFont="1" applyFill="1" applyBorder="1" applyAlignment="1">
      <alignment horizontal="left" vertical="center" wrapText="1"/>
    </xf>
    <xf numFmtId="0" fontId="12" fillId="24" borderId="21" xfId="0" applyFont="1" applyFill="1" applyBorder="1" applyAlignment="1">
      <alignment horizontal="left" vertical="center" wrapText="1"/>
    </xf>
    <xf numFmtId="0" fontId="12" fillId="24" borderId="18" xfId="0" applyFont="1" applyFill="1" applyBorder="1" applyAlignment="1">
      <alignment horizontal="left" vertical="center" wrapText="1"/>
    </xf>
    <xf numFmtId="0" fontId="12" fillId="24" borderId="29" xfId="0" applyFont="1" applyFill="1" applyBorder="1" applyAlignment="1">
      <alignment horizontal="left" vertical="center" wrapText="1"/>
    </xf>
    <xf numFmtId="0" fontId="13" fillId="0" borderId="14" xfId="0" applyFont="1" applyBorder="1" applyAlignment="1">
      <alignment horizontal="center" vertical="center"/>
    </xf>
    <xf numFmtId="0" fontId="13"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2" fillId="0" borderId="19" xfId="0" applyFont="1" applyBorder="1" applyAlignment="1">
      <alignment vertical="center" wrapText="1"/>
    </xf>
    <xf numFmtId="0" fontId="12" fillId="0" borderId="28" xfId="0" applyFont="1" applyBorder="1" applyAlignment="1">
      <alignment vertical="center" wrapText="1"/>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12" fillId="0" borderId="3" xfId="0" applyFont="1" applyBorder="1" applyAlignment="1">
      <alignment horizontal="left" vertical="center"/>
    </xf>
    <xf numFmtId="0" fontId="12" fillId="0" borderId="0" xfId="0" applyFont="1" applyAlignment="1">
      <alignment horizontal="left" vertical="center"/>
    </xf>
    <xf numFmtId="0" fontId="12" fillId="0" borderId="36" xfId="0" applyFont="1" applyBorder="1" applyAlignment="1">
      <alignment horizontal="left" vertical="center"/>
    </xf>
    <xf numFmtId="0" fontId="12" fillId="0" borderId="3" xfId="0" applyFont="1" applyBorder="1" applyAlignment="1">
      <alignment horizontal="left" vertical="center" wrapText="1"/>
    </xf>
    <xf numFmtId="0" fontId="12" fillId="0" borderId="20" xfId="0" applyFont="1" applyBorder="1" applyAlignment="1">
      <alignment horizontal="left" vertical="center" wrapText="1"/>
    </xf>
    <xf numFmtId="0" fontId="12" fillId="0" borderId="14" xfId="0" applyFont="1" applyBorder="1" applyAlignment="1">
      <alignment horizontal="left" vertical="center" wrapText="1"/>
    </xf>
    <xf numFmtId="0" fontId="12" fillId="0" borderId="21" xfId="0" applyFont="1" applyBorder="1" applyAlignment="1">
      <alignment horizontal="left" vertical="center" wrapText="1"/>
    </xf>
    <xf numFmtId="0" fontId="15" fillId="13" borderId="44" xfId="0" applyFont="1" applyFill="1" applyBorder="1" applyAlignment="1">
      <alignment horizontal="center" vertical="center" wrapText="1"/>
    </xf>
    <xf numFmtId="0" fontId="15" fillId="13" borderId="43"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0" xfId="0" applyFont="1" applyFill="1" applyAlignment="1">
      <alignment horizontal="center" vertical="center" wrapText="1"/>
    </xf>
    <xf numFmtId="0" fontId="8" fillId="13" borderId="22" xfId="0" applyFont="1" applyFill="1" applyBorder="1" applyAlignment="1">
      <alignment horizontal="center" vertical="center" wrapText="1"/>
    </xf>
    <xf numFmtId="0" fontId="8" fillId="13" borderId="24" xfId="0" applyFont="1" applyFill="1" applyBorder="1" applyAlignment="1">
      <alignment horizontal="center" vertical="center" wrapText="1"/>
    </xf>
    <xf numFmtId="0" fontId="15" fillId="13" borderId="7"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13" borderId="8" xfId="0" applyFont="1" applyFill="1" applyBorder="1" applyAlignment="1">
      <alignment horizontal="center" vertical="center" wrapText="1"/>
    </xf>
    <xf numFmtId="0" fontId="1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3" fillId="0" borderId="0" xfId="0" applyFont="1" applyAlignment="1">
      <alignment horizontal="center" vertical="center" wrapText="1"/>
    </xf>
    <xf numFmtId="0" fontId="12" fillId="0" borderId="18" xfId="0" applyFont="1" applyBorder="1" applyAlignment="1">
      <alignment vertical="center" wrapText="1"/>
    </xf>
    <xf numFmtId="0" fontId="12" fillId="0" borderId="29" xfId="0" applyFont="1" applyBorder="1" applyAlignment="1">
      <alignment vertical="center" wrapText="1"/>
    </xf>
    <xf numFmtId="0" fontId="3" fillId="0" borderId="0" xfId="0" applyFont="1" applyAlignment="1">
      <alignment horizontal="center" vertical="center"/>
    </xf>
    <xf numFmtId="0" fontId="13" fillId="0" borderId="23" xfId="0" applyFont="1" applyBorder="1" applyAlignment="1">
      <alignment vertical="center"/>
    </xf>
    <xf numFmtId="0" fontId="14" fillId="0" borderId="25" xfId="0" applyFont="1" applyBorder="1" applyAlignment="1">
      <alignment vertical="center"/>
    </xf>
    <xf numFmtId="0" fontId="14" fillId="0" borderId="26" xfId="0" applyFont="1" applyBorder="1" applyAlignment="1">
      <alignment vertical="center"/>
    </xf>
    <xf numFmtId="0" fontId="12" fillId="0" borderId="24" xfId="0" applyFont="1" applyBorder="1" applyAlignment="1">
      <alignment vertical="center"/>
    </xf>
    <xf numFmtId="0" fontId="12" fillId="0" borderId="27"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8" fillId="14" borderId="10" xfId="0" applyFont="1" applyFill="1" applyBorder="1" applyAlignment="1">
      <alignment horizontal="center" vertical="center" wrapText="1"/>
    </xf>
    <xf numFmtId="0" fontId="0" fillId="0" borderId="0" xfId="0"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FF"/>
      <color rgb="FF0099FF"/>
      <color rgb="FF006666"/>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E41"/>
  <sheetViews>
    <sheetView topLeftCell="A32" zoomScale="80" zoomScaleNormal="80" zoomScalePageLayoutView="75" workbookViewId="0">
      <selection activeCell="A38" sqref="A38"/>
    </sheetView>
  </sheetViews>
  <sheetFormatPr defaultColWidth="9.140625" defaultRowHeight="12.75" x14ac:dyDescent="0.2"/>
  <cols>
    <col min="1" max="1" width="84.42578125" style="73" customWidth="1"/>
    <col min="2" max="2" width="24.7109375" style="73" customWidth="1"/>
    <col min="3" max="3" width="29.42578125" style="73" customWidth="1"/>
    <col min="4" max="4" width="29.140625" style="73" customWidth="1"/>
    <col min="5" max="5" width="8.28515625" style="73" hidden="1" customWidth="1"/>
    <col min="6" max="16384" width="9.140625" style="73"/>
  </cols>
  <sheetData>
    <row r="1" spans="1:5" ht="13.5" customHeight="1" thickBot="1" x14ac:dyDescent="0.25">
      <c r="A1" s="330"/>
      <c r="B1" s="330"/>
      <c r="C1" s="330"/>
      <c r="D1" s="331"/>
    </row>
    <row r="2" spans="1:5" ht="25.5" customHeight="1" x14ac:dyDescent="0.2">
      <c r="A2" s="1" t="s">
        <v>0</v>
      </c>
      <c r="B2" s="352"/>
      <c r="C2" s="352"/>
      <c r="D2" s="353"/>
    </row>
    <row r="3" spans="1:5" ht="18" customHeight="1" x14ac:dyDescent="0.2">
      <c r="A3" s="332" t="s">
        <v>1</v>
      </c>
      <c r="B3" s="333" t="str">
        <f>IF(ISBLANK('DEM (Strategic Priorities)'!C7),"",'DEM (Strategic Priorities)'!C7)</f>
        <v/>
      </c>
      <c r="C3" s="334"/>
      <c r="D3" s="335"/>
    </row>
    <row r="4" spans="1:5" ht="15" customHeight="1" x14ac:dyDescent="0.2">
      <c r="A4" s="359" t="s">
        <v>2</v>
      </c>
      <c r="B4" s="360"/>
      <c r="C4" s="360"/>
      <c r="D4" s="361"/>
    </row>
    <row r="5" spans="1:5" ht="18" customHeight="1" x14ac:dyDescent="0.2">
      <c r="A5" s="336" t="s">
        <v>3</v>
      </c>
      <c r="B5" s="354" t="str">
        <f>IF(OR(B6&lt;&gt;"",B7&lt;&gt;""),"Yes","No")</f>
        <v>Yes</v>
      </c>
      <c r="C5" s="354"/>
      <c r="D5" s="355"/>
    </row>
    <row r="6" spans="1:5" ht="75" customHeight="1" x14ac:dyDescent="0.2">
      <c r="A6" s="337" t="s">
        <v>4</v>
      </c>
      <c r="B6" s="356" t="str">
        <f>'DEM (Strategic Priorities)'!J11</f>
        <v xml:space="preserve">-Social Inclusion and Equality
-Productivity and Innovation
-Gender Equality and Diversity
</v>
      </c>
      <c r="C6" s="357"/>
      <c r="D6" s="358"/>
    </row>
    <row r="7" spans="1:5" ht="120" customHeight="1" x14ac:dyDescent="0.2">
      <c r="A7" s="25" t="s">
        <v>5</v>
      </c>
      <c r="B7" s="356" t="str">
        <f>'DEM (Strategic Priorities)'!K22</f>
        <v xml:space="preserve">-Beneficiaries of on-the-job training programs (#)*
-Micro / small / medium enterprises financed (#)*
-Micro / small / medium enterprises provided with non-financial support (#)*
-Government agencies benefited by projects that strengthen technological and managerial tools to improve public service delivery (#)*
-Teachers trained (#)*
</v>
      </c>
      <c r="C7" s="357"/>
      <c r="D7" s="358"/>
    </row>
    <row r="8" spans="1:5" ht="15" customHeight="1" x14ac:dyDescent="0.2">
      <c r="A8" s="336" t="s">
        <v>6</v>
      </c>
      <c r="B8" s="354" t="str">
        <f>IF(OR('DEM (Strategic Priorities)'!$D$82="Yes",'DEM (Strategic Priorities)'!D85="Yes"),"Yes","No")</f>
        <v>Yes</v>
      </c>
      <c r="C8" s="354"/>
      <c r="D8" s="355"/>
    </row>
    <row r="9" spans="1:5" ht="51.75" customHeight="1" x14ac:dyDescent="0.2">
      <c r="A9" s="25" t="s">
        <v>7</v>
      </c>
      <c r="B9" s="338" t="str">
        <f>IF('DEM (Strategic Priorities)'!D82="Yes",'DEM (Strategic Priorities)'!C82,"")</f>
        <v>GN-2838</v>
      </c>
      <c r="C9" s="362" t="s">
        <v>494</v>
      </c>
      <c r="D9" s="363"/>
    </row>
    <row r="10" spans="1:5" ht="45" customHeight="1" x14ac:dyDescent="0.2">
      <c r="A10" s="25" t="s">
        <v>8</v>
      </c>
      <c r="B10" s="338" t="str">
        <f>IF('DEM (Strategic Priorities)'!D85="Yes",'DEM (Strategic Priorities)'!C85," ")</f>
        <v>GN-2915-2</v>
      </c>
      <c r="C10" s="364" t="str">
        <f>IF('DEM (Strategic Priorities)'!D85="Yes","The intervention is included in the 2018 Operational Program.","The intervention is not included in the 2018 Operational Program.")</f>
        <v>The intervention is included in the 2018 Operational Program.</v>
      </c>
      <c r="D10" s="365"/>
    </row>
    <row r="11" spans="1:5" ht="46.5" customHeight="1" x14ac:dyDescent="0.2">
      <c r="A11" s="339" t="s">
        <v>9</v>
      </c>
      <c r="B11" s="340"/>
      <c r="C11" s="366" t="str">
        <f>IF('DEM (Strategic Priorities)'!D87="Yes",'DEM (Strategic Priorities)'!C87,"")</f>
        <v/>
      </c>
      <c r="D11" s="367"/>
      <c r="E11" s="73">
        <f>SUM(E14+E18+E24)</f>
        <v>3</v>
      </c>
    </row>
    <row r="12" spans="1:5" ht="25.5" customHeight="1" x14ac:dyDescent="0.2">
      <c r="A12" s="341" t="s">
        <v>10</v>
      </c>
      <c r="B12" s="342"/>
      <c r="C12" s="343" t="str">
        <f>IF(AND(E12=1,B13&gt;=6.95),"Evaluable",IF(AND(E12=1,B13&gt;=5),"Partially Evaluable","Not Evaluable"))</f>
        <v>Evaluable</v>
      </c>
      <c r="D12" s="342"/>
      <c r="E12" s="205">
        <f>IF(E11&gt;=3,1,0)</f>
        <v>1</v>
      </c>
    </row>
    <row r="13" spans="1:5" ht="15" hidden="1" x14ac:dyDescent="0.2">
      <c r="A13" s="344"/>
      <c r="B13" s="345">
        <f>AVERAGE(B14,B18,B24)</f>
        <v>9.1688333333333336</v>
      </c>
      <c r="C13" s="346"/>
      <c r="D13" s="347">
        <v>10</v>
      </c>
    </row>
    <row r="14" spans="1:5" ht="15" customHeight="1" x14ac:dyDescent="0.2">
      <c r="A14" s="336" t="s">
        <v>11</v>
      </c>
      <c r="B14" s="392">
        <f>'DEM (Evaluability)'!G11</f>
        <v>9.5064999999999991</v>
      </c>
      <c r="C14" s="393"/>
      <c r="D14" s="394"/>
      <c r="E14" s="73">
        <f>IF(B14&gt;=5,1,0)</f>
        <v>1</v>
      </c>
    </row>
    <row r="15" spans="1:5" ht="15" customHeight="1" x14ac:dyDescent="0.2">
      <c r="A15" s="25" t="s">
        <v>12</v>
      </c>
      <c r="B15" s="389">
        <f>'DEM (Evaluability)'!G12</f>
        <v>3</v>
      </c>
      <c r="C15" s="390"/>
      <c r="D15" s="391"/>
    </row>
    <row r="16" spans="1:5" ht="15" customHeight="1" x14ac:dyDescent="0.2">
      <c r="A16" s="25" t="s">
        <v>13</v>
      </c>
      <c r="B16" s="389">
        <f>'DEM (Evaluability)'!G19</f>
        <v>4</v>
      </c>
      <c r="C16" s="390"/>
      <c r="D16" s="391"/>
    </row>
    <row r="17" spans="1:5" ht="15" customHeight="1" x14ac:dyDescent="0.2">
      <c r="A17" s="25" t="s">
        <v>14</v>
      </c>
      <c r="B17" s="389">
        <f>'DEM (Evaluability)'!G24</f>
        <v>2.5065</v>
      </c>
      <c r="C17" s="390"/>
      <c r="D17" s="391"/>
    </row>
    <row r="18" spans="1:5" ht="15" customHeight="1" x14ac:dyDescent="0.2">
      <c r="A18" s="336" t="s">
        <v>15</v>
      </c>
      <c r="B18" s="392">
        <f>'DEM (Evaluability)'!G38</f>
        <v>8</v>
      </c>
      <c r="C18" s="393"/>
      <c r="D18" s="394"/>
      <c r="E18" s="73">
        <f>IF(B18&gt;=5,1,0)</f>
        <v>1</v>
      </c>
    </row>
    <row r="19" spans="1:5" ht="15" x14ac:dyDescent="0.2">
      <c r="A19" s="25" t="s">
        <v>16</v>
      </c>
      <c r="B19" s="389">
        <f>IF('DEM (Evaluability)'!H41=1,'DEM (Evaluability)'!G42,IF('DEM (Evaluability)'!H41=2,'DEM (Evaluability)'!G49,0))</f>
        <v>3</v>
      </c>
      <c r="C19" s="390"/>
      <c r="D19" s="391"/>
    </row>
    <row r="20" spans="1:5" ht="15" customHeight="1" x14ac:dyDescent="0.2">
      <c r="A20" s="25" t="s">
        <v>17</v>
      </c>
      <c r="B20" s="389">
        <f>IF('DEM (Evaluability)'!H41=1,'DEM (Evaluability)'!G43,IF('DEM (Evaluability)'!H41=2,'DEM (Evaluability)'!G50,0))</f>
        <v>3</v>
      </c>
      <c r="C20" s="390"/>
      <c r="D20" s="391"/>
    </row>
    <row r="21" spans="1:5" ht="15" customHeight="1" x14ac:dyDescent="0.2">
      <c r="A21" s="25" t="s">
        <v>18</v>
      </c>
      <c r="B21" s="389">
        <f>IF('DEM (Evaluability)'!H41=1,'DEM (Evaluability)'!G44,IF('DEM (Evaluability)'!H41=2,'DEM (Evaluability)'!G51,0))</f>
        <v>1</v>
      </c>
      <c r="C21" s="390"/>
      <c r="D21" s="391"/>
    </row>
    <row r="22" spans="1:5" ht="15" customHeight="1" x14ac:dyDescent="0.2">
      <c r="A22" s="25" t="s">
        <v>19</v>
      </c>
      <c r="B22" s="389">
        <f>IF('DEM (Evaluability)'!H41=1,'DEM (Evaluability)'!G45,IF('DEM (Evaluability)'!H41=2,'DEM (Evaluability)'!G52,0))</f>
        <v>0</v>
      </c>
      <c r="C22" s="390"/>
      <c r="D22" s="391"/>
    </row>
    <row r="23" spans="1:5" ht="15" customHeight="1" x14ac:dyDescent="0.2">
      <c r="A23" s="25" t="s">
        <v>20</v>
      </c>
      <c r="B23" s="389">
        <f>IF('DEM (Evaluability)'!H41=1,'DEM (Evaluability)'!G46,IF('DEM (Evaluability)'!H41=2,'DEM (Evaluability)'!G53,0))</f>
        <v>1</v>
      </c>
      <c r="C23" s="390"/>
      <c r="D23" s="391"/>
    </row>
    <row r="24" spans="1:5" ht="15" customHeight="1" x14ac:dyDescent="0.2">
      <c r="A24" s="336" t="s">
        <v>21</v>
      </c>
      <c r="B24" s="392">
        <f>'DEM (Evaluability)'!G54</f>
        <v>10</v>
      </c>
      <c r="C24" s="393"/>
      <c r="D24" s="394"/>
      <c r="E24" s="73">
        <f>IF(B24&gt;=5,1,0)</f>
        <v>1</v>
      </c>
    </row>
    <row r="25" spans="1:5" ht="15" customHeight="1" x14ac:dyDescent="0.2">
      <c r="A25" s="25" t="s">
        <v>22</v>
      </c>
      <c r="B25" s="389">
        <f>'DEM (Evaluability)'!G55</f>
        <v>2.5</v>
      </c>
      <c r="C25" s="390"/>
      <c r="D25" s="391"/>
    </row>
    <row r="26" spans="1:5" ht="15" customHeight="1" x14ac:dyDescent="0.2">
      <c r="A26" s="25" t="s">
        <v>23</v>
      </c>
      <c r="B26" s="389">
        <f>'DEM (Evaluability)'!G61</f>
        <v>7.5</v>
      </c>
      <c r="C26" s="390"/>
      <c r="D26" s="391"/>
    </row>
    <row r="27" spans="1:5" ht="15" customHeight="1" x14ac:dyDescent="0.2">
      <c r="A27" s="381" t="s">
        <v>24</v>
      </c>
      <c r="B27" s="382"/>
      <c r="C27" s="382"/>
      <c r="D27" s="383"/>
    </row>
    <row r="28" spans="1:5" ht="15" customHeight="1" x14ac:dyDescent="0.2">
      <c r="A28" s="348" t="s">
        <v>25</v>
      </c>
      <c r="B28" s="375" t="str">
        <f>IF('DEM ( Risk)'!D12&lt;&gt;"",'DEM ( Risk)'!D12,"Specify risk rate on risk tab")</f>
        <v>Low</v>
      </c>
      <c r="C28" s="375"/>
      <c r="D28" s="376"/>
    </row>
    <row r="29" spans="1:5" ht="15" customHeight="1" x14ac:dyDescent="0.2">
      <c r="A29" s="43" t="s">
        <v>26</v>
      </c>
      <c r="B29" s="377" t="str">
        <f>IF(AND('DEM ( Risk)'!D15="yes", 'DEM ( Risk)'!D16="yes"), "Yes", "")</f>
        <v>Yes</v>
      </c>
      <c r="C29" s="377"/>
      <c r="D29" s="378"/>
    </row>
    <row r="30" spans="1:5" ht="15" customHeight="1" x14ac:dyDescent="0.2">
      <c r="A30" s="43" t="s">
        <v>27</v>
      </c>
      <c r="B30" s="384" t="str">
        <f>IF('DEM ( Risk)'!D18="yes", "Yes", "")</f>
        <v>Yes</v>
      </c>
      <c r="C30" s="385"/>
      <c r="D30" s="386"/>
    </row>
    <row r="31" spans="1:5" ht="15" customHeight="1" x14ac:dyDescent="0.2">
      <c r="A31" s="43" t="s">
        <v>28</v>
      </c>
      <c r="B31" s="384" t="str">
        <f>IF('DEM ( Risk)'!D19="yes", "Yes", "")</f>
        <v>Yes</v>
      </c>
      <c r="C31" s="385"/>
      <c r="D31" s="386"/>
    </row>
    <row r="32" spans="1:5" ht="15" customHeight="1" x14ac:dyDescent="0.2">
      <c r="A32" s="348" t="s">
        <v>29</v>
      </c>
      <c r="B32" s="375" t="str">
        <f>IF('DEM ( Risk)'!D13&lt;&gt;"",'DEM ( Risk)'!D13,"Specify risk classification on risk tab")</f>
        <v>C</v>
      </c>
      <c r="C32" s="375"/>
      <c r="D32" s="376"/>
    </row>
    <row r="33" spans="1:4" ht="15" customHeight="1" x14ac:dyDescent="0.2">
      <c r="A33" s="381" t="s">
        <v>30</v>
      </c>
      <c r="B33" s="382"/>
      <c r="C33" s="382"/>
      <c r="D33" s="383"/>
    </row>
    <row r="34" spans="1:4" ht="15" customHeight="1" x14ac:dyDescent="0.2">
      <c r="A34" s="25" t="s">
        <v>31</v>
      </c>
      <c r="B34" s="349"/>
      <c r="C34" s="379"/>
      <c r="D34" s="380"/>
    </row>
    <row r="35" spans="1:4" ht="70.349999999999994" customHeight="1" x14ac:dyDescent="0.2">
      <c r="A35" s="350" t="s">
        <v>32</v>
      </c>
      <c r="B35" s="351" t="str">
        <f>IF('DEM (Additionality)'!E14="Yes","Yes","")</f>
        <v>Yes</v>
      </c>
      <c r="C35" s="372" t="str">
        <f>'DEM (Additionality)'!N14</f>
        <v>Financial Management: Budget.
Procurement: Information System, Price Comparison.</v>
      </c>
      <c r="D35" s="373"/>
    </row>
    <row r="36" spans="1:4" ht="39.75" customHeight="1" x14ac:dyDescent="0.2">
      <c r="A36" s="350" t="s">
        <v>33</v>
      </c>
      <c r="B36" s="351" t="str">
        <f>IF('DEM (Additionality)'!E27="yes", "Yes","")</f>
        <v/>
      </c>
      <c r="C36" s="372" t="str">
        <f>'DEM (Additionality)'!M28</f>
        <v/>
      </c>
      <c r="D36" s="373"/>
    </row>
    <row r="37" spans="1:4" ht="44.25" customHeight="1" x14ac:dyDescent="0.2">
      <c r="A37" s="25" t="s">
        <v>34</v>
      </c>
      <c r="B37" s="349"/>
      <c r="C37" s="387"/>
      <c r="D37" s="388"/>
    </row>
    <row r="38" spans="1:4" ht="51.75" customHeight="1" x14ac:dyDescent="0.2">
      <c r="A38" s="25" t="s">
        <v>35</v>
      </c>
      <c r="B38" s="351" t="str">
        <f>IF('DEM (Additionality)'!E35="yes", "Yes","")</f>
        <v/>
      </c>
      <c r="C38" s="370" t="str">
        <f>IF('DEM (Additionality)'!E35="Yes",'DEM (Additionality)'!C35,"")</f>
        <v/>
      </c>
      <c r="D38" s="371"/>
    </row>
    <row r="39" spans="1:4" ht="25.5" customHeight="1" x14ac:dyDescent="0.2">
      <c r="A39" s="374" t="s">
        <v>36</v>
      </c>
      <c r="B39" s="374"/>
      <c r="C39" s="374"/>
      <c r="D39" s="374"/>
    </row>
    <row r="40" spans="1:4" ht="13.5" customHeight="1" x14ac:dyDescent="0.2">
      <c r="A40" s="374"/>
      <c r="B40" s="374"/>
      <c r="C40" s="374"/>
      <c r="D40" s="374"/>
    </row>
    <row r="41" spans="1:4" ht="263.25" customHeight="1" x14ac:dyDescent="0.2">
      <c r="A41" s="368" t="s">
        <v>515</v>
      </c>
      <c r="B41" s="369"/>
      <c r="C41" s="369"/>
      <c r="D41" s="369"/>
    </row>
  </sheetData>
  <sheetProtection algorithmName="SHA-512" hashValue="H2hx8EG/iHXzPQVHNodlBFI+AB9mriivAt5a90Uq9u4AOBRcZfKUjs4qgTDr/MdUjJslgSob6BbWKqehE56EHA==" saltValue="vdPPXtGsOTgUyfJb8yQ2Kg==" spinCount="100000" sheet="1" objects="1" scenarios="1"/>
  <mergeCells count="37">
    <mergeCell ref="B21:D21"/>
    <mergeCell ref="B14:D14"/>
    <mergeCell ref="B15:D15"/>
    <mergeCell ref="B16:D16"/>
    <mergeCell ref="B17:D17"/>
    <mergeCell ref="B18:D18"/>
    <mergeCell ref="B19:D19"/>
    <mergeCell ref="B20:D20"/>
    <mergeCell ref="C35:D35"/>
    <mergeCell ref="C37:D37"/>
    <mergeCell ref="A27:D27"/>
    <mergeCell ref="B22:D22"/>
    <mergeCell ref="B24:D24"/>
    <mergeCell ref="B25:D25"/>
    <mergeCell ref="B26:D26"/>
    <mergeCell ref="B23:D23"/>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A2:D2"/>
    <mergeCell ref="B5:D5"/>
    <mergeCell ref="B6:D6"/>
    <mergeCell ref="A4:D4"/>
    <mergeCell ref="B7:D7"/>
  </mergeCells>
  <pageMargins left="0.7" right="0.7" top="0.75" bottom="0.75" header="0.3" footer="0.3"/>
  <pageSetup scale="53" orientation="portrait" r:id="rId1"/>
  <headerFooter>
    <oddHeader>&amp;RAnnex I - PN-L1153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pageSetUpPr fitToPage="1"/>
  </sheetPr>
  <dimension ref="A2:M46"/>
  <sheetViews>
    <sheetView topLeftCell="A7" zoomScale="85" zoomScaleNormal="85" workbookViewId="0">
      <selection activeCell="C26" sqref="C26"/>
    </sheetView>
  </sheetViews>
  <sheetFormatPr defaultColWidth="9.140625" defaultRowHeight="12.75" x14ac:dyDescent="0.2"/>
  <cols>
    <col min="1" max="1" width="2.42578125" style="2" customWidth="1"/>
    <col min="2" max="2" width="82.85546875" style="3" customWidth="1"/>
    <col min="3" max="3" width="68.85546875" style="2" customWidth="1"/>
    <col min="4" max="4" width="25.28515625" style="15" customWidth="1"/>
    <col min="5" max="5" width="16.140625" style="37" hidden="1" customWidth="1"/>
    <col min="6" max="11" width="9.140625" style="37" hidden="1" customWidth="1"/>
    <col min="12" max="12" width="9.140625" style="37" customWidth="1"/>
    <col min="13" max="13" width="9.140625" style="2" customWidth="1"/>
    <col min="14" max="16384" width="9.140625" style="2"/>
  </cols>
  <sheetData>
    <row r="2" spans="1:13" ht="18" x14ac:dyDescent="0.2">
      <c r="B2" s="481" t="s">
        <v>178</v>
      </c>
      <c r="C2" s="481"/>
      <c r="D2" s="481"/>
    </row>
    <row r="3" spans="1:13" ht="18.75" thickBot="1" x14ac:dyDescent="0.25">
      <c r="B3" s="481" t="s">
        <v>371</v>
      </c>
      <c r="C3" s="530"/>
      <c r="D3" s="530"/>
    </row>
    <row r="4" spans="1:13" ht="18" x14ac:dyDescent="0.2">
      <c r="A4" s="522" t="s">
        <v>78</v>
      </c>
      <c r="B4" s="523"/>
      <c r="C4" s="523"/>
      <c r="D4" s="523"/>
      <c r="E4" s="39"/>
    </row>
    <row r="5" spans="1:13" ht="23.25" customHeight="1" x14ac:dyDescent="0.2">
      <c r="A5" s="20"/>
      <c r="B5" s="525" t="s">
        <v>372</v>
      </c>
      <c r="C5" s="525"/>
      <c r="D5" s="525"/>
      <c r="E5" s="40"/>
    </row>
    <row r="6" spans="1:13" ht="31.5" customHeight="1" x14ac:dyDescent="0.2">
      <c r="A6" s="4">
        <v>1</v>
      </c>
      <c r="B6" s="494" t="s">
        <v>180</v>
      </c>
      <c r="C6" s="494"/>
      <c r="D6" s="494"/>
      <c r="E6" s="40"/>
    </row>
    <row r="7" spans="1:13" ht="30.75" customHeight="1" thickBot="1" x14ac:dyDescent="0.25">
      <c r="A7" s="21">
        <v>2</v>
      </c>
      <c r="B7" s="519" t="s">
        <v>418</v>
      </c>
      <c r="C7" s="519"/>
      <c r="D7" s="519"/>
      <c r="E7" s="41"/>
    </row>
    <row r="8" spans="1:13" ht="27" customHeight="1" x14ac:dyDescent="0.2">
      <c r="C8" s="3"/>
      <c r="D8" s="14"/>
    </row>
    <row r="9" spans="1:13" ht="18.75" thickBot="1" x14ac:dyDescent="0.25">
      <c r="B9" s="518" t="s">
        <v>392</v>
      </c>
      <c r="C9" s="518"/>
      <c r="D9" s="518"/>
    </row>
    <row r="10" spans="1:13" s="24" customFormat="1" ht="15.75" customHeight="1" x14ac:dyDescent="0.2">
      <c r="B10" s="28" t="s">
        <v>82</v>
      </c>
      <c r="C10" s="29" t="s">
        <v>83</v>
      </c>
      <c r="D10" s="30" t="s">
        <v>84</v>
      </c>
      <c r="E10" s="42"/>
      <c r="F10" s="42"/>
      <c r="G10" s="42"/>
      <c r="H10" s="42"/>
      <c r="I10" s="42"/>
      <c r="J10" s="42"/>
      <c r="K10" s="42"/>
      <c r="L10" s="42"/>
    </row>
    <row r="11" spans="1:13" s="24" customFormat="1" ht="15.75" thickBot="1" x14ac:dyDescent="0.25">
      <c r="B11" s="49" t="s">
        <v>394</v>
      </c>
      <c r="C11" s="50"/>
      <c r="D11" s="51"/>
      <c r="E11" s="42"/>
      <c r="F11" s="42"/>
      <c r="G11" s="42"/>
      <c r="H11" s="42"/>
      <c r="I11" s="42"/>
      <c r="J11" s="42"/>
      <c r="K11" s="42"/>
      <c r="L11" s="42"/>
    </row>
    <row r="12" spans="1:13" s="24" customFormat="1" ht="14.25" x14ac:dyDescent="0.2">
      <c r="B12" s="12" t="s">
        <v>395</v>
      </c>
      <c r="C12" s="65"/>
      <c r="D12" s="53" t="str">
        <f>'DEM (Additionality)'!E12</f>
        <v>Yes</v>
      </c>
      <c r="E12" s="42"/>
      <c r="F12" s="42"/>
      <c r="G12" s="42"/>
      <c r="H12" s="42"/>
      <c r="I12" s="42"/>
      <c r="J12" s="42"/>
      <c r="K12" s="42"/>
      <c r="L12" s="42"/>
    </row>
    <row r="13" spans="1:13" s="24" customFormat="1" ht="14.25" x14ac:dyDescent="0.2">
      <c r="B13" s="52" t="s">
        <v>419</v>
      </c>
      <c r="C13" s="46"/>
      <c r="D13" s="69" t="str">
        <f>'DEM (Additionality)'!E13</f>
        <v>Yes</v>
      </c>
      <c r="E13" s="42"/>
      <c r="F13" s="42"/>
      <c r="G13" s="42"/>
      <c r="H13" s="42"/>
      <c r="I13" s="42"/>
      <c r="J13" s="42"/>
      <c r="K13" s="42"/>
      <c r="L13" s="42"/>
    </row>
    <row r="14" spans="1:13" s="24" customFormat="1" ht="14.25" x14ac:dyDescent="0.2">
      <c r="B14" s="7" t="s">
        <v>420</v>
      </c>
      <c r="C14" s="7"/>
      <c r="D14" s="54" t="str">
        <f>'DEM (Additionality)'!E14</f>
        <v>Yes</v>
      </c>
      <c r="E14" s="42" t="str">
        <f>IF(D14="Yes",B14,"")</f>
        <v xml:space="preserve">     Administración financiera</v>
      </c>
      <c r="F14" s="42">
        <f>LEN(E14)</f>
        <v>30</v>
      </c>
      <c r="G14" s="42" t="str">
        <f>RIGHT(E14,(F14-5))</f>
        <v>Administración financiera</v>
      </c>
      <c r="H14" s="42" t="str">
        <f>IF(D14="Yes",CONCATENATE(G14,": "),"")</f>
        <v xml:space="preserve">Administración financiera: </v>
      </c>
      <c r="I14" s="42" t="str">
        <f>CONCATENATE(H14,H15,H16,H17,H18,H19)</f>
        <v xml:space="preserve">Administración financiera: Presupuesto, </v>
      </c>
      <c r="J14" s="42">
        <f>LEN(I14)</f>
        <v>40</v>
      </c>
      <c r="K14" s="42" t="str">
        <f>LEFT(I14,(J14-2))</f>
        <v>Administración financiera: Presupuesto</v>
      </c>
      <c r="L14" s="42" t="str">
        <f>IF(J14=0,"",CONCATENATE(K14,"."))</f>
        <v>Administración financiera: Presupuesto.</v>
      </c>
      <c r="M14" s="24" t="str">
        <f>CONCATENATE(L14,CHAR(10),CHAR(10),L20)</f>
        <v>Administración financiera: Presupuesto.
Adquisiciones y contrataciones: Sistema de información, Método de comparación de precios.</v>
      </c>
    </row>
    <row r="15" spans="1:13" s="24" customFormat="1" ht="14.25" x14ac:dyDescent="0.2">
      <c r="B15" s="68" t="s">
        <v>421</v>
      </c>
      <c r="C15" s="33"/>
      <c r="D15" s="70" t="str">
        <f>'DEM (Additionality)'!E15</f>
        <v>Yes</v>
      </c>
      <c r="E15" s="42" t="str">
        <f t="shared" ref="E15:E19" si="0">IF(D15="Yes",B15,"")</f>
        <v xml:space="preserve">         Presupuesto</v>
      </c>
      <c r="F15" s="42">
        <f t="shared" ref="F15:F33" si="1">LEN(E15)</f>
        <v>20</v>
      </c>
      <c r="G15" s="42" t="str">
        <f>RIGHT(E15,(F15-9))</f>
        <v>Presupuesto</v>
      </c>
      <c r="H15" s="42" t="str">
        <f>IF(D15="Yes",CONCATENATE(G15,", "),"")</f>
        <v xml:space="preserve">Presupuesto, </v>
      </c>
      <c r="I15" s="42"/>
      <c r="J15" s="42"/>
      <c r="K15" s="42"/>
      <c r="L15" s="42"/>
    </row>
    <row r="16" spans="1:13" s="24" customFormat="1" ht="14.25" x14ac:dyDescent="0.2">
      <c r="B16" s="68" t="s">
        <v>422</v>
      </c>
      <c r="C16" s="33"/>
      <c r="D16" s="70" t="str">
        <f>'DEM (Additionality)'!E16</f>
        <v>No</v>
      </c>
      <c r="E16" s="42" t="str">
        <f t="shared" si="0"/>
        <v/>
      </c>
      <c r="F16" s="42">
        <f t="shared" si="1"/>
        <v>0</v>
      </c>
      <c r="G16" s="42" t="e">
        <f t="shared" ref="G16:G19" si="2">RIGHT(E16,(F16-9))</f>
        <v>#VALUE!</v>
      </c>
      <c r="H16" s="42" t="str">
        <f t="shared" ref="H16:H33" si="3">IF(D16="Yes",CONCATENATE(G16,", "),"")</f>
        <v/>
      </c>
      <c r="I16" s="42"/>
      <c r="J16" s="42"/>
      <c r="K16" s="42"/>
      <c r="L16" s="42"/>
    </row>
    <row r="17" spans="2:12" s="24" customFormat="1" ht="14.25" x14ac:dyDescent="0.2">
      <c r="B17" s="68" t="s">
        <v>423</v>
      </c>
      <c r="C17" s="33"/>
      <c r="D17" s="70" t="str">
        <f>'DEM (Additionality)'!E17</f>
        <v>No</v>
      </c>
      <c r="E17" s="42" t="str">
        <f t="shared" si="0"/>
        <v/>
      </c>
      <c r="F17" s="42">
        <f t="shared" si="1"/>
        <v>0</v>
      </c>
      <c r="G17" s="42" t="e">
        <f t="shared" si="2"/>
        <v>#VALUE!</v>
      </c>
      <c r="H17" s="42" t="str">
        <f t="shared" si="3"/>
        <v/>
      </c>
      <c r="I17" s="42"/>
      <c r="J17" s="42"/>
      <c r="K17" s="42"/>
      <c r="L17" s="42"/>
    </row>
    <row r="18" spans="2:12" s="24" customFormat="1" ht="14.25" x14ac:dyDescent="0.2">
      <c r="B18" s="68" t="s">
        <v>424</v>
      </c>
      <c r="C18" s="33"/>
      <c r="D18" s="70" t="str">
        <f>'DEM (Additionality)'!E18</f>
        <v>No</v>
      </c>
      <c r="E18" s="42" t="str">
        <f t="shared" si="0"/>
        <v/>
      </c>
      <c r="F18" s="42">
        <f t="shared" si="1"/>
        <v>0</v>
      </c>
      <c r="G18" s="42" t="e">
        <f t="shared" si="2"/>
        <v>#VALUE!</v>
      </c>
      <c r="H18" s="42" t="str">
        <f t="shared" si="3"/>
        <v/>
      </c>
      <c r="I18" s="42"/>
      <c r="J18" s="42"/>
      <c r="K18" s="42"/>
      <c r="L18" s="42"/>
    </row>
    <row r="19" spans="2:12" s="24" customFormat="1" ht="14.25" x14ac:dyDescent="0.2">
      <c r="B19" s="68" t="s">
        <v>425</v>
      </c>
      <c r="C19" s="33"/>
      <c r="D19" s="70" t="str">
        <f>'DEM (Additionality)'!E19</f>
        <v>No</v>
      </c>
      <c r="E19" s="42" t="str">
        <f t="shared" si="0"/>
        <v/>
      </c>
      <c r="F19" s="42">
        <f t="shared" si="1"/>
        <v>0</v>
      </c>
      <c r="G19" s="42" t="e">
        <f t="shared" si="2"/>
        <v>#VALUE!</v>
      </c>
      <c r="H19" s="42" t="str">
        <f t="shared" si="3"/>
        <v/>
      </c>
      <c r="I19" s="42"/>
      <c r="J19" s="42"/>
      <c r="K19" s="42"/>
      <c r="L19" s="42"/>
    </row>
    <row r="20" spans="2:12" s="24" customFormat="1" ht="14.25" x14ac:dyDescent="0.2">
      <c r="B20" s="7" t="s">
        <v>426</v>
      </c>
      <c r="C20" s="7"/>
      <c r="D20" s="54" t="str">
        <f>'DEM (Additionality)'!E20</f>
        <v>Yes</v>
      </c>
      <c r="E20" s="42" t="str">
        <f>IF(D20="Yes",B20,"")</f>
        <v xml:space="preserve">     Adquisiciones y contrataciones</v>
      </c>
      <c r="F20" s="42">
        <f>LEN(E20)</f>
        <v>35</v>
      </c>
      <c r="G20" s="42" t="str">
        <f>RIGHT(E20,(F20-5))</f>
        <v>Adquisiciones y contrataciones</v>
      </c>
      <c r="H20" s="42" t="str">
        <f>IF(D20="Yes",CONCATENATE(G20,": "),"")</f>
        <v xml:space="preserve">Adquisiciones y contrataciones: </v>
      </c>
      <c r="I20" s="42" t="str">
        <f>CONCATENATE(H20,H21,H22,H23,H24)</f>
        <v xml:space="preserve">Adquisiciones y contrataciones: Sistema de información, Método de comparación de precios, </v>
      </c>
      <c r="J20" s="42">
        <f>LEN(I20)</f>
        <v>90</v>
      </c>
      <c r="K20" s="42" t="str">
        <f t="shared" ref="K20" si="4">LEFT(I20,(J20-2))</f>
        <v>Adquisiciones y contrataciones: Sistema de información, Método de comparación de precios</v>
      </c>
      <c r="L20" s="42" t="str">
        <f t="shared" ref="L20:L28" si="5">IF(J20=0,"",CONCATENATE(K20,"."))</f>
        <v>Adquisiciones y contrataciones: Sistema de información, Método de comparación de precios.</v>
      </c>
    </row>
    <row r="21" spans="2:12" s="24" customFormat="1" ht="14.25" x14ac:dyDescent="0.2">
      <c r="B21" s="68" t="s">
        <v>427</v>
      </c>
      <c r="C21" s="33"/>
      <c r="D21" s="70" t="str">
        <f>'DEM (Additionality)'!E21</f>
        <v>Yes</v>
      </c>
      <c r="E21" s="42" t="str">
        <f t="shared" ref="E21:E24" si="6">IF(D21="Yes",B21,"")</f>
        <v xml:space="preserve">         Sistema de información</v>
      </c>
      <c r="F21" s="42">
        <f t="shared" si="1"/>
        <v>31</v>
      </c>
      <c r="G21" s="42" t="str">
        <f>RIGHT(E21,(F21-9))</f>
        <v>Sistema de información</v>
      </c>
      <c r="H21" s="42" t="str">
        <f t="shared" si="3"/>
        <v xml:space="preserve">Sistema de información, </v>
      </c>
      <c r="I21" s="42"/>
      <c r="J21" s="42"/>
      <c r="K21" s="42"/>
      <c r="L21" s="42"/>
    </row>
    <row r="22" spans="2:12" s="24" customFormat="1" ht="14.25" x14ac:dyDescent="0.2">
      <c r="B22" s="68" t="s">
        <v>428</v>
      </c>
      <c r="C22" s="33"/>
      <c r="D22" s="70" t="str">
        <f>'DEM (Additionality)'!E22</f>
        <v>Yes</v>
      </c>
      <c r="E22" s="42" t="str">
        <f t="shared" si="6"/>
        <v xml:space="preserve">         Método de comparación de precios</v>
      </c>
      <c r="F22" s="42">
        <f t="shared" si="1"/>
        <v>41</v>
      </c>
      <c r="G22" s="42" t="str">
        <f t="shared" ref="G22:G24" si="7">RIGHT(E22,(F22-9))</f>
        <v>Método de comparación de precios</v>
      </c>
      <c r="H22" s="42" t="str">
        <f t="shared" si="3"/>
        <v xml:space="preserve">Método de comparación de precios, </v>
      </c>
      <c r="I22" s="42"/>
      <c r="J22" s="42"/>
      <c r="K22" s="42"/>
      <c r="L22" s="42"/>
    </row>
    <row r="23" spans="2:12" s="24" customFormat="1" ht="14.25" x14ac:dyDescent="0.2">
      <c r="B23" s="68" t="s">
        <v>429</v>
      </c>
      <c r="C23" s="33"/>
      <c r="D23" s="70" t="str">
        <f>'DEM (Additionality)'!E23</f>
        <v>No</v>
      </c>
      <c r="E23" s="42" t="str">
        <f t="shared" si="6"/>
        <v/>
      </c>
      <c r="F23" s="42">
        <f t="shared" si="1"/>
        <v>0</v>
      </c>
      <c r="G23" s="42" t="e">
        <f t="shared" si="7"/>
        <v>#VALUE!</v>
      </c>
      <c r="H23" s="42" t="str">
        <f t="shared" si="3"/>
        <v/>
      </c>
      <c r="I23" s="42"/>
      <c r="J23" s="42"/>
      <c r="K23" s="42"/>
      <c r="L23" s="42"/>
    </row>
    <row r="24" spans="2:12" s="24" customFormat="1" ht="15" x14ac:dyDescent="0.2">
      <c r="B24" s="68" t="s">
        <v>430</v>
      </c>
      <c r="C24" s="26"/>
      <c r="D24" s="26" t="str">
        <f>'DEM (Additionality)'!E24</f>
        <v/>
      </c>
      <c r="E24" s="42" t="str">
        <f t="shared" si="6"/>
        <v/>
      </c>
      <c r="F24" s="42">
        <f t="shared" si="1"/>
        <v>0</v>
      </c>
      <c r="G24" s="42" t="e">
        <f t="shared" si="7"/>
        <v>#VALUE!</v>
      </c>
      <c r="H24" s="42" t="str">
        <f t="shared" si="3"/>
        <v/>
      </c>
      <c r="I24" s="42"/>
      <c r="J24" s="42"/>
      <c r="K24" s="42"/>
      <c r="L24" s="42"/>
    </row>
    <row r="25" spans="2:12" s="24" customFormat="1" ht="14.25" x14ac:dyDescent="0.2">
      <c r="B25" s="68" t="s">
        <v>431</v>
      </c>
      <c r="C25" s="33"/>
      <c r="D25" s="70" t="str">
        <f>'DEM (Additionality)'!E25</f>
        <v>No</v>
      </c>
      <c r="E25" s="42"/>
      <c r="F25" s="42"/>
      <c r="G25" s="42"/>
      <c r="H25" s="42"/>
      <c r="I25" s="42"/>
      <c r="J25" s="42"/>
      <c r="K25" s="42"/>
      <c r="L25" s="42"/>
    </row>
    <row r="26" spans="2:12" s="24" customFormat="1" ht="14.25" x14ac:dyDescent="0.2">
      <c r="B26" s="68" t="s">
        <v>432</v>
      </c>
      <c r="C26" s="33"/>
      <c r="D26" s="70" t="str">
        <f>'DEM (Additionality)'!E26</f>
        <v>No</v>
      </c>
      <c r="E26" s="42"/>
      <c r="F26" s="42"/>
      <c r="G26" s="42"/>
      <c r="H26" s="42"/>
      <c r="I26" s="42"/>
      <c r="J26" s="42"/>
      <c r="K26" s="42"/>
      <c r="L26" s="42"/>
    </row>
    <row r="27" spans="2:12" s="24" customFormat="1" ht="14.25" x14ac:dyDescent="0.2">
      <c r="B27" s="52" t="s">
        <v>410</v>
      </c>
      <c r="C27" s="46"/>
      <c r="D27" s="69" t="str">
        <f>'DEM (Additionality)'!E27</f>
        <v/>
      </c>
      <c r="E27" s="42"/>
      <c r="F27" s="42"/>
      <c r="G27" s="42"/>
      <c r="H27" s="42"/>
      <c r="I27" s="42"/>
      <c r="J27" s="42"/>
      <c r="K27" s="42"/>
      <c r="L27" s="42"/>
    </row>
    <row r="28" spans="2:12" s="24" customFormat="1" ht="14.25" x14ac:dyDescent="0.2">
      <c r="B28" s="8" t="s">
        <v>433</v>
      </c>
      <c r="C28" s="7"/>
      <c r="D28" s="54" t="str">
        <f>'DEM (Additionality)'!E28</f>
        <v/>
      </c>
      <c r="E28" s="42" t="str">
        <f>IF(D28="Yes",B28,"")</f>
        <v/>
      </c>
      <c r="F28" s="42">
        <f t="shared" si="1"/>
        <v>0</v>
      </c>
      <c r="G28" s="42" t="e">
        <f>RIGHT(E28,(F28-5))</f>
        <v>#VALUE!</v>
      </c>
      <c r="H28" s="42" t="str">
        <f t="shared" si="3"/>
        <v/>
      </c>
      <c r="I28" s="42" t="str">
        <f>CONCATENATE(H28,H30,H32,H33)</f>
        <v/>
      </c>
      <c r="J28" s="42">
        <f>LEN(I28)</f>
        <v>0</v>
      </c>
      <c r="K28" s="42" t="e">
        <f>LEFT(I28,(J28-2))</f>
        <v>#VALUE!</v>
      </c>
      <c r="L28" s="42" t="str">
        <f t="shared" si="5"/>
        <v/>
      </c>
    </row>
    <row r="29" spans="2:12" s="24" customFormat="1" ht="15" x14ac:dyDescent="0.2">
      <c r="B29" s="22" t="s">
        <v>412</v>
      </c>
      <c r="C29" s="32"/>
      <c r="D29" s="71" t="str">
        <f>'DEM (Additionality)'!E29</f>
        <v>No</v>
      </c>
      <c r="E29" s="42"/>
      <c r="F29" s="42"/>
      <c r="G29" s="42"/>
      <c r="H29" s="42"/>
      <c r="I29" s="42"/>
      <c r="J29" s="42"/>
      <c r="K29" s="42"/>
      <c r="L29" s="42"/>
    </row>
    <row r="30" spans="2:12" s="24" customFormat="1" ht="14.25" x14ac:dyDescent="0.2">
      <c r="B30" s="8" t="s">
        <v>434</v>
      </c>
      <c r="C30" s="7"/>
      <c r="D30" s="54" t="str">
        <f>'DEM (Additionality)'!E30</f>
        <v/>
      </c>
      <c r="E30" s="42" t="str">
        <f t="shared" ref="E30:E33" si="8">IF(D30="Yes",B30,"")</f>
        <v/>
      </c>
      <c r="F30" s="42">
        <f t="shared" si="1"/>
        <v>0</v>
      </c>
      <c r="G30" s="42" t="e">
        <f>RIGHT(E30,(F30-5))</f>
        <v>#VALUE!</v>
      </c>
      <c r="H30" s="42" t="str">
        <f t="shared" si="3"/>
        <v/>
      </c>
      <c r="I30" s="42"/>
      <c r="J30" s="42"/>
      <c r="K30" s="42"/>
      <c r="L30" s="42"/>
    </row>
    <row r="31" spans="2:12" s="24" customFormat="1" ht="15" x14ac:dyDescent="0.2">
      <c r="B31" s="22" t="s">
        <v>412</v>
      </c>
      <c r="C31" s="32"/>
      <c r="D31" s="71" t="str">
        <f>'DEM (Additionality)'!E31</f>
        <v>No</v>
      </c>
      <c r="E31" s="42"/>
      <c r="F31" s="42"/>
      <c r="G31" s="42"/>
      <c r="H31" s="42"/>
      <c r="I31" s="42"/>
      <c r="J31" s="42"/>
      <c r="K31" s="42"/>
      <c r="L31" s="42"/>
    </row>
    <row r="32" spans="2:12" s="24" customFormat="1" ht="14.25" x14ac:dyDescent="0.2">
      <c r="B32" s="8" t="s">
        <v>435</v>
      </c>
      <c r="C32" s="7"/>
      <c r="D32" s="54">
        <f>'DEM (Additionality)'!E32</f>
        <v>0</v>
      </c>
      <c r="E32" s="42" t="str">
        <f t="shared" si="8"/>
        <v/>
      </c>
      <c r="F32" s="42">
        <f t="shared" si="1"/>
        <v>0</v>
      </c>
      <c r="G32" s="42" t="e">
        <f>RIGHT(E32,(F32-5))</f>
        <v>#VALUE!</v>
      </c>
      <c r="H32" s="42" t="str">
        <f t="shared" si="3"/>
        <v/>
      </c>
      <c r="I32" s="42"/>
      <c r="J32" s="42"/>
      <c r="K32" s="42"/>
      <c r="L32" s="42"/>
    </row>
    <row r="33" spans="2:12" s="24" customFormat="1" ht="14.25" x14ac:dyDescent="0.2">
      <c r="B33" s="8" t="s">
        <v>436</v>
      </c>
      <c r="C33" s="7"/>
      <c r="D33" s="54">
        <f>'DEM (Additionality)'!E33</f>
        <v>0</v>
      </c>
      <c r="E33" s="42" t="str">
        <f t="shared" si="8"/>
        <v/>
      </c>
      <c r="F33" s="42">
        <f t="shared" si="1"/>
        <v>0</v>
      </c>
      <c r="G33" s="42" t="e">
        <f>RIGHT(E33,(F33-5))</f>
        <v>#VALUE!</v>
      </c>
      <c r="H33" s="42" t="str">
        <f t="shared" si="3"/>
        <v/>
      </c>
      <c r="I33" s="42"/>
      <c r="J33" s="42"/>
      <c r="K33" s="42"/>
      <c r="L33" s="42"/>
    </row>
    <row r="34" spans="2:12" s="24" customFormat="1" ht="30" x14ac:dyDescent="0.2">
      <c r="B34" s="25" t="s">
        <v>437</v>
      </c>
      <c r="C34" s="32"/>
      <c r="D34" s="71">
        <f>'DEM (Additionality)'!E34</f>
        <v>0</v>
      </c>
      <c r="E34" s="42"/>
      <c r="F34" s="42"/>
      <c r="G34" s="42"/>
      <c r="H34" s="42"/>
      <c r="I34" s="42"/>
      <c r="J34" s="42"/>
      <c r="K34" s="42"/>
      <c r="L34" s="42"/>
    </row>
    <row r="35" spans="2:12" s="24" customFormat="1" ht="15" x14ac:dyDescent="0.2">
      <c r="B35" s="43" t="s">
        <v>99</v>
      </c>
      <c r="C35" s="32" t="s">
        <v>438</v>
      </c>
      <c r="D35" s="71" t="e">
        <f>'DEM (Additionality)'!#REF!</f>
        <v>#REF!</v>
      </c>
      <c r="E35" s="42"/>
      <c r="F35" s="42"/>
      <c r="G35" s="42"/>
      <c r="H35" s="42"/>
      <c r="I35" s="42"/>
      <c r="J35" s="42"/>
      <c r="K35" s="42"/>
      <c r="L35" s="42"/>
    </row>
    <row r="36" spans="2:12" s="24" customFormat="1" ht="15" x14ac:dyDescent="0.2">
      <c r="B36" s="43" t="s">
        <v>439</v>
      </c>
      <c r="C36" s="32" t="s">
        <v>438</v>
      </c>
      <c r="D36" s="71" t="e">
        <f>'DEM (Additionality)'!#REF!</f>
        <v>#REF!</v>
      </c>
      <c r="E36" s="42"/>
      <c r="F36" s="42"/>
      <c r="G36" s="42"/>
      <c r="H36" s="42"/>
      <c r="I36" s="42"/>
      <c r="J36" s="42"/>
      <c r="K36" s="42"/>
      <c r="L36" s="42"/>
    </row>
    <row r="37" spans="2:12" s="24" customFormat="1" ht="15" x14ac:dyDescent="0.2">
      <c r="B37" s="43" t="s">
        <v>440</v>
      </c>
      <c r="C37" s="32" t="s">
        <v>438</v>
      </c>
      <c r="D37" s="71" t="e">
        <f>'DEM (Additionality)'!#REF!</f>
        <v>#REF!</v>
      </c>
      <c r="E37" s="42"/>
      <c r="F37" s="42"/>
      <c r="G37" s="42"/>
      <c r="H37" s="42"/>
      <c r="I37" s="42"/>
      <c r="J37" s="42"/>
      <c r="K37" s="42"/>
      <c r="L37" s="42"/>
    </row>
    <row r="38" spans="2:12" s="24" customFormat="1" ht="45" x14ac:dyDescent="0.2">
      <c r="B38" s="25" t="s">
        <v>35</v>
      </c>
      <c r="C38" s="32" t="s">
        <v>441</v>
      </c>
      <c r="D38" s="71">
        <f>'DEM (Additionality)'!E35</f>
        <v>0</v>
      </c>
      <c r="E38" s="42"/>
      <c r="F38" s="42"/>
      <c r="G38" s="42"/>
      <c r="H38" s="42"/>
      <c r="I38" s="42"/>
      <c r="J38" s="42"/>
      <c r="K38" s="42"/>
      <c r="L38" s="42"/>
    </row>
    <row r="39" spans="2:12" s="24" customFormat="1" ht="109.5" customHeight="1" thickBot="1" x14ac:dyDescent="0.25">
      <c r="B39" s="44" t="s">
        <v>442</v>
      </c>
      <c r="C39" s="45" t="s">
        <v>443</v>
      </c>
      <c r="D39" s="72" t="e">
        <f>'DEM (Additionality)'!#REF!</f>
        <v>#REF!</v>
      </c>
      <c r="E39" s="42"/>
      <c r="F39" s="42"/>
      <c r="G39" s="42"/>
      <c r="H39" s="42"/>
      <c r="I39" s="42"/>
      <c r="J39" s="42"/>
      <c r="K39" s="42">
        <f>3*0.2</f>
        <v>0.60000000000000009</v>
      </c>
      <c r="L39" s="42"/>
    </row>
    <row r="40" spans="2:12" s="24" customFormat="1" ht="15" x14ac:dyDescent="0.2">
      <c r="B40" s="23"/>
      <c r="D40" s="27"/>
      <c r="E40" s="42"/>
      <c r="F40" s="42"/>
      <c r="G40" s="42"/>
      <c r="H40" s="42"/>
      <c r="I40" s="42"/>
      <c r="J40" s="42"/>
      <c r="K40" s="42">
        <f>3*0.25</f>
        <v>0.75</v>
      </c>
      <c r="L40" s="42"/>
    </row>
    <row r="41" spans="2:12" x14ac:dyDescent="0.2">
      <c r="K41" s="37">
        <f>3*0.15</f>
        <v>0.44999999999999996</v>
      </c>
    </row>
    <row r="43" spans="2:12" x14ac:dyDescent="0.2">
      <c r="K43" s="37">
        <f>SUM(K39:K42)</f>
        <v>1.8</v>
      </c>
    </row>
    <row r="45" spans="2:12" x14ac:dyDescent="0.2">
      <c r="K45" s="37">
        <f>1*0.25</f>
        <v>0.25</v>
      </c>
    </row>
    <row r="46" spans="2:12" x14ac:dyDescent="0.2">
      <c r="K46" s="37">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C7"/>
  <sheetViews>
    <sheetView workbookViewId="0">
      <selection activeCell="B17" sqref="B17"/>
    </sheetView>
  </sheetViews>
  <sheetFormatPr defaultColWidth="8.85546875" defaultRowHeight="12.75" x14ac:dyDescent="0.2"/>
  <sheetData>
    <row r="2" spans="1:3" x14ac:dyDescent="0.2">
      <c r="A2" s="47" t="s">
        <v>93</v>
      </c>
      <c r="B2" s="47" t="s">
        <v>378</v>
      </c>
      <c r="C2" s="47" t="s">
        <v>444</v>
      </c>
    </row>
    <row r="3" spans="1:3" x14ac:dyDescent="0.2">
      <c r="A3" s="47" t="s">
        <v>305</v>
      </c>
      <c r="B3" s="47" t="s">
        <v>445</v>
      </c>
      <c r="C3" s="47" t="s">
        <v>446</v>
      </c>
    </row>
    <row r="4" spans="1:3" x14ac:dyDescent="0.2">
      <c r="B4" s="47" t="s">
        <v>447</v>
      </c>
      <c r="C4" s="47" t="s">
        <v>381</v>
      </c>
    </row>
    <row r="5" spans="1:3" x14ac:dyDescent="0.2">
      <c r="B5" s="47"/>
      <c r="C5" s="47" t="s">
        <v>448</v>
      </c>
    </row>
    <row r="6" spans="1:3" x14ac:dyDescent="0.2">
      <c r="B6" s="47"/>
    </row>
    <row r="7" spans="1:3" x14ac:dyDescent="0.2">
      <c r="B7" s="47"/>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10"/>
  <sheetViews>
    <sheetView workbookViewId="0">
      <selection activeCell="F22" sqref="F22"/>
    </sheetView>
  </sheetViews>
  <sheetFormatPr defaultColWidth="8.85546875" defaultRowHeight="12.75" x14ac:dyDescent="0.2"/>
  <cols>
    <col min="1" max="1" width="21.7109375" customWidth="1"/>
  </cols>
  <sheetData>
    <row r="1" spans="1:2" x14ac:dyDescent="0.2">
      <c r="A1" t="s">
        <v>449</v>
      </c>
    </row>
    <row r="2" spans="1:2" ht="13.5" thickBot="1" x14ac:dyDescent="0.25"/>
    <row r="3" spans="1:2" ht="15" x14ac:dyDescent="0.2">
      <c r="A3" t="s">
        <v>450</v>
      </c>
      <c r="B3" s="28"/>
    </row>
    <row r="4" spans="1:2" ht="15" x14ac:dyDescent="0.2">
      <c r="A4" t="s">
        <v>451</v>
      </c>
      <c r="B4" s="48"/>
    </row>
    <row r="6" spans="1:2" x14ac:dyDescent="0.2">
      <c r="A6" t="s">
        <v>452</v>
      </c>
      <c r="B6" s="62"/>
    </row>
    <row r="7" spans="1:2" x14ac:dyDescent="0.2">
      <c r="A7" t="s">
        <v>453</v>
      </c>
      <c r="B7" s="46"/>
    </row>
    <row r="8" spans="1:2" x14ac:dyDescent="0.2">
      <c r="A8" t="s">
        <v>454</v>
      </c>
      <c r="B8" s="7"/>
    </row>
    <row r="10" spans="1:2" ht="15" x14ac:dyDescent="0.2">
      <c r="A10" t="s">
        <v>455</v>
      </c>
      <c r="B10" s="26"/>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E42"/>
  <sheetViews>
    <sheetView tabSelected="1" zoomScale="80" zoomScaleNormal="80" zoomScalePageLayoutView="80" workbookViewId="0">
      <selection activeCell="A10" sqref="A10"/>
    </sheetView>
  </sheetViews>
  <sheetFormatPr defaultColWidth="9.140625" defaultRowHeight="12.75" x14ac:dyDescent="0.2"/>
  <cols>
    <col min="1" max="1" width="82.42578125" style="73" customWidth="1"/>
    <col min="2" max="2" width="24.7109375" style="73" customWidth="1"/>
    <col min="3" max="3" width="29.85546875" style="73" customWidth="1"/>
    <col min="4" max="4" width="29.7109375" style="73" customWidth="1"/>
    <col min="5" max="5" width="9.28515625" style="73" hidden="1" customWidth="1"/>
    <col min="6" max="6" width="11.42578125" style="73" customWidth="1"/>
    <col min="7" max="16384" width="9.140625" style="73"/>
  </cols>
  <sheetData>
    <row r="1" spans="1:5" ht="13.5" customHeight="1" thickBot="1" x14ac:dyDescent="0.25">
      <c r="A1" s="330"/>
      <c r="B1" s="330"/>
      <c r="C1" s="330"/>
      <c r="D1" s="331"/>
    </row>
    <row r="2" spans="1:5" ht="25.5" customHeight="1" x14ac:dyDescent="0.2">
      <c r="A2" s="1" t="s">
        <v>37</v>
      </c>
      <c r="B2" s="352"/>
      <c r="C2" s="352"/>
      <c r="D2" s="353"/>
    </row>
    <row r="3" spans="1:5" ht="18" customHeight="1" x14ac:dyDescent="0.2">
      <c r="A3" s="332" t="s">
        <v>38</v>
      </c>
      <c r="B3" s="333" t="str">
        <f>IF(ISBLANK('DEM (Strategic Priorities)'!C7),"",'DEM (Strategic Priorities)'!C7)</f>
        <v/>
      </c>
      <c r="C3" s="334"/>
      <c r="D3" s="335"/>
    </row>
    <row r="4" spans="1:5" ht="19.5" customHeight="1" x14ac:dyDescent="0.2">
      <c r="A4" s="359" t="s">
        <v>39</v>
      </c>
      <c r="B4" s="360"/>
      <c r="C4" s="360"/>
      <c r="D4" s="361"/>
    </row>
    <row r="5" spans="1:5" ht="15" customHeight="1" x14ac:dyDescent="0.2">
      <c r="A5" s="336" t="s">
        <v>40</v>
      </c>
      <c r="B5" s="354" t="str">
        <f>IF('Summary (I, II, III) '!B5:D5="Yes","Sí","No")</f>
        <v>Sí</v>
      </c>
      <c r="C5" s="354"/>
      <c r="D5" s="355"/>
    </row>
    <row r="6" spans="1:5" ht="83.25" customHeight="1" x14ac:dyDescent="0.2">
      <c r="A6" s="337" t="s">
        <v>41</v>
      </c>
      <c r="B6" s="410" t="str">
        <f>'Prioridades Estrategicas'!J11</f>
        <v xml:space="preserve">-Inclusión Social e Igualdad
-Productividad e Innovación
-Equidad de Género y Diversidad
</v>
      </c>
      <c r="C6" s="410"/>
      <c r="D6" s="411"/>
    </row>
    <row r="7" spans="1:5" ht="162.75" customHeight="1" x14ac:dyDescent="0.2">
      <c r="A7" s="25" t="s">
        <v>42</v>
      </c>
      <c r="B7" s="410" t="str">
        <f>'Prioridades Estrategicas'!K18</f>
        <v xml:space="preserve">-Beneficiarios de programas de capacitación en el trabajo  (#)*
-Micro / pequeñas / medianas empresas financiadas (#)*
-Micro / pequeñas / medianas empresas a las que se les proporciona apoyo no financiero  (#)*
-Agencias gubernamentales beneficiadas por proyectos que fortalecen los instrumentos tecnológicos y de gestión para mejorar la provisión de servicios públicos (#)*
-Maestros capacitados (#)*
</v>
      </c>
      <c r="C7" s="410"/>
      <c r="D7" s="411"/>
    </row>
    <row r="8" spans="1:5" ht="15" customHeight="1" x14ac:dyDescent="0.2">
      <c r="A8" s="336" t="s">
        <v>43</v>
      </c>
      <c r="B8" s="354" t="str">
        <f>IF('Summary (I, II, III) '!B8:D8="Yes","Sí","No")</f>
        <v>Sí</v>
      </c>
      <c r="C8" s="354"/>
      <c r="D8" s="355"/>
    </row>
    <row r="9" spans="1:5" ht="46.5" customHeight="1" x14ac:dyDescent="0.2">
      <c r="A9" s="25" t="s">
        <v>44</v>
      </c>
      <c r="B9" s="338" t="str">
        <f>IF('DEM (Strategic Priorities)'!D82="Yes",'DEM (Strategic Priorities)'!C82,"")</f>
        <v>GN-2838</v>
      </c>
      <c r="C9" s="366" t="s">
        <v>495</v>
      </c>
      <c r="D9" s="367"/>
    </row>
    <row r="10" spans="1:5" ht="60" customHeight="1" x14ac:dyDescent="0.2">
      <c r="A10" s="25" t="s">
        <v>45</v>
      </c>
      <c r="B10" s="338" t="str">
        <f>IF('DEM (Strategic Priorities)'!D85="Yes",'DEM (Strategic Priorities)'!C85,"")</f>
        <v>GN-2915-2</v>
      </c>
      <c r="C10" s="412" t="str">
        <f>IF('DEM (Strategic Priorities)'!D85="Yes","La intervención está incluida en el Programa de Operaciones de 2018.","La intervención no está incluida en el Programa de Operaciones de 2018.")</f>
        <v>La intervención está incluida en el Programa de Operaciones de 2018.</v>
      </c>
      <c r="D10" s="413"/>
    </row>
    <row r="11" spans="1:5" ht="60" customHeight="1" x14ac:dyDescent="0.2">
      <c r="A11" s="25" t="s">
        <v>46</v>
      </c>
      <c r="B11" s="340"/>
      <c r="C11" s="362" t="str">
        <f>IF('DEM (Strategic Priorities)'!D87="Yes",'DEM (Strategic Priorities)'!C87,"")</f>
        <v/>
      </c>
      <c r="D11" s="363"/>
      <c r="E11" s="73">
        <f>E14+E18+E24</f>
        <v>3</v>
      </c>
    </row>
    <row r="12" spans="1:5" ht="21" customHeight="1" x14ac:dyDescent="0.2">
      <c r="A12" s="341" t="s">
        <v>10</v>
      </c>
      <c r="B12" s="342"/>
      <c r="C12" s="343" t="str">
        <f>IF(AND(E12=1,B13&gt;=6.95),"Evaluable",IF(AND(E12=1,B13&gt;=5),"Parcialmente Evaluable","No Evaluable"))</f>
        <v>Evaluable</v>
      </c>
      <c r="D12" s="342"/>
      <c r="E12" s="205">
        <f>IF(E11&gt;=3,1,0)</f>
        <v>1</v>
      </c>
    </row>
    <row r="13" spans="1:5" ht="14.25" hidden="1" customHeight="1" x14ac:dyDescent="0.2">
      <c r="A13" s="344"/>
      <c r="B13" s="345">
        <f>AVERAGE(B14,B18,B24)</f>
        <v>9.1688333333333336</v>
      </c>
      <c r="C13" s="346"/>
      <c r="D13" s="347">
        <v>10</v>
      </c>
    </row>
    <row r="14" spans="1:5" ht="15" customHeight="1" x14ac:dyDescent="0.2">
      <c r="A14" s="336" t="s">
        <v>47</v>
      </c>
      <c r="B14" s="392">
        <f>'DEM (Evaluability)'!G11</f>
        <v>9.5064999999999991</v>
      </c>
      <c r="C14" s="393"/>
      <c r="D14" s="394"/>
      <c r="E14" s="73">
        <f>IF(B14&gt;=5,1,0)</f>
        <v>1</v>
      </c>
    </row>
    <row r="15" spans="1:5" ht="15" customHeight="1" x14ac:dyDescent="0.2">
      <c r="A15" s="25" t="s">
        <v>48</v>
      </c>
      <c r="B15" s="389">
        <f>'DEM (Evaluability)'!G12</f>
        <v>3</v>
      </c>
      <c r="C15" s="390"/>
      <c r="D15" s="391"/>
      <c r="E15" s="84"/>
    </row>
    <row r="16" spans="1:5" ht="15" customHeight="1" x14ac:dyDescent="0.2">
      <c r="A16" s="25" t="s">
        <v>49</v>
      </c>
      <c r="B16" s="389">
        <f>'DEM (Evaluability)'!G19</f>
        <v>4</v>
      </c>
      <c r="C16" s="390"/>
      <c r="D16" s="391"/>
      <c r="E16" s="84"/>
    </row>
    <row r="17" spans="1:5" ht="15" customHeight="1" x14ac:dyDescent="0.2">
      <c r="A17" s="25" t="s">
        <v>50</v>
      </c>
      <c r="B17" s="389">
        <f>'DEM (Evaluability)'!G24</f>
        <v>2.5065</v>
      </c>
      <c r="C17" s="390"/>
      <c r="D17" s="391"/>
      <c r="E17" s="84"/>
    </row>
    <row r="18" spans="1:5" ht="15" customHeight="1" x14ac:dyDescent="0.2">
      <c r="A18" s="336" t="s">
        <v>51</v>
      </c>
      <c r="B18" s="392">
        <f>'DEM (Evaluability)'!G38</f>
        <v>8</v>
      </c>
      <c r="C18" s="393"/>
      <c r="D18" s="394"/>
      <c r="E18" s="73">
        <f>IF(B18&gt;=5,1,0)</f>
        <v>1</v>
      </c>
    </row>
    <row r="19" spans="1:5" ht="30" x14ac:dyDescent="0.2">
      <c r="A19" s="25" t="s">
        <v>52</v>
      </c>
      <c r="B19" s="389">
        <f>IF('DEM (Evaluability)'!H41=1,'DEM (Evaluability)'!G42,IF('DEM (Evaluability)'!H41=2,'DEM (Evaluability)'!G49,0))</f>
        <v>3</v>
      </c>
      <c r="C19" s="390"/>
      <c r="D19" s="391"/>
    </row>
    <row r="20" spans="1:5" ht="15" customHeight="1" x14ac:dyDescent="0.2">
      <c r="A20" s="25" t="s">
        <v>53</v>
      </c>
      <c r="B20" s="389">
        <f>IF('DEM (Evaluability)'!H41=1,'DEM (Evaluability)'!G43,IF('DEM (Evaluability)'!H41=2,('DEM (Evaluability)'!G50)))</f>
        <v>3</v>
      </c>
      <c r="C20" s="390"/>
      <c r="D20" s="391"/>
    </row>
    <row r="21" spans="1:5" ht="15" customHeight="1" x14ac:dyDescent="0.2">
      <c r="A21" s="25" t="s">
        <v>54</v>
      </c>
      <c r="B21" s="389">
        <f>IF('DEM (Evaluability)'!H41=1,'DEM (Evaluability)'!G44,IF('DEM (Evaluability)'!H41=2,'DEM (Evaluability)'!G51))</f>
        <v>1</v>
      </c>
      <c r="C21" s="390"/>
      <c r="D21" s="391"/>
    </row>
    <row r="22" spans="1:5" ht="15" customHeight="1" x14ac:dyDescent="0.2">
      <c r="A22" s="25" t="s">
        <v>55</v>
      </c>
      <c r="B22" s="389">
        <f>IF('DEM (Evaluability)'!H41=1,'DEM (Evaluability)'!G45,IF('DEM (Evaluability)'!H41=2,'DEM (Evaluability)'!G52))</f>
        <v>0</v>
      </c>
      <c r="C22" s="390"/>
      <c r="D22" s="391"/>
    </row>
    <row r="23" spans="1:5" ht="15" customHeight="1" x14ac:dyDescent="0.2">
      <c r="A23" s="25" t="s">
        <v>56</v>
      </c>
      <c r="B23" s="389">
        <f>IF('DEM (Evaluability)'!H41=1,'DEM (Evaluability)'!G46,IF('DEM (Evaluability)'!H41=2,'DEM (Evaluability)'!G53))</f>
        <v>1</v>
      </c>
      <c r="C23" s="390"/>
      <c r="D23" s="391"/>
    </row>
    <row r="24" spans="1:5" ht="15" customHeight="1" x14ac:dyDescent="0.2">
      <c r="A24" s="336" t="s">
        <v>57</v>
      </c>
      <c r="B24" s="392">
        <f>'DEM (Evaluability)'!G54</f>
        <v>10</v>
      </c>
      <c r="C24" s="393"/>
      <c r="D24" s="394"/>
      <c r="E24" s="73">
        <f>IF(B24&gt;=5,1,0)</f>
        <v>1</v>
      </c>
    </row>
    <row r="25" spans="1:5" ht="15" customHeight="1" x14ac:dyDescent="0.2">
      <c r="A25" s="25" t="s">
        <v>58</v>
      </c>
      <c r="B25" s="389">
        <f>'DEM (Evaluability)'!G55</f>
        <v>2.5</v>
      </c>
      <c r="C25" s="390"/>
      <c r="D25" s="391"/>
    </row>
    <row r="26" spans="1:5" ht="15" customHeight="1" x14ac:dyDescent="0.2">
      <c r="A26" s="25" t="s">
        <v>59</v>
      </c>
      <c r="B26" s="389">
        <f>'DEM (Evaluability)'!G61</f>
        <v>7.5</v>
      </c>
      <c r="C26" s="390"/>
      <c r="D26" s="391"/>
    </row>
    <row r="27" spans="1:5" ht="19.5" customHeight="1" x14ac:dyDescent="0.2">
      <c r="A27" s="381" t="s">
        <v>60</v>
      </c>
      <c r="B27" s="382"/>
      <c r="C27" s="382"/>
      <c r="D27" s="383"/>
    </row>
    <row r="28" spans="1:5" ht="15" customHeight="1" x14ac:dyDescent="0.2">
      <c r="A28" s="348" t="s">
        <v>61</v>
      </c>
      <c r="B28" s="375" t="str">
        <f>IF('Summary (I, II, III) '!B28:D28="LOW","Bajo",IF('Summary (I, II, III) '!B28:D28="MEDIUM","Medio",IF('Summary (I, II, III) '!B28:D28="HIGH","Alto","Specify risk rate on risk tab")))</f>
        <v>Bajo</v>
      </c>
      <c r="C28" s="375"/>
      <c r="D28" s="376"/>
    </row>
    <row r="29" spans="1:5" ht="15" x14ac:dyDescent="0.2">
      <c r="A29" s="43" t="s">
        <v>62</v>
      </c>
      <c r="B29" s="384" t="str">
        <f>IF(AND('DEM ( Risk)'!D15="yes", 'DEM ( Risk)'!D16="yes"), "Sí", "")</f>
        <v>Sí</v>
      </c>
      <c r="C29" s="408"/>
      <c r="D29" s="409"/>
    </row>
    <row r="30" spans="1:5" ht="30" x14ac:dyDescent="0.2">
      <c r="A30" s="43" t="s">
        <v>63</v>
      </c>
      <c r="B30" s="384" t="str">
        <f>IF('DEM ( Risk)'!D18="yes", "Sí", "")</f>
        <v>Sí</v>
      </c>
      <c r="C30" s="408"/>
      <c r="D30" s="409"/>
    </row>
    <row r="31" spans="1:5" ht="30" x14ac:dyDescent="0.2">
      <c r="A31" s="43" t="s">
        <v>64</v>
      </c>
      <c r="B31" s="384" t="str">
        <f>IF('DEM ( Risk)'!D19="yes", "Sí", "")</f>
        <v>Sí</v>
      </c>
      <c r="C31" s="408"/>
      <c r="D31" s="409"/>
    </row>
    <row r="32" spans="1:5" ht="15" customHeight="1" x14ac:dyDescent="0.2">
      <c r="A32" s="348" t="s">
        <v>65</v>
      </c>
      <c r="B32" s="375" t="str">
        <f>'Summary (I, II, III) '!B32:D32</f>
        <v>C</v>
      </c>
      <c r="C32" s="375"/>
      <c r="D32" s="376"/>
    </row>
    <row r="33" spans="1:4" ht="19.5" customHeight="1" x14ac:dyDescent="0.2">
      <c r="A33" s="402" t="s">
        <v>66</v>
      </c>
      <c r="B33" s="403"/>
      <c r="C33" s="403"/>
      <c r="D33" s="404"/>
    </row>
    <row r="34" spans="1:4" ht="15.75" customHeight="1" x14ac:dyDescent="0.2">
      <c r="A34" s="25" t="s">
        <v>67</v>
      </c>
      <c r="B34" s="349"/>
      <c r="C34" s="396"/>
      <c r="D34" s="397"/>
    </row>
    <row r="35" spans="1:4" ht="71.099999999999994" customHeight="1" x14ac:dyDescent="0.2">
      <c r="A35" s="350" t="s">
        <v>68</v>
      </c>
      <c r="B35" s="351" t="str">
        <f>IF('DEM (Additionality)'!E13="yes", "Sí", "")</f>
        <v>Sí</v>
      </c>
      <c r="C35" s="405" t="str">
        <f>Adicionalidad!M14</f>
        <v>Administración financiera: Presupuesto.
Adquisiciones y contrataciones: Sistema de información, Método de comparación de precios.</v>
      </c>
      <c r="D35" s="406"/>
    </row>
    <row r="36" spans="1:4" ht="38.25" customHeight="1" x14ac:dyDescent="0.2">
      <c r="A36" s="350" t="s">
        <v>69</v>
      </c>
      <c r="B36" s="351" t="str">
        <f>IF('DEM (Additionality)'!E27="yes", "Sí", "")</f>
        <v/>
      </c>
      <c r="C36" s="398" t="str">
        <f>Adicionalidad!L28</f>
        <v/>
      </c>
      <c r="D36" s="399"/>
    </row>
    <row r="37" spans="1:4" ht="44.25" customHeight="1" x14ac:dyDescent="0.2">
      <c r="A37" s="25" t="s">
        <v>70</v>
      </c>
      <c r="B37" s="349"/>
      <c r="C37" s="398"/>
      <c r="D37" s="399"/>
    </row>
    <row r="38" spans="1:4" ht="80.45" customHeight="1" thickBot="1" x14ac:dyDescent="0.25">
      <c r="A38" s="25" t="s">
        <v>71</v>
      </c>
      <c r="B38" s="351" t="str">
        <f>IF('DEM (Additionality)'!E35="yes", "Sí", "")</f>
        <v/>
      </c>
      <c r="C38" s="400" t="str">
        <f>IF('DEM (Additionality)'!E35="Yes",'DEM (Additionality)'!C35,"")</f>
        <v/>
      </c>
      <c r="D38" s="401"/>
    </row>
    <row r="39" spans="1:4" ht="24.75" customHeight="1" x14ac:dyDescent="0.2">
      <c r="A39" s="407" t="s">
        <v>72</v>
      </c>
      <c r="B39" s="407"/>
      <c r="C39" s="407"/>
      <c r="D39" s="407"/>
    </row>
    <row r="40" spans="1:4" ht="14.25" x14ac:dyDescent="0.2">
      <c r="A40" s="23"/>
      <c r="B40" s="328"/>
      <c r="C40" s="328"/>
      <c r="D40" s="331"/>
    </row>
    <row r="41" spans="1:4" ht="300" customHeight="1" x14ac:dyDescent="0.2">
      <c r="A41" s="368" t="s">
        <v>516</v>
      </c>
      <c r="B41" s="369"/>
      <c r="C41" s="369"/>
      <c r="D41" s="369"/>
    </row>
    <row r="42" spans="1:4" x14ac:dyDescent="0.2">
      <c r="A42" s="395"/>
      <c r="B42" s="395"/>
      <c r="C42" s="395"/>
      <c r="D42" s="395"/>
    </row>
  </sheetData>
  <sheetProtection algorithmName="SHA-512" hashValue="/dGixn/zE9IzroyyW+8aZ3V7MEtb6rAhwKepImoaboqbYHa4pu0QrAgBIOR/RLEi1sA3X2BP9xG7dRhvPk0x3A==" saltValue="lOo70s7IeRony3ksK3ctNw==" spinCount="100000" sheet="1" objects="1" scenarios="1"/>
  <mergeCells count="37">
    <mergeCell ref="B17:D17"/>
    <mergeCell ref="B29:D29"/>
    <mergeCell ref="B23:D23"/>
    <mergeCell ref="B24:D24"/>
    <mergeCell ref="B25:D25"/>
    <mergeCell ref="B26:D26"/>
    <mergeCell ref="B18:D18"/>
    <mergeCell ref="B19:D19"/>
    <mergeCell ref="B20:D20"/>
    <mergeCell ref="B21:D21"/>
    <mergeCell ref="B22:D22"/>
    <mergeCell ref="B30:D30"/>
    <mergeCell ref="B31:D31"/>
    <mergeCell ref="B28:D28"/>
    <mergeCell ref="A2:D2"/>
    <mergeCell ref="B5:D5"/>
    <mergeCell ref="B6:D6"/>
    <mergeCell ref="B7:D7"/>
    <mergeCell ref="B8:D8"/>
    <mergeCell ref="C9:D9"/>
    <mergeCell ref="C10:D10"/>
    <mergeCell ref="C11:D11"/>
    <mergeCell ref="A27:D27"/>
    <mergeCell ref="A4:D4"/>
    <mergeCell ref="B14:D14"/>
    <mergeCell ref="B15:D15"/>
    <mergeCell ref="B16:D16"/>
    <mergeCell ref="A42:D42"/>
    <mergeCell ref="B32:D32"/>
    <mergeCell ref="C34:D34"/>
    <mergeCell ref="C36:D36"/>
    <mergeCell ref="C37:D37"/>
    <mergeCell ref="C38:D38"/>
    <mergeCell ref="A41:D41"/>
    <mergeCell ref="A33:D33"/>
    <mergeCell ref="C35:D35"/>
    <mergeCell ref="A39:D39"/>
  </mergeCells>
  <pageMargins left="0.7" right="0.7" top="0.75" bottom="0.75" header="0.3" footer="0.3"/>
  <pageSetup scale="47" orientation="portrait" r:id="rId1"/>
  <headerFooter>
    <oddHeader>&amp;RAnexo I - PN-L1153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36"/>
  <sheetViews>
    <sheetView topLeftCell="A11" zoomScale="80" zoomScaleNormal="80" zoomScalePageLayoutView="80" workbookViewId="0">
      <selection activeCell="J7" sqref="J7"/>
    </sheetView>
  </sheetViews>
  <sheetFormatPr defaultColWidth="9.140625" defaultRowHeight="12.75" x14ac:dyDescent="0.2"/>
  <cols>
    <col min="1" max="1" width="84.42578125" style="73" customWidth="1"/>
    <col min="2" max="2" width="24.7109375" style="73" customWidth="1"/>
    <col min="3" max="3" width="29.42578125" style="73" customWidth="1"/>
    <col min="4" max="4" width="29.140625" style="73" customWidth="1"/>
    <col min="5" max="5" width="5.85546875" style="73" hidden="1" customWidth="1"/>
    <col min="6" max="16384" width="9.140625" style="73"/>
  </cols>
  <sheetData>
    <row r="1" spans="1:5" ht="13.5" customHeight="1" thickBot="1" x14ac:dyDescent="0.25">
      <c r="A1" s="14"/>
      <c r="B1" s="14"/>
      <c r="C1" s="14"/>
    </row>
    <row r="2" spans="1:5" ht="25.5" customHeight="1" x14ac:dyDescent="0.2">
      <c r="A2" s="417" t="s">
        <v>0</v>
      </c>
      <c r="B2" s="418"/>
      <c r="C2" s="418"/>
      <c r="D2" s="419"/>
    </row>
    <row r="3" spans="1:5" ht="18" customHeight="1" x14ac:dyDescent="0.2">
      <c r="A3" s="294" t="s">
        <v>1</v>
      </c>
      <c r="B3" s="297" t="str">
        <f>IF(ISBLANK('DEM (Strategic Priorities)'!C7),"",'DEM (Strategic Priorities)'!C7)</f>
        <v/>
      </c>
      <c r="C3" s="295"/>
      <c r="D3" s="296"/>
    </row>
    <row r="4" spans="1:5" ht="15" customHeight="1" x14ac:dyDescent="0.2">
      <c r="A4" s="420" t="s">
        <v>2</v>
      </c>
      <c r="B4" s="421"/>
      <c r="C4" s="421"/>
      <c r="D4" s="422"/>
    </row>
    <row r="5" spans="1:5" ht="18" customHeight="1" x14ac:dyDescent="0.2">
      <c r="A5" s="74" t="s">
        <v>3</v>
      </c>
      <c r="B5" s="423" t="str">
        <f>IF(OR(B6&lt;&gt;"",B7&lt;&gt;""),"Yes","No")</f>
        <v>Yes</v>
      </c>
      <c r="C5" s="423"/>
      <c r="D5" s="424"/>
    </row>
    <row r="6" spans="1:5" ht="120" customHeight="1" x14ac:dyDescent="0.2">
      <c r="A6" s="75" t="s">
        <v>4</v>
      </c>
      <c r="B6" s="414" t="str">
        <f>'DEM (Strategic Priorities)'!J11</f>
        <v xml:space="preserve">-Social Inclusion and Equality
-Productivity and Innovation
-Gender Equality and Diversity
</v>
      </c>
      <c r="C6" s="415"/>
      <c r="D6" s="416"/>
    </row>
    <row r="7" spans="1:5" ht="120" customHeight="1" x14ac:dyDescent="0.2">
      <c r="A7" s="10" t="s">
        <v>5</v>
      </c>
      <c r="B7" s="414" t="str">
        <f>'DEM (Strategic Priorities)'!K22</f>
        <v xml:space="preserve">-Beneficiaries of on-the-job training programs (#)*
-Micro / small / medium enterprises financed (#)*
-Micro / small / medium enterprises provided with non-financial support (#)*
-Government agencies benefited by projects that strengthen technological and managerial tools to improve public service delivery (#)*
-Teachers trained (#)*
</v>
      </c>
      <c r="C7" s="415"/>
      <c r="D7" s="416"/>
    </row>
    <row r="8" spans="1:5" ht="15" customHeight="1" x14ac:dyDescent="0.2">
      <c r="A8" s="74" t="s">
        <v>6</v>
      </c>
      <c r="B8" s="423" t="str">
        <f>IF(OR('DEM (Strategic Priorities)'!$D$82="Yes",'DEM (Strategic Priorities)'!D85="Yes"),"Yes","No")</f>
        <v>Yes</v>
      </c>
      <c r="C8" s="423"/>
      <c r="D8" s="424"/>
    </row>
    <row r="9" spans="1:5" ht="60" customHeight="1" x14ac:dyDescent="0.2">
      <c r="A9" s="10" t="s">
        <v>7</v>
      </c>
      <c r="B9" s="83" t="str">
        <f>IF('DEM (Strategic Priorities)'!D82="Yes",'DEM (Strategic Priorities)'!C82,"")</f>
        <v>GN-2838</v>
      </c>
      <c r="C9" s="431" t="str">
        <f>IF('DEM (Strategic Priorities)'!D82="Yes",'DEM (Strategic Priorities)'!C83,"")</f>
        <v xml:space="preserve">Al área de diálogo de mercados laborales (párrafo 3.32 de la Estrategia de País). To the dialogue area of labor markets (paragraph 3.32 of the Country Strategy). </v>
      </c>
      <c r="D9" s="432"/>
    </row>
    <row r="10" spans="1:5" ht="60" customHeight="1" x14ac:dyDescent="0.2">
      <c r="A10" s="10" t="s">
        <v>8</v>
      </c>
      <c r="B10" s="83" t="str">
        <f>IF('DEM (Strategic Priorities)'!D85="Yes",'DEM (Strategic Priorities)'!C85," ")</f>
        <v>GN-2915-2</v>
      </c>
      <c r="C10" s="433" t="str">
        <f>IF('DEM (Strategic Priorities)'!D85="Yes","The intervention is included in the 2018 Operational Program.","The intervention is not included in the 2018 Operational Program.")</f>
        <v>The intervention is included in the 2018 Operational Program.</v>
      </c>
      <c r="D10" s="434"/>
    </row>
    <row r="11" spans="1:5" ht="60" customHeight="1" x14ac:dyDescent="0.2">
      <c r="A11" s="147" t="s">
        <v>9</v>
      </c>
      <c r="B11" s="76"/>
      <c r="C11" s="435" t="str">
        <f>IF('DEM (Strategic Priorities)'!D87="Yes",'DEM (Strategic Priorities)'!C87,"")</f>
        <v/>
      </c>
      <c r="D11" s="436"/>
      <c r="E11" s="73">
        <f>SUM(E14+E19)</f>
        <v>2</v>
      </c>
    </row>
    <row r="12" spans="1:5" ht="15.75" x14ac:dyDescent="0.2">
      <c r="A12" s="188" t="s">
        <v>10</v>
      </c>
      <c r="B12" s="202"/>
      <c r="C12" s="287" t="str">
        <f>IF(AND(E12=1,C13&gt;=6.95),"Evaluable",IF(AND(E12=1,C13&gt;=5),"Partially Evaluable","Not Evaluable"))</f>
        <v>Evaluable</v>
      </c>
      <c r="D12" s="202"/>
      <c r="E12" s="205">
        <f>IF(E11&gt;=2,1,0)</f>
        <v>1</v>
      </c>
    </row>
    <row r="13" spans="1:5" hidden="1" x14ac:dyDescent="0.2">
      <c r="A13" s="189"/>
      <c r="B13" s="204"/>
      <c r="C13" s="203">
        <f>AVERAGE(B14,B19)</f>
        <v>9.7532499999999995</v>
      </c>
      <c r="D13" s="190">
        <v>10</v>
      </c>
    </row>
    <row r="14" spans="1:5" ht="15" customHeight="1" x14ac:dyDescent="0.2">
      <c r="A14" s="74" t="s">
        <v>11</v>
      </c>
      <c r="B14" s="428">
        <f>'DEM (Evaluability)'!G11</f>
        <v>9.5064999999999991</v>
      </c>
      <c r="C14" s="429"/>
      <c r="D14" s="430"/>
      <c r="E14" s="73">
        <f>IF(B14&gt;=5,1,0)</f>
        <v>1</v>
      </c>
    </row>
    <row r="15" spans="1:5" ht="15" customHeight="1" x14ac:dyDescent="0.2">
      <c r="A15" s="10" t="s">
        <v>12</v>
      </c>
      <c r="B15" s="425">
        <f>'DEM (Evaluability)'!G12</f>
        <v>3</v>
      </c>
      <c r="C15" s="426"/>
      <c r="D15" s="427"/>
    </row>
    <row r="16" spans="1:5" ht="15" customHeight="1" x14ac:dyDescent="0.2">
      <c r="A16" s="10" t="s">
        <v>13</v>
      </c>
      <c r="B16" s="425">
        <f>'DEM (Evaluability)'!G19</f>
        <v>4</v>
      </c>
      <c r="C16" s="426"/>
      <c r="D16" s="427"/>
    </row>
    <row r="17" spans="1:5" ht="15" customHeight="1" x14ac:dyDescent="0.2">
      <c r="A17" s="10" t="s">
        <v>14</v>
      </c>
      <c r="B17" s="425">
        <f>'DEM (Evaluability)'!G24</f>
        <v>2.5065</v>
      </c>
      <c r="C17" s="426"/>
      <c r="D17" s="427"/>
    </row>
    <row r="18" spans="1:5" ht="15" customHeight="1" x14ac:dyDescent="0.2">
      <c r="A18" s="74" t="s">
        <v>15</v>
      </c>
      <c r="B18" s="428" t="s">
        <v>73</v>
      </c>
      <c r="C18" s="429"/>
      <c r="D18" s="430"/>
    </row>
    <row r="19" spans="1:5" ht="15" customHeight="1" x14ac:dyDescent="0.2">
      <c r="A19" s="74" t="s">
        <v>21</v>
      </c>
      <c r="B19" s="428">
        <f>'DEM (Evaluability)'!G54</f>
        <v>10</v>
      </c>
      <c r="C19" s="429"/>
      <c r="D19" s="430"/>
      <c r="E19" s="73">
        <f>IF(B19&gt;=5,1,0)</f>
        <v>1</v>
      </c>
    </row>
    <row r="20" spans="1:5" ht="15" customHeight="1" x14ac:dyDescent="0.2">
      <c r="A20" s="10" t="s">
        <v>22</v>
      </c>
      <c r="B20" s="425">
        <f>'DEM (Evaluability)'!G55</f>
        <v>2.5</v>
      </c>
      <c r="C20" s="426"/>
      <c r="D20" s="427"/>
    </row>
    <row r="21" spans="1:5" ht="15" customHeight="1" x14ac:dyDescent="0.2">
      <c r="A21" s="10" t="s">
        <v>23</v>
      </c>
      <c r="B21" s="425">
        <f>'DEM (Evaluability)'!G61</f>
        <v>7.5</v>
      </c>
      <c r="C21" s="426"/>
      <c r="D21" s="427"/>
    </row>
    <row r="22" spans="1:5" ht="15" customHeight="1" x14ac:dyDescent="0.2">
      <c r="A22" s="437" t="s">
        <v>24</v>
      </c>
      <c r="B22" s="438"/>
      <c r="C22" s="438"/>
      <c r="D22" s="439"/>
    </row>
    <row r="23" spans="1:5" ht="15" customHeight="1" x14ac:dyDescent="0.2">
      <c r="A23" s="77" t="s">
        <v>25</v>
      </c>
      <c r="B23" s="440" t="str">
        <f>IF('DEM ( Risk)'!D12&lt;&gt;"",'DEM ( Risk)'!D12,"Specify risk rate on risk tab")</f>
        <v>Low</v>
      </c>
      <c r="C23" s="440"/>
      <c r="D23" s="441"/>
    </row>
    <row r="24" spans="1:5" ht="15" customHeight="1" x14ac:dyDescent="0.2">
      <c r="A24" s="78" t="s">
        <v>26</v>
      </c>
      <c r="B24" s="442" t="str">
        <f>IF(AND('DEM ( Risk)'!D15="yes", 'DEM ( Risk)'!D16="yes"), "Yes", "")</f>
        <v>Yes</v>
      </c>
      <c r="C24" s="442"/>
      <c r="D24" s="443"/>
    </row>
    <row r="25" spans="1:5" ht="15" customHeight="1" x14ac:dyDescent="0.2">
      <c r="A25" s="78" t="s">
        <v>27</v>
      </c>
      <c r="B25" s="444" t="str">
        <f>IF('DEM ( Risk)'!D18="yes", "Yes", "")</f>
        <v>Yes</v>
      </c>
      <c r="C25" s="445"/>
      <c r="D25" s="446"/>
    </row>
    <row r="26" spans="1:5" ht="15" customHeight="1" x14ac:dyDescent="0.2">
      <c r="A26" s="78" t="s">
        <v>28</v>
      </c>
      <c r="B26" s="444" t="str">
        <f>IF('DEM ( Risk)'!D19="yes", "Yes", "")</f>
        <v>Yes</v>
      </c>
      <c r="C26" s="445"/>
      <c r="D26" s="446"/>
    </row>
    <row r="27" spans="1:5" ht="15" customHeight="1" x14ac:dyDescent="0.2">
      <c r="A27" s="77" t="s">
        <v>29</v>
      </c>
      <c r="B27" s="440" t="str">
        <f>IF('DEM ( Risk)'!D13&lt;&gt;"",'DEM ( Risk)'!D13,"Specify risk classification on risk tab")</f>
        <v>C</v>
      </c>
      <c r="C27" s="440"/>
      <c r="D27" s="441"/>
    </row>
    <row r="28" spans="1:5" ht="15" customHeight="1" x14ac:dyDescent="0.2">
      <c r="A28" s="437" t="s">
        <v>30</v>
      </c>
      <c r="B28" s="438"/>
      <c r="C28" s="438"/>
      <c r="D28" s="439"/>
    </row>
    <row r="29" spans="1:5" ht="15" customHeight="1" x14ac:dyDescent="0.2">
      <c r="A29" s="10" t="s">
        <v>31</v>
      </c>
      <c r="B29" s="79"/>
      <c r="C29" s="450"/>
      <c r="D29" s="451"/>
    </row>
    <row r="30" spans="1:5" ht="70.349999999999994" customHeight="1" x14ac:dyDescent="0.2">
      <c r="A30" s="80" t="s">
        <v>32</v>
      </c>
      <c r="B30" s="191" t="str">
        <f>IF('DEM (Additionality)'!E14="Yes","Yes","")</f>
        <v>Yes</v>
      </c>
      <c r="C30" s="452" t="str">
        <f>'DEM (Additionality)'!N14</f>
        <v>Financial Management: Budget.
Procurement: Information System, Price Comparison.</v>
      </c>
      <c r="D30" s="453"/>
    </row>
    <row r="31" spans="1:5" ht="70.349999999999994" customHeight="1" x14ac:dyDescent="0.2">
      <c r="A31" s="80" t="s">
        <v>33</v>
      </c>
      <c r="B31" s="191" t="str">
        <f>IF('DEM (Additionality)'!E27="yes", "Yes","")</f>
        <v/>
      </c>
      <c r="C31" s="452" t="str">
        <f>'DEM (Additionality)'!M28</f>
        <v/>
      </c>
      <c r="D31" s="453"/>
    </row>
    <row r="32" spans="1:5" ht="44.25" customHeight="1" x14ac:dyDescent="0.2">
      <c r="A32" s="10" t="s">
        <v>34</v>
      </c>
      <c r="B32" s="79"/>
      <c r="C32" s="454"/>
      <c r="D32" s="455"/>
    </row>
    <row r="33" spans="1:4" ht="80.45" customHeight="1" x14ac:dyDescent="0.2">
      <c r="A33" s="10" t="s">
        <v>35</v>
      </c>
      <c r="B33" s="191" t="str">
        <f>IF('DEM (Additionality)'!E35="yes", "Yes","")</f>
        <v/>
      </c>
      <c r="C33" s="456" t="str">
        <f>IF('DEM (Additionality)'!E35="Yes",'DEM (Additionality)'!C35,"")</f>
        <v/>
      </c>
      <c r="D33" s="457"/>
    </row>
    <row r="34" spans="1:4" ht="25.5" customHeight="1" x14ac:dyDescent="0.2">
      <c r="A34" s="447" t="s">
        <v>36</v>
      </c>
      <c r="B34" s="447"/>
      <c r="C34" s="447"/>
      <c r="D34" s="447"/>
    </row>
    <row r="35" spans="1:4" ht="13.5" customHeight="1" x14ac:dyDescent="0.2">
      <c r="A35" s="447"/>
      <c r="B35" s="447"/>
      <c r="C35" s="447"/>
      <c r="D35" s="447"/>
    </row>
    <row r="36" spans="1:4" ht="300" customHeight="1" x14ac:dyDescent="0.2">
      <c r="A36" s="448" t="s">
        <v>74</v>
      </c>
      <c r="B36" s="449"/>
      <c r="C36" s="449"/>
      <c r="D36" s="449"/>
    </row>
  </sheetData>
  <sheetProtection algorithmName="SHA-512" hashValue="WBtclwKVP0in6BdSDcN4v7PunKc0rPkBOgXVd1TE2Q6v3qZY9ypK6p5jcBnLhIcqFNRSdwhAyineigASSiUZ0Q==" saltValue="KCbJLzzp5TnYMlWsUlxrVQ==" spinCount="100000" sheet="1" objects="1" scenarios="1"/>
  <mergeCells count="32">
    <mergeCell ref="A35:D35"/>
    <mergeCell ref="A36:D36"/>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4:D4"/>
    <mergeCell ref="B5:D5"/>
    <mergeCell ref="B6:D6"/>
  </mergeCells>
  <pageMargins left="0.7" right="0.7" top="0.75" bottom="0.75" header="0.3" footer="0.3"/>
  <pageSetup scale="48" orientation="portrait" r:id="rId1"/>
  <headerFooter>
    <oddHeader>&amp;RAnnex - [PROYECT NUMBER]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37"/>
  <sheetViews>
    <sheetView topLeftCell="A7" zoomScale="80" zoomScaleNormal="80" zoomScalePageLayoutView="80" workbookViewId="0">
      <selection activeCell="B18" sqref="B18:D18"/>
    </sheetView>
  </sheetViews>
  <sheetFormatPr defaultColWidth="9.140625" defaultRowHeight="12.75" x14ac:dyDescent="0.2"/>
  <cols>
    <col min="1" max="1" width="82.42578125" style="73" customWidth="1"/>
    <col min="2" max="2" width="24.7109375" style="73" customWidth="1"/>
    <col min="3" max="3" width="29.85546875" style="73" customWidth="1"/>
    <col min="4" max="4" width="29.7109375" style="73" customWidth="1"/>
    <col min="5" max="5" width="4.85546875" style="73" hidden="1" customWidth="1"/>
    <col min="6" max="6" width="11.42578125" style="73" customWidth="1"/>
    <col min="7" max="16384" width="9.140625" style="73"/>
  </cols>
  <sheetData>
    <row r="1" spans="1:5" ht="13.5" customHeight="1" thickBot="1" x14ac:dyDescent="0.25">
      <c r="A1" s="14"/>
      <c r="B1" s="14"/>
      <c r="C1" s="14"/>
    </row>
    <row r="2" spans="1:5" ht="25.5" customHeight="1" x14ac:dyDescent="0.2">
      <c r="A2" s="460" t="s">
        <v>37</v>
      </c>
      <c r="B2" s="461"/>
      <c r="C2" s="461"/>
      <c r="D2" s="462"/>
    </row>
    <row r="3" spans="1:5" ht="18" customHeight="1" x14ac:dyDescent="0.2">
      <c r="A3" s="294" t="s">
        <v>38</v>
      </c>
      <c r="B3" s="297" t="str">
        <f>IF(ISBLANK('DEM (Strategic Priorities)'!C7),"",'DEM (Strategic Priorities)'!C7)</f>
        <v/>
      </c>
      <c r="C3" s="295"/>
      <c r="D3" s="296"/>
    </row>
    <row r="4" spans="1:5" ht="19.5" customHeight="1" x14ac:dyDescent="0.2">
      <c r="A4" s="437" t="s">
        <v>39</v>
      </c>
      <c r="B4" s="438"/>
      <c r="C4" s="438"/>
      <c r="D4" s="439"/>
    </row>
    <row r="5" spans="1:5" ht="15" customHeight="1" x14ac:dyDescent="0.2">
      <c r="A5" s="74" t="s">
        <v>40</v>
      </c>
      <c r="B5" s="423" t="str">
        <f>IF('Summary (I, II, III) '!B5:D5="Yes","Sí","No")</f>
        <v>Sí</v>
      </c>
      <c r="C5" s="423"/>
      <c r="D5" s="424"/>
    </row>
    <row r="6" spans="1:5" ht="120" customHeight="1" x14ac:dyDescent="0.2">
      <c r="A6" s="75" t="s">
        <v>41</v>
      </c>
      <c r="B6" s="458" t="str">
        <f>'Prioridades Estrategicas'!J11</f>
        <v xml:space="preserve">-Inclusión Social e Igualdad
-Productividad e Innovación
-Equidad de Género y Diversidad
</v>
      </c>
      <c r="C6" s="458"/>
      <c r="D6" s="459"/>
    </row>
    <row r="7" spans="1:5" ht="120" customHeight="1" x14ac:dyDescent="0.2">
      <c r="A7" s="10" t="s">
        <v>42</v>
      </c>
      <c r="B7" s="458" t="str">
        <f>'Prioridades Estrategicas'!K18</f>
        <v xml:space="preserve">-Beneficiarios de programas de capacitación en el trabajo  (#)*
-Micro / pequeñas / medianas empresas financiadas (#)*
-Micro / pequeñas / medianas empresas a las que se les proporciona apoyo no financiero  (#)*
-Agencias gubernamentales beneficiadas por proyectos que fortalecen los instrumentos tecnológicos y de gestión para mejorar la provisión de servicios públicos (#)*
-Maestros capacitados (#)*
</v>
      </c>
      <c r="C7" s="458"/>
      <c r="D7" s="459"/>
    </row>
    <row r="8" spans="1:5" ht="15" customHeight="1" x14ac:dyDescent="0.2">
      <c r="A8" s="74" t="s">
        <v>43</v>
      </c>
      <c r="B8" s="423" t="str">
        <f>IF('Summary (I, II, III) '!B8:D8="Yes","Sí","No")</f>
        <v>Sí</v>
      </c>
      <c r="C8" s="423"/>
      <c r="D8" s="424"/>
    </row>
    <row r="9" spans="1:5" ht="60" customHeight="1" x14ac:dyDescent="0.2">
      <c r="A9" s="10" t="s">
        <v>44</v>
      </c>
      <c r="B9" s="83" t="str">
        <f>IF('DEM (Strategic Priorities)'!D82="Yes",'DEM (Strategic Priorities)'!C82,"")</f>
        <v>GN-2838</v>
      </c>
      <c r="C9" s="435"/>
      <c r="D9" s="436"/>
    </row>
    <row r="10" spans="1:5" ht="60" customHeight="1" x14ac:dyDescent="0.2">
      <c r="A10" s="10" t="s">
        <v>45</v>
      </c>
      <c r="B10" s="83" t="str">
        <f>IF('DEM (Strategic Priorities)'!D85="Yes",'DEM (Strategic Priorities)'!C85,"")</f>
        <v>GN-2915-2</v>
      </c>
      <c r="C10" s="463" t="str">
        <f>IF('DEM (Strategic Priorities)'!D85="Yes","La intervención está incluida en el Programa de Operaciones de 2018.","La intervención no está incluida en el Programa de Operaciones de 2018.")</f>
        <v>La intervención está incluida en el Programa de Operaciones de 2018.</v>
      </c>
      <c r="D10" s="464"/>
    </row>
    <row r="11" spans="1:5" ht="60" customHeight="1" x14ac:dyDescent="0.2">
      <c r="A11" s="10" t="s">
        <v>46</v>
      </c>
      <c r="B11" s="76"/>
      <c r="C11" s="431" t="str">
        <f>IF('DEM (Strategic Priorities)'!D87="Yes",'DEM (Strategic Priorities)'!C87,"")</f>
        <v/>
      </c>
      <c r="D11" s="432"/>
      <c r="E11" s="73">
        <f>E14+E18+E19</f>
        <v>2</v>
      </c>
    </row>
    <row r="12" spans="1:5" ht="22.5" customHeight="1" x14ac:dyDescent="0.2">
      <c r="A12" s="188" t="s">
        <v>10</v>
      </c>
      <c r="B12" s="202"/>
      <c r="C12" s="287" t="str">
        <f>IF(AND(E12=1,C13&gt;=6.95),"Evaluable",IF(AND(E12=1,C13&gt;=5),"Parcialmente Evaluable","No Evaluable"))</f>
        <v>Evaluable</v>
      </c>
      <c r="D12" s="202"/>
      <c r="E12" s="205">
        <f>IF(E11&gt;=2,1,0)</f>
        <v>1</v>
      </c>
    </row>
    <row r="13" spans="1:5" ht="14.25" hidden="1" customHeight="1" x14ac:dyDescent="0.2">
      <c r="A13" s="189"/>
      <c r="B13" s="204"/>
      <c r="C13" s="203">
        <f>AVERAGE(B14,B19)</f>
        <v>9.7532499999999995</v>
      </c>
      <c r="D13" s="190">
        <v>10</v>
      </c>
    </row>
    <row r="14" spans="1:5" ht="15" customHeight="1" x14ac:dyDescent="0.2">
      <c r="A14" s="74" t="s">
        <v>47</v>
      </c>
      <c r="B14" s="428">
        <f>'DEM (Evaluability)'!G11</f>
        <v>9.5064999999999991</v>
      </c>
      <c r="C14" s="429"/>
      <c r="D14" s="430"/>
      <c r="E14" s="73">
        <f>IF(B14&gt;=5,1,0)</f>
        <v>1</v>
      </c>
    </row>
    <row r="15" spans="1:5" ht="15" customHeight="1" x14ac:dyDescent="0.2">
      <c r="A15" s="10" t="s">
        <v>48</v>
      </c>
      <c r="B15" s="425">
        <f>'DEM (Evaluability)'!G12</f>
        <v>3</v>
      </c>
      <c r="C15" s="426"/>
      <c r="D15" s="427"/>
      <c r="E15" s="84"/>
    </row>
    <row r="16" spans="1:5" ht="15" customHeight="1" x14ac:dyDescent="0.2">
      <c r="A16" s="10" t="s">
        <v>49</v>
      </c>
      <c r="B16" s="425">
        <f>'DEM (Evaluability)'!G19</f>
        <v>4</v>
      </c>
      <c r="C16" s="426"/>
      <c r="D16" s="427"/>
      <c r="E16" s="84"/>
    </row>
    <row r="17" spans="1:5" ht="15" customHeight="1" x14ac:dyDescent="0.2">
      <c r="A17" s="10" t="s">
        <v>50</v>
      </c>
      <c r="B17" s="425">
        <f>'DEM (Evaluability)'!G24</f>
        <v>2.5065</v>
      </c>
      <c r="C17" s="426"/>
      <c r="D17" s="427"/>
      <c r="E17" s="84"/>
    </row>
    <row r="18" spans="1:5" ht="15" customHeight="1" x14ac:dyDescent="0.2">
      <c r="A18" s="74" t="s">
        <v>51</v>
      </c>
      <c r="B18" s="428" t="s">
        <v>73</v>
      </c>
      <c r="C18" s="429"/>
      <c r="D18" s="430"/>
    </row>
    <row r="19" spans="1:5" ht="15" customHeight="1" x14ac:dyDescent="0.2">
      <c r="A19" s="74" t="s">
        <v>57</v>
      </c>
      <c r="B19" s="428">
        <f>'DEM (Evaluability)'!G54</f>
        <v>10</v>
      </c>
      <c r="C19" s="429"/>
      <c r="D19" s="430"/>
      <c r="E19" s="73">
        <f>IF(B19&gt;=5,1,0)</f>
        <v>1</v>
      </c>
    </row>
    <row r="20" spans="1:5" ht="15" customHeight="1" x14ac:dyDescent="0.2">
      <c r="A20" s="10" t="s">
        <v>58</v>
      </c>
      <c r="B20" s="425">
        <f>'DEM (Evaluability)'!G55</f>
        <v>2.5</v>
      </c>
      <c r="C20" s="426"/>
      <c r="D20" s="427"/>
    </row>
    <row r="21" spans="1:5" ht="15" customHeight="1" x14ac:dyDescent="0.2">
      <c r="A21" s="10" t="s">
        <v>59</v>
      </c>
      <c r="B21" s="425">
        <f>'DEM (Evaluability)'!G61</f>
        <v>7.5</v>
      </c>
      <c r="C21" s="426"/>
      <c r="D21" s="427"/>
    </row>
    <row r="22" spans="1:5" ht="19.5" customHeight="1" x14ac:dyDescent="0.2">
      <c r="A22" s="437" t="s">
        <v>60</v>
      </c>
      <c r="B22" s="438"/>
      <c r="C22" s="438"/>
      <c r="D22" s="439"/>
    </row>
    <row r="23" spans="1:5" ht="15" customHeight="1" x14ac:dyDescent="0.2">
      <c r="A23" s="77" t="s">
        <v>61</v>
      </c>
      <c r="B23" s="440" t="str">
        <f>IF('Summary (I, II, III) '!B28:D28="LOW","Bajo",IF('Summary (I, II, III) '!B28:D28="MEDIUM","Medio",IF('Summary (I, II, III) '!B28:D28="HIGH","Alto","Specify risk rate on risk tab")))</f>
        <v>Bajo</v>
      </c>
      <c r="C23" s="440"/>
      <c r="D23" s="441"/>
    </row>
    <row r="24" spans="1:5" x14ac:dyDescent="0.2">
      <c r="A24" s="78" t="s">
        <v>62</v>
      </c>
      <c r="B24" s="444" t="str">
        <f>IF(AND('DEM ( Risk)'!D15="yes", 'DEM ( Risk)'!D16="yes"), "Sí", "")</f>
        <v>Sí</v>
      </c>
      <c r="C24" s="468"/>
      <c r="D24" s="469"/>
    </row>
    <row r="25" spans="1:5" x14ac:dyDescent="0.2">
      <c r="A25" s="78" t="s">
        <v>63</v>
      </c>
      <c r="B25" s="444" t="str">
        <f>IF('DEM ( Risk)'!D18="yes", "Sí", "")</f>
        <v>Sí</v>
      </c>
      <c r="C25" s="468"/>
      <c r="D25" s="469"/>
    </row>
    <row r="26" spans="1:5" ht="25.5" x14ac:dyDescent="0.2">
      <c r="A26" s="78" t="s">
        <v>64</v>
      </c>
      <c r="B26" s="444" t="str">
        <f>IF('DEM ( Risk)'!D19="yes", "Sí", "")</f>
        <v>Sí</v>
      </c>
      <c r="C26" s="468"/>
      <c r="D26" s="469"/>
    </row>
    <row r="27" spans="1:5" ht="15" customHeight="1" x14ac:dyDescent="0.2">
      <c r="A27" s="77" t="s">
        <v>65</v>
      </c>
      <c r="B27" s="440" t="str">
        <f>'Summary (I, II, III) '!B32:D32</f>
        <v>C</v>
      </c>
      <c r="C27" s="440"/>
      <c r="D27" s="441"/>
    </row>
    <row r="28" spans="1:5" ht="19.5" customHeight="1" x14ac:dyDescent="0.2">
      <c r="A28" s="465" t="s">
        <v>66</v>
      </c>
      <c r="B28" s="466"/>
      <c r="C28" s="466"/>
      <c r="D28" s="467"/>
    </row>
    <row r="29" spans="1:5" ht="15.75" customHeight="1" x14ac:dyDescent="0.2">
      <c r="A29" s="10" t="s">
        <v>67</v>
      </c>
      <c r="B29" s="79"/>
      <c r="C29" s="470"/>
      <c r="D29" s="471"/>
    </row>
    <row r="30" spans="1:5" ht="71.099999999999994" customHeight="1" x14ac:dyDescent="0.2">
      <c r="A30" s="80" t="s">
        <v>68</v>
      </c>
      <c r="B30" s="191" t="str">
        <f>IF('DEM (Additionality)'!E13="yes", "Sí", "")</f>
        <v>Sí</v>
      </c>
      <c r="C30" s="472" t="str">
        <f>Adicionalidad!M14</f>
        <v>Administración financiera: Presupuesto.
Adquisiciones y contrataciones: Sistema de información, Método de comparación de precios.</v>
      </c>
      <c r="D30" s="473"/>
    </row>
    <row r="31" spans="1:5" ht="71.099999999999994" customHeight="1" x14ac:dyDescent="0.2">
      <c r="A31" s="80" t="s">
        <v>69</v>
      </c>
      <c r="B31" s="191" t="str">
        <f>IF('DEM (Additionality)'!E27="yes", "Sí", "")</f>
        <v/>
      </c>
      <c r="C31" s="474" t="str">
        <f>Adicionalidad!L28</f>
        <v/>
      </c>
      <c r="D31" s="475"/>
    </row>
    <row r="32" spans="1:5" ht="44.25" customHeight="1" x14ac:dyDescent="0.2">
      <c r="A32" s="10" t="s">
        <v>70</v>
      </c>
      <c r="B32" s="79"/>
      <c r="C32" s="474"/>
      <c r="D32" s="475"/>
    </row>
    <row r="33" spans="1:4" ht="80.45" customHeight="1" thickBot="1" x14ac:dyDescent="0.25">
      <c r="A33" s="10" t="s">
        <v>71</v>
      </c>
      <c r="B33" s="191" t="str">
        <f>IF('DEM (Additionality)'!E35="yes", "Sí", "")</f>
        <v/>
      </c>
      <c r="C33" s="476" t="str">
        <f>IF('DEM (Additionality)'!E35="Yes",'DEM (Additionality)'!C35,"")</f>
        <v/>
      </c>
      <c r="D33" s="477"/>
    </row>
    <row r="34" spans="1:4" ht="24.75" customHeight="1" x14ac:dyDescent="0.2">
      <c r="A34" s="478" t="s">
        <v>72</v>
      </c>
      <c r="B34" s="478"/>
      <c r="C34" s="478"/>
      <c r="D34" s="478"/>
    </row>
    <row r="35" spans="1:4" x14ac:dyDescent="0.2">
      <c r="A35" s="3"/>
      <c r="B35" s="82"/>
      <c r="C35" s="82"/>
    </row>
    <row r="36" spans="1:4" ht="300" customHeight="1" x14ac:dyDescent="0.2">
      <c r="A36" s="448" t="s">
        <v>75</v>
      </c>
      <c r="B36" s="449"/>
      <c r="C36" s="449"/>
      <c r="D36" s="449"/>
    </row>
    <row r="37" spans="1:4" x14ac:dyDescent="0.2">
      <c r="A37" s="395"/>
      <c r="B37" s="395"/>
      <c r="C37" s="395"/>
      <c r="D37" s="395"/>
    </row>
  </sheetData>
  <sheetProtection algorithmName="SHA-512" hashValue="DTSVCpruL5Sr2Y722nu4r40sofSom2CF0+Qmx1ASYV2aA2GAVxcARfB/vs3hMYgMez7e06KHakSwc5Ndla88HQ==" saltValue="qkIl6/ATBO2dCZIVRMlnag==" spinCount="100000" sheet="1" objects="1" scenarios="1"/>
  <mergeCells count="32">
    <mergeCell ref="A36:D36"/>
    <mergeCell ref="A37:D37"/>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4:D4"/>
    <mergeCell ref="B5:D5"/>
    <mergeCell ref="B6:D6"/>
  </mergeCells>
  <pageMargins left="0.7" right="0.7" top="0.75" bottom="0.75" header="0.3" footer="0.3"/>
  <pageSetup scale="47" orientation="portrait" r:id="rId1"/>
  <headerFooter>
    <oddHeader>&amp;RAnexo I - [NUMERO DE PROYECTO]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2:R87"/>
  <sheetViews>
    <sheetView topLeftCell="C16" zoomScale="69" zoomScaleNormal="69" workbookViewId="0">
      <selection activeCell="C83" sqref="C83"/>
    </sheetView>
  </sheetViews>
  <sheetFormatPr defaultColWidth="9.140625" defaultRowHeight="12.75" outlineLevelRow="1" x14ac:dyDescent="0.2"/>
  <cols>
    <col min="1" max="1" width="0.28515625" style="2" customWidth="1"/>
    <col min="2" max="2" width="107.28515625" style="3" customWidth="1"/>
    <col min="3" max="3" width="34.140625" style="2" customWidth="1"/>
    <col min="4" max="4" width="27.42578125" style="15" customWidth="1"/>
    <col min="5" max="5" width="40.42578125" style="15" customWidth="1"/>
    <col min="6" max="6" width="9.85546875" style="85" hidden="1" customWidth="1"/>
    <col min="7" max="7" width="10.42578125" style="85" hidden="1" customWidth="1"/>
    <col min="8" max="8" width="10.85546875" style="85" hidden="1" customWidth="1"/>
    <col min="9" max="9" width="10" style="85" hidden="1" customWidth="1"/>
    <col min="10" max="10" width="20.140625" style="85" hidden="1" customWidth="1"/>
    <col min="11" max="11" width="8.7109375" style="85" hidden="1" customWidth="1"/>
    <col min="12" max="12" width="51.28515625" style="266" customWidth="1"/>
    <col min="13" max="13" width="52.140625" style="266" customWidth="1"/>
    <col min="14" max="14" width="28.7109375" style="266" customWidth="1"/>
    <col min="15" max="18" width="9.140625" style="37"/>
    <col min="19" max="16384" width="9.140625" style="2"/>
  </cols>
  <sheetData>
    <row r="2" spans="1:14" ht="18" x14ac:dyDescent="0.2">
      <c r="B2" s="481" t="s">
        <v>76</v>
      </c>
      <c r="C2" s="481"/>
      <c r="D2" s="481"/>
      <c r="E2" s="306"/>
    </row>
    <row r="3" spans="1:14" ht="20.25" customHeight="1" thickBot="1" x14ac:dyDescent="0.25">
      <c r="B3" s="481" t="s">
        <v>77</v>
      </c>
      <c r="C3" s="481"/>
      <c r="D3" s="481"/>
      <c r="E3" s="306"/>
    </row>
    <row r="4" spans="1:14" ht="18" x14ac:dyDescent="0.2">
      <c r="A4" s="482" t="s">
        <v>78</v>
      </c>
      <c r="B4" s="483"/>
      <c r="C4" s="483"/>
      <c r="D4" s="483"/>
      <c r="E4" s="484"/>
    </row>
    <row r="5" spans="1:14" ht="34.5" customHeight="1" x14ac:dyDescent="0.2">
      <c r="A5" s="16"/>
      <c r="B5" s="374" t="s">
        <v>79</v>
      </c>
      <c r="C5" s="374"/>
      <c r="D5" s="374"/>
      <c r="E5" s="485"/>
    </row>
    <row r="6" spans="1:14" ht="162.75" customHeight="1" thickBot="1" x14ac:dyDescent="0.25">
      <c r="A6" s="21"/>
      <c r="B6" s="486" t="s">
        <v>80</v>
      </c>
      <c r="C6" s="486"/>
      <c r="D6" s="486"/>
      <c r="E6" s="487"/>
    </row>
    <row r="7" spans="1:14" ht="27" customHeight="1" thickBot="1" x14ac:dyDescent="0.25">
      <c r="B7" s="299" t="s">
        <v>81</v>
      </c>
      <c r="C7" s="298"/>
      <c r="D7" s="260"/>
      <c r="E7" s="260"/>
    </row>
    <row r="8" spans="1:14" ht="15" x14ac:dyDescent="0.2">
      <c r="B8" s="28" t="s">
        <v>82</v>
      </c>
      <c r="C8" s="307" t="s">
        <v>83</v>
      </c>
      <c r="D8" s="307" t="s">
        <v>84</v>
      </c>
      <c r="E8" s="307" t="s">
        <v>84</v>
      </c>
      <c r="F8" s="180"/>
      <c r="G8" s="180"/>
      <c r="H8" s="180"/>
      <c r="I8" s="180"/>
      <c r="J8" s="180"/>
      <c r="K8" s="183"/>
      <c r="L8" s="479" t="s">
        <v>85</v>
      </c>
      <c r="M8" s="480"/>
      <c r="N8" s="480"/>
    </row>
    <row r="9" spans="1:14" ht="15.75" customHeight="1" x14ac:dyDescent="0.2">
      <c r="B9" s="86" t="s">
        <v>86</v>
      </c>
      <c r="C9" s="148"/>
      <c r="D9" s="148"/>
      <c r="E9" s="148"/>
      <c r="F9" s="178"/>
      <c r="G9" s="178"/>
      <c r="H9" s="178"/>
      <c r="I9" s="178"/>
      <c r="J9" s="178"/>
      <c r="K9" s="184"/>
      <c r="L9" s="285" t="s">
        <v>87</v>
      </c>
      <c r="M9" s="286" t="s">
        <v>88</v>
      </c>
      <c r="N9" s="286" t="s">
        <v>89</v>
      </c>
    </row>
    <row r="10" spans="1:14" ht="15.75" customHeight="1" x14ac:dyDescent="0.2">
      <c r="B10" s="13" t="s">
        <v>90</v>
      </c>
      <c r="C10" s="46"/>
      <c r="D10" s="64" t="s">
        <v>91</v>
      </c>
      <c r="E10" s="64"/>
      <c r="F10" s="179"/>
      <c r="G10" s="179"/>
      <c r="H10" s="179"/>
      <c r="I10" s="179"/>
      <c r="J10" s="179"/>
      <c r="K10" s="185"/>
      <c r="L10" s="288"/>
      <c r="M10" s="289"/>
      <c r="N10" s="289"/>
    </row>
    <row r="11" spans="1:14" ht="33" customHeight="1" x14ac:dyDescent="0.2">
      <c r="B11" s="8" t="s">
        <v>92</v>
      </c>
      <c r="C11" s="323"/>
      <c r="D11" s="144" t="s">
        <v>93</v>
      </c>
      <c r="E11" s="146"/>
      <c r="F11" s="179">
        <f>IF(D11="Yes",1,0)</f>
        <v>1</v>
      </c>
      <c r="G11" s="179" t="str">
        <f>IF(F11&lt;&gt;0,B11,"")</f>
        <v>Social Inclusion and Equality</v>
      </c>
      <c r="H11" s="179" t="str">
        <f>IF(G11&lt;&gt;"","-","")</f>
        <v>-</v>
      </c>
      <c r="I11" s="179" t="str">
        <f>IF(G11&lt;&gt;"",CONCATENATE(H11,G11,CHAR(10)),"")</f>
        <v xml:space="preserve">-Social Inclusion and Equality
</v>
      </c>
      <c r="J11" s="179" t="str">
        <f>CONCATENATE(I11,I12,I13,I15,I18,I21)</f>
        <v xml:space="preserve">-Social Inclusion and Equality
-Productivity and Innovation
-Gender Equality and Diversity
</v>
      </c>
      <c r="K11" s="185"/>
      <c r="L11" s="269"/>
      <c r="M11" s="270"/>
      <c r="N11" s="270"/>
    </row>
    <row r="12" spans="1:14" ht="64.5" customHeight="1" outlineLevel="1" x14ac:dyDescent="0.2">
      <c r="B12" s="8" t="s">
        <v>94</v>
      </c>
      <c r="C12" s="145" t="s">
        <v>95</v>
      </c>
      <c r="D12" s="144" t="s">
        <v>93</v>
      </c>
      <c r="E12" s="146"/>
      <c r="F12" s="179">
        <f t="shared" ref="F12:F13" si="0">IF(D12="Yes",1,0)</f>
        <v>1</v>
      </c>
      <c r="G12" s="179" t="str">
        <f>IF(F12&lt;&gt;0,B12,"")</f>
        <v>Productivity and Innovation</v>
      </c>
      <c r="H12" s="179" t="str">
        <f>IF(G12&lt;&gt;"","-","")</f>
        <v>-</v>
      </c>
      <c r="I12" s="179" t="str">
        <f>IF(G12&lt;&gt;"",CONCATENATE(H12,G12,CHAR(10)),"")</f>
        <v xml:space="preserve">-Productivity and Innovation
</v>
      </c>
      <c r="J12" s="179"/>
      <c r="K12" s="185"/>
      <c r="L12" s="269"/>
      <c r="M12" s="270"/>
      <c r="N12" s="270"/>
    </row>
    <row r="13" spans="1:14" x14ac:dyDescent="0.2">
      <c r="B13" s="8" t="s">
        <v>96</v>
      </c>
      <c r="C13" s="145"/>
      <c r="D13" s="144"/>
      <c r="E13" s="146"/>
      <c r="F13" s="179">
        <f t="shared" si="0"/>
        <v>0</v>
      </c>
      <c r="G13" s="179" t="str">
        <f>IF(F13&lt;&gt;0,B13,"")</f>
        <v/>
      </c>
      <c r="H13" s="179" t="str">
        <f>IF(G13&lt;&gt;"","-","")</f>
        <v/>
      </c>
      <c r="I13" s="179" t="str">
        <f>IF(G13&lt;&gt;"",CONCATENATE(H13,G13,CHAR(10)),"")</f>
        <v/>
      </c>
      <c r="J13" s="179"/>
      <c r="K13" s="185"/>
      <c r="L13" s="269"/>
      <c r="M13" s="270"/>
      <c r="N13" s="270"/>
    </row>
    <row r="14" spans="1:14" ht="15.75" customHeight="1" x14ac:dyDescent="0.2">
      <c r="B14" s="13" t="s">
        <v>97</v>
      </c>
      <c r="C14" s="46"/>
      <c r="D14" s="64" t="s">
        <v>91</v>
      </c>
      <c r="E14" s="64"/>
      <c r="F14" s="179"/>
      <c r="G14" s="179"/>
      <c r="H14" s="179"/>
      <c r="I14" s="179"/>
      <c r="J14" s="179"/>
      <c r="K14" s="185"/>
      <c r="L14" s="288"/>
      <c r="M14" s="289"/>
      <c r="N14" s="289"/>
    </row>
    <row r="15" spans="1:14" ht="15.75" customHeight="1" x14ac:dyDescent="0.2">
      <c r="B15" s="8" t="s">
        <v>98</v>
      </c>
      <c r="C15" s="7"/>
      <c r="D15" s="193" t="str">
        <f>IF(OR(D16="Yes",D17="Yes"),"Yes","")</f>
        <v>Yes</v>
      </c>
      <c r="E15" s="146"/>
      <c r="F15" s="179">
        <f t="shared" ref="F15" si="1">IF(D15="Yes",1,0)</f>
        <v>1</v>
      </c>
      <c r="G15" s="179" t="str">
        <f t="shared" ref="G15" si="2">IF(F15&lt;&gt;0,B15,"")</f>
        <v>Gender Equality and Diversity</v>
      </c>
      <c r="H15" s="179" t="str">
        <f t="shared" ref="H15" si="3">IF(G15&lt;&gt;"","-","")</f>
        <v>-</v>
      </c>
      <c r="I15" s="179" t="str">
        <f t="shared" ref="I15" si="4">IF(G15&lt;&gt;"",CONCATENATE(H15,G15,CHAR(10)),"")</f>
        <v xml:space="preserve">-Gender Equality and Diversity
</v>
      </c>
      <c r="J15" s="179"/>
      <c r="K15" s="185"/>
      <c r="L15" s="269"/>
      <c r="M15" s="270"/>
      <c r="N15" s="270"/>
    </row>
    <row r="16" spans="1:14" x14ac:dyDescent="0.2">
      <c r="B16" s="10" t="s">
        <v>99</v>
      </c>
      <c r="C16" s="192"/>
      <c r="D16" s="56" t="s">
        <v>93</v>
      </c>
      <c r="E16" s="146"/>
      <c r="F16" s="179"/>
      <c r="G16" s="179"/>
      <c r="H16" s="179"/>
      <c r="I16" s="179"/>
      <c r="J16" s="179"/>
      <c r="K16" s="185"/>
      <c r="L16" s="269"/>
      <c r="M16" s="270"/>
      <c r="N16" s="270"/>
    </row>
    <row r="17" spans="2:14" x14ac:dyDescent="0.2">
      <c r="B17" s="10" t="s">
        <v>100</v>
      </c>
      <c r="C17" s="192"/>
      <c r="D17" s="56"/>
      <c r="E17" s="146"/>
      <c r="F17" s="179"/>
      <c r="G17" s="179"/>
      <c r="H17" s="179"/>
      <c r="I17" s="179"/>
      <c r="J17" s="179"/>
      <c r="K17" s="185"/>
      <c r="L17" s="269"/>
      <c r="M17" s="270"/>
      <c r="N17" s="270"/>
    </row>
    <row r="18" spans="2:14" ht="15.75" customHeight="1" x14ac:dyDescent="0.2">
      <c r="B18" s="8" t="s">
        <v>101</v>
      </c>
      <c r="C18" s="7"/>
      <c r="D18" s="193" t="str">
        <f>IF(OR(D19="Yes",D20="Yes"),"Yes","")</f>
        <v/>
      </c>
      <c r="E18" s="146"/>
      <c r="F18" s="179">
        <f t="shared" ref="F18:F21" si="5">IF(D18="Yes",1,0)</f>
        <v>0</v>
      </c>
      <c r="G18" s="179" t="str">
        <f t="shared" ref="G18:G21" si="6">IF(F18&lt;&gt;0,B18,"")</f>
        <v/>
      </c>
      <c r="H18" s="179" t="str">
        <f t="shared" ref="H18:H21" si="7">IF(G18&lt;&gt;"","-","")</f>
        <v/>
      </c>
      <c r="I18" s="179" t="str">
        <f t="shared" ref="I18:I21" si="8">IF(G18&lt;&gt;"",CONCATENATE(H18,G18,CHAR(10)),"")</f>
        <v/>
      </c>
      <c r="J18" s="179"/>
      <c r="K18" s="185"/>
      <c r="L18" s="269"/>
      <c r="M18" s="270"/>
      <c r="N18" s="270"/>
    </row>
    <row r="19" spans="2:14" x14ac:dyDescent="0.2">
      <c r="B19" s="10" t="s">
        <v>102</v>
      </c>
      <c r="C19" s="192"/>
      <c r="D19" s="56"/>
      <c r="E19" s="146"/>
      <c r="F19" s="179"/>
      <c r="G19" s="179"/>
      <c r="H19" s="179"/>
      <c r="I19" s="179"/>
      <c r="J19" s="179"/>
      <c r="K19" s="185"/>
      <c r="L19" s="269"/>
      <c r="M19" s="270"/>
      <c r="N19" s="270"/>
    </row>
    <row r="20" spans="2:14" x14ac:dyDescent="0.2">
      <c r="B20" s="10" t="s">
        <v>103</v>
      </c>
      <c r="C20" s="192"/>
      <c r="D20" s="56"/>
      <c r="E20" s="146"/>
      <c r="F20" s="179"/>
      <c r="G20" s="179"/>
      <c r="H20" s="179"/>
      <c r="I20" s="179"/>
      <c r="J20" s="179"/>
      <c r="K20" s="185"/>
      <c r="L20" s="269"/>
      <c r="M20" s="270"/>
      <c r="N20" s="270"/>
    </row>
    <row r="21" spans="2:14" outlineLevel="1" x14ac:dyDescent="0.2">
      <c r="B21" s="8" t="s">
        <v>104</v>
      </c>
      <c r="C21" s="145"/>
      <c r="D21" s="324"/>
      <c r="E21" s="146"/>
      <c r="F21" s="179">
        <f t="shared" si="5"/>
        <v>0</v>
      </c>
      <c r="G21" s="179" t="str">
        <f t="shared" si="6"/>
        <v/>
      </c>
      <c r="H21" s="179" t="str">
        <f t="shared" si="7"/>
        <v/>
      </c>
      <c r="I21" s="179" t="str">
        <f t="shared" si="8"/>
        <v/>
      </c>
      <c r="J21" s="179"/>
      <c r="K21" s="185"/>
      <c r="L21" s="269"/>
      <c r="M21" s="270"/>
      <c r="N21" s="270"/>
    </row>
    <row r="22" spans="2:14" ht="15.75" customHeight="1" x14ac:dyDescent="0.2">
      <c r="B22" s="13" t="s">
        <v>105</v>
      </c>
      <c r="C22" s="63"/>
      <c r="D22" s="64" t="s">
        <v>106</v>
      </c>
      <c r="E22" s="64" t="s">
        <v>107</v>
      </c>
      <c r="F22" s="179"/>
      <c r="G22" s="179"/>
      <c r="H22" s="179"/>
      <c r="I22" s="179"/>
      <c r="J22" s="179"/>
      <c r="K22" s="185" t="str">
        <f>CONCATENATE(J23,J24,J25,J26,J27,J28,J29,J30,J31,J32,J33,J34,J35,J36,J37,J38,J39,J40,J41,J42,J43,J44,J45,J46,J47,J48,J49,J50,J51,J52,J53,J54,J55,J56,J57,J58,J59,J60,J61,J62,J63,J64,J65,J66,J67,J68,J69,J70,J71,J72,J73,J74,J75,J76,J77,J78)</f>
        <v xml:space="preserve">-Beneficiaries of on-the-job training programs (#)*
-Micro / small / medium enterprises financed (#)*
-Micro / small / medium enterprises provided with non-financial support (#)*
-Government agencies benefited by projects that strengthen technological and managerial tools to improve public service delivery (#)*
-Teachers trained (#)*
</v>
      </c>
      <c r="L22" s="288"/>
      <c r="M22" s="289"/>
      <c r="N22" s="289"/>
    </row>
    <row r="23" spans="2:14" outlineLevel="1" x14ac:dyDescent="0.2">
      <c r="B23" s="10" t="s">
        <v>108</v>
      </c>
      <c r="C23" s="36"/>
      <c r="D23" s="36"/>
      <c r="E23" s="116"/>
      <c r="F23" s="179">
        <f t="shared" ref="F23:F29" si="9">IF(D23="Yes",1,0)</f>
        <v>0</v>
      </c>
      <c r="G23" s="179" t="str">
        <f>IF(F23=1,B23,"")</f>
        <v/>
      </c>
      <c r="H23" s="179" t="str">
        <f t="shared" ref="H23:H78" si="10">IF(G23&lt;&gt;"","-","")</f>
        <v/>
      </c>
      <c r="I23" s="179" t="str">
        <f>IF(E23="Yes","*","")</f>
        <v/>
      </c>
      <c r="J23" s="179" t="str">
        <f t="shared" ref="J23:J26" si="11">IF(G23&lt;&gt;"",CONCATENATE(H23,G23,I23,CHAR(10)),"")</f>
        <v/>
      </c>
      <c r="K23" s="185"/>
      <c r="L23" s="269"/>
      <c r="M23" s="270"/>
      <c r="N23" s="270"/>
    </row>
    <row r="24" spans="2:14" outlineLevel="1" x14ac:dyDescent="0.2">
      <c r="B24" s="10" t="s">
        <v>109</v>
      </c>
      <c r="C24" s="36"/>
      <c r="D24" s="36"/>
      <c r="E24" s="116"/>
      <c r="F24" s="179">
        <f t="shared" si="9"/>
        <v>0</v>
      </c>
      <c r="G24" s="179" t="str">
        <f t="shared" ref="G24:G78" si="12">IF(F24=1,B24,"")</f>
        <v/>
      </c>
      <c r="H24" s="179" t="str">
        <f t="shared" si="10"/>
        <v/>
      </c>
      <c r="I24" s="179" t="str">
        <f t="shared" ref="I24:I78" si="13">IF(E24="Yes","*","")</f>
        <v/>
      </c>
      <c r="J24" s="179" t="str">
        <f t="shared" si="11"/>
        <v/>
      </c>
      <c r="K24" s="185"/>
      <c r="L24" s="269"/>
      <c r="M24" s="270"/>
      <c r="N24" s="270"/>
    </row>
    <row r="25" spans="2:14" outlineLevel="1" x14ac:dyDescent="0.2">
      <c r="B25" s="10" t="s">
        <v>110</v>
      </c>
      <c r="C25" s="36"/>
      <c r="D25" s="116"/>
      <c r="E25" s="36"/>
      <c r="F25" s="179">
        <f>IF(E25="Yes",1,0)</f>
        <v>0</v>
      </c>
      <c r="G25" s="179" t="str">
        <f t="shared" si="12"/>
        <v/>
      </c>
      <c r="H25" s="179" t="str">
        <f t="shared" si="10"/>
        <v/>
      </c>
      <c r="I25" s="179" t="str">
        <f t="shared" si="13"/>
        <v/>
      </c>
      <c r="J25" s="179" t="str">
        <f t="shared" si="11"/>
        <v/>
      </c>
      <c r="K25" s="185"/>
      <c r="L25" s="269"/>
      <c r="M25" s="270"/>
      <c r="N25" s="270"/>
    </row>
    <row r="26" spans="2:14" outlineLevel="1" x14ac:dyDescent="0.2">
      <c r="B26" s="10" t="s">
        <v>111</v>
      </c>
      <c r="C26" s="36"/>
      <c r="D26" s="116"/>
      <c r="E26" s="36"/>
      <c r="F26" s="179">
        <f t="shared" ref="F26:F27" si="14">IF(E26="Yes",1,0)</f>
        <v>0</v>
      </c>
      <c r="G26" s="179" t="str">
        <f t="shared" si="12"/>
        <v/>
      </c>
      <c r="H26" s="179" t="str">
        <f t="shared" si="10"/>
        <v/>
      </c>
      <c r="I26" s="179" t="str">
        <f t="shared" si="13"/>
        <v/>
      </c>
      <c r="J26" s="179" t="str">
        <f t="shared" si="11"/>
        <v/>
      </c>
      <c r="K26" s="185"/>
      <c r="L26" s="269"/>
      <c r="M26" s="270"/>
      <c r="N26" s="270"/>
    </row>
    <row r="27" spans="2:14" outlineLevel="1" x14ac:dyDescent="0.2">
      <c r="B27" s="10" t="s">
        <v>112</v>
      </c>
      <c r="C27" s="36"/>
      <c r="D27" s="116"/>
      <c r="E27" s="36"/>
      <c r="F27" s="179">
        <f t="shared" si="14"/>
        <v>0</v>
      </c>
      <c r="G27" s="179" t="str">
        <f t="shared" si="12"/>
        <v/>
      </c>
      <c r="H27" s="179" t="str">
        <f t="shared" si="10"/>
        <v/>
      </c>
      <c r="I27" s="179" t="str">
        <f t="shared" si="13"/>
        <v/>
      </c>
      <c r="J27" s="179" t="str">
        <f>IF(G27&lt;&gt;"",CONCATENATE(H27,G27,I27,CHAR(10)),"")</f>
        <v/>
      </c>
      <c r="K27" s="185"/>
      <c r="L27" s="269"/>
      <c r="M27" s="270"/>
      <c r="N27" s="270"/>
    </row>
    <row r="28" spans="2:14" outlineLevel="1" x14ac:dyDescent="0.2">
      <c r="B28" s="10" t="s">
        <v>113</v>
      </c>
      <c r="C28" s="36"/>
      <c r="D28" s="36"/>
      <c r="E28" s="116"/>
      <c r="F28" s="179">
        <f t="shared" si="9"/>
        <v>0</v>
      </c>
      <c r="G28" s="179" t="str">
        <f t="shared" si="12"/>
        <v/>
      </c>
      <c r="H28" s="179" t="str">
        <f t="shared" si="10"/>
        <v/>
      </c>
      <c r="I28" s="179" t="str">
        <f t="shared" si="13"/>
        <v/>
      </c>
      <c r="J28" s="179" t="str">
        <f t="shared" ref="J28:J78" si="15">IF(G28&lt;&gt;"",CONCATENATE(H28,G28,I28,CHAR(10)),"")</f>
        <v/>
      </c>
      <c r="K28" s="185"/>
      <c r="L28" s="269"/>
      <c r="M28" s="270"/>
      <c r="N28" s="270"/>
    </row>
    <row r="29" spans="2:14" outlineLevel="1" x14ac:dyDescent="0.2">
      <c r="B29" s="10" t="s">
        <v>114</v>
      </c>
      <c r="C29" s="36"/>
      <c r="D29" s="36"/>
      <c r="E29" s="116"/>
      <c r="F29" s="179">
        <f t="shared" si="9"/>
        <v>0</v>
      </c>
      <c r="G29" s="179" t="str">
        <f t="shared" si="12"/>
        <v/>
      </c>
      <c r="H29" s="179" t="str">
        <f t="shared" si="10"/>
        <v/>
      </c>
      <c r="I29" s="179" t="str">
        <f t="shared" si="13"/>
        <v/>
      </c>
      <c r="J29" s="179" t="str">
        <f t="shared" si="15"/>
        <v/>
      </c>
      <c r="K29" s="185"/>
      <c r="L29" s="269"/>
      <c r="M29" s="270"/>
      <c r="N29" s="270"/>
    </row>
    <row r="30" spans="2:14" outlineLevel="1" x14ac:dyDescent="0.2">
      <c r="B30" s="10" t="s">
        <v>115</v>
      </c>
      <c r="C30" s="36"/>
      <c r="D30" s="116"/>
      <c r="E30" s="36"/>
      <c r="F30" s="179">
        <f t="shared" ref="F30:F78" si="16">IF(E30="Yes",1,0)</f>
        <v>0</v>
      </c>
      <c r="G30" s="179" t="str">
        <f t="shared" si="12"/>
        <v/>
      </c>
      <c r="H30" s="179" t="str">
        <f t="shared" si="10"/>
        <v/>
      </c>
      <c r="I30" s="179" t="str">
        <f t="shared" si="13"/>
        <v/>
      </c>
      <c r="J30" s="179" t="str">
        <f t="shared" si="15"/>
        <v/>
      </c>
      <c r="K30" s="185"/>
      <c r="L30" s="269"/>
      <c r="M30" s="270"/>
      <c r="N30" s="270"/>
    </row>
    <row r="31" spans="2:14" outlineLevel="1" x14ac:dyDescent="0.2">
      <c r="B31" s="10" t="s">
        <v>116</v>
      </c>
      <c r="C31" s="36"/>
      <c r="D31" s="116"/>
      <c r="E31" s="36"/>
      <c r="F31" s="179">
        <f t="shared" si="16"/>
        <v>0</v>
      </c>
      <c r="G31" s="179" t="str">
        <f t="shared" si="12"/>
        <v/>
      </c>
      <c r="H31" s="179" t="str">
        <f t="shared" si="10"/>
        <v/>
      </c>
      <c r="I31" s="179" t="str">
        <f t="shared" si="13"/>
        <v/>
      </c>
      <c r="J31" s="179" t="str">
        <f t="shared" si="15"/>
        <v/>
      </c>
      <c r="K31" s="185"/>
      <c r="L31" s="269"/>
      <c r="M31" s="270"/>
      <c r="N31" s="270"/>
    </row>
    <row r="32" spans="2:14" outlineLevel="1" x14ac:dyDescent="0.2">
      <c r="B32" s="10" t="s">
        <v>117</v>
      </c>
      <c r="C32" s="36"/>
      <c r="D32" s="116"/>
      <c r="E32" s="36"/>
      <c r="F32" s="179">
        <f t="shared" si="16"/>
        <v>0</v>
      </c>
      <c r="G32" s="179" t="str">
        <f t="shared" si="12"/>
        <v/>
      </c>
      <c r="H32" s="179" t="str">
        <f t="shared" si="10"/>
        <v/>
      </c>
      <c r="I32" s="179" t="str">
        <f t="shared" si="13"/>
        <v/>
      </c>
      <c r="J32" s="179" t="str">
        <f t="shared" si="15"/>
        <v/>
      </c>
      <c r="K32" s="185"/>
      <c r="L32" s="269"/>
      <c r="M32" s="270"/>
      <c r="N32" s="270"/>
    </row>
    <row r="33" spans="2:14" outlineLevel="1" x14ac:dyDescent="0.2">
      <c r="B33" s="10" t="s">
        <v>118</v>
      </c>
      <c r="C33" s="36"/>
      <c r="D33" s="116"/>
      <c r="E33" s="36"/>
      <c r="F33" s="179">
        <f t="shared" si="16"/>
        <v>0</v>
      </c>
      <c r="G33" s="179" t="str">
        <f t="shared" si="12"/>
        <v/>
      </c>
      <c r="H33" s="179" t="str">
        <f t="shared" si="10"/>
        <v/>
      </c>
      <c r="I33" s="179" t="str">
        <f t="shared" si="13"/>
        <v/>
      </c>
      <c r="J33" s="179" t="str">
        <f t="shared" si="15"/>
        <v/>
      </c>
      <c r="K33" s="185"/>
      <c r="L33" s="269"/>
      <c r="M33" s="270"/>
      <c r="N33" s="270"/>
    </row>
    <row r="34" spans="2:14" outlineLevel="1" x14ac:dyDescent="0.2">
      <c r="B34" s="10" t="s">
        <v>119</v>
      </c>
      <c r="C34" s="36"/>
      <c r="D34" s="116"/>
      <c r="E34" s="36"/>
      <c r="F34" s="179">
        <f t="shared" si="16"/>
        <v>0</v>
      </c>
      <c r="G34" s="179" t="str">
        <f t="shared" si="12"/>
        <v/>
      </c>
      <c r="H34" s="179" t="str">
        <f t="shared" si="10"/>
        <v/>
      </c>
      <c r="I34" s="179" t="str">
        <f t="shared" si="13"/>
        <v/>
      </c>
      <c r="J34" s="179" t="str">
        <f t="shared" si="15"/>
        <v/>
      </c>
      <c r="K34" s="185"/>
      <c r="L34" s="269"/>
      <c r="M34" s="270"/>
      <c r="N34" s="270"/>
    </row>
    <row r="35" spans="2:14" outlineLevel="1" x14ac:dyDescent="0.2">
      <c r="B35" s="10" t="s">
        <v>120</v>
      </c>
      <c r="C35" s="197" t="s">
        <v>492</v>
      </c>
      <c r="D35" s="116"/>
      <c r="E35" s="310" t="s">
        <v>93</v>
      </c>
      <c r="F35" s="179">
        <f t="shared" si="16"/>
        <v>1</v>
      </c>
      <c r="G35" s="179" t="str">
        <f t="shared" si="12"/>
        <v>Beneficiaries of on-the-job training programs (#)</v>
      </c>
      <c r="H35" s="179" t="str">
        <f t="shared" si="10"/>
        <v>-</v>
      </c>
      <c r="I35" s="179" t="str">
        <f t="shared" si="13"/>
        <v>*</v>
      </c>
      <c r="J35" s="179" t="str">
        <f t="shared" si="15"/>
        <v xml:space="preserve">-Beneficiaries of on-the-job training programs (#)*
</v>
      </c>
      <c r="K35" s="185"/>
      <c r="L35" s="269"/>
      <c r="M35" s="37"/>
      <c r="N35" s="270"/>
    </row>
    <row r="36" spans="2:14" outlineLevel="1" x14ac:dyDescent="0.2">
      <c r="B36" s="10" t="s">
        <v>121</v>
      </c>
      <c r="C36" s="36"/>
      <c r="D36" s="116"/>
      <c r="E36" s="36"/>
      <c r="F36" s="179">
        <f t="shared" si="16"/>
        <v>0</v>
      </c>
      <c r="G36" s="179" t="str">
        <f t="shared" si="12"/>
        <v/>
      </c>
      <c r="H36" s="179" t="str">
        <f t="shared" si="10"/>
        <v/>
      </c>
      <c r="I36" s="179" t="str">
        <f t="shared" si="13"/>
        <v/>
      </c>
      <c r="J36" s="179" t="str">
        <f t="shared" si="15"/>
        <v/>
      </c>
      <c r="K36" s="185"/>
      <c r="L36" s="269"/>
      <c r="M36" s="270"/>
      <c r="N36" s="270"/>
    </row>
    <row r="37" spans="2:14" outlineLevel="1" x14ac:dyDescent="0.2">
      <c r="B37" s="10" t="s">
        <v>122</v>
      </c>
      <c r="C37" s="36"/>
      <c r="D37" s="116"/>
      <c r="E37" s="36"/>
      <c r="F37" s="179">
        <f t="shared" si="16"/>
        <v>0</v>
      </c>
      <c r="G37" s="179" t="str">
        <f t="shared" si="12"/>
        <v/>
      </c>
      <c r="H37" s="179" t="str">
        <f t="shared" si="10"/>
        <v/>
      </c>
      <c r="I37" s="179" t="str">
        <f t="shared" si="13"/>
        <v/>
      </c>
      <c r="J37" s="179" t="str">
        <f t="shared" si="15"/>
        <v/>
      </c>
      <c r="K37" s="185"/>
      <c r="L37" s="269"/>
      <c r="M37" s="270"/>
      <c r="N37" s="270"/>
    </row>
    <row r="38" spans="2:14" outlineLevel="1" x14ac:dyDescent="0.2">
      <c r="B38" s="10" t="s">
        <v>123</v>
      </c>
      <c r="C38" s="36" t="s">
        <v>124</v>
      </c>
      <c r="D38" s="116"/>
      <c r="E38" s="310" t="s">
        <v>93</v>
      </c>
      <c r="F38" s="179">
        <f t="shared" si="16"/>
        <v>1</v>
      </c>
      <c r="G38" s="179" t="str">
        <f t="shared" si="12"/>
        <v>Micro / small / medium enterprises financed (#)</v>
      </c>
      <c r="H38" s="179" t="str">
        <f t="shared" si="10"/>
        <v>-</v>
      </c>
      <c r="I38" s="179" t="str">
        <f t="shared" si="13"/>
        <v>*</v>
      </c>
      <c r="J38" s="179" t="str">
        <f t="shared" si="15"/>
        <v xml:space="preserve">-Micro / small / medium enterprises financed (#)*
</v>
      </c>
      <c r="K38" s="185"/>
      <c r="L38" s="269"/>
      <c r="M38" s="270"/>
      <c r="N38" s="270"/>
    </row>
    <row r="39" spans="2:14" outlineLevel="1" x14ac:dyDescent="0.2">
      <c r="B39" s="10" t="s">
        <v>125</v>
      </c>
      <c r="C39" s="36" t="s">
        <v>124</v>
      </c>
      <c r="D39" s="116"/>
      <c r="E39" s="36" t="s">
        <v>93</v>
      </c>
      <c r="F39" s="179">
        <f t="shared" si="16"/>
        <v>1</v>
      </c>
      <c r="G39" s="179" t="str">
        <f t="shared" si="12"/>
        <v>Micro / small / medium enterprises provided with non-financial support (#)</v>
      </c>
      <c r="H39" s="179" t="str">
        <f t="shared" si="10"/>
        <v>-</v>
      </c>
      <c r="I39" s="179" t="str">
        <f t="shared" si="13"/>
        <v>*</v>
      </c>
      <c r="J39" s="179" t="str">
        <f t="shared" si="15"/>
        <v xml:space="preserve">-Micro / small / medium enterprises provided with non-financial support (#)*
</v>
      </c>
      <c r="K39" s="185"/>
      <c r="L39" s="269"/>
      <c r="M39" s="270"/>
      <c r="N39" s="270"/>
    </row>
    <row r="40" spans="2:14" outlineLevel="1" x14ac:dyDescent="0.2">
      <c r="B40" s="10" t="s">
        <v>126</v>
      </c>
      <c r="C40" s="36"/>
      <c r="D40" s="116"/>
      <c r="E40" s="36"/>
      <c r="F40" s="179">
        <f t="shared" si="16"/>
        <v>0</v>
      </c>
      <c r="G40" s="179" t="str">
        <f t="shared" si="12"/>
        <v/>
      </c>
      <c r="H40" s="179" t="str">
        <f t="shared" si="10"/>
        <v/>
      </c>
      <c r="I40" s="179" t="str">
        <f t="shared" si="13"/>
        <v/>
      </c>
      <c r="J40" s="179" t="str">
        <f t="shared" si="15"/>
        <v/>
      </c>
      <c r="K40" s="185"/>
      <c r="L40" s="269"/>
      <c r="M40" s="270"/>
      <c r="N40" s="270"/>
    </row>
    <row r="41" spans="2:14" x14ac:dyDescent="0.2">
      <c r="B41" s="10" t="s">
        <v>127</v>
      </c>
      <c r="C41" s="36"/>
      <c r="D41" s="116"/>
      <c r="E41" s="36"/>
      <c r="F41" s="179">
        <f t="shared" si="16"/>
        <v>0</v>
      </c>
      <c r="G41" s="179" t="str">
        <f t="shared" si="12"/>
        <v/>
      </c>
      <c r="H41" s="179" t="str">
        <f t="shared" si="10"/>
        <v/>
      </c>
      <c r="I41" s="179" t="str">
        <f t="shared" si="13"/>
        <v/>
      </c>
      <c r="J41" s="179" t="str">
        <f t="shared" si="15"/>
        <v/>
      </c>
      <c r="K41" s="185"/>
      <c r="L41" s="269"/>
      <c r="M41" s="270"/>
      <c r="N41" s="270"/>
    </row>
    <row r="42" spans="2:14" outlineLevel="1" x14ac:dyDescent="0.2">
      <c r="B42" s="10" t="s">
        <v>128</v>
      </c>
      <c r="C42" s="36"/>
      <c r="D42" s="116"/>
      <c r="E42" s="36"/>
      <c r="F42" s="179">
        <f t="shared" si="16"/>
        <v>0</v>
      </c>
      <c r="G42" s="179" t="str">
        <f t="shared" si="12"/>
        <v/>
      </c>
      <c r="H42" s="179" t="str">
        <f t="shared" si="10"/>
        <v/>
      </c>
      <c r="I42" s="179" t="str">
        <f t="shared" si="13"/>
        <v/>
      </c>
      <c r="J42" s="179" t="str">
        <f t="shared" si="15"/>
        <v/>
      </c>
      <c r="K42" s="185"/>
      <c r="L42" s="269"/>
      <c r="M42" s="270"/>
      <c r="N42" s="270"/>
    </row>
    <row r="43" spans="2:14" outlineLevel="1" x14ac:dyDescent="0.2">
      <c r="B43" s="10" t="s">
        <v>129</v>
      </c>
      <c r="C43" s="36"/>
      <c r="D43" s="116"/>
      <c r="E43" s="36"/>
      <c r="F43" s="179">
        <f t="shared" si="16"/>
        <v>0</v>
      </c>
      <c r="G43" s="179" t="str">
        <f t="shared" si="12"/>
        <v/>
      </c>
      <c r="H43" s="179" t="str">
        <f t="shared" si="10"/>
        <v/>
      </c>
      <c r="I43" s="179" t="str">
        <f t="shared" si="13"/>
        <v/>
      </c>
      <c r="J43" s="179" t="str">
        <f t="shared" si="15"/>
        <v/>
      </c>
      <c r="K43" s="185"/>
      <c r="L43" s="269"/>
      <c r="M43" s="270"/>
      <c r="N43" s="270"/>
    </row>
    <row r="44" spans="2:14" outlineLevel="1" x14ac:dyDescent="0.2">
      <c r="B44" s="10" t="s">
        <v>130</v>
      </c>
      <c r="C44" s="36"/>
      <c r="D44" s="116"/>
      <c r="E44" s="36"/>
      <c r="F44" s="179">
        <f t="shared" si="16"/>
        <v>0</v>
      </c>
      <c r="G44" s="179" t="str">
        <f t="shared" si="12"/>
        <v/>
      </c>
      <c r="H44" s="179" t="str">
        <f t="shared" si="10"/>
        <v/>
      </c>
      <c r="I44" s="179" t="str">
        <f t="shared" si="13"/>
        <v/>
      </c>
      <c r="J44" s="179" t="str">
        <f t="shared" si="15"/>
        <v/>
      </c>
      <c r="K44" s="185"/>
      <c r="L44" s="269"/>
      <c r="M44" s="270"/>
      <c r="N44" s="270"/>
    </row>
    <row r="45" spans="2:14" outlineLevel="1" x14ac:dyDescent="0.2">
      <c r="B45" s="10" t="s">
        <v>131</v>
      </c>
      <c r="C45" s="36"/>
      <c r="D45" s="116"/>
      <c r="E45" s="36"/>
      <c r="F45" s="179">
        <f t="shared" si="16"/>
        <v>0</v>
      </c>
      <c r="G45" s="179" t="str">
        <f t="shared" si="12"/>
        <v/>
      </c>
      <c r="H45" s="179" t="str">
        <f t="shared" si="10"/>
        <v/>
      </c>
      <c r="I45" s="179" t="str">
        <f t="shared" si="13"/>
        <v/>
      </c>
      <c r="J45" s="179" t="str">
        <f t="shared" si="15"/>
        <v/>
      </c>
      <c r="K45" s="185"/>
      <c r="L45" s="269"/>
      <c r="M45" s="270"/>
      <c r="N45" s="270"/>
    </row>
    <row r="46" spans="2:14" outlineLevel="1" x14ac:dyDescent="0.2">
      <c r="B46" s="10" t="s">
        <v>132</v>
      </c>
      <c r="C46" s="36"/>
      <c r="D46" s="116"/>
      <c r="E46" s="36"/>
      <c r="F46" s="179">
        <f t="shared" si="16"/>
        <v>0</v>
      </c>
      <c r="G46" s="179" t="str">
        <f t="shared" si="12"/>
        <v/>
      </c>
      <c r="H46" s="179" t="str">
        <f t="shared" si="10"/>
        <v/>
      </c>
      <c r="I46" s="179" t="str">
        <f t="shared" si="13"/>
        <v/>
      </c>
      <c r="J46" s="179" t="str">
        <f t="shared" si="15"/>
        <v/>
      </c>
      <c r="K46" s="185"/>
      <c r="L46" s="269"/>
      <c r="M46" s="270"/>
      <c r="N46" s="270"/>
    </row>
    <row r="47" spans="2:14" ht="25.5" outlineLevel="1" x14ac:dyDescent="0.2">
      <c r="B47" s="10" t="s">
        <v>133</v>
      </c>
      <c r="C47" s="36" t="s">
        <v>134</v>
      </c>
      <c r="D47" s="116"/>
      <c r="E47" s="36" t="s">
        <v>93</v>
      </c>
      <c r="F47" s="179">
        <f t="shared" si="16"/>
        <v>1</v>
      </c>
      <c r="G47" s="179" t="str">
        <f t="shared" si="12"/>
        <v>Government agencies benefited by projects that strengthen technological and managerial tools to improve public service delivery (#)</v>
      </c>
      <c r="H47" s="179" t="str">
        <f t="shared" si="10"/>
        <v>-</v>
      </c>
      <c r="I47" s="179" t="str">
        <f t="shared" si="13"/>
        <v>*</v>
      </c>
      <c r="J47" s="179" t="str">
        <f t="shared" si="15"/>
        <v xml:space="preserve">-Government agencies benefited by projects that strengthen technological and managerial tools to improve public service delivery (#)*
</v>
      </c>
      <c r="K47" s="185"/>
      <c r="L47" s="269"/>
      <c r="M47" s="270"/>
      <c r="N47" s="270"/>
    </row>
    <row r="48" spans="2:14" outlineLevel="1" x14ac:dyDescent="0.2">
      <c r="B48" s="13" t="s">
        <v>135</v>
      </c>
      <c r="C48" s="63"/>
      <c r="D48" s="64" t="s">
        <v>106</v>
      </c>
      <c r="E48" s="64" t="s">
        <v>107</v>
      </c>
      <c r="F48" s="179"/>
      <c r="G48" s="179"/>
      <c r="H48" s="179"/>
      <c r="I48" s="179"/>
      <c r="J48" s="179"/>
      <c r="K48" s="185" t="str">
        <f>CONCATENATE(J49,J50,J51,J52,J53,J54,J55,J56,J57,J58,J59,J60,J61,J62,J63,J64,J66,J67,J69,J70,J71,J72,J78,J79,J80,J82,J83,J84,J85,J86,J87,J88,J89,J90,J91,J92,J93,J94,J95,J96,J97,J98,J99,J100,J101,J102,J103,J104)</f>
        <v xml:space="preserve">-Teachers trained (#)*
</v>
      </c>
      <c r="L48" s="288"/>
      <c r="M48" s="289"/>
      <c r="N48" s="289"/>
    </row>
    <row r="49" spans="2:14" outlineLevel="1" x14ac:dyDescent="0.2">
      <c r="B49" s="10" t="s">
        <v>136</v>
      </c>
      <c r="C49" s="36" t="s">
        <v>137</v>
      </c>
      <c r="D49" s="116"/>
      <c r="E49" s="36" t="s">
        <v>93</v>
      </c>
      <c r="F49" s="179">
        <f t="shared" si="16"/>
        <v>1</v>
      </c>
      <c r="G49" s="179" t="str">
        <f t="shared" si="12"/>
        <v>Teachers trained (#)</v>
      </c>
      <c r="H49" s="179" t="str">
        <f t="shared" si="10"/>
        <v>-</v>
      </c>
      <c r="I49" s="179" t="str">
        <f t="shared" si="13"/>
        <v>*</v>
      </c>
      <c r="J49" s="179" t="str">
        <f t="shared" si="15"/>
        <v xml:space="preserve">-Teachers trained (#)*
</v>
      </c>
      <c r="K49" s="185"/>
      <c r="L49" s="269"/>
      <c r="M49" s="270"/>
      <c r="N49" s="270"/>
    </row>
    <row r="50" spans="2:14" outlineLevel="1" x14ac:dyDescent="0.2">
      <c r="B50" s="10" t="s">
        <v>138</v>
      </c>
      <c r="C50" s="36"/>
      <c r="D50" s="116"/>
      <c r="E50" s="36"/>
      <c r="F50" s="179">
        <f t="shared" si="16"/>
        <v>0</v>
      </c>
      <c r="G50" s="179" t="str">
        <f t="shared" si="12"/>
        <v/>
      </c>
      <c r="H50" s="179" t="str">
        <f t="shared" si="10"/>
        <v/>
      </c>
      <c r="I50" s="179" t="str">
        <f t="shared" si="13"/>
        <v/>
      </c>
      <c r="J50" s="179" t="str">
        <f t="shared" si="15"/>
        <v/>
      </c>
      <c r="K50" s="185"/>
      <c r="L50" s="269"/>
      <c r="M50" s="270"/>
      <c r="N50" s="270"/>
    </row>
    <row r="51" spans="2:14" outlineLevel="1" x14ac:dyDescent="0.2">
      <c r="B51" s="10" t="s">
        <v>139</v>
      </c>
      <c r="C51" s="36"/>
      <c r="D51" s="116"/>
      <c r="E51" s="36"/>
      <c r="F51" s="179">
        <f t="shared" si="16"/>
        <v>0</v>
      </c>
      <c r="G51" s="179" t="str">
        <f t="shared" si="12"/>
        <v/>
      </c>
      <c r="H51" s="179" t="str">
        <f t="shared" si="10"/>
        <v/>
      </c>
      <c r="I51" s="179" t="str">
        <f t="shared" si="13"/>
        <v/>
      </c>
      <c r="J51" s="179" t="str">
        <f t="shared" si="15"/>
        <v/>
      </c>
      <c r="K51" s="185"/>
      <c r="L51" s="269"/>
      <c r="M51" s="270"/>
      <c r="N51" s="270"/>
    </row>
    <row r="52" spans="2:14" outlineLevel="1" x14ac:dyDescent="0.2">
      <c r="B52" s="10" t="s">
        <v>140</v>
      </c>
      <c r="C52" s="36"/>
      <c r="D52" s="116"/>
      <c r="E52" s="36"/>
      <c r="F52" s="179">
        <f t="shared" si="16"/>
        <v>0</v>
      </c>
      <c r="G52" s="179" t="str">
        <f t="shared" si="12"/>
        <v/>
      </c>
      <c r="H52" s="179" t="str">
        <f t="shared" si="10"/>
        <v/>
      </c>
      <c r="I52" s="179" t="str">
        <f t="shared" si="13"/>
        <v/>
      </c>
      <c r="J52" s="179" t="str">
        <f t="shared" si="15"/>
        <v/>
      </c>
      <c r="K52" s="185"/>
      <c r="L52" s="269"/>
      <c r="M52" s="270"/>
      <c r="N52" s="270"/>
    </row>
    <row r="53" spans="2:14" outlineLevel="1" x14ac:dyDescent="0.2">
      <c r="B53" s="10" t="s">
        <v>141</v>
      </c>
      <c r="C53" s="36"/>
      <c r="D53" s="116"/>
      <c r="E53" s="36"/>
      <c r="F53" s="179">
        <f t="shared" si="16"/>
        <v>0</v>
      </c>
      <c r="G53" s="179" t="str">
        <f t="shared" si="12"/>
        <v/>
      </c>
      <c r="H53" s="179" t="str">
        <f t="shared" si="10"/>
        <v/>
      </c>
      <c r="I53" s="179" t="str">
        <f t="shared" si="13"/>
        <v/>
      </c>
      <c r="J53" s="179" t="str">
        <f t="shared" si="15"/>
        <v/>
      </c>
      <c r="K53" s="185"/>
      <c r="L53" s="269"/>
      <c r="M53" s="270"/>
      <c r="N53" s="270"/>
    </row>
    <row r="54" spans="2:14" outlineLevel="1" x14ac:dyDescent="0.2">
      <c r="B54" s="10" t="s">
        <v>142</v>
      </c>
      <c r="C54" s="36"/>
      <c r="D54" s="116"/>
      <c r="E54" s="36"/>
      <c r="F54" s="179">
        <f t="shared" si="16"/>
        <v>0</v>
      </c>
      <c r="G54" s="179" t="str">
        <f t="shared" si="12"/>
        <v/>
      </c>
      <c r="H54" s="179" t="str">
        <f t="shared" si="10"/>
        <v/>
      </c>
      <c r="I54" s="179" t="str">
        <f t="shared" si="13"/>
        <v/>
      </c>
      <c r="J54" s="179" t="str">
        <f t="shared" si="15"/>
        <v/>
      </c>
      <c r="K54" s="185"/>
      <c r="L54" s="269"/>
      <c r="M54" s="270"/>
      <c r="N54" s="270"/>
    </row>
    <row r="55" spans="2:14" outlineLevel="1" x14ac:dyDescent="0.2">
      <c r="B55" s="10" t="s">
        <v>143</v>
      </c>
      <c r="C55" s="36"/>
      <c r="D55" s="116"/>
      <c r="E55" s="36"/>
      <c r="F55" s="179">
        <f t="shared" si="16"/>
        <v>0</v>
      </c>
      <c r="G55" s="179" t="str">
        <f t="shared" si="12"/>
        <v/>
      </c>
      <c r="H55" s="179" t="str">
        <f t="shared" si="10"/>
        <v/>
      </c>
      <c r="I55" s="179" t="str">
        <f t="shared" si="13"/>
        <v/>
      </c>
      <c r="J55" s="179" t="str">
        <f t="shared" si="15"/>
        <v/>
      </c>
      <c r="K55" s="185"/>
      <c r="L55" s="269"/>
      <c r="M55" s="270"/>
      <c r="N55" s="270"/>
    </row>
    <row r="56" spans="2:14" outlineLevel="1" x14ac:dyDescent="0.2">
      <c r="B56" s="10" t="s">
        <v>144</v>
      </c>
      <c r="C56" s="36"/>
      <c r="D56" s="116"/>
      <c r="E56" s="36"/>
      <c r="F56" s="179">
        <f t="shared" si="16"/>
        <v>0</v>
      </c>
      <c r="G56" s="179" t="str">
        <f t="shared" si="12"/>
        <v/>
      </c>
      <c r="H56" s="179" t="str">
        <f t="shared" si="10"/>
        <v/>
      </c>
      <c r="I56" s="179" t="str">
        <f t="shared" si="13"/>
        <v/>
      </c>
      <c r="J56" s="179" t="str">
        <f t="shared" si="15"/>
        <v/>
      </c>
      <c r="K56" s="185"/>
      <c r="L56" s="269"/>
      <c r="M56" s="270"/>
      <c r="N56" s="270"/>
    </row>
    <row r="57" spans="2:14" outlineLevel="1" x14ac:dyDescent="0.2">
      <c r="B57" s="10" t="s">
        <v>145</v>
      </c>
      <c r="C57" s="36"/>
      <c r="D57" s="116"/>
      <c r="E57" s="36"/>
      <c r="F57" s="179">
        <f t="shared" si="16"/>
        <v>0</v>
      </c>
      <c r="G57" s="179" t="str">
        <f t="shared" si="12"/>
        <v/>
      </c>
      <c r="H57" s="179" t="str">
        <f t="shared" si="10"/>
        <v/>
      </c>
      <c r="I57" s="179" t="str">
        <f t="shared" si="13"/>
        <v/>
      </c>
      <c r="J57" s="179" t="str">
        <f t="shared" si="15"/>
        <v/>
      </c>
      <c r="K57" s="185"/>
      <c r="L57" s="269"/>
      <c r="M57" s="270"/>
      <c r="N57" s="270"/>
    </row>
    <row r="58" spans="2:14" outlineLevel="1" x14ac:dyDescent="0.2">
      <c r="B58" s="10" t="s">
        <v>146</v>
      </c>
      <c r="C58" s="36"/>
      <c r="D58" s="116"/>
      <c r="E58" s="36"/>
      <c r="F58" s="179">
        <f t="shared" si="16"/>
        <v>0</v>
      </c>
      <c r="G58" s="179" t="str">
        <f t="shared" si="12"/>
        <v/>
      </c>
      <c r="H58" s="179" t="str">
        <f t="shared" si="10"/>
        <v/>
      </c>
      <c r="I58" s="179" t="str">
        <f t="shared" si="13"/>
        <v/>
      </c>
      <c r="J58" s="179" t="str">
        <f t="shared" si="15"/>
        <v/>
      </c>
      <c r="K58" s="185"/>
      <c r="L58" s="269"/>
      <c r="M58" s="270"/>
      <c r="N58" s="270"/>
    </row>
    <row r="59" spans="2:14" outlineLevel="1" x14ac:dyDescent="0.2">
      <c r="B59" s="10" t="s">
        <v>147</v>
      </c>
      <c r="C59" s="36"/>
      <c r="D59" s="116"/>
      <c r="E59" s="36"/>
      <c r="F59" s="179">
        <f t="shared" si="16"/>
        <v>0</v>
      </c>
      <c r="G59" s="179" t="str">
        <f t="shared" si="12"/>
        <v/>
      </c>
      <c r="H59" s="179" t="str">
        <f t="shared" si="10"/>
        <v/>
      </c>
      <c r="I59" s="179" t="str">
        <f t="shared" si="13"/>
        <v/>
      </c>
      <c r="J59" s="179" t="str">
        <f t="shared" si="15"/>
        <v/>
      </c>
      <c r="K59" s="185"/>
      <c r="L59" s="269"/>
      <c r="M59" s="270"/>
      <c r="N59" s="270"/>
    </row>
    <row r="60" spans="2:14" outlineLevel="1" x14ac:dyDescent="0.2">
      <c r="B60" s="10" t="s">
        <v>148</v>
      </c>
      <c r="C60" s="36"/>
      <c r="D60" s="116"/>
      <c r="E60" s="36"/>
      <c r="F60" s="179">
        <f t="shared" si="16"/>
        <v>0</v>
      </c>
      <c r="G60" s="179" t="str">
        <f t="shared" si="12"/>
        <v/>
      </c>
      <c r="H60" s="179" t="str">
        <f t="shared" si="10"/>
        <v/>
      </c>
      <c r="I60" s="179" t="str">
        <f t="shared" si="13"/>
        <v/>
      </c>
      <c r="J60" s="179" t="str">
        <f t="shared" si="15"/>
        <v/>
      </c>
      <c r="K60" s="185"/>
      <c r="L60" s="269"/>
      <c r="M60" s="270"/>
      <c r="N60" s="270"/>
    </row>
    <row r="61" spans="2:14" outlineLevel="1" x14ac:dyDescent="0.2">
      <c r="B61" s="10" t="s">
        <v>149</v>
      </c>
      <c r="C61" s="36"/>
      <c r="D61" s="116"/>
      <c r="E61" s="36"/>
      <c r="F61" s="179">
        <f t="shared" si="16"/>
        <v>0</v>
      </c>
      <c r="G61" s="179" t="str">
        <f t="shared" si="12"/>
        <v/>
      </c>
      <c r="H61" s="179" t="str">
        <f t="shared" si="10"/>
        <v/>
      </c>
      <c r="I61" s="179" t="str">
        <f t="shared" si="13"/>
        <v/>
      </c>
      <c r="J61" s="179" t="str">
        <f t="shared" si="15"/>
        <v/>
      </c>
      <c r="K61" s="185"/>
      <c r="L61" s="269"/>
      <c r="M61" s="270"/>
      <c r="N61" s="270"/>
    </row>
    <row r="62" spans="2:14" outlineLevel="1" x14ac:dyDescent="0.2">
      <c r="B62" s="10" t="s">
        <v>150</v>
      </c>
      <c r="C62" s="36"/>
      <c r="D62" s="116"/>
      <c r="E62" s="36"/>
      <c r="F62" s="179">
        <f t="shared" si="16"/>
        <v>0</v>
      </c>
      <c r="G62" s="179" t="str">
        <f t="shared" si="12"/>
        <v/>
      </c>
      <c r="H62" s="179" t="str">
        <f t="shared" si="10"/>
        <v/>
      </c>
      <c r="I62" s="179" t="str">
        <f t="shared" si="13"/>
        <v/>
      </c>
      <c r="J62" s="179" t="str">
        <f t="shared" si="15"/>
        <v/>
      </c>
      <c r="K62" s="185"/>
      <c r="L62" s="269"/>
      <c r="M62" s="270"/>
      <c r="N62" s="270"/>
    </row>
    <row r="63" spans="2:14" outlineLevel="1" x14ac:dyDescent="0.2">
      <c r="B63" s="10" t="s">
        <v>151</v>
      </c>
      <c r="C63" s="36"/>
      <c r="D63" s="116"/>
      <c r="E63" s="36"/>
      <c r="F63" s="179">
        <f t="shared" si="16"/>
        <v>0</v>
      </c>
      <c r="G63" s="179" t="str">
        <f t="shared" si="12"/>
        <v/>
      </c>
      <c r="H63" s="179" t="str">
        <f t="shared" si="10"/>
        <v/>
      </c>
      <c r="I63" s="179" t="str">
        <f t="shared" si="13"/>
        <v/>
      </c>
      <c r="J63" s="179" t="str">
        <f t="shared" si="15"/>
        <v/>
      </c>
      <c r="K63" s="185"/>
      <c r="L63" s="269"/>
      <c r="M63" s="270"/>
      <c r="N63" s="270"/>
    </row>
    <row r="64" spans="2:14" ht="25.5" outlineLevel="1" x14ac:dyDescent="0.2">
      <c r="B64" s="10" t="s">
        <v>152</v>
      </c>
      <c r="C64" s="36"/>
      <c r="D64" s="116"/>
      <c r="E64" s="36"/>
      <c r="F64" s="179">
        <f t="shared" si="16"/>
        <v>0</v>
      </c>
      <c r="G64" s="179" t="str">
        <f t="shared" si="12"/>
        <v/>
      </c>
      <c r="H64" s="179" t="str">
        <f t="shared" si="10"/>
        <v/>
      </c>
      <c r="I64" s="179" t="str">
        <f t="shared" si="13"/>
        <v/>
      </c>
      <c r="J64" s="179" t="str">
        <f t="shared" si="15"/>
        <v/>
      </c>
      <c r="K64" s="185"/>
      <c r="L64" s="269"/>
      <c r="M64" s="270"/>
      <c r="N64" s="270"/>
    </row>
    <row r="65" spans="2:14" outlineLevel="1" x14ac:dyDescent="0.2">
      <c r="B65" s="10" t="s">
        <v>153</v>
      </c>
      <c r="C65" s="36"/>
      <c r="D65" s="116"/>
      <c r="E65" s="36"/>
      <c r="F65" s="179">
        <f t="shared" ref="F65" si="17">IF(E65="Yes",1,0)</f>
        <v>0</v>
      </c>
      <c r="G65" s="179" t="str">
        <f t="shared" ref="G65" si="18">IF(F65=1,B65,"")</f>
        <v/>
      </c>
      <c r="H65" s="179" t="str">
        <f t="shared" ref="H65" si="19">IF(G65&lt;&gt;"","-","")</f>
        <v/>
      </c>
      <c r="I65" s="179" t="str">
        <f t="shared" ref="I65" si="20">IF(E65="Yes","*","")</f>
        <v/>
      </c>
      <c r="J65" s="179" t="str">
        <f t="shared" ref="J65" si="21">IF(G65&lt;&gt;"",CONCATENATE(H65,G65,I65,CHAR(10)),"")</f>
        <v/>
      </c>
      <c r="K65" s="185"/>
      <c r="L65" s="269"/>
      <c r="M65" s="270"/>
      <c r="N65" s="270"/>
    </row>
    <row r="66" spans="2:14" outlineLevel="1" x14ac:dyDescent="0.2">
      <c r="B66" s="10" t="s">
        <v>154</v>
      </c>
      <c r="C66" s="36"/>
      <c r="D66" s="116"/>
      <c r="E66" s="36"/>
      <c r="F66" s="179">
        <f t="shared" si="16"/>
        <v>0</v>
      </c>
      <c r="G66" s="179" t="str">
        <f t="shared" si="12"/>
        <v/>
      </c>
      <c r="H66" s="179" t="str">
        <f t="shared" si="10"/>
        <v/>
      </c>
      <c r="I66" s="179" t="str">
        <f t="shared" si="13"/>
        <v/>
      </c>
      <c r="J66" s="179" t="str">
        <f t="shared" si="15"/>
        <v/>
      </c>
      <c r="K66" s="185"/>
      <c r="L66" s="269"/>
      <c r="M66" s="270"/>
      <c r="N66" s="270"/>
    </row>
    <row r="67" spans="2:14" ht="25.5" outlineLevel="1" x14ac:dyDescent="0.2">
      <c r="B67" s="10" t="s">
        <v>155</v>
      </c>
      <c r="C67" s="36"/>
      <c r="D67" s="116"/>
      <c r="E67" s="36"/>
      <c r="F67" s="179">
        <f t="shared" si="16"/>
        <v>0</v>
      </c>
      <c r="G67" s="179" t="str">
        <f t="shared" si="12"/>
        <v/>
      </c>
      <c r="H67" s="179" t="str">
        <f t="shared" si="10"/>
        <v/>
      </c>
      <c r="I67" s="179" t="str">
        <f t="shared" si="13"/>
        <v/>
      </c>
      <c r="J67" s="179" t="str">
        <f t="shared" si="15"/>
        <v/>
      </c>
      <c r="K67" s="185"/>
      <c r="L67" s="269"/>
      <c r="M67" s="270"/>
      <c r="N67" s="270"/>
    </row>
    <row r="68" spans="2:14" outlineLevel="1" x14ac:dyDescent="0.2">
      <c r="B68" s="10" t="s">
        <v>156</v>
      </c>
      <c r="C68" s="36"/>
      <c r="D68" s="116"/>
      <c r="E68" s="36"/>
      <c r="F68" s="179">
        <f t="shared" ref="F68" si="22">IF(E68="Yes",1,0)</f>
        <v>0</v>
      </c>
      <c r="G68" s="179" t="str">
        <f t="shared" ref="G68" si="23">IF(F68=1,B68,"")</f>
        <v/>
      </c>
      <c r="H68" s="179" t="str">
        <f t="shared" ref="H68" si="24">IF(G68&lt;&gt;"","-","")</f>
        <v/>
      </c>
      <c r="I68" s="179" t="str">
        <f t="shared" ref="I68" si="25">IF(E68="Yes","*","")</f>
        <v/>
      </c>
      <c r="J68" s="179" t="str">
        <f t="shared" ref="J68" si="26">IF(G68&lt;&gt;"",CONCATENATE(H68,G68,I68,CHAR(10)),"")</f>
        <v/>
      </c>
      <c r="K68" s="185"/>
      <c r="L68" s="269"/>
      <c r="M68" s="270"/>
      <c r="N68" s="270"/>
    </row>
    <row r="69" spans="2:14" outlineLevel="1" x14ac:dyDescent="0.2">
      <c r="B69" s="10" t="s">
        <v>157</v>
      </c>
      <c r="C69" s="36"/>
      <c r="D69" s="116"/>
      <c r="E69" s="36"/>
      <c r="F69" s="179">
        <f t="shared" si="16"/>
        <v>0</v>
      </c>
      <c r="G69" s="179" t="str">
        <f t="shared" si="12"/>
        <v/>
      </c>
      <c r="H69" s="179" t="str">
        <f t="shared" si="10"/>
        <v/>
      </c>
      <c r="I69" s="179" t="str">
        <f t="shared" si="13"/>
        <v/>
      </c>
      <c r="J69" s="179" t="str">
        <f t="shared" si="15"/>
        <v/>
      </c>
      <c r="K69" s="185"/>
      <c r="L69" s="269"/>
      <c r="M69" s="270"/>
      <c r="N69" s="270"/>
    </row>
    <row r="70" spans="2:14" outlineLevel="1" x14ac:dyDescent="0.2">
      <c r="B70" s="10" t="s">
        <v>158</v>
      </c>
      <c r="C70" s="36"/>
      <c r="D70" s="116"/>
      <c r="E70" s="36"/>
      <c r="F70" s="179">
        <f t="shared" si="16"/>
        <v>0</v>
      </c>
      <c r="G70" s="179" t="str">
        <f t="shared" si="12"/>
        <v/>
      </c>
      <c r="H70" s="179" t="str">
        <f t="shared" si="10"/>
        <v/>
      </c>
      <c r="I70" s="179" t="str">
        <f t="shared" si="13"/>
        <v/>
      </c>
      <c r="J70" s="179" t="str">
        <f t="shared" si="15"/>
        <v/>
      </c>
      <c r="K70" s="185"/>
      <c r="L70" s="269"/>
      <c r="M70" s="270"/>
      <c r="N70" s="270"/>
    </row>
    <row r="71" spans="2:14" outlineLevel="1" x14ac:dyDescent="0.2">
      <c r="B71" s="10" t="s">
        <v>159</v>
      </c>
      <c r="C71" s="36"/>
      <c r="D71" s="116"/>
      <c r="E71" s="36"/>
      <c r="F71" s="179">
        <f t="shared" si="16"/>
        <v>0</v>
      </c>
      <c r="G71" s="179" t="str">
        <f t="shared" si="12"/>
        <v/>
      </c>
      <c r="H71" s="179" t="str">
        <f t="shared" si="10"/>
        <v/>
      </c>
      <c r="I71" s="179" t="str">
        <f t="shared" si="13"/>
        <v/>
      </c>
      <c r="J71" s="179" t="str">
        <f t="shared" si="15"/>
        <v/>
      </c>
      <c r="K71" s="185"/>
      <c r="L71" s="269"/>
      <c r="M71" s="270"/>
      <c r="N71" s="270"/>
    </row>
    <row r="72" spans="2:14" outlineLevel="1" x14ac:dyDescent="0.2">
      <c r="B72" s="10" t="s">
        <v>160</v>
      </c>
      <c r="C72" s="36"/>
      <c r="D72" s="116"/>
      <c r="E72" s="36"/>
      <c r="F72" s="179">
        <f t="shared" si="16"/>
        <v>0</v>
      </c>
      <c r="G72" s="179" t="str">
        <f t="shared" si="12"/>
        <v/>
      </c>
      <c r="H72" s="179" t="str">
        <f t="shared" si="10"/>
        <v/>
      </c>
      <c r="I72" s="179" t="str">
        <f t="shared" si="13"/>
        <v/>
      </c>
      <c r="J72" s="179" t="str">
        <f t="shared" si="15"/>
        <v/>
      </c>
      <c r="K72" s="185"/>
      <c r="L72" s="269"/>
      <c r="M72" s="270"/>
      <c r="N72" s="270"/>
    </row>
    <row r="73" spans="2:14" outlineLevel="1" x14ac:dyDescent="0.2">
      <c r="B73" s="10" t="s">
        <v>161</v>
      </c>
      <c r="C73" s="36"/>
      <c r="D73" s="116"/>
      <c r="E73" s="36"/>
      <c r="F73" s="179">
        <f t="shared" ref="F73:F77" si="27">IF(E73="Yes",1,0)</f>
        <v>0</v>
      </c>
      <c r="G73" s="179" t="str">
        <f t="shared" ref="G73:G77" si="28">IF(F73=1,B73,"")</f>
        <v/>
      </c>
      <c r="H73" s="179" t="str">
        <f t="shared" ref="H73:H77" si="29">IF(G73&lt;&gt;"","-","")</f>
        <v/>
      </c>
      <c r="I73" s="179" t="str">
        <f t="shared" ref="I73:I77" si="30">IF(E73="Yes","*","")</f>
        <v/>
      </c>
      <c r="J73" s="179" t="str">
        <f t="shared" ref="J73:J77" si="31">IF(G73&lt;&gt;"",CONCATENATE(H73,G73,I73,CHAR(10)),"")</f>
        <v/>
      </c>
      <c r="K73" s="185"/>
      <c r="L73" s="269"/>
      <c r="M73" s="270"/>
      <c r="N73" s="270"/>
    </row>
    <row r="74" spans="2:14" outlineLevel="1" x14ac:dyDescent="0.2">
      <c r="B74" s="10" t="s">
        <v>162</v>
      </c>
      <c r="C74" s="36"/>
      <c r="D74" s="116"/>
      <c r="E74" s="36"/>
      <c r="F74" s="179">
        <f t="shared" si="27"/>
        <v>0</v>
      </c>
      <c r="G74" s="179" t="str">
        <f t="shared" si="28"/>
        <v/>
      </c>
      <c r="H74" s="179" t="str">
        <f t="shared" si="29"/>
        <v/>
      </c>
      <c r="I74" s="179" t="str">
        <f t="shared" si="30"/>
        <v/>
      </c>
      <c r="J74" s="179" t="str">
        <f t="shared" si="31"/>
        <v/>
      </c>
      <c r="K74" s="185"/>
      <c r="L74" s="269"/>
      <c r="M74" s="270"/>
      <c r="N74" s="270"/>
    </row>
    <row r="75" spans="2:14" outlineLevel="1" x14ac:dyDescent="0.2">
      <c r="B75" s="10" t="s">
        <v>163</v>
      </c>
      <c r="C75" s="36"/>
      <c r="D75" s="116"/>
      <c r="E75" s="36"/>
      <c r="F75" s="179">
        <f t="shared" si="27"/>
        <v>0</v>
      </c>
      <c r="G75" s="179" t="str">
        <f t="shared" si="28"/>
        <v/>
      </c>
      <c r="H75" s="179" t="str">
        <f t="shared" si="29"/>
        <v/>
      </c>
      <c r="I75" s="179" t="str">
        <f t="shared" si="30"/>
        <v/>
      </c>
      <c r="J75" s="179" t="str">
        <f t="shared" si="31"/>
        <v/>
      </c>
      <c r="K75" s="185"/>
      <c r="L75" s="269"/>
      <c r="M75" s="270"/>
      <c r="N75" s="270"/>
    </row>
    <row r="76" spans="2:14" outlineLevel="1" x14ac:dyDescent="0.2">
      <c r="B76" s="10" t="s">
        <v>164</v>
      </c>
      <c r="C76" s="36"/>
      <c r="D76" s="116"/>
      <c r="E76" s="36"/>
      <c r="F76" s="179">
        <f t="shared" si="27"/>
        <v>0</v>
      </c>
      <c r="G76" s="179" t="str">
        <f t="shared" si="28"/>
        <v/>
      </c>
      <c r="H76" s="179" t="str">
        <f t="shared" si="29"/>
        <v/>
      </c>
      <c r="I76" s="179" t="str">
        <f t="shared" si="30"/>
        <v/>
      </c>
      <c r="J76" s="179" t="str">
        <f t="shared" si="31"/>
        <v/>
      </c>
      <c r="K76" s="185"/>
      <c r="L76" s="269"/>
      <c r="M76" s="270"/>
      <c r="N76" s="270"/>
    </row>
    <row r="77" spans="2:14" outlineLevel="1" x14ac:dyDescent="0.2">
      <c r="B77" s="10" t="s">
        <v>165</v>
      </c>
      <c r="C77" s="36"/>
      <c r="D77" s="116"/>
      <c r="E77" s="36"/>
      <c r="F77" s="179">
        <f t="shared" si="27"/>
        <v>0</v>
      </c>
      <c r="G77" s="179" t="str">
        <f t="shared" si="28"/>
        <v/>
      </c>
      <c r="H77" s="179" t="str">
        <f t="shared" si="29"/>
        <v/>
      </c>
      <c r="I77" s="179" t="str">
        <f t="shared" si="30"/>
        <v/>
      </c>
      <c r="J77" s="179" t="str">
        <f t="shared" si="31"/>
        <v/>
      </c>
      <c r="K77" s="185"/>
      <c r="L77" s="269"/>
      <c r="M77" s="270"/>
      <c r="N77" s="270"/>
    </row>
    <row r="78" spans="2:14" ht="13.5" outlineLevel="1" thickBot="1" x14ac:dyDescent="0.25">
      <c r="B78" s="81" t="s">
        <v>166</v>
      </c>
      <c r="C78" s="170"/>
      <c r="D78" s="171"/>
      <c r="E78" s="170"/>
      <c r="F78" s="182">
        <f t="shared" si="16"/>
        <v>0</v>
      </c>
      <c r="G78" s="182" t="str">
        <f t="shared" si="12"/>
        <v/>
      </c>
      <c r="H78" s="182" t="str">
        <f t="shared" si="10"/>
        <v/>
      </c>
      <c r="I78" s="182" t="str">
        <f t="shared" si="13"/>
        <v/>
      </c>
      <c r="J78" s="182" t="str">
        <f t="shared" si="15"/>
        <v/>
      </c>
      <c r="K78" s="186"/>
      <c r="L78" s="290"/>
      <c r="M78" s="270"/>
      <c r="N78" s="291"/>
    </row>
    <row r="79" spans="2:14" ht="15.75" customHeight="1" thickBot="1" x14ac:dyDescent="0.25">
      <c r="D79" s="308"/>
      <c r="E79" s="308"/>
    </row>
    <row r="80" spans="2:14" ht="15.75" customHeight="1" x14ac:dyDescent="0.2">
      <c r="B80" s="12" t="s">
        <v>167</v>
      </c>
      <c r="C80" s="65"/>
      <c r="D80" s="66"/>
      <c r="E80" s="66"/>
      <c r="F80" s="172"/>
      <c r="G80" s="172"/>
      <c r="H80" s="172"/>
      <c r="I80" s="172"/>
      <c r="J80" s="172"/>
      <c r="K80" s="172"/>
      <c r="L80" s="292"/>
      <c r="M80" s="293"/>
      <c r="N80" s="293"/>
    </row>
    <row r="81" spans="2:14" ht="15.75" customHeight="1" x14ac:dyDescent="0.2">
      <c r="B81" s="13" t="s">
        <v>168</v>
      </c>
      <c r="C81" s="11"/>
      <c r="D81" s="55"/>
      <c r="E81" s="55"/>
      <c r="L81" s="288"/>
      <c r="M81" s="289"/>
      <c r="N81" s="289"/>
    </row>
    <row r="82" spans="2:14" x14ac:dyDescent="0.2">
      <c r="B82" s="9" t="s">
        <v>169</v>
      </c>
      <c r="C82" s="311" t="s">
        <v>170</v>
      </c>
      <c r="D82" s="312" t="s">
        <v>93</v>
      </c>
      <c r="E82" s="116"/>
      <c r="L82" s="269"/>
      <c r="M82" s="270"/>
      <c r="N82" s="270"/>
    </row>
    <row r="83" spans="2:14" ht="76.5" x14ac:dyDescent="0.2">
      <c r="B83" s="9" t="s">
        <v>171</v>
      </c>
      <c r="C83" s="325" t="s">
        <v>493</v>
      </c>
      <c r="D83" s="312" t="s">
        <v>93</v>
      </c>
      <c r="E83" s="116"/>
      <c r="L83" s="269"/>
      <c r="M83" s="270"/>
      <c r="N83" s="270"/>
    </row>
    <row r="84" spans="2:14" ht="24" customHeight="1" x14ac:dyDescent="0.2">
      <c r="B84" s="67" t="s">
        <v>172</v>
      </c>
      <c r="C84" s="11"/>
      <c r="D84" s="55"/>
      <c r="E84" s="55"/>
      <c r="L84" s="288"/>
      <c r="M84" s="289"/>
      <c r="N84" s="289"/>
    </row>
    <row r="85" spans="2:14" x14ac:dyDescent="0.2">
      <c r="B85" s="9" t="s">
        <v>173</v>
      </c>
      <c r="C85" s="35" t="s">
        <v>174</v>
      </c>
      <c r="D85" s="56" t="s">
        <v>93</v>
      </c>
      <c r="E85" s="116"/>
      <c r="L85" s="269"/>
      <c r="M85" s="270"/>
      <c r="N85" s="270"/>
    </row>
    <row r="86" spans="2:14" ht="24" customHeight="1" x14ac:dyDescent="0.2">
      <c r="B86" s="13" t="s">
        <v>175</v>
      </c>
      <c r="C86" s="11"/>
      <c r="D86" s="55"/>
      <c r="E86" s="55"/>
      <c r="L86" s="288"/>
      <c r="M86" s="289"/>
      <c r="N86" s="289"/>
    </row>
    <row r="87" spans="2:14" ht="26.25" thickBot="1" x14ac:dyDescent="0.25">
      <c r="B87" s="31" t="s">
        <v>176</v>
      </c>
      <c r="C87" s="34" t="s">
        <v>177</v>
      </c>
      <c r="D87" s="58"/>
      <c r="E87" s="171"/>
      <c r="F87" s="173"/>
      <c r="G87" s="173"/>
      <c r="H87" s="173"/>
      <c r="I87" s="173"/>
      <c r="J87" s="173"/>
      <c r="K87" s="173"/>
      <c r="L87" s="290"/>
      <c r="M87" s="291"/>
      <c r="N87" s="270"/>
    </row>
  </sheetData>
  <sheetProtection algorithmName="SHA-512" hashValue="kcp8cKib1ralF2u2Mlt7BTKDh6Opg7Oa5mAN40SzvHkyUmuKo8xKYoC4Eo3aSYdTl3LI9QB7jyABQ0vq9tNMbQ==" saltValue="hhrU6R4bGNpt6CWFAhYXzA==" spinCount="100000" sheet="1" formatCells="0" formatRows="0" selectLockedCells="1"/>
  <mergeCells count="6">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K82"/>
  <sheetViews>
    <sheetView zoomScale="80" zoomScaleNormal="80" workbookViewId="0">
      <selection activeCell="C19" sqref="C19"/>
    </sheetView>
  </sheetViews>
  <sheetFormatPr defaultColWidth="9.140625" defaultRowHeight="12.75" outlineLevelRow="1" x14ac:dyDescent="0.2"/>
  <cols>
    <col min="1" max="1" width="0.28515625" style="2" customWidth="1"/>
    <col min="2" max="2" width="107.28515625" style="3" customWidth="1"/>
    <col min="3" max="3" width="34.140625" style="2" customWidth="1"/>
    <col min="4" max="5" width="25.28515625" style="15" customWidth="1"/>
    <col min="6" max="8" width="9.140625" style="37" hidden="1" customWidth="1"/>
    <col min="9" max="9" width="32.42578125" style="37" hidden="1" customWidth="1"/>
    <col min="10" max="10" width="21.42578125" style="37" hidden="1" customWidth="1"/>
    <col min="11" max="11" width="9" style="37" customWidth="1"/>
    <col min="12" max="16384" width="9.140625" style="2"/>
  </cols>
  <sheetData>
    <row r="2" spans="1:11" ht="18" x14ac:dyDescent="0.2">
      <c r="B2" s="481" t="s">
        <v>178</v>
      </c>
      <c r="C2" s="481"/>
      <c r="D2" s="481"/>
      <c r="E2" s="306"/>
    </row>
    <row r="3" spans="1:11" ht="20.25" customHeight="1" thickBot="1" x14ac:dyDescent="0.25">
      <c r="B3" s="490" t="s">
        <v>179</v>
      </c>
      <c r="C3" s="490"/>
      <c r="D3" s="490"/>
      <c r="E3" s="306"/>
    </row>
    <row r="4" spans="1:11" ht="18" x14ac:dyDescent="0.2">
      <c r="A4" s="491" t="s">
        <v>78</v>
      </c>
      <c r="B4" s="492"/>
      <c r="C4" s="492"/>
      <c r="D4" s="493"/>
      <c r="E4" s="132"/>
    </row>
    <row r="5" spans="1:11" ht="30.75" customHeight="1" x14ac:dyDescent="0.2">
      <c r="A5" s="4">
        <v>1</v>
      </c>
      <c r="B5" s="494" t="s">
        <v>180</v>
      </c>
      <c r="C5" s="494"/>
      <c r="D5" s="495"/>
      <c r="E5" s="23"/>
    </row>
    <row r="6" spans="1:11" ht="75.75" customHeight="1" thickBot="1" x14ac:dyDescent="0.25">
      <c r="A6" s="21"/>
      <c r="B6" s="488" t="s">
        <v>181</v>
      </c>
      <c r="C6" s="488"/>
      <c r="D6" s="489"/>
      <c r="E6" s="133"/>
    </row>
    <row r="7" spans="1:11" ht="27" customHeight="1" thickBot="1" x14ac:dyDescent="0.25">
      <c r="C7" s="3"/>
      <c r="D7" s="14"/>
      <c r="E7" s="14"/>
    </row>
    <row r="8" spans="1:11" ht="15.75" customHeight="1" thickBot="1" x14ac:dyDescent="0.25">
      <c r="B8" s="59" t="s">
        <v>182</v>
      </c>
      <c r="C8" s="60" t="s">
        <v>83</v>
      </c>
      <c r="D8" s="137" t="s">
        <v>183</v>
      </c>
      <c r="E8" s="130" t="s">
        <v>184</v>
      </c>
      <c r="F8" s="96"/>
      <c r="G8" s="96"/>
      <c r="H8" s="96"/>
      <c r="I8" s="96"/>
      <c r="J8" s="96"/>
      <c r="K8" s="96"/>
    </row>
    <row r="9" spans="1:11" ht="15.75" customHeight="1" x14ac:dyDescent="0.2">
      <c r="B9" s="61" t="s">
        <v>185</v>
      </c>
      <c r="C9" s="62"/>
      <c r="D9" s="138" t="s">
        <v>84</v>
      </c>
      <c r="E9" s="148" t="s">
        <v>84</v>
      </c>
      <c r="F9" s="85"/>
      <c r="G9" s="85"/>
      <c r="H9" s="85"/>
      <c r="I9" s="85"/>
      <c r="J9" s="85"/>
      <c r="K9" s="85"/>
    </row>
    <row r="10" spans="1:11" ht="15.75" customHeight="1" x14ac:dyDescent="0.2">
      <c r="B10" s="13" t="s">
        <v>186</v>
      </c>
      <c r="C10" s="46"/>
      <c r="D10" s="139"/>
      <c r="E10" s="46"/>
      <c r="F10" s="87"/>
      <c r="G10" s="87"/>
      <c r="H10" s="87"/>
      <c r="I10" s="87"/>
      <c r="J10" s="87"/>
      <c r="K10" s="87"/>
    </row>
    <row r="11" spans="1:11" ht="15.75" customHeight="1" x14ac:dyDescent="0.2">
      <c r="B11" s="8" t="s">
        <v>187</v>
      </c>
      <c r="C11" s="7"/>
      <c r="D11" s="140" t="str">
        <f>'DEM (Strategic Priorities)'!D11</f>
        <v>Yes</v>
      </c>
      <c r="E11" s="54"/>
      <c r="F11" s="87">
        <f t="shared" ref="F11:F13" si="0">IF(D11="Yes",1,0)</f>
        <v>1</v>
      </c>
      <c r="G11" s="87" t="str">
        <f>IF(F11&lt;&gt;0,B11,"")</f>
        <v>Inclusión Social e Igualdad</v>
      </c>
      <c r="H11" s="87" t="str">
        <f>IF(G11&lt;&gt;"","-","")</f>
        <v>-</v>
      </c>
      <c r="I11" s="87" t="str">
        <f>IF(G11&lt;&gt;"",CONCATENATE(H11,G11,CHAR(10)),"")</f>
        <v xml:space="preserve">-Inclusión Social e Igualdad
</v>
      </c>
      <c r="J11" s="87" t="str">
        <f>CONCATENATE(I11,I12,I13,I15,I16,I17)</f>
        <v xml:space="preserve">-Inclusión Social e Igualdad
-Productividad e Innovación
-Equidad de Género y Diversidad
</v>
      </c>
      <c r="K11" s="87"/>
    </row>
    <row r="12" spans="1:11" ht="22.5" customHeight="1" outlineLevel="1" x14ac:dyDescent="0.2">
      <c r="B12" s="8" t="s">
        <v>188</v>
      </c>
      <c r="C12" s="7"/>
      <c r="D12" s="140" t="str">
        <f>'DEM (Strategic Priorities)'!D12</f>
        <v>Yes</v>
      </c>
      <c r="E12" s="54"/>
      <c r="F12" s="87">
        <f t="shared" si="0"/>
        <v>1</v>
      </c>
      <c r="G12" s="87" t="str">
        <f>IF(F12&lt;&gt;0,B12,"")</f>
        <v>Productividad e Innovación</v>
      </c>
      <c r="H12" s="87" t="str">
        <f>IF(G12&lt;&gt;"","-","")</f>
        <v>-</v>
      </c>
      <c r="I12" s="87" t="str">
        <f>IF(G12&lt;&gt;"",CONCATENATE(H12,G12,CHAR(10)),"")</f>
        <v xml:space="preserve">-Productividad e Innovación
</v>
      </c>
      <c r="J12" s="87"/>
      <c r="K12" s="87"/>
    </row>
    <row r="13" spans="1:11" ht="15.75" customHeight="1" x14ac:dyDescent="0.2">
      <c r="B13" s="8" t="s">
        <v>189</v>
      </c>
      <c r="C13" s="7"/>
      <c r="D13" s="140">
        <f>'DEM (Strategic Priorities)'!D13</f>
        <v>0</v>
      </c>
      <c r="E13" s="54"/>
      <c r="F13" s="87">
        <f t="shared" si="0"/>
        <v>0</v>
      </c>
      <c r="G13" s="87" t="str">
        <f>IF(F13&lt;&gt;0,B13,"")</f>
        <v/>
      </c>
      <c r="H13" s="87" t="str">
        <f>IF(G13&lt;&gt;"","-","")</f>
        <v/>
      </c>
      <c r="I13" s="87" t="str">
        <f>IF(G13&lt;&gt;"",CONCATENATE(H13,G13,CHAR(10)),"")</f>
        <v/>
      </c>
      <c r="J13" s="87"/>
      <c r="K13" s="87"/>
    </row>
    <row r="14" spans="1:11" ht="15.75" customHeight="1" x14ac:dyDescent="0.2">
      <c r="B14" s="13" t="s">
        <v>190</v>
      </c>
      <c r="C14" s="46"/>
      <c r="D14" s="46"/>
      <c r="E14" s="46"/>
      <c r="F14" s="87"/>
      <c r="G14" s="87"/>
      <c r="H14" s="87"/>
      <c r="I14" s="87"/>
      <c r="J14" s="87"/>
      <c r="K14" s="87"/>
    </row>
    <row r="15" spans="1:11" ht="21.75" customHeight="1" x14ac:dyDescent="0.2">
      <c r="B15" s="8" t="s">
        <v>191</v>
      </c>
      <c r="C15" s="7"/>
      <c r="D15" s="140" t="str">
        <f>'DEM (Strategic Priorities)'!D15</f>
        <v>Yes</v>
      </c>
      <c r="E15" s="54"/>
      <c r="F15" s="87">
        <f t="shared" ref="F15:F17" si="1">IF(D15="Yes",1,0)</f>
        <v>1</v>
      </c>
      <c r="G15" s="87" t="str">
        <f t="shared" ref="G15:G17" si="2">IF(F15&lt;&gt;0,B15,"")</f>
        <v>Equidad de Género y Diversidad</v>
      </c>
      <c r="H15" s="87" t="str">
        <f t="shared" ref="H15:H17" si="3">IF(G15&lt;&gt;"","-","")</f>
        <v>-</v>
      </c>
      <c r="I15" s="87" t="str">
        <f t="shared" ref="I15:I17" si="4">IF(G15&lt;&gt;"",CONCATENATE(H15,G15,CHAR(10)),"")</f>
        <v xml:space="preserve">-Equidad de Género y Diversidad
</v>
      </c>
      <c r="J15" s="87"/>
      <c r="K15" s="87"/>
    </row>
    <row r="16" spans="1:11" ht="21.75" customHeight="1" x14ac:dyDescent="0.2">
      <c r="B16" s="8" t="s">
        <v>192</v>
      </c>
      <c r="C16" s="7"/>
      <c r="D16" s="140" t="str">
        <f>'DEM (Strategic Priorities)'!D18</f>
        <v/>
      </c>
      <c r="E16" s="54"/>
      <c r="F16" s="87">
        <f t="shared" si="1"/>
        <v>0</v>
      </c>
      <c r="G16" s="87" t="str">
        <f t="shared" si="2"/>
        <v/>
      </c>
      <c r="H16" s="87" t="str">
        <f t="shared" si="3"/>
        <v/>
      </c>
      <c r="I16" s="87" t="str">
        <f t="shared" si="4"/>
        <v/>
      </c>
      <c r="J16" s="87"/>
      <c r="K16" s="87"/>
    </row>
    <row r="17" spans="2:11" ht="15.75" customHeight="1" outlineLevel="1" x14ac:dyDescent="0.2">
      <c r="B17" s="8" t="s">
        <v>193</v>
      </c>
      <c r="C17" s="7"/>
      <c r="D17" s="140">
        <f>'DEM (Strategic Priorities)'!D21</f>
        <v>0</v>
      </c>
      <c r="E17" s="54"/>
      <c r="F17" s="87">
        <f t="shared" si="1"/>
        <v>0</v>
      </c>
      <c r="G17" s="87" t="str">
        <f t="shared" si="2"/>
        <v/>
      </c>
      <c r="H17" s="87" t="str">
        <f t="shared" si="3"/>
        <v/>
      </c>
      <c r="I17" s="87" t="str">
        <f t="shared" si="4"/>
        <v/>
      </c>
      <c r="J17" s="87"/>
      <c r="K17" s="87"/>
    </row>
    <row r="18" spans="2:11" ht="15.75" customHeight="1" outlineLevel="1" x14ac:dyDescent="0.2">
      <c r="B18" s="13" t="s">
        <v>194</v>
      </c>
      <c r="C18" s="63"/>
      <c r="D18" s="142"/>
      <c r="E18" s="64"/>
      <c r="F18" s="87"/>
      <c r="G18" s="87"/>
      <c r="H18" s="87"/>
      <c r="I18" s="87"/>
      <c r="J18" s="87"/>
      <c r="K18" s="87" t="str">
        <f>CONCATENATE(J19,J20,J21,J22,J23,J24,J25,J26,J27,J28,J29,J30,J31,J32,J33,J34,J35,J36,J37,J38,J39,J40,J41,J42,J43,J44,J45,J46,J47,J48,J49,J50,J51,J52,J53,J54,J55,J56,J57,J58,J59,J60,J61,J62,J63,J64,J65,J66,J67,J68,J69,J70,J71,J72,J73)</f>
        <v xml:space="preserve">-Beneficiarios de programas de capacitación en el trabajo  (#)*
-Micro / pequeñas / medianas empresas financiadas (#)*
-Micro / pequeñas / medianas empresas a las que se les proporciona apoyo no financiero  (#)*
-Agencias gubernamentales beneficiadas por proyectos que fortalecen los instrumentos tecnológicos y de gestión para mejorar la provisión de servicios públicos (#)*
-Maestros capacitados (#)*
</v>
      </c>
    </row>
    <row r="19" spans="2:11" ht="34.5" customHeight="1" outlineLevel="1" x14ac:dyDescent="0.2">
      <c r="B19" s="10" t="s">
        <v>195</v>
      </c>
      <c r="C19" s="36"/>
      <c r="D19" s="141">
        <f>'DEM (Strategic Priorities)'!D23</f>
        <v>0</v>
      </c>
      <c r="E19" s="141">
        <f>'DEM (Strategic Priorities)'!E23</f>
        <v>0</v>
      </c>
      <c r="F19" s="87">
        <f t="shared" ref="F19:F25" si="5">IF(D19="Yes",1,0)</f>
        <v>0</v>
      </c>
      <c r="G19" s="87" t="str">
        <f>IF(F19=1,B19,"")</f>
        <v/>
      </c>
      <c r="H19" s="87" t="str">
        <f t="shared" ref="H19:H43" si="6">IF(G19&lt;&gt;"","-","")</f>
        <v/>
      </c>
      <c r="I19" s="131" t="str">
        <f>IF(E19="Yes","*","")</f>
        <v/>
      </c>
      <c r="J19" s="87" t="str">
        <f t="shared" ref="J19:J22" si="7">IF(G19&lt;&gt;"",CONCATENATE(H19,G19,I19,CHAR(10)),"")</f>
        <v/>
      </c>
      <c r="K19" s="131"/>
    </row>
    <row r="20" spans="2:11" ht="24.75" customHeight="1" outlineLevel="1" x14ac:dyDescent="0.2">
      <c r="B20" s="10" t="s">
        <v>196</v>
      </c>
      <c r="C20" s="36"/>
      <c r="D20" s="141">
        <f>'DEM (Strategic Priorities)'!D24</f>
        <v>0</v>
      </c>
      <c r="E20" s="141">
        <f>'DEM (Strategic Priorities)'!E24</f>
        <v>0</v>
      </c>
      <c r="F20" s="87">
        <f t="shared" si="5"/>
        <v>0</v>
      </c>
      <c r="G20" s="87" t="str">
        <f t="shared" ref="G20:G43" si="8">IF(F20=1,B20,"")</f>
        <v/>
      </c>
      <c r="H20" s="87" t="str">
        <f t="shared" si="6"/>
        <v/>
      </c>
      <c r="I20" s="131" t="str">
        <f t="shared" ref="I20:I43" si="9">IF(E20="Yes","*","")</f>
        <v/>
      </c>
      <c r="J20" s="87" t="str">
        <f t="shared" si="7"/>
        <v/>
      </c>
      <c r="K20" s="87"/>
    </row>
    <row r="21" spans="2:11" ht="15.75" customHeight="1" outlineLevel="1" x14ac:dyDescent="0.2">
      <c r="B21" s="10" t="s">
        <v>197</v>
      </c>
      <c r="C21" s="36"/>
      <c r="D21" s="141">
        <f>'DEM (Strategic Priorities)'!D25</f>
        <v>0</v>
      </c>
      <c r="E21" s="57">
        <f>'DEM (Strategic Priorities)'!E25</f>
        <v>0</v>
      </c>
      <c r="F21" s="87">
        <f>IF(E21="Yes",1,0)</f>
        <v>0</v>
      </c>
      <c r="G21" s="87" t="str">
        <f t="shared" si="8"/>
        <v/>
      </c>
      <c r="H21" s="87" t="str">
        <f t="shared" si="6"/>
        <v/>
      </c>
      <c r="I21" s="131" t="str">
        <f t="shared" si="9"/>
        <v/>
      </c>
      <c r="J21" s="87" t="str">
        <f t="shared" si="7"/>
        <v/>
      </c>
      <c r="K21" s="87"/>
    </row>
    <row r="22" spans="2:11" ht="15.75" customHeight="1" outlineLevel="1" x14ac:dyDescent="0.2">
      <c r="B22" s="10" t="s">
        <v>198</v>
      </c>
      <c r="C22" s="36"/>
      <c r="D22" s="141">
        <f>'DEM (Strategic Priorities)'!D26</f>
        <v>0</v>
      </c>
      <c r="E22" s="57">
        <f>'DEM (Strategic Priorities)'!E26</f>
        <v>0</v>
      </c>
      <c r="F22" s="87">
        <f t="shared" ref="F22:F23" si="10">IF(E22="Yes",1,0)</f>
        <v>0</v>
      </c>
      <c r="G22" s="87" t="str">
        <f t="shared" si="8"/>
        <v/>
      </c>
      <c r="H22" s="87" t="str">
        <f t="shared" si="6"/>
        <v/>
      </c>
      <c r="I22" s="131" t="str">
        <f t="shared" si="9"/>
        <v/>
      </c>
      <c r="J22" s="87" t="str">
        <f t="shared" si="7"/>
        <v/>
      </c>
      <c r="K22" s="87"/>
    </row>
    <row r="23" spans="2:11" ht="15.75" customHeight="1" outlineLevel="1" x14ac:dyDescent="0.2">
      <c r="B23" s="10" t="s">
        <v>199</v>
      </c>
      <c r="C23" s="36"/>
      <c r="D23" s="141">
        <f>'DEM (Strategic Priorities)'!D27</f>
        <v>0</v>
      </c>
      <c r="E23" s="57">
        <f>'DEM (Strategic Priorities)'!E27</f>
        <v>0</v>
      </c>
      <c r="F23" s="87">
        <f t="shared" si="10"/>
        <v>0</v>
      </c>
      <c r="G23" s="87" t="str">
        <f t="shared" si="8"/>
        <v/>
      </c>
      <c r="H23" s="87" t="str">
        <f t="shared" si="6"/>
        <v/>
      </c>
      <c r="I23" s="131" t="str">
        <f t="shared" si="9"/>
        <v/>
      </c>
      <c r="J23" s="87" t="str">
        <f>IF(G23&lt;&gt;"",CONCATENATE(H23,G23,I23,CHAR(10)),"")</f>
        <v/>
      </c>
      <c r="K23" s="87"/>
    </row>
    <row r="24" spans="2:11" ht="15.75" customHeight="1" outlineLevel="1" x14ac:dyDescent="0.2">
      <c r="B24" s="10" t="s">
        <v>200</v>
      </c>
      <c r="C24" s="36"/>
      <c r="D24" s="141">
        <f>'DEM (Strategic Priorities)'!D28</f>
        <v>0</v>
      </c>
      <c r="E24" s="57">
        <f>'DEM (Strategic Priorities)'!E28</f>
        <v>0</v>
      </c>
      <c r="F24" s="87">
        <f t="shared" si="5"/>
        <v>0</v>
      </c>
      <c r="G24" s="87" t="str">
        <f t="shared" si="8"/>
        <v/>
      </c>
      <c r="H24" s="87" t="str">
        <f t="shared" si="6"/>
        <v/>
      </c>
      <c r="I24" s="131" t="str">
        <f t="shared" si="9"/>
        <v/>
      </c>
      <c r="J24" s="87" t="str">
        <f t="shared" ref="J24:J43" si="11">IF(G24&lt;&gt;"",CONCATENATE(H24,G24,I24,CHAR(10)),"")</f>
        <v/>
      </c>
      <c r="K24" s="87"/>
    </row>
    <row r="25" spans="2:11" ht="15.75" customHeight="1" outlineLevel="1" x14ac:dyDescent="0.2">
      <c r="B25" s="10" t="s">
        <v>201</v>
      </c>
      <c r="C25" s="36"/>
      <c r="D25" s="141">
        <f>'DEM (Strategic Priorities)'!D29</f>
        <v>0</v>
      </c>
      <c r="E25" s="57">
        <f>'DEM (Strategic Priorities)'!E29</f>
        <v>0</v>
      </c>
      <c r="F25" s="87">
        <f t="shared" si="5"/>
        <v>0</v>
      </c>
      <c r="G25" s="87" t="str">
        <f t="shared" si="8"/>
        <v/>
      </c>
      <c r="H25" s="87" t="str">
        <f t="shared" si="6"/>
        <v/>
      </c>
      <c r="I25" s="131" t="str">
        <f t="shared" si="9"/>
        <v/>
      </c>
      <c r="J25" s="87" t="str">
        <f t="shared" si="11"/>
        <v/>
      </c>
      <c r="K25" s="87"/>
    </row>
    <row r="26" spans="2:11" ht="30" customHeight="1" outlineLevel="1" x14ac:dyDescent="0.2">
      <c r="B26" s="10" t="s">
        <v>202</v>
      </c>
      <c r="C26" s="36"/>
      <c r="D26" s="143">
        <f>'DEM (Strategic Priorities)'!D30</f>
        <v>0</v>
      </c>
      <c r="E26" s="57">
        <f>'DEM (Strategic Priorities)'!E30</f>
        <v>0</v>
      </c>
      <c r="F26" s="87">
        <f t="shared" ref="F26:F43" si="12">IF(E26="Yes",1,0)</f>
        <v>0</v>
      </c>
      <c r="G26" s="87" t="str">
        <f t="shared" si="8"/>
        <v/>
      </c>
      <c r="H26" s="87" t="str">
        <f t="shared" si="6"/>
        <v/>
      </c>
      <c r="I26" s="131" t="str">
        <f t="shared" si="9"/>
        <v/>
      </c>
      <c r="J26" s="87" t="str">
        <f t="shared" si="11"/>
        <v/>
      </c>
      <c r="K26" s="87"/>
    </row>
    <row r="27" spans="2:11" ht="15.75" customHeight="1" outlineLevel="1" x14ac:dyDescent="0.2">
      <c r="B27" s="10" t="s">
        <v>203</v>
      </c>
      <c r="C27" s="36"/>
      <c r="D27" s="143">
        <f>'DEM (Strategic Priorities)'!D31</f>
        <v>0</v>
      </c>
      <c r="E27" s="57">
        <f>'DEM (Strategic Priorities)'!E31</f>
        <v>0</v>
      </c>
      <c r="F27" s="87">
        <f t="shared" si="12"/>
        <v>0</v>
      </c>
      <c r="G27" s="87" t="str">
        <f t="shared" si="8"/>
        <v/>
      </c>
      <c r="H27" s="87" t="str">
        <f t="shared" si="6"/>
        <v/>
      </c>
      <c r="I27" s="131" t="str">
        <f t="shared" si="9"/>
        <v/>
      </c>
      <c r="J27" s="87" t="str">
        <f t="shared" si="11"/>
        <v/>
      </c>
      <c r="K27" s="87"/>
    </row>
    <row r="28" spans="2:11" ht="15.75" customHeight="1" outlineLevel="1" x14ac:dyDescent="0.2">
      <c r="B28" s="10" t="s">
        <v>204</v>
      </c>
      <c r="C28" s="36"/>
      <c r="D28" s="143">
        <f>'DEM (Strategic Priorities)'!D32</f>
        <v>0</v>
      </c>
      <c r="E28" s="57">
        <f>'DEM (Strategic Priorities)'!E32</f>
        <v>0</v>
      </c>
      <c r="F28" s="87">
        <f t="shared" si="12"/>
        <v>0</v>
      </c>
      <c r="G28" s="87" t="str">
        <f t="shared" si="8"/>
        <v/>
      </c>
      <c r="H28" s="87" t="str">
        <f t="shared" si="6"/>
        <v/>
      </c>
      <c r="I28" s="131" t="str">
        <f t="shared" si="9"/>
        <v/>
      </c>
      <c r="J28" s="87" t="str">
        <f t="shared" si="11"/>
        <v/>
      </c>
      <c r="K28" s="87"/>
    </row>
    <row r="29" spans="2:11" ht="15.75" customHeight="1" outlineLevel="1" x14ac:dyDescent="0.2">
      <c r="B29" s="10" t="s">
        <v>205</v>
      </c>
      <c r="C29" s="36"/>
      <c r="D29" s="143">
        <f>'DEM (Strategic Priorities)'!D33</f>
        <v>0</v>
      </c>
      <c r="E29" s="57">
        <f>'DEM (Strategic Priorities)'!E33</f>
        <v>0</v>
      </c>
      <c r="F29" s="87">
        <f t="shared" si="12"/>
        <v>0</v>
      </c>
      <c r="G29" s="87" t="str">
        <f t="shared" si="8"/>
        <v/>
      </c>
      <c r="H29" s="87" t="str">
        <f t="shared" si="6"/>
        <v/>
      </c>
      <c r="I29" s="131" t="str">
        <f t="shared" si="9"/>
        <v/>
      </c>
      <c r="J29" s="87" t="str">
        <f t="shared" si="11"/>
        <v/>
      </c>
      <c r="K29" s="87"/>
    </row>
    <row r="30" spans="2:11" ht="27" customHeight="1" outlineLevel="1" x14ac:dyDescent="0.2">
      <c r="B30" s="10" t="s">
        <v>206</v>
      </c>
      <c r="C30" s="36"/>
      <c r="D30" s="143">
        <f>'DEM (Strategic Priorities)'!D34</f>
        <v>0</v>
      </c>
      <c r="E30" s="57">
        <f>'DEM (Strategic Priorities)'!E34</f>
        <v>0</v>
      </c>
      <c r="F30" s="87">
        <f t="shared" si="12"/>
        <v>0</v>
      </c>
      <c r="G30" s="87" t="str">
        <f t="shared" si="8"/>
        <v/>
      </c>
      <c r="H30" s="87" t="str">
        <f t="shared" si="6"/>
        <v/>
      </c>
      <c r="I30" s="131" t="str">
        <f t="shared" si="9"/>
        <v/>
      </c>
      <c r="J30" s="87" t="str">
        <f t="shared" si="11"/>
        <v/>
      </c>
      <c r="K30" s="87"/>
    </row>
    <row r="31" spans="2:11" ht="15.75" customHeight="1" outlineLevel="1" x14ac:dyDescent="0.2">
      <c r="B31" s="10" t="s">
        <v>207</v>
      </c>
      <c r="C31" s="36"/>
      <c r="D31" s="143">
        <f>'DEM (Strategic Priorities)'!D35</f>
        <v>0</v>
      </c>
      <c r="E31" s="57" t="str">
        <f>'DEM (Strategic Priorities)'!E35</f>
        <v>Yes</v>
      </c>
      <c r="F31" s="87">
        <f t="shared" si="12"/>
        <v>1</v>
      </c>
      <c r="G31" s="87" t="str">
        <f t="shared" si="8"/>
        <v>Beneficiarios de programas de capacitación en el trabajo  (#)</v>
      </c>
      <c r="H31" s="87" t="str">
        <f t="shared" si="6"/>
        <v>-</v>
      </c>
      <c r="I31" s="131" t="str">
        <f t="shared" si="9"/>
        <v>*</v>
      </c>
      <c r="J31" s="87" t="str">
        <f t="shared" si="11"/>
        <v xml:space="preserve">-Beneficiarios de programas de capacitación en el trabajo  (#)*
</v>
      </c>
      <c r="K31" s="87"/>
    </row>
    <row r="32" spans="2:11" ht="15.75" customHeight="1" outlineLevel="1" x14ac:dyDescent="0.2">
      <c r="B32" s="10" t="s">
        <v>208</v>
      </c>
      <c r="C32" s="36"/>
      <c r="D32" s="143">
        <f>'DEM (Strategic Priorities)'!D36</f>
        <v>0</v>
      </c>
      <c r="E32" s="57">
        <f>'DEM (Strategic Priorities)'!E36</f>
        <v>0</v>
      </c>
      <c r="F32" s="87">
        <f t="shared" si="12"/>
        <v>0</v>
      </c>
      <c r="G32" s="87" t="str">
        <f t="shared" si="8"/>
        <v/>
      </c>
      <c r="H32" s="87" t="str">
        <f t="shared" si="6"/>
        <v/>
      </c>
      <c r="I32" s="131" t="str">
        <f t="shared" si="9"/>
        <v/>
      </c>
      <c r="J32" s="87" t="str">
        <f t="shared" si="11"/>
        <v/>
      </c>
      <c r="K32" s="87"/>
    </row>
    <row r="33" spans="2:11" ht="15.75" customHeight="1" outlineLevel="1" x14ac:dyDescent="0.2">
      <c r="B33" s="10" t="s">
        <v>209</v>
      </c>
      <c r="C33" s="36"/>
      <c r="D33" s="143">
        <f>'DEM (Strategic Priorities)'!D37</f>
        <v>0</v>
      </c>
      <c r="E33" s="57">
        <f>'DEM (Strategic Priorities)'!E37</f>
        <v>0</v>
      </c>
      <c r="F33" s="87">
        <f t="shared" si="12"/>
        <v>0</v>
      </c>
      <c r="G33" s="87" t="str">
        <f t="shared" si="8"/>
        <v/>
      </c>
      <c r="H33" s="87" t="str">
        <f t="shared" si="6"/>
        <v/>
      </c>
      <c r="I33" s="131" t="str">
        <f t="shared" si="9"/>
        <v/>
      </c>
      <c r="J33" s="87" t="str">
        <f t="shared" si="11"/>
        <v/>
      </c>
      <c r="K33" s="87"/>
    </row>
    <row r="34" spans="2:11" ht="15.75" customHeight="1" outlineLevel="1" x14ac:dyDescent="0.2">
      <c r="B34" s="10" t="s">
        <v>210</v>
      </c>
      <c r="C34" s="36"/>
      <c r="D34" s="143">
        <f>'DEM (Strategic Priorities)'!D38</f>
        <v>0</v>
      </c>
      <c r="E34" s="57" t="str">
        <f>'DEM (Strategic Priorities)'!E38</f>
        <v>Yes</v>
      </c>
      <c r="F34" s="87">
        <f t="shared" si="12"/>
        <v>1</v>
      </c>
      <c r="G34" s="87" t="str">
        <f t="shared" si="8"/>
        <v>Micro / pequeñas / medianas empresas financiadas (#)</v>
      </c>
      <c r="H34" s="87" t="str">
        <f t="shared" si="6"/>
        <v>-</v>
      </c>
      <c r="I34" s="131" t="str">
        <f t="shared" si="9"/>
        <v>*</v>
      </c>
      <c r="J34" s="87" t="str">
        <f t="shared" si="11"/>
        <v xml:space="preserve">-Micro / pequeñas / medianas empresas financiadas (#)*
</v>
      </c>
      <c r="K34" s="87"/>
    </row>
    <row r="35" spans="2:11" ht="15.75" customHeight="1" x14ac:dyDescent="0.2">
      <c r="B35" s="10" t="s">
        <v>211</v>
      </c>
      <c r="C35" s="36"/>
      <c r="D35" s="143">
        <f>'DEM (Strategic Priorities)'!D39</f>
        <v>0</v>
      </c>
      <c r="E35" s="57" t="str">
        <f>'DEM (Strategic Priorities)'!E39</f>
        <v>Yes</v>
      </c>
      <c r="F35" s="87">
        <f t="shared" si="12"/>
        <v>1</v>
      </c>
      <c r="G35" s="87" t="str">
        <f t="shared" si="8"/>
        <v>Micro / pequeñas / medianas empresas a las que se les proporciona apoyo no financiero  (#)</v>
      </c>
      <c r="H35" s="87" t="str">
        <f t="shared" si="6"/>
        <v>-</v>
      </c>
      <c r="I35" s="131" t="str">
        <f t="shared" si="9"/>
        <v>*</v>
      </c>
      <c r="J35" s="87" t="str">
        <f t="shared" si="11"/>
        <v xml:space="preserve">-Micro / pequeñas / medianas empresas a las que se les proporciona apoyo no financiero  (#)*
</v>
      </c>
      <c r="K35" s="87"/>
    </row>
    <row r="36" spans="2:11" ht="15.75" customHeight="1" outlineLevel="1" x14ac:dyDescent="0.2">
      <c r="B36" s="10" t="s">
        <v>212</v>
      </c>
      <c r="C36" s="36"/>
      <c r="D36" s="143">
        <f>'DEM (Strategic Priorities)'!D40</f>
        <v>0</v>
      </c>
      <c r="E36" s="57">
        <f>'DEM (Strategic Priorities)'!E40</f>
        <v>0</v>
      </c>
      <c r="F36" s="87">
        <f t="shared" si="12"/>
        <v>0</v>
      </c>
      <c r="G36" s="87" t="str">
        <f t="shared" si="8"/>
        <v/>
      </c>
      <c r="H36" s="87" t="str">
        <f t="shared" si="6"/>
        <v/>
      </c>
      <c r="I36" s="131" t="str">
        <f t="shared" si="9"/>
        <v/>
      </c>
      <c r="J36" s="87" t="str">
        <f t="shared" si="11"/>
        <v/>
      </c>
      <c r="K36" s="87"/>
    </row>
    <row r="37" spans="2:11" ht="27.75" customHeight="1" outlineLevel="1" x14ac:dyDescent="0.2">
      <c r="B37" s="10" t="s">
        <v>213</v>
      </c>
      <c r="C37" s="36"/>
      <c r="D37" s="143">
        <f>'DEM (Strategic Priorities)'!D41</f>
        <v>0</v>
      </c>
      <c r="E37" s="57">
        <f>'DEM (Strategic Priorities)'!E41</f>
        <v>0</v>
      </c>
      <c r="F37" s="87">
        <f t="shared" si="12"/>
        <v>0</v>
      </c>
      <c r="G37" s="87" t="str">
        <f t="shared" si="8"/>
        <v/>
      </c>
      <c r="H37" s="87" t="str">
        <f t="shared" si="6"/>
        <v/>
      </c>
      <c r="I37" s="131" t="str">
        <f t="shared" si="9"/>
        <v/>
      </c>
      <c r="J37" s="87" t="str">
        <f t="shared" si="11"/>
        <v/>
      </c>
      <c r="K37" s="87"/>
    </row>
    <row r="38" spans="2:11" ht="27" customHeight="1" outlineLevel="1" x14ac:dyDescent="0.2">
      <c r="B38" s="10" t="s">
        <v>214</v>
      </c>
      <c r="C38" s="36"/>
      <c r="D38" s="143">
        <f>'DEM (Strategic Priorities)'!D42</f>
        <v>0</v>
      </c>
      <c r="E38" s="57">
        <f>'DEM (Strategic Priorities)'!E42</f>
        <v>0</v>
      </c>
      <c r="F38" s="87">
        <f t="shared" si="12"/>
        <v>0</v>
      </c>
      <c r="G38" s="87" t="str">
        <f t="shared" si="8"/>
        <v/>
      </c>
      <c r="H38" s="87" t="str">
        <f t="shared" si="6"/>
        <v/>
      </c>
      <c r="I38" s="131" t="str">
        <f t="shared" si="9"/>
        <v/>
      </c>
      <c r="J38" s="87" t="str">
        <f t="shared" si="11"/>
        <v/>
      </c>
      <c r="K38" s="87"/>
    </row>
    <row r="39" spans="2:11" ht="15.75" customHeight="1" outlineLevel="1" x14ac:dyDescent="0.2">
      <c r="B39" s="10" t="s">
        <v>215</v>
      </c>
      <c r="C39" s="36"/>
      <c r="D39" s="143">
        <f>'DEM (Strategic Priorities)'!D43</f>
        <v>0</v>
      </c>
      <c r="E39" s="57">
        <f>'DEM (Strategic Priorities)'!E43</f>
        <v>0</v>
      </c>
      <c r="F39" s="87">
        <f t="shared" si="12"/>
        <v>0</v>
      </c>
      <c r="G39" s="87" t="str">
        <f t="shared" si="8"/>
        <v/>
      </c>
      <c r="H39" s="87" t="str">
        <f t="shared" si="6"/>
        <v/>
      </c>
      <c r="I39" s="131" t="str">
        <f t="shared" si="9"/>
        <v/>
      </c>
      <c r="J39" s="87" t="str">
        <f t="shared" si="11"/>
        <v/>
      </c>
      <c r="K39" s="87"/>
    </row>
    <row r="40" spans="2:11" ht="28.5" customHeight="1" outlineLevel="1" x14ac:dyDescent="0.2">
      <c r="B40" s="10" t="s">
        <v>216</v>
      </c>
      <c r="C40" s="36"/>
      <c r="D40" s="143">
        <f>'DEM (Strategic Priorities)'!D44</f>
        <v>0</v>
      </c>
      <c r="E40" s="57">
        <f>'DEM (Strategic Priorities)'!E44</f>
        <v>0</v>
      </c>
      <c r="F40" s="87">
        <f t="shared" si="12"/>
        <v>0</v>
      </c>
      <c r="G40" s="87" t="str">
        <f t="shared" si="8"/>
        <v/>
      </c>
      <c r="H40" s="87" t="str">
        <f t="shared" si="6"/>
        <v/>
      </c>
      <c r="I40" s="131" t="str">
        <f t="shared" si="9"/>
        <v/>
      </c>
      <c r="J40" s="87" t="str">
        <f t="shared" si="11"/>
        <v/>
      </c>
      <c r="K40" s="87"/>
    </row>
    <row r="41" spans="2:11" ht="15.75" customHeight="1" x14ac:dyDescent="0.2">
      <c r="B41" s="10" t="s">
        <v>217</v>
      </c>
      <c r="C41" s="36"/>
      <c r="D41" s="143">
        <f>'DEM (Strategic Priorities)'!D45</f>
        <v>0</v>
      </c>
      <c r="E41" s="57">
        <f>'DEM (Strategic Priorities)'!E45</f>
        <v>0</v>
      </c>
      <c r="F41" s="87">
        <f t="shared" si="12"/>
        <v>0</v>
      </c>
      <c r="G41" s="87" t="str">
        <f t="shared" si="8"/>
        <v/>
      </c>
      <c r="H41" s="87" t="str">
        <f t="shared" si="6"/>
        <v/>
      </c>
      <c r="I41" s="131" t="str">
        <f t="shared" si="9"/>
        <v/>
      </c>
      <c r="J41" s="87" t="str">
        <f t="shared" si="11"/>
        <v/>
      </c>
      <c r="K41" s="87"/>
    </row>
    <row r="42" spans="2:11" ht="15.75" customHeight="1" x14ac:dyDescent="0.2">
      <c r="B42" s="10" t="s">
        <v>218</v>
      </c>
      <c r="C42" s="36"/>
      <c r="D42" s="143">
        <f>'DEM (Strategic Priorities)'!D46</f>
        <v>0</v>
      </c>
      <c r="E42" s="57">
        <f>'DEM (Strategic Priorities)'!E46</f>
        <v>0</v>
      </c>
      <c r="F42" s="87">
        <f t="shared" si="12"/>
        <v>0</v>
      </c>
      <c r="G42" s="87" t="str">
        <f t="shared" si="8"/>
        <v/>
      </c>
      <c r="H42" s="87" t="str">
        <f t="shared" si="6"/>
        <v/>
      </c>
      <c r="I42" s="131" t="str">
        <f t="shared" si="9"/>
        <v/>
      </c>
      <c r="J42" s="87" t="str">
        <f t="shared" si="11"/>
        <v/>
      </c>
      <c r="K42" s="87"/>
    </row>
    <row r="43" spans="2:11" ht="27.75" customHeight="1" x14ac:dyDescent="0.2">
      <c r="B43" s="10" t="s">
        <v>219</v>
      </c>
      <c r="C43" s="36"/>
      <c r="D43" s="143">
        <f>'DEM (Strategic Priorities)'!D47</f>
        <v>0</v>
      </c>
      <c r="E43" s="57" t="str">
        <f>'DEM (Strategic Priorities)'!E47</f>
        <v>Yes</v>
      </c>
      <c r="F43" s="87">
        <f t="shared" si="12"/>
        <v>1</v>
      </c>
      <c r="G43" s="87" t="str">
        <f t="shared" si="8"/>
        <v>Agencias gubernamentales beneficiadas por proyectos que fortalecen los instrumentos tecnológicos y de gestión para mejorar la provisión de servicios públicos (#)</v>
      </c>
      <c r="H43" s="87" t="str">
        <f t="shared" si="6"/>
        <v>-</v>
      </c>
      <c r="I43" s="131" t="str">
        <f t="shared" si="9"/>
        <v>*</v>
      </c>
      <c r="J43" s="87" t="str">
        <f t="shared" si="11"/>
        <v xml:space="preserve">-Agencias gubernamentales beneficiadas por proyectos que fortalecen los instrumentos tecnológicos y de gestión para mejorar la provisión de servicios públicos (#)*
</v>
      </c>
      <c r="K43" s="87"/>
    </row>
    <row r="44" spans="2:11" ht="15.75" customHeight="1" x14ac:dyDescent="0.2">
      <c r="B44" s="181" t="s">
        <v>220</v>
      </c>
      <c r="C44" s="36"/>
      <c r="D44" s="143">
        <f>'DEM (Strategic Priorities)'!D49</f>
        <v>0</v>
      </c>
      <c r="E44" s="57" t="str">
        <f>'DEM (Strategic Priorities)'!E49</f>
        <v>Yes</v>
      </c>
      <c r="F44" s="87">
        <f t="shared" ref="F44:F73" si="13">IF(E44="Yes",1,0)</f>
        <v>1</v>
      </c>
      <c r="G44" s="87" t="str">
        <f t="shared" ref="G44:G73" si="14">IF(F44=1,B44,"")</f>
        <v>Maestros capacitados (#)</v>
      </c>
      <c r="H44" s="87" t="str">
        <f t="shared" ref="H44:H73" si="15">IF(G44&lt;&gt;"","-","")</f>
        <v>-</v>
      </c>
      <c r="I44" s="131" t="str">
        <f t="shared" ref="I44:I73" si="16">IF(E44="Yes","*","")</f>
        <v>*</v>
      </c>
      <c r="J44" s="87" t="str">
        <f t="shared" ref="J44:J73" si="17">IF(G44&lt;&gt;"",CONCATENATE(H44,G44,I44,CHAR(10)),"")</f>
        <v xml:space="preserve">-Maestros capacitados (#)*
</v>
      </c>
      <c r="K44" s="87"/>
    </row>
    <row r="45" spans="2:11" ht="15.75" customHeight="1" x14ac:dyDescent="0.2">
      <c r="B45" s="10" t="s">
        <v>221</v>
      </c>
      <c r="C45" s="36"/>
      <c r="D45" s="143">
        <f>'DEM (Strategic Priorities)'!D50</f>
        <v>0</v>
      </c>
      <c r="E45" s="57">
        <f>'DEM (Strategic Priorities)'!E50</f>
        <v>0</v>
      </c>
      <c r="F45" s="87">
        <f t="shared" si="13"/>
        <v>0</v>
      </c>
      <c r="G45" s="87" t="str">
        <f t="shared" si="14"/>
        <v/>
      </c>
      <c r="H45" s="87" t="str">
        <f t="shared" si="15"/>
        <v/>
      </c>
      <c r="I45" s="131" t="str">
        <f t="shared" si="16"/>
        <v/>
      </c>
      <c r="J45" s="87" t="str">
        <f t="shared" si="17"/>
        <v/>
      </c>
      <c r="K45" s="87"/>
    </row>
    <row r="46" spans="2:11" ht="15.75" customHeight="1" x14ac:dyDescent="0.2">
      <c r="B46" s="10" t="s">
        <v>222</v>
      </c>
      <c r="C46" s="36"/>
      <c r="D46" s="143">
        <f>'DEM (Strategic Priorities)'!D51</f>
        <v>0</v>
      </c>
      <c r="E46" s="57">
        <f>'DEM (Strategic Priorities)'!E51</f>
        <v>0</v>
      </c>
      <c r="F46" s="87">
        <f t="shared" si="13"/>
        <v>0</v>
      </c>
      <c r="G46" s="87" t="str">
        <f t="shared" si="14"/>
        <v/>
      </c>
      <c r="H46" s="87" t="str">
        <f t="shared" si="15"/>
        <v/>
      </c>
      <c r="I46" s="131" t="str">
        <f t="shared" si="16"/>
        <v/>
      </c>
      <c r="J46" s="87" t="str">
        <f t="shared" si="17"/>
        <v/>
      </c>
      <c r="K46" s="87"/>
    </row>
    <row r="47" spans="2:11" ht="15.75" customHeight="1" x14ac:dyDescent="0.2">
      <c r="B47" s="10" t="s">
        <v>223</v>
      </c>
      <c r="C47" s="36"/>
      <c r="D47" s="143">
        <f>'DEM (Strategic Priorities)'!D52</f>
        <v>0</v>
      </c>
      <c r="E47" s="57">
        <f>'DEM (Strategic Priorities)'!E52</f>
        <v>0</v>
      </c>
      <c r="F47" s="87">
        <f t="shared" si="13"/>
        <v>0</v>
      </c>
      <c r="G47" s="87" t="str">
        <f t="shared" si="14"/>
        <v/>
      </c>
      <c r="H47" s="87" t="str">
        <f t="shared" si="15"/>
        <v/>
      </c>
      <c r="I47" s="131" t="str">
        <f t="shared" si="16"/>
        <v/>
      </c>
      <c r="J47" s="87" t="str">
        <f t="shared" si="17"/>
        <v/>
      </c>
      <c r="K47" s="87"/>
    </row>
    <row r="48" spans="2:11" ht="15.75" customHeight="1" x14ac:dyDescent="0.2">
      <c r="B48" s="10" t="s">
        <v>224</v>
      </c>
      <c r="C48" s="36"/>
      <c r="D48" s="143">
        <f>'DEM (Strategic Priorities)'!D53</f>
        <v>0</v>
      </c>
      <c r="E48" s="57">
        <f>'DEM (Strategic Priorities)'!E53</f>
        <v>0</v>
      </c>
      <c r="F48" s="87">
        <f t="shared" si="13"/>
        <v>0</v>
      </c>
      <c r="G48" s="87" t="str">
        <f t="shared" si="14"/>
        <v/>
      </c>
      <c r="H48" s="87" t="str">
        <f t="shared" si="15"/>
        <v/>
      </c>
      <c r="I48" s="131" t="str">
        <f t="shared" si="16"/>
        <v/>
      </c>
      <c r="J48" s="87" t="str">
        <f t="shared" si="17"/>
        <v/>
      </c>
      <c r="K48" s="87"/>
    </row>
    <row r="49" spans="2:11" ht="15.75" customHeight="1" x14ac:dyDescent="0.2">
      <c r="B49" s="10" t="s">
        <v>225</v>
      </c>
      <c r="C49" s="36"/>
      <c r="D49" s="143">
        <f>'DEM (Strategic Priorities)'!D54</f>
        <v>0</v>
      </c>
      <c r="E49" s="57">
        <f>'DEM (Strategic Priorities)'!E54</f>
        <v>0</v>
      </c>
      <c r="F49" s="87">
        <f t="shared" si="13"/>
        <v>0</v>
      </c>
      <c r="G49" s="87" t="str">
        <f t="shared" si="14"/>
        <v/>
      </c>
      <c r="H49" s="87" t="str">
        <f t="shared" si="15"/>
        <v/>
      </c>
      <c r="I49" s="131" t="str">
        <f t="shared" si="16"/>
        <v/>
      </c>
      <c r="J49" s="87" t="str">
        <f t="shared" si="17"/>
        <v/>
      </c>
      <c r="K49" s="87"/>
    </row>
    <row r="50" spans="2:11" ht="15.75" customHeight="1" x14ac:dyDescent="0.2">
      <c r="B50" s="10" t="s">
        <v>226</v>
      </c>
      <c r="C50" s="36"/>
      <c r="D50" s="143">
        <f>'DEM (Strategic Priorities)'!D55</f>
        <v>0</v>
      </c>
      <c r="E50" s="57">
        <f>'DEM (Strategic Priorities)'!E55</f>
        <v>0</v>
      </c>
      <c r="F50" s="87">
        <f t="shared" si="13"/>
        <v>0</v>
      </c>
      <c r="G50" s="87" t="str">
        <f t="shared" si="14"/>
        <v/>
      </c>
      <c r="H50" s="87" t="str">
        <f t="shared" si="15"/>
        <v/>
      </c>
      <c r="I50" s="131" t="str">
        <f t="shared" si="16"/>
        <v/>
      </c>
      <c r="J50" s="87" t="str">
        <f t="shared" si="17"/>
        <v/>
      </c>
      <c r="K50" s="87"/>
    </row>
    <row r="51" spans="2:11" ht="15.75" customHeight="1" x14ac:dyDescent="0.2">
      <c r="B51" s="10" t="s">
        <v>227</v>
      </c>
      <c r="C51" s="36"/>
      <c r="D51" s="143">
        <f>'DEM (Strategic Priorities)'!D56</f>
        <v>0</v>
      </c>
      <c r="E51" s="57">
        <f>'DEM (Strategic Priorities)'!E56</f>
        <v>0</v>
      </c>
      <c r="F51" s="87">
        <f t="shared" si="13"/>
        <v>0</v>
      </c>
      <c r="G51" s="87" t="str">
        <f t="shared" si="14"/>
        <v/>
      </c>
      <c r="H51" s="87" t="str">
        <f t="shared" si="15"/>
        <v/>
      </c>
      <c r="I51" s="131" t="str">
        <f t="shared" si="16"/>
        <v/>
      </c>
      <c r="J51" s="87" t="str">
        <f t="shared" si="17"/>
        <v/>
      </c>
      <c r="K51" s="87"/>
    </row>
    <row r="52" spans="2:11" ht="15.75" customHeight="1" x14ac:dyDescent="0.2">
      <c r="B52" s="10" t="s">
        <v>228</v>
      </c>
      <c r="C52" s="36"/>
      <c r="D52" s="143">
        <f>'DEM (Strategic Priorities)'!D57</f>
        <v>0</v>
      </c>
      <c r="E52" s="57">
        <f>'DEM (Strategic Priorities)'!E57</f>
        <v>0</v>
      </c>
      <c r="F52" s="87">
        <f t="shared" si="13"/>
        <v>0</v>
      </c>
      <c r="G52" s="87" t="str">
        <f t="shared" si="14"/>
        <v/>
      </c>
      <c r="H52" s="87" t="str">
        <f t="shared" si="15"/>
        <v/>
      </c>
      <c r="I52" s="131" t="str">
        <f t="shared" si="16"/>
        <v/>
      </c>
      <c r="J52" s="87" t="str">
        <f t="shared" si="17"/>
        <v/>
      </c>
      <c r="K52" s="87"/>
    </row>
    <row r="53" spans="2:11" ht="15.75" customHeight="1" x14ac:dyDescent="0.2">
      <c r="B53" s="10" t="s">
        <v>229</v>
      </c>
      <c r="C53" s="36"/>
      <c r="D53" s="143">
        <f>'DEM (Strategic Priorities)'!D58</f>
        <v>0</v>
      </c>
      <c r="E53" s="57">
        <f>'DEM (Strategic Priorities)'!E58</f>
        <v>0</v>
      </c>
      <c r="F53" s="87">
        <f t="shared" si="13"/>
        <v>0</v>
      </c>
      <c r="G53" s="87" t="str">
        <f t="shared" si="14"/>
        <v/>
      </c>
      <c r="H53" s="87" t="str">
        <f t="shared" si="15"/>
        <v/>
      </c>
      <c r="I53" s="131" t="str">
        <f t="shared" si="16"/>
        <v/>
      </c>
      <c r="J53" s="87" t="str">
        <f t="shared" si="17"/>
        <v/>
      </c>
      <c r="K53" s="87"/>
    </row>
    <row r="54" spans="2:11" ht="15.75" customHeight="1" x14ac:dyDescent="0.2">
      <c r="B54" s="10" t="s">
        <v>230</v>
      </c>
      <c r="C54" s="36"/>
      <c r="D54" s="143">
        <f>'DEM (Strategic Priorities)'!D59</f>
        <v>0</v>
      </c>
      <c r="E54" s="57">
        <f>'DEM (Strategic Priorities)'!E59</f>
        <v>0</v>
      </c>
      <c r="F54" s="87">
        <f t="shared" si="13"/>
        <v>0</v>
      </c>
      <c r="G54" s="87" t="str">
        <f t="shared" si="14"/>
        <v/>
      </c>
      <c r="H54" s="87" t="str">
        <f t="shared" si="15"/>
        <v/>
      </c>
      <c r="I54" s="131" t="str">
        <f t="shared" si="16"/>
        <v/>
      </c>
      <c r="J54" s="87" t="str">
        <f t="shared" si="17"/>
        <v/>
      </c>
      <c r="K54" s="87"/>
    </row>
    <row r="55" spans="2:11" ht="15.75" customHeight="1" x14ac:dyDescent="0.2">
      <c r="B55" s="10" t="s">
        <v>231</v>
      </c>
      <c r="C55" s="36"/>
      <c r="D55" s="143">
        <f>'DEM (Strategic Priorities)'!D60</f>
        <v>0</v>
      </c>
      <c r="E55" s="57">
        <f>'DEM (Strategic Priorities)'!E60</f>
        <v>0</v>
      </c>
      <c r="F55" s="87">
        <f t="shared" si="13"/>
        <v>0</v>
      </c>
      <c r="G55" s="87" t="str">
        <f t="shared" si="14"/>
        <v/>
      </c>
      <c r="H55" s="87" t="str">
        <f t="shared" si="15"/>
        <v/>
      </c>
      <c r="I55" s="131" t="str">
        <f t="shared" si="16"/>
        <v/>
      </c>
      <c r="J55" s="87" t="str">
        <f t="shared" si="17"/>
        <v/>
      </c>
      <c r="K55" s="87"/>
    </row>
    <row r="56" spans="2:11" ht="15.75" customHeight="1" x14ac:dyDescent="0.2">
      <c r="B56" s="10" t="s">
        <v>232</v>
      </c>
      <c r="C56" s="36"/>
      <c r="D56" s="143">
        <f>'DEM (Strategic Priorities)'!D61</f>
        <v>0</v>
      </c>
      <c r="E56" s="57">
        <f>'DEM (Strategic Priorities)'!E61</f>
        <v>0</v>
      </c>
      <c r="F56" s="87">
        <f t="shared" si="13"/>
        <v>0</v>
      </c>
      <c r="G56" s="87" t="str">
        <f t="shared" si="14"/>
        <v/>
      </c>
      <c r="H56" s="87" t="str">
        <f t="shared" si="15"/>
        <v/>
      </c>
      <c r="I56" s="131" t="str">
        <f t="shared" si="16"/>
        <v/>
      </c>
      <c r="J56" s="87" t="str">
        <f t="shared" si="17"/>
        <v/>
      </c>
      <c r="K56" s="87"/>
    </row>
    <row r="57" spans="2:11" ht="25.5" x14ac:dyDescent="0.2">
      <c r="B57" s="10" t="s">
        <v>233</v>
      </c>
      <c r="C57" s="36"/>
      <c r="D57" s="143">
        <f>'DEM (Strategic Priorities)'!D62</f>
        <v>0</v>
      </c>
      <c r="E57" s="57">
        <f>'DEM (Strategic Priorities)'!E62</f>
        <v>0</v>
      </c>
      <c r="F57" s="87">
        <f t="shared" si="13"/>
        <v>0</v>
      </c>
      <c r="G57" s="87" t="str">
        <f t="shared" si="14"/>
        <v/>
      </c>
      <c r="H57" s="87" t="str">
        <f t="shared" si="15"/>
        <v/>
      </c>
      <c r="I57" s="131" t="str">
        <f t="shared" si="16"/>
        <v/>
      </c>
      <c r="J57" s="87" t="str">
        <f t="shared" si="17"/>
        <v/>
      </c>
      <c r="K57" s="87"/>
    </row>
    <row r="58" spans="2:11" x14ac:dyDescent="0.2">
      <c r="B58" s="10" t="s">
        <v>234</v>
      </c>
      <c r="C58" s="36"/>
      <c r="D58" s="143">
        <f>'DEM (Strategic Priorities)'!D63</f>
        <v>0</v>
      </c>
      <c r="E58" s="57">
        <f>'DEM (Strategic Priorities)'!E63</f>
        <v>0</v>
      </c>
      <c r="F58" s="87">
        <f t="shared" si="13"/>
        <v>0</v>
      </c>
      <c r="G58" s="87" t="str">
        <f t="shared" si="14"/>
        <v/>
      </c>
      <c r="H58" s="87" t="str">
        <f t="shared" si="15"/>
        <v/>
      </c>
      <c r="I58" s="131" t="str">
        <f t="shared" si="16"/>
        <v/>
      </c>
      <c r="J58" s="87" t="str">
        <f t="shared" si="17"/>
        <v/>
      </c>
      <c r="K58" s="87"/>
    </row>
    <row r="59" spans="2:11" ht="25.5" x14ac:dyDescent="0.2">
      <c r="B59" s="10" t="s">
        <v>235</v>
      </c>
      <c r="C59" s="36"/>
      <c r="D59" s="143">
        <f>'DEM (Strategic Priorities)'!D64</f>
        <v>0</v>
      </c>
      <c r="E59" s="57">
        <f>'DEM (Strategic Priorities)'!E64</f>
        <v>0</v>
      </c>
      <c r="F59" s="87">
        <f t="shared" si="13"/>
        <v>0</v>
      </c>
      <c r="G59" s="87" t="str">
        <f t="shared" si="14"/>
        <v/>
      </c>
      <c r="H59" s="87" t="str">
        <f t="shared" si="15"/>
        <v/>
      </c>
      <c r="I59" s="131" t="str">
        <f t="shared" si="16"/>
        <v/>
      </c>
      <c r="J59" s="87" t="str">
        <f t="shared" si="17"/>
        <v/>
      </c>
      <c r="K59" s="87"/>
    </row>
    <row r="60" spans="2:11" x14ac:dyDescent="0.2">
      <c r="B60" s="195" t="s">
        <v>236</v>
      </c>
      <c r="C60" s="197"/>
      <c r="D60" s="198">
        <f>'DEM (Strategic Priorities)'!D65</f>
        <v>0</v>
      </c>
      <c r="E60" s="199">
        <f>'DEM (Strategic Priorities)'!E65</f>
        <v>0</v>
      </c>
      <c r="F60" s="87">
        <f t="shared" ref="F60" si="18">IF(E60="Yes",1,0)</f>
        <v>0</v>
      </c>
      <c r="G60" s="87" t="str">
        <f t="shared" ref="G60" si="19">IF(F60=1,B60,"")</f>
        <v/>
      </c>
      <c r="H60" s="87" t="str">
        <f t="shared" ref="H60" si="20">IF(G60&lt;&gt;"","-","")</f>
        <v/>
      </c>
      <c r="I60" s="131" t="str">
        <f t="shared" ref="I60" si="21">IF(E60="Yes","*","")</f>
        <v/>
      </c>
      <c r="J60" s="87" t="str">
        <f t="shared" ref="J60" si="22">IF(G60&lt;&gt;"",CONCATENATE(H60,G60,I60,CHAR(10)),"")</f>
        <v/>
      </c>
      <c r="K60" s="87"/>
    </row>
    <row r="61" spans="2:11" x14ac:dyDescent="0.2">
      <c r="B61" s="10" t="s">
        <v>237</v>
      </c>
      <c r="C61" s="36"/>
      <c r="D61" s="143">
        <f>'DEM (Strategic Priorities)'!D66</f>
        <v>0</v>
      </c>
      <c r="E61" s="57">
        <f>'DEM (Strategic Priorities)'!E66</f>
        <v>0</v>
      </c>
      <c r="F61" s="87">
        <f t="shared" si="13"/>
        <v>0</v>
      </c>
      <c r="G61" s="87" t="str">
        <f t="shared" si="14"/>
        <v/>
      </c>
      <c r="H61" s="87" t="str">
        <f t="shared" si="15"/>
        <v/>
      </c>
      <c r="I61" s="131" t="str">
        <f t="shared" si="16"/>
        <v/>
      </c>
      <c r="J61" s="87" t="str">
        <f t="shared" si="17"/>
        <v/>
      </c>
      <c r="K61" s="87"/>
    </row>
    <row r="62" spans="2:11" ht="25.5" x14ac:dyDescent="0.2">
      <c r="B62" s="10" t="s">
        <v>238</v>
      </c>
      <c r="C62" s="36"/>
      <c r="D62" s="143">
        <f>'DEM (Strategic Priorities)'!D67</f>
        <v>0</v>
      </c>
      <c r="E62" s="57">
        <f>'DEM (Strategic Priorities)'!E67</f>
        <v>0</v>
      </c>
      <c r="F62" s="87">
        <f t="shared" si="13"/>
        <v>0</v>
      </c>
      <c r="G62" s="87" t="str">
        <f t="shared" si="14"/>
        <v/>
      </c>
      <c r="H62" s="87" t="str">
        <f t="shared" si="15"/>
        <v/>
      </c>
      <c r="I62" s="131" t="str">
        <f t="shared" si="16"/>
        <v/>
      </c>
      <c r="J62" s="87" t="str">
        <f t="shared" si="17"/>
        <v/>
      </c>
      <c r="K62" s="87"/>
    </row>
    <row r="63" spans="2:11" x14ac:dyDescent="0.2">
      <c r="B63" s="195" t="s">
        <v>239</v>
      </c>
      <c r="C63" s="197"/>
      <c r="D63" s="198">
        <f>'DEM (Strategic Priorities)'!D68</f>
        <v>0</v>
      </c>
      <c r="E63" s="199">
        <f>'DEM (Strategic Priorities)'!E68</f>
        <v>0</v>
      </c>
      <c r="F63" s="87">
        <f t="shared" ref="F63" si="23">IF(E63="Yes",1,0)</f>
        <v>0</v>
      </c>
      <c r="G63" s="87" t="str">
        <f t="shared" ref="G63" si="24">IF(F63=1,B63,"")</f>
        <v/>
      </c>
      <c r="H63" s="87" t="str">
        <f t="shared" ref="H63" si="25">IF(G63&lt;&gt;"","-","")</f>
        <v/>
      </c>
      <c r="I63" s="131" t="str">
        <f t="shared" ref="I63" si="26">IF(E63="Yes","*","")</f>
        <v/>
      </c>
      <c r="J63" s="87" t="str">
        <f t="shared" ref="J63" si="27">IF(G63&lt;&gt;"",CONCATENATE(H63,G63,I63,CHAR(10)),"")</f>
        <v/>
      </c>
      <c r="K63" s="87"/>
    </row>
    <row r="64" spans="2:11" ht="15.75" customHeight="1" x14ac:dyDescent="0.2">
      <c r="B64" s="10" t="s">
        <v>240</v>
      </c>
      <c r="C64" s="36"/>
      <c r="D64" s="143">
        <f>'DEM (Strategic Priorities)'!D69</f>
        <v>0</v>
      </c>
      <c r="E64" s="57">
        <f>'DEM (Strategic Priorities)'!E69</f>
        <v>0</v>
      </c>
      <c r="F64" s="87">
        <f t="shared" si="13"/>
        <v>0</v>
      </c>
      <c r="G64" s="87" t="str">
        <f t="shared" si="14"/>
        <v/>
      </c>
      <c r="H64" s="87" t="str">
        <f t="shared" si="15"/>
        <v/>
      </c>
      <c r="I64" s="131" t="str">
        <f t="shared" si="16"/>
        <v/>
      </c>
      <c r="J64" s="87" t="str">
        <f t="shared" si="17"/>
        <v/>
      </c>
      <c r="K64" s="87"/>
    </row>
    <row r="65" spans="2:11" ht="15.75" customHeight="1" x14ac:dyDescent="0.2">
      <c r="B65" s="10" t="s">
        <v>241</v>
      </c>
      <c r="C65" s="36"/>
      <c r="D65" s="143">
        <f>'DEM (Strategic Priorities)'!D70</f>
        <v>0</v>
      </c>
      <c r="E65" s="57">
        <f>'DEM (Strategic Priorities)'!E70</f>
        <v>0</v>
      </c>
      <c r="F65" s="87">
        <f t="shared" si="13"/>
        <v>0</v>
      </c>
      <c r="G65" s="87" t="str">
        <f t="shared" si="14"/>
        <v/>
      </c>
      <c r="H65" s="87" t="str">
        <f t="shared" si="15"/>
        <v/>
      </c>
      <c r="I65" s="131" t="str">
        <f t="shared" si="16"/>
        <v/>
      </c>
      <c r="J65" s="87" t="str">
        <f t="shared" si="17"/>
        <v/>
      </c>
      <c r="K65" s="87"/>
    </row>
    <row r="66" spans="2:11" ht="15.75" customHeight="1" x14ac:dyDescent="0.2">
      <c r="B66" s="10" t="s">
        <v>242</v>
      </c>
      <c r="C66" s="36"/>
      <c r="D66" s="143">
        <f>'DEM (Strategic Priorities)'!D71</f>
        <v>0</v>
      </c>
      <c r="E66" s="57">
        <f>'DEM (Strategic Priorities)'!E71</f>
        <v>0</v>
      </c>
      <c r="F66" s="87">
        <f t="shared" si="13"/>
        <v>0</v>
      </c>
      <c r="G66" s="87" t="str">
        <f t="shared" si="14"/>
        <v/>
      </c>
      <c r="H66" s="87" t="str">
        <f t="shared" si="15"/>
        <v/>
      </c>
      <c r="I66" s="131" t="str">
        <f t="shared" si="16"/>
        <v/>
      </c>
      <c r="J66" s="87" t="str">
        <f t="shared" si="17"/>
        <v/>
      </c>
      <c r="K66" s="87"/>
    </row>
    <row r="67" spans="2:11" ht="15.75" customHeight="1" x14ac:dyDescent="0.2">
      <c r="B67" s="195" t="s">
        <v>243</v>
      </c>
      <c r="C67" s="197"/>
      <c r="D67" s="198">
        <f>'DEM (Strategic Priorities)'!D72</f>
        <v>0</v>
      </c>
      <c r="E67" s="199">
        <f>'DEM (Strategic Priorities)'!E72</f>
        <v>0</v>
      </c>
      <c r="F67" s="87">
        <f t="shared" si="13"/>
        <v>0</v>
      </c>
      <c r="G67" s="87" t="str">
        <f t="shared" si="14"/>
        <v/>
      </c>
      <c r="H67" s="87" t="str">
        <f t="shared" si="15"/>
        <v/>
      </c>
      <c r="I67" s="131" t="str">
        <f t="shared" si="16"/>
        <v/>
      </c>
      <c r="J67" s="87" t="str">
        <f t="shared" si="17"/>
        <v/>
      </c>
      <c r="K67" s="87"/>
    </row>
    <row r="68" spans="2:11" ht="15.75" customHeight="1" x14ac:dyDescent="0.2">
      <c r="B68" s="195" t="s">
        <v>244</v>
      </c>
      <c r="C68" s="197"/>
      <c r="D68" s="198">
        <f>'DEM (Strategic Priorities)'!D73</f>
        <v>0</v>
      </c>
      <c r="E68" s="199">
        <f>'DEM (Strategic Priorities)'!E73</f>
        <v>0</v>
      </c>
      <c r="F68" s="87">
        <f t="shared" ref="F68:F72" si="28">IF(E68="Yes",1,0)</f>
        <v>0</v>
      </c>
      <c r="G68" s="87" t="str">
        <f t="shared" ref="G68:G72" si="29">IF(F68=1,B68,"")</f>
        <v/>
      </c>
      <c r="H68" s="87" t="str">
        <f t="shared" ref="H68:H72" si="30">IF(G68&lt;&gt;"","-","")</f>
        <v/>
      </c>
      <c r="I68" s="131" t="str">
        <f t="shared" ref="I68:I72" si="31">IF(E68="Yes","*","")</f>
        <v/>
      </c>
      <c r="J68" s="87" t="str">
        <f t="shared" ref="J68:J72" si="32">IF(G68&lt;&gt;"",CONCATENATE(H68,G68,I68,CHAR(10)),"")</f>
        <v/>
      </c>
      <c r="K68" s="87"/>
    </row>
    <row r="69" spans="2:11" ht="15.75" customHeight="1" x14ac:dyDescent="0.2">
      <c r="B69" s="195" t="s">
        <v>245</v>
      </c>
      <c r="C69" s="197"/>
      <c r="D69" s="198">
        <f>'DEM (Strategic Priorities)'!D74</f>
        <v>0</v>
      </c>
      <c r="E69" s="199">
        <f>'DEM (Strategic Priorities)'!E74</f>
        <v>0</v>
      </c>
      <c r="F69" s="87">
        <f t="shared" si="28"/>
        <v>0</v>
      </c>
      <c r="G69" s="87" t="str">
        <f t="shared" si="29"/>
        <v/>
      </c>
      <c r="H69" s="87" t="str">
        <f t="shared" si="30"/>
        <v/>
      </c>
      <c r="I69" s="131" t="str">
        <f t="shared" si="31"/>
        <v/>
      </c>
      <c r="J69" s="87" t="str">
        <f t="shared" si="32"/>
        <v/>
      </c>
      <c r="K69" s="87"/>
    </row>
    <row r="70" spans="2:11" ht="15.75" customHeight="1" x14ac:dyDescent="0.2">
      <c r="B70" s="195" t="s">
        <v>246</v>
      </c>
      <c r="C70" s="197"/>
      <c r="D70" s="198">
        <f>'DEM (Strategic Priorities)'!D75</f>
        <v>0</v>
      </c>
      <c r="E70" s="199">
        <f>'DEM (Strategic Priorities)'!E75</f>
        <v>0</v>
      </c>
      <c r="F70" s="87">
        <f t="shared" si="28"/>
        <v>0</v>
      </c>
      <c r="G70" s="87" t="str">
        <f t="shared" si="29"/>
        <v/>
      </c>
      <c r="H70" s="87" t="str">
        <f t="shared" si="30"/>
        <v/>
      </c>
      <c r="I70" s="131" t="str">
        <f t="shared" si="31"/>
        <v/>
      </c>
      <c r="J70" s="87" t="str">
        <f t="shared" si="32"/>
        <v/>
      </c>
      <c r="K70" s="87"/>
    </row>
    <row r="71" spans="2:11" ht="15.75" customHeight="1" x14ac:dyDescent="0.2">
      <c r="B71" s="195" t="s">
        <v>247</v>
      </c>
      <c r="C71" s="197"/>
      <c r="D71" s="198">
        <f>'DEM (Strategic Priorities)'!D76</f>
        <v>0</v>
      </c>
      <c r="E71" s="199">
        <f>'DEM (Strategic Priorities)'!E76</f>
        <v>0</v>
      </c>
      <c r="F71" s="87">
        <f t="shared" si="28"/>
        <v>0</v>
      </c>
      <c r="G71" s="87" t="str">
        <f t="shared" si="29"/>
        <v/>
      </c>
      <c r="H71" s="87" t="str">
        <f t="shared" si="30"/>
        <v/>
      </c>
      <c r="I71" s="131" t="str">
        <f t="shared" si="31"/>
        <v/>
      </c>
      <c r="J71" s="87" t="str">
        <f t="shared" si="32"/>
        <v/>
      </c>
      <c r="K71" s="87"/>
    </row>
    <row r="72" spans="2:11" ht="15.75" customHeight="1" x14ac:dyDescent="0.2">
      <c r="B72" s="195" t="s">
        <v>248</v>
      </c>
      <c r="C72" s="197"/>
      <c r="D72" s="198">
        <f>'DEM (Strategic Priorities)'!D77</f>
        <v>0</v>
      </c>
      <c r="E72" s="199">
        <f>'DEM (Strategic Priorities)'!E77</f>
        <v>0</v>
      </c>
      <c r="F72" s="87">
        <f t="shared" si="28"/>
        <v>0</v>
      </c>
      <c r="G72" s="87" t="str">
        <f t="shared" si="29"/>
        <v/>
      </c>
      <c r="H72" s="87" t="str">
        <f t="shared" si="30"/>
        <v/>
      </c>
      <c r="I72" s="131" t="str">
        <f t="shared" si="31"/>
        <v/>
      </c>
      <c r="J72" s="87" t="str">
        <f t="shared" si="32"/>
        <v/>
      </c>
      <c r="K72" s="87"/>
    </row>
    <row r="73" spans="2:11" ht="15.75" customHeight="1" x14ac:dyDescent="0.2">
      <c r="B73" s="10" t="s">
        <v>249</v>
      </c>
      <c r="C73" s="36"/>
      <c r="D73" s="143">
        <f>'DEM (Strategic Priorities)'!D78</f>
        <v>0</v>
      </c>
      <c r="E73" s="57">
        <f>'DEM (Strategic Priorities)'!E78</f>
        <v>0</v>
      </c>
      <c r="F73" s="87">
        <f t="shared" si="13"/>
        <v>0</v>
      </c>
      <c r="G73" s="87" t="str">
        <f t="shared" si="14"/>
        <v/>
      </c>
      <c r="H73" s="87" t="str">
        <f t="shared" si="15"/>
        <v/>
      </c>
      <c r="I73" s="131" t="str">
        <f t="shared" si="16"/>
        <v/>
      </c>
      <c r="J73" s="87" t="str">
        <f t="shared" si="17"/>
        <v/>
      </c>
      <c r="K73" s="87"/>
    </row>
    <row r="74" spans="2:11" ht="35.25" customHeight="1" thickBot="1" x14ac:dyDescent="0.25">
      <c r="D74" s="308"/>
      <c r="E74" s="308"/>
      <c r="F74" s="85"/>
      <c r="G74" s="85"/>
      <c r="H74" s="85"/>
      <c r="I74" s="85"/>
      <c r="J74" s="85"/>
      <c r="K74" s="85"/>
    </row>
    <row r="75" spans="2:11" ht="43.5" customHeight="1" x14ac:dyDescent="0.2">
      <c r="B75" s="12" t="s">
        <v>250</v>
      </c>
      <c r="C75" s="65"/>
      <c r="D75" s="148"/>
      <c r="E75" s="135"/>
      <c r="F75" s="85"/>
      <c r="G75" s="85"/>
      <c r="H75" s="85"/>
      <c r="I75" s="85"/>
      <c r="J75" s="85"/>
      <c r="K75" s="85"/>
    </row>
    <row r="76" spans="2:11" ht="24" customHeight="1" x14ac:dyDescent="0.2">
      <c r="B76" s="13" t="s">
        <v>168</v>
      </c>
      <c r="C76" s="11"/>
      <c r="D76" s="55"/>
      <c r="E76" s="136"/>
      <c r="F76" s="85"/>
      <c r="G76" s="85"/>
      <c r="H76" s="85"/>
      <c r="I76" s="85"/>
      <c r="J76" s="85"/>
      <c r="K76" s="85"/>
    </row>
    <row r="77" spans="2:11" ht="28.5" customHeight="1" x14ac:dyDescent="0.2">
      <c r="B77" s="9" t="s">
        <v>251</v>
      </c>
      <c r="C77" s="35" t="s">
        <v>252</v>
      </c>
      <c r="D77" s="56"/>
      <c r="E77" s="134"/>
      <c r="F77" s="85"/>
      <c r="G77" s="85"/>
      <c r="H77" s="85"/>
      <c r="I77" s="85"/>
      <c r="J77" s="85"/>
      <c r="K77" s="85"/>
    </row>
    <row r="78" spans="2:11" ht="24" customHeight="1" x14ac:dyDescent="0.2">
      <c r="B78" s="9" t="s">
        <v>253</v>
      </c>
      <c r="C78" s="35" t="s">
        <v>254</v>
      </c>
      <c r="D78" s="56"/>
      <c r="E78" s="134"/>
      <c r="F78" s="85"/>
      <c r="G78" s="85"/>
      <c r="H78" s="85"/>
      <c r="I78" s="85"/>
      <c r="J78" s="85"/>
      <c r="K78" s="85"/>
    </row>
    <row r="79" spans="2:11" ht="28.5" customHeight="1" x14ac:dyDescent="0.2">
      <c r="B79" s="67" t="s">
        <v>172</v>
      </c>
      <c r="C79" s="11"/>
      <c r="D79" s="55"/>
      <c r="E79" s="136"/>
      <c r="F79" s="85"/>
      <c r="G79" s="85"/>
      <c r="H79" s="85"/>
      <c r="I79" s="85"/>
      <c r="J79" s="85"/>
      <c r="K79" s="85"/>
    </row>
    <row r="80" spans="2:11" ht="25.5" x14ac:dyDescent="0.2">
      <c r="B80" s="9" t="s">
        <v>173</v>
      </c>
      <c r="C80" s="35" t="s">
        <v>255</v>
      </c>
      <c r="D80" s="56"/>
      <c r="E80" s="134"/>
      <c r="F80" s="85"/>
      <c r="G80" s="85"/>
      <c r="H80" s="85"/>
      <c r="I80" s="85"/>
      <c r="J80" s="85"/>
      <c r="K80" s="85"/>
    </row>
    <row r="81" spans="2:11" x14ac:dyDescent="0.2">
      <c r="B81" s="13" t="s">
        <v>256</v>
      </c>
      <c r="C81" s="11"/>
      <c r="D81" s="55"/>
      <c r="E81" s="136"/>
      <c r="F81" s="85"/>
      <c r="G81" s="85"/>
      <c r="H81" s="85"/>
      <c r="I81" s="85"/>
      <c r="J81" s="85"/>
      <c r="K81" s="85"/>
    </row>
    <row r="82" spans="2:11" ht="26.25" thickBot="1" x14ac:dyDescent="0.25">
      <c r="B82" s="31" t="s">
        <v>176</v>
      </c>
      <c r="C82" s="34" t="s">
        <v>177</v>
      </c>
      <c r="D82" s="56"/>
      <c r="E82" s="134"/>
      <c r="F82" s="85"/>
      <c r="G82" s="85"/>
      <c r="H82" s="85"/>
      <c r="I82" s="85"/>
      <c r="J82" s="85"/>
      <c r="K82" s="85"/>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AM115"/>
  <sheetViews>
    <sheetView zoomScale="70" zoomScaleNormal="70" zoomScaleSheetLayoutView="70" workbookViewId="0">
      <selection activeCell="D66" sqref="D66"/>
    </sheetView>
  </sheetViews>
  <sheetFormatPr defaultColWidth="9.140625" defaultRowHeight="12.75" x14ac:dyDescent="0.2"/>
  <cols>
    <col min="1" max="1" width="0.28515625" style="2" customWidth="1"/>
    <col min="2" max="2" width="139.28515625" style="3" customWidth="1"/>
    <col min="3" max="3" width="55.28515625" style="3" customWidth="1"/>
    <col min="4" max="4" width="16.7109375" style="15" customWidth="1"/>
    <col min="5" max="5" width="11.42578125" style="217" hidden="1" customWidth="1"/>
    <col min="6" max="6" width="12.85546875" style="257" hidden="1" customWidth="1"/>
    <col min="7" max="7" width="14.7109375" style="6" customWidth="1"/>
    <col min="8" max="8" width="11" style="85" hidden="1" customWidth="1"/>
    <col min="9" max="9" width="62" style="266" customWidth="1"/>
    <col min="10" max="10" width="60.140625" style="266" customWidth="1"/>
    <col min="11" max="11" width="51.140625" style="266" customWidth="1"/>
    <col min="12" max="39" width="9.140625" style="37"/>
    <col min="40" max="16384" width="9.140625" style="2"/>
  </cols>
  <sheetData>
    <row r="1" spans="1:11" ht="13.5" thickBot="1" x14ac:dyDescent="0.25">
      <c r="B1" s="259"/>
      <c r="C1" s="260"/>
      <c r="D1" s="261"/>
    </row>
    <row r="2" spans="1:11" ht="18" x14ac:dyDescent="0.2">
      <c r="A2" s="264"/>
      <c r="B2" s="482" t="s">
        <v>76</v>
      </c>
      <c r="C2" s="483"/>
      <c r="D2" s="484"/>
      <c r="E2" s="215"/>
      <c r="F2" s="215"/>
      <c r="G2" s="214"/>
    </row>
    <row r="3" spans="1:11" ht="18.75" thickBot="1" x14ac:dyDescent="0.25">
      <c r="A3" s="265"/>
      <c r="B3" s="496" t="s">
        <v>257</v>
      </c>
      <c r="C3" s="490"/>
      <c r="D3" s="497"/>
      <c r="E3" s="215"/>
      <c r="F3" s="215"/>
      <c r="G3" s="214"/>
    </row>
    <row r="4" spans="1:11" ht="18" x14ac:dyDescent="0.2">
      <c r="A4" s="16" t="s">
        <v>258</v>
      </c>
      <c r="B4" s="262"/>
      <c r="C4" s="132"/>
      <c r="D4" s="263"/>
      <c r="E4" s="258"/>
      <c r="F4" s="258"/>
      <c r="G4" s="132"/>
    </row>
    <row r="5" spans="1:11" ht="23.25" customHeight="1" x14ac:dyDescent="0.2">
      <c r="A5" s="16"/>
      <c r="B5" s="498" t="s">
        <v>259</v>
      </c>
      <c r="C5" s="499"/>
      <c r="D5" s="500"/>
      <c r="E5" s="96"/>
      <c r="F5" s="96"/>
      <c r="G5" s="24"/>
    </row>
    <row r="6" spans="1:11" ht="32.25" customHeight="1" x14ac:dyDescent="0.2">
      <c r="A6" s="4">
        <v>1</v>
      </c>
      <c r="B6" s="501" t="s">
        <v>260</v>
      </c>
      <c r="C6" s="374"/>
      <c r="D6" s="485"/>
      <c r="E6" s="216"/>
      <c r="F6" s="216"/>
      <c r="G6" s="23"/>
    </row>
    <row r="7" spans="1:11" ht="35.25" customHeight="1" thickBot="1" x14ac:dyDescent="0.25">
      <c r="A7" s="21">
        <v>2</v>
      </c>
      <c r="B7" s="502" t="s">
        <v>261</v>
      </c>
      <c r="C7" s="503"/>
      <c r="D7" s="504"/>
      <c r="E7" s="216"/>
      <c r="F7" s="216"/>
      <c r="G7" s="23"/>
    </row>
    <row r="8" spans="1:11" ht="21" customHeight="1" thickBot="1" x14ac:dyDescent="0.25">
      <c r="A8" s="19"/>
      <c r="B8" s="23"/>
      <c r="C8" s="23"/>
      <c r="D8" s="23"/>
      <c r="E8" s="216"/>
      <c r="F8" s="216"/>
      <c r="G8" s="23"/>
    </row>
    <row r="9" spans="1:11" ht="15.75" customHeight="1" x14ac:dyDescent="0.2">
      <c r="B9" s="511" t="s">
        <v>82</v>
      </c>
      <c r="C9" s="513" t="s">
        <v>83</v>
      </c>
      <c r="D9" s="513" t="s">
        <v>262</v>
      </c>
      <c r="F9" s="218"/>
      <c r="G9" s="505" t="s">
        <v>263</v>
      </c>
      <c r="H9" s="218"/>
      <c r="I9" s="507" t="s">
        <v>85</v>
      </c>
      <c r="J9" s="508"/>
      <c r="K9" s="508"/>
    </row>
    <row r="10" spans="1:11" ht="21.75" customHeight="1" x14ac:dyDescent="0.2">
      <c r="B10" s="512"/>
      <c r="C10" s="515"/>
      <c r="D10" s="514"/>
      <c r="E10" s="219"/>
      <c r="F10" s="219"/>
      <c r="G10" s="506"/>
      <c r="H10" s="206"/>
      <c r="I10" s="509"/>
      <c r="J10" s="510"/>
      <c r="K10" s="510"/>
    </row>
    <row r="11" spans="1:11" ht="21" customHeight="1" x14ac:dyDescent="0.2">
      <c r="B11" s="156" t="s">
        <v>264</v>
      </c>
      <c r="C11" s="89"/>
      <c r="D11" s="168"/>
      <c r="E11" s="220">
        <v>1</v>
      </c>
      <c r="F11" s="221">
        <v>10</v>
      </c>
      <c r="G11" s="169">
        <f>SUM(G12,G19,G24)</f>
        <v>9.5064999999999991</v>
      </c>
      <c r="H11" s="206"/>
      <c r="I11" s="285" t="s">
        <v>87</v>
      </c>
      <c r="J11" s="286" t="s">
        <v>265</v>
      </c>
      <c r="K11" s="286" t="s">
        <v>89</v>
      </c>
    </row>
    <row r="12" spans="1:11" ht="21" customHeight="1" x14ac:dyDescent="0.2">
      <c r="B12" s="106" t="s">
        <v>266</v>
      </c>
      <c r="C12" s="90"/>
      <c r="D12" s="107"/>
      <c r="E12" s="222">
        <v>0.3</v>
      </c>
      <c r="F12" s="223">
        <v>3</v>
      </c>
      <c r="G12" s="108">
        <f>SUM(G13:G18)</f>
        <v>3</v>
      </c>
      <c r="H12" s="206"/>
      <c r="I12" s="267"/>
      <c r="J12" s="268"/>
      <c r="K12" s="268"/>
    </row>
    <row r="13" spans="1:11" ht="15" x14ac:dyDescent="0.2">
      <c r="B13" s="22" t="s">
        <v>267</v>
      </c>
      <c r="C13" s="313" t="s">
        <v>268</v>
      </c>
      <c r="D13" s="71" t="s">
        <v>93</v>
      </c>
      <c r="E13" s="224">
        <v>0.15</v>
      </c>
      <c r="F13" s="225">
        <v>0.45</v>
      </c>
      <c r="G13" s="109">
        <f>IF(D13="Yes",F13,0)</f>
        <v>0.45</v>
      </c>
      <c r="H13" s="206"/>
      <c r="I13" s="269"/>
      <c r="J13" s="270"/>
      <c r="K13" s="270"/>
    </row>
    <row r="14" spans="1:11" ht="15" x14ac:dyDescent="0.2">
      <c r="B14" s="22" t="s">
        <v>269</v>
      </c>
      <c r="C14" s="313" t="s">
        <v>498</v>
      </c>
      <c r="D14" s="317" t="s">
        <v>93</v>
      </c>
      <c r="E14" s="224">
        <v>0.2</v>
      </c>
      <c r="F14" s="225">
        <v>0.6</v>
      </c>
      <c r="G14" s="109">
        <f t="shared" ref="G14:G17" si="0">IF(D14="Yes",F14,0)</f>
        <v>0.6</v>
      </c>
      <c r="H14" s="206"/>
      <c r="I14" s="319" t="s">
        <v>456</v>
      </c>
      <c r="J14" s="270" t="s">
        <v>490</v>
      </c>
      <c r="K14" s="270" t="s">
        <v>508</v>
      </c>
    </row>
    <row r="15" spans="1:11" ht="15" x14ac:dyDescent="0.2">
      <c r="B15" s="22" t="s">
        <v>270</v>
      </c>
      <c r="C15" s="313" t="s">
        <v>271</v>
      </c>
      <c r="D15" s="71" t="s">
        <v>93</v>
      </c>
      <c r="E15" s="224">
        <v>0.15</v>
      </c>
      <c r="F15" s="225">
        <v>0.45</v>
      </c>
      <c r="G15" s="109">
        <f t="shared" si="0"/>
        <v>0.45</v>
      </c>
      <c r="H15" s="207"/>
      <c r="I15" s="269"/>
      <c r="J15" s="270"/>
      <c r="K15" s="270"/>
    </row>
    <row r="16" spans="1:11" ht="15" x14ac:dyDescent="0.2">
      <c r="B16" s="22" t="s">
        <v>272</v>
      </c>
      <c r="C16" s="313" t="s">
        <v>273</v>
      </c>
      <c r="D16" s="71" t="s">
        <v>93</v>
      </c>
      <c r="E16" s="224">
        <v>0.2</v>
      </c>
      <c r="F16" s="225">
        <v>0.6</v>
      </c>
      <c r="G16" s="109">
        <f>IF(D16="Yes",F16,0)</f>
        <v>0.6</v>
      </c>
      <c r="H16" s="206"/>
      <c r="I16" s="269"/>
      <c r="J16" s="270"/>
      <c r="K16" s="270"/>
    </row>
    <row r="17" spans="2:11" ht="15" x14ac:dyDescent="0.2">
      <c r="B17" s="22" t="s">
        <v>274</v>
      </c>
      <c r="C17" s="313" t="s">
        <v>275</v>
      </c>
      <c r="D17" s="71" t="s">
        <v>93</v>
      </c>
      <c r="E17" s="224">
        <v>0.2</v>
      </c>
      <c r="F17" s="225">
        <v>0.6</v>
      </c>
      <c r="G17" s="109">
        <f t="shared" si="0"/>
        <v>0.6</v>
      </c>
      <c r="H17" s="206"/>
      <c r="I17" s="269"/>
      <c r="J17" s="270"/>
      <c r="K17" s="270"/>
    </row>
    <row r="18" spans="2:11" ht="15" x14ac:dyDescent="0.2">
      <c r="B18" s="22" t="s">
        <v>276</v>
      </c>
      <c r="C18" s="313" t="s">
        <v>277</v>
      </c>
      <c r="D18" s="71" t="s">
        <v>93</v>
      </c>
      <c r="E18" s="224">
        <v>0.1</v>
      </c>
      <c r="F18" s="225">
        <v>0.3</v>
      </c>
      <c r="G18" s="109">
        <f>IF(D18="Yes",F18,0)</f>
        <v>0.3</v>
      </c>
      <c r="H18" s="206"/>
      <c r="I18" s="269"/>
      <c r="J18" s="270"/>
      <c r="K18" s="270"/>
    </row>
    <row r="19" spans="2:11" ht="21" customHeight="1" x14ac:dyDescent="0.2">
      <c r="B19" s="106" t="s">
        <v>278</v>
      </c>
      <c r="C19" s="90"/>
      <c r="D19" s="107"/>
      <c r="E19" s="222">
        <v>0.4</v>
      </c>
      <c r="F19" s="223">
        <v>4</v>
      </c>
      <c r="G19" s="108">
        <f>SUM(G20+H23)</f>
        <v>4</v>
      </c>
      <c r="H19" s="208">
        <f>IF(AND(G22=0,G21&gt;0),1,IF(AND(G22&gt;0,G21&gt;0),2,IF(AND(G22=0,G21=0),3,0)))</f>
        <v>3</v>
      </c>
      <c r="I19" s="267"/>
      <c r="J19" s="268"/>
      <c r="K19" s="268"/>
    </row>
    <row r="20" spans="2:11" ht="15" x14ac:dyDescent="0.2">
      <c r="B20" s="22" t="s">
        <v>279</v>
      </c>
      <c r="C20" s="313" t="s">
        <v>499</v>
      </c>
      <c r="D20" s="71" t="s">
        <v>93</v>
      </c>
      <c r="E20" s="224">
        <v>0.43</v>
      </c>
      <c r="F20" s="226">
        <v>1.72</v>
      </c>
      <c r="G20" s="200">
        <f>IF(D20="Yes",F20,0)</f>
        <v>1.72</v>
      </c>
      <c r="H20" s="206"/>
      <c r="I20" s="269"/>
      <c r="J20" s="270"/>
      <c r="K20" s="270"/>
    </row>
    <row r="21" spans="2:11" ht="25.5" x14ac:dyDescent="0.2">
      <c r="B21" s="22" t="s">
        <v>280</v>
      </c>
      <c r="C21" s="313" t="s">
        <v>281</v>
      </c>
      <c r="D21" s="317" t="s">
        <v>305</v>
      </c>
      <c r="E21" s="224">
        <v>0.47</v>
      </c>
      <c r="F21" s="226">
        <v>1.88</v>
      </c>
      <c r="G21" s="200">
        <f>IF(D21="Yes",F21,0)</f>
        <v>0</v>
      </c>
      <c r="H21" s="206"/>
      <c r="I21" s="319" t="s">
        <v>457</v>
      </c>
      <c r="J21" s="270" t="s">
        <v>477</v>
      </c>
      <c r="K21" s="270"/>
    </row>
    <row r="22" spans="2:11" ht="25.5" x14ac:dyDescent="0.2">
      <c r="B22" s="22" t="s">
        <v>282</v>
      </c>
      <c r="C22" s="313" t="s">
        <v>283</v>
      </c>
      <c r="D22" s="317" t="s">
        <v>305</v>
      </c>
      <c r="E22" s="224">
        <v>0.1</v>
      </c>
      <c r="F22" s="226">
        <f>IF(AND(D21="yes", D22="yes"), 0.4, 0)</f>
        <v>0</v>
      </c>
      <c r="G22" s="200">
        <f>IF(D22="Yes",F22,0)</f>
        <v>0</v>
      </c>
      <c r="H22" s="206"/>
      <c r="I22" s="319" t="s">
        <v>458</v>
      </c>
      <c r="J22" s="270" t="s">
        <v>477</v>
      </c>
      <c r="K22" s="270"/>
    </row>
    <row r="23" spans="2:11" ht="28.5" x14ac:dyDescent="0.2">
      <c r="B23" s="22" t="s">
        <v>284</v>
      </c>
      <c r="C23" s="33" t="s">
        <v>285</v>
      </c>
      <c r="D23" s="320" t="s">
        <v>93</v>
      </c>
      <c r="E23" s="224">
        <v>0.56999999999999995</v>
      </c>
      <c r="F23" s="226">
        <f>IF(AND(G21=0,D23="Yes"),2.28,IF(AND(G21&gt;0,D23="Yes"),2.28,0))</f>
        <v>2.2799999999999998</v>
      </c>
      <c r="G23" s="200">
        <f>IF(D23="Yes",F23,0)</f>
        <v>2.2799999999999998</v>
      </c>
      <c r="H23" s="208">
        <f>IF(AND(H19=1,G23=0),G21,IF(AND(H19=1,G23&gt;0),G23,IF(H19=2,G21+G22,IF(AND(H19=3,G23&gt;0),2.28,0))))</f>
        <v>2.2799999999999998</v>
      </c>
      <c r="I23" s="319"/>
      <c r="J23" s="270"/>
      <c r="K23" s="270"/>
    </row>
    <row r="24" spans="2:11" ht="21" customHeight="1" x14ac:dyDescent="0.2">
      <c r="B24" s="106" t="s">
        <v>286</v>
      </c>
      <c r="C24" s="90"/>
      <c r="D24" s="107"/>
      <c r="E24" s="222">
        <v>0.3</v>
      </c>
      <c r="F24" s="223">
        <v>3</v>
      </c>
      <c r="G24" s="108">
        <f>SUM(G25+G30+G34)</f>
        <v>2.5065</v>
      </c>
      <c r="H24" s="209"/>
      <c r="I24" s="267"/>
      <c r="J24" s="268"/>
      <c r="K24" s="268"/>
    </row>
    <row r="25" spans="2:11" ht="21" customHeight="1" x14ac:dyDescent="0.2">
      <c r="B25" s="110" t="s">
        <v>287</v>
      </c>
      <c r="C25" s="111"/>
      <c r="D25" s="112"/>
      <c r="E25" s="227">
        <v>0.3</v>
      </c>
      <c r="F25" s="228">
        <v>0.9</v>
      </c>
      <c r="G25" s="113">
        <f>G26</f>
        <v>0.9</v>
      </c>
      <c r="H25" s="206"/>
      <c r="I25" s="271"/>
      <c r="J25" s="272"/>
      <c r="K25" s="272"/>
    </row>
    <row r="26" spans="2:11" ht="76.5" x14ac:dyDescent="0.2">
      <c r="B26" s="22" t="s">
        <v>288</v>
      </c>
      <c r="C26" s="33"/>
      <c r="D26" s="317" t="s">
        <v>93</v>
      </c>
      <c r="E26" s="224">
        <v>1</v>
      </c>
      <c r="F26" s="226">
        <v>0.9</v>
      </c>
      <c r="G26" s="109">
        <f>IF(D26="Yes",F26,0)</f>
        <v>0.9</v>
      </c>
      <c r="H26" s="206"/>
      <c r="I26" s="319" t="s">
        <v>461</v>
      </c>
      <c r="J26" s="321" t="s">
        <v>478</v>
      </c>
      <c r="K26" s="273" t="s">
        <v>509</v>
      </c>
    </row>
    <row r="27" spans="2:11" ht="30" x14ac:dyDescent="0.2">
      <c r="B27" s="110" t="s">
        <v>289</v>
      </c>
      <c r="C27" s="114"/>
      <c r="D27" s="114"/>
      <c r="E27" s="229"/>
      <c r="F27" s="229"/>
      <c r="G27" s="115"/>
      <c r="H27" s="206"/>
      <c r="I27" s="271"/>
      <c r="J27" s="272"/>
      <c r="K27" s="272"/>
    </row>
    <row r="28" spans="2:11" ht="76.5" x14ac:dyDescent="0.2">
      <c r="B28" s="22" t="s">
        <v>290</v>
      </c>
      <c r="C28" s="32" t="s">
        <v>291</v>
      </c>
      <c r="D28" s="317" t="s">
        <v>93</v>
      </c>
      <c r="E28" s="146"/>
      <c r="F28" s="146"/>
      <c r="G28" s="117"/>
      <c r="H28" s="206"/>
      <c r="I28" s="319" t="s">
        <v>460</v>
      </c>
      <c r="J28" s="322" t="s">
        <v>479</v>
      </c>
      <c r="K28" s="270" t="s">
        <v>510</v>
      </c>
    </row>
    <row r="29" spans="2:11" ht="28.5" x14ac:dyDescent="0.2">
      <c r="B29" s="22" t="s">
        <v>292</v>
      </c>
      <c r="C29" s="33" t="s">
        <v>293</v>
      </c>
      <c r="D29" s="71" t="s">
        <v>93</v>
      </c>
      <c r="E29" s="146"/>
      <c r="F29" s="146"/>
      <c r="G29" s="117"/>
      <c r="H29" s="206"/>
      <c r="I29" s="269"/>
      <c r="J29" s="270"/>
      <c r="K29" s="270"/>
    </row>
    <row r="30" spans="2:11" ht="21" customHeight="1" x14ac:dyDescent="0.2">
      <c r="B30" s="110" t="s">
        <v>294</v>
      </c>
      <c r="C30" s="111"/>
      <c r="D30" s="112"/>
      <c r="E30" s="227">
        <v>0.35</v>
      </c>
      <c r="F30" s="230">
        <v>1.05</v>
      </c>
      <c r="G30" s="113">
        <f>SUM(G31:G33)</f>
        <v>0.55649999999999999</v>
      </c>
      <c r="H30" s="206"/>
      <c r="I30" s="271"/>
      <c r="J30" s="272"/>
      <c r="K30" s="272"/>
    </row>
    <row r="31" spans="2:11" ht="279" customHeight="1" x14ac:dyDescent="0.2">
      <c r="B31" s="22" t="s">
        <v>295</v>
      </c>
      <c r="C31" s="33"/>
      <c r="D31" s="317" t="s">
        <v>93</v>
      </c>
      <c r="E31" s="224">
        <v>0.28999999999999998</v>
      </c>
      <c r="F31" s="231">
        <v>0.30449999999999999</v>
      </c>
      <c r="G31" s="109">
        <f>IF(D31="Yes",F31,0)</f>
        <v>0.30449999999999999</v>
      </c>
      <c r="H31" s="206"/>
      <c r="I31" s="319" t="s">
        <v>462</v>
      </c>
      <c r="J31" s="322" t="s">
        <v>487</v>
      </c>
      <c r="K31" s="270" t="s">
        <v>510</v>
      </c>
    </row>
    <row r="32" spans="2:11" ht="167.25" customHeight="1" x14ac:dyDescent="0.2">
      <c r="B32" s="22" t="s">
        <v>296</v>
      </c>
      <c r="C32" s="33"/>
      <c r="D32" s="317" t="s">
        <v>305</v>
      </c>
      <c r="E32" s="224">
        <v>0.47</v>
      </c>
      <c r="F32" s="231">
        <v>0.49349999999999999</v>
      </c>
      <c r="G32" s="109">
        <f>IF(D32="Yes",F32,0)</f>
        <v>0</v>
      </c>
      <c r="H32" s="206"/>
      <c r="I32" s="319" t="s">
        <v>472</v>
      </c>
      <c r="J32" s="322" t="s">
        <v>496</v>
      </c>
      <c r="K32" s="270"/>
    </row>
    <row r="33" spans="2:11" ht="128.25" thickBot="1" x14ac:dyDescent="0.25">
      <c r="B33" s="158" t="s">
        <v>297</v>
      </c>
      <c r="C33" s="33" t="s">
        <v>293</v>
      </c>
      <c r="D33" s="317" t="s">
        <v>93</v>
      </c>
      <c r="E33" s="224">
        <v>0.24</v>
      </c>
      <c r="F33" s="231">
        <v>0.252</v>
      </c>
      <c r="G33" s="109">
        <f>IF(D33="Yes",F33,0)</f>
        <v>0.252</v>
      </c>
      <c r="H33" s="206"/>
      <c r="I33" s="319" t="s">
        <v>463</v>
      </c>
      <c r="J33" s="322" t="s">
        <v>489</v>
      </c>
      <c r="K33" s="270" t="s">
        <v>510</v>
      </c>
    </row>
    <row r="34" spans="2:11" ht="21" customHeight="1" x14ac:dyDescent="0.2">
      <c r="B34" s="110" t="s">
        <v>298</v>
      </c>
      <c r="C34" s="111"/>
      <c r="D34" s="112"/>
      <c r="E34" s="232">
        <v>0.35</v>
      </c>
      <c r="F34" s="230">
        <v>1.05</v>
      </c>
      <c r="G34" s="113">
        <f>SUM(G35:G37)</f>
        <v>1.05</v>
      </c>
      <c r="H34" s="206"/>
      <c r="I34" s="271"/>
      <c r="J34" s="272"/>
      <c r="K34" s="272"/>
    </row>
    <row r="35" spans="2:11" ht="51" x14ac:dyDescent="0.2">
      <c r="B35" s="22" t="s">
        <v>299</v>
      </c>
      <c r="C35" s="33"/>
      <c r="D35" s="317" t="s">
        <v>93</v>
      </c>
      <c r="E35" s="224">
        <v>0.28999999999999998</v>
      </c>
      <c r="F35" s="231">
        <v>0.30449999999999999</v>
      </c>
      <c r="G35" s="109">
        <f>IF(D35="Yes",F35,0)</f>
        <v>0.30449999999999999</v>
      </c>
      <c r="H35" s="206"/>
      <c r="I35" s="319" t="s">
        <v>465</v>
      </c>
      <c r="J35" s="322" t="s">
        <v>488</v>
      </c>
      <c r="K35" s="270" t="s">
        <v>511</v>
      </c>
    </row>
    <row r="36" spans="2:11" ht="15" x14ac:dyDescent="0.2">
      <c r="B36" s="22" t="s">
        <v>300</v>
      </c>
      <c r="C36" s="33"/>
      <c r="D36" s="71" t="s">
        <v>93</v>
      </c>
      <c r="E36" s="224">
        <v>0.47</v>
      </c>
      <c r="F36" s="231">
        <v>0.49349999999999999</v>
      </c>
      <c r="G36" s="109">
        <f t="shared" ref="G36:G37" si="1">IF(D36="Yes",F36,0)</f>
        <v>0.49349999999999999</v>
      </c>
      <c r="H36" s="206"/>
      <c r="I36" s="319"/>
      <c r="J36" s="270"/>
      <c r="K36" s="270"/>
    </row>
    <row r="37" spans="2:11" ht="29.25" thickBot="1" x14ac:dyDescent="0.25">
      <c r="B37" s="158" t="s">
        <v>301</v>
      </c>
      <c r="C37" s="33" t="s">
        <v>293</v>
      </c>
      <c r="D37" s="317" t="s">
        <v>93</v>
      </c>
      <c r="E37" s="224">
        <v>0.24</v>
      </c>
      <c r="F37" s="231">
        <v>0.252</v>
      </c>
      <c r="G37" s="109">
        <f t="shared" si="1"/>
        <v>0.252</v>
      </c>
      <c r="H37" s="206"/>
      <c r="I37" s="319" t="s">
        <v>464</v>
      </c>
      <c r="J37" s="322" t="s">
        <v>486</v>
      </c>
      <c r="K37" s="270" t="s">
        <v>512</v>
      </c>
    </row>
    <row r="38" spans="2:11" ht="21" customHeight="1" x14ac:dyDescent="0.2">
      <c r="B38" s="176" t="s">
        <v>302</v>
      </c>
      <c r="C38" s="177"/>
      <c r="D38" s="174"/>
      <c r="E38" s="233">
        <v>1</v>
      </c>
      <c r="F38" s="234">
        <v>10</v>
      </c>
      <c r="G38" s="175">
        <f>MAX(G41,G48)</f>
        <v>8</v>
      </c>
      <c r="H38" s="210"/>
      <c r="I38" s="274"/>
      <c r="J38" s="275"/>
      <c r="K38" s="275"/>
    </row>
    <row r="39" spans="2:11" ht="21" customHeight="1" x14ac:dyDescent="0.2">
      <c r="B39" s="118" t="s">
        <v>303</v>
      </c>
      <c r="C39" s="119"/>
      <c r="D39" s="107"/>
      <c r="E39" s="233"/>
      <c r="F39" s="234"/>
      <c r="G39" s="120"/>
      <c r="H39" s="210"/>
      <c r="I39" s="267"/>
      <c r="J39" s="268"/>
      <c r="K39" s="268"/>
    </row>
    <row r="40" spans="2:11" ht="15" x14ac:dyDescent="0.2">
      <c r="B40" s="22" t="s">
        <v>304</v>
      </c>
      <c r="C40" s="33"/>
      <c r="D40" s="71" t="s">
        <v>305</v>
      </c>
      <c r="E40" s="235"/>
      <c r="F40" s="236">
        <f>IF(D40="Yes",1,0)</f>
        <v>0</v>
      </c>
      <c r="G40" s="117"/>
      <c r="H40" s="210"/>
      <c r="I40" s="276"/>
      <c r="J40" s="276"/>
      <c r="K40" s="276"/>
    </row>
    <row r="41" spans="2:11" ht="21" customHeight="1" x14ac:dyDescent="0.2">
      <c r="B41" s="118" t="s">
        <v>306</v>
      </c>
      <c r="C41" s="201"/>
      <c r="D41" s="107"/>
      <c r="E41" s="237">
        <v>1</v>
      </c>
      <c r="F41" s="238">
        <v>10</v>
      </c>
      <c r="G41" s="120">
        <f>SUM(G42:G46)</f>
        <v>8</v>
      </c>
      <c r="H41" s="211">
        <f>IF(AND(G41&gt;=G48),1,IF(AND(G48&gt;G41),2,0))</f>
        <v>1</v>
      </c>
      <c r="I41" s="267"/>
      <c r="J41" s="268"/>
      <c r="K41" s="268"/>
    </row>
    <row r="42" spans="2:11" ht="25.5" x14ac:dyDescent="0.2">
      <c r="B42" s="22" t="s">
        <v>307</v>
      </c>
      <c r="C42" s="316" t="s">
        <v>503</v>
      </c>
      <c r="D42" s="317" t="s">
        <v>93</v>
      </c>
      <c r="E42" s="239">
        <v>0.3</v>
      </c>
      <c r="F42" s="240">
        <v>3</v>
      </c>
      <c r="G42" s="121">
        <f>IF(D42="Yes",F42,0)</f>
        <v>3</v>
      </c>
      <c r="H42" s="206"/>
      <c r="I42" s="319" t="s">
        <v>471</v>
      </c>
      <c r="J42" s="270" t="s">
        <v>476</v>
      </c>
      <c r="K42" s="270" t="s">
        <v>505</v>
      </c>
    </row>
    <row r="43" spans="2:11" ht="408.75" customHeight="1" x14ac:dyDescent="0.2">
      <c r="B43" s="22" t="s">
        <v>308</v>
      </c>
      <c r="C43" s="33" t="s">
        <v>500</v>
      </c>
      <c r="D43" s="317" t="s">
        <v>93</v>
      </c>
      <c r="E43" s="239">
        <v>0.3</v>
      </c>
      <c r="F43" s="240">
        <v>3</v>
      </c>
      <c r="G43" s="121">
        <f t="shared" ref="G43:G45" si="2">IF(D43="Yes",F43,0)</f>
        <v>3</v>
      </c>
      <c r="H43" s="206"/>
      <c r="I43" s="319" t="s">
        <v>475</v>
      </c>
      <c r="J43" s="270" t="s">
        <v>497</v>
      </c>
      <c r="K43" s="270" t="s">
        <v>505</v>
      </c>
    </row>
    <row r="44" spans="2:11" ht="127.5" x14ac:dyDescent="0.2">
      <c r="B44" s="22" t="s">
        <v>309</v>
      </c>
      <c r="C44" s="33" t="s">
        <v>501</v>
      </c>
      <c r="D44" s="317" t="s">
        <v>93</v>
      </c>
      <c r="E44" s="239">
        <v>0.1</v>
      </c>
      <c r="F44" s="240">
        <v>1</v>
      </c>
      <c r="G44" s="121">
        <f t="shared" si="2"/>
        <v>1</v>
      </c>
      <c r="H44" s="206"/>
      <c r="I44" s="319" t="s">
        <v>459</v>
      </c>
      <c r="J44" s="270" t="s">
        <v>504</v>
      </c>
      <c r="K44" s="270" t="s">
        <v>506</v>
      </c>
    </row>
    <row r="45" spans="2:11" ht="229.5" x14ac:dyDescent="0.2">
      <c r="B45" s="22" t="s">
        <v>310</v>
      </c>
      <c r="C45" s="33" t="s">
        <v>311</v>
      </c>
      <c r="D45" s="317" t="s">
        <v>305</v>
      </c>
      <c r="E45" s="239">
        <v>0.2</v>
      </c>
      <c r="F45" s="240">
        <v>2</v>
      </c>
      <c r="G45" s="121">
        <f t="shared" si="2"/>
        <v>0</v>
      </c>
      <c r="H45" s="206"/>
      <c r="I45" s="319" t="s">
        <v>474</v>
      </c>
      <c r="J45" s="270" t="s">
        <v>491</v>
      </c>
      <c r="K45" s="270" t="s">
        <v>507</v>
      </c>
    </row>
    <row r="46" spans="2:11" ht="15" x14ac:dyDescent="0.2">
      <c r="B46" s="22" t="s">
        <v>312</v>
      </c>
      <c r="C46" s="33" t="s">
        <v>502</v>
      </c>
      <c r="D46" s="71" t="s">
        <v>93</v>
      </c>
      <c r="E46" s="239">
        <v>0.1</v>
      </c>
      <c r="F46" s="240">
        <v>1</v>
      </c>
      <c r="G46" s="121">
        <f>IF(D46="Yes",F46,0)</f>
        <v>1</v>
      </c>
      <c r="H46" s="206"/>
      <c r="I46" s="269"/>
      <c r="J46" s="270"/>
      <c r="K46" s="270"/>
    </row>
    <row r="48" spans="2:11" ht="21" customHeight="1" x14ac:dyDescent="0.2">
      <c r="B48" s="118" t="s">
        <v>313</v>
      </c>
      <c r="C48" s="119"/>
      <c r="D48" s="107"/>
      <c r="E48" s="237">
        <v>1</v>
      </c>
      <c r="F48" s="238">
        <v>10</v>
      </c>
      <c r="G48" s="120">
        <f>SUM(G49:G53)</f>
        <v>0</v>
      </c>
      <c r="H48" s="206"/>
      <c r="I48" s="267"/>
      <c r="J48" s="268"/>
      <c r="K48" s="268"/>
    </row>
    <row r="49" spans="2:11" ht="15" x14ac:dyDescent="0.2">
      <c r="B49" s="22" t="s">
        <v>314</v>
      </c>
      <c r="C49" s="33"/>
      <c r="D49" s="71"/>
      <c r="E49" s="241">
        <v>0.215</v>
      </c>
      <c r="F49" s="242">
        <v>2.15</v>
      </c>
      <c r="G49" s="121">
        <f>IF(D49="Yes",F49,0)</f>
        <v>0</v>
      </c>
      <c r="H49" s="206"/>
      <c r="I49" s="269"/>
      <c r="J49" s="270"/>
      <c r="K49" s="270"/>
    </row>
    <row r="50" spans="2:11" ht="15" x14ac:dyDescent="0.2">
      <c r="B50" s="22" t="s">
        <v>315</v>
      </c>
      <c r="C50" s="33"/>
      <c r="D50" s="71"/>
      <c r="E50" s="241">
        <v>0.33</v>
      </c>
      <c r="F50" s="242">
        <v>3.3</v>
      </c>
      <c r="G50" s="121">
        <f t="shared" ref="G50:G53" si="3">IF(D50="Yes",F50,0)</f>
        <v>0</v>
      </c>
      <c r="H50" s="206"/>
      <c r="I50" s="269"/>
      <c r="J50" s="270"/>
      <c r="K50" s="270"/>
    </row>
    <row r="51" spans="2:11" ht="15" x14ac:dyDescent="0.2">
      <c r="B51" s="22" t="s">
        <v>316</v>
      </c>
      <c r="C51" s="33"/>
      <c r="D51" s="71"/>
      <c r="E51" s="241">
        <v>0.1</v>
      </c>
      <c r="F51" s="242">
        <v>1</v>
      </c>
      <c r="G51" s="121">
        <f t="shared" si="3"/>
        <v>0</v>
      </c>
      <c r="H51" s="206"/>
      <c r="I51" s="269"/>
      <c r="J51" s="270"/>
      <c r="K51" s="270"/>
    </row>
    <row r="52" spans="2:11" ht="15" x14ac:dyDescent="0.2">
      <c r="B52" s="22" t="s">
        <v>317</v>
      </c>
      <c r="C52" s="33"/>
      <c r="D52" s="71"/>
      <c r="E52" s="241">
        <v>0.215</v>
      </c>
      <c r="F52" s="242">
        <v>2.15</v>
      </c>
      <c r="G52" s="121">
        <f t="shared" si="3"/>
        <v>0</v>
      </c>
      <c r="H52" s="206"/>
      <c r="I52" s="269"/>
      <c r="J52" s="270"/>
      <c r="K52" s="270"/>
    </row>
    <row r="53" spans="2:11" ht="15.75" thickBot="1" x14ac:dyDescent="0.25">
      <c r="B53" s="22" t="s">
        <v>318</v>
      </c>
      <c r="C53" s="33"/>
      <c r="D53" s="71"/>
      <c r="E53" s="241">
        <v>0.14000000000000001</v>
      </c>
      <c r="F53" s="242">
        <v>1.4</v>
      </c>
      <c r="G53" s="121">
        <f t="shared" si="3"/>
        <v>0</v>
      </c>
      <c r="H53" s="206"/>
      <c r="I53" s="269"/>
      <c r="J53" s="270"/>
      <c r="K53" s="270"/>
    </row>
    <row r="54" spans="2:11" ht="21" customHeight="1" x14ac:dyDescent="0.2">
      <c r="B54" s="102" t="s">
        <v>319</v>
      </c>
      <c r="C54" s="103"/>
      <c r="D54" s="104"/>
      <c r="E54" s="243">
        <v>1</v>
      </c>
      <c r="F54" s="244">
        <v>10</v>
      </c>
      <c r="G54" s="105">
        <f>G61+G55</f>
        <v>10</v>
      </c>
      <c r="H54" s="212"/>
      <c r="I54" s="277"/>
      <c r="J54" s="278"/>
      <c r="K54" s="278"/>
    </row>
    <row r="55" spans="2:11" ht="21" customHeight="1" x14ac:dyDescent="0.2">
      <c r="B55" s="106" t="s">
        <v>320</v>
      </c>
      <c r="C55" s="107"/>
      <c r="D55" s="107"/>
      <c r="E55" s="245">
        <v>0.25</v>
      </c>
      <c r="F55" s="246">
        <v>2.5</v>
      </c>
      <c r="G55" s="120">
        <f>SUM(G56:G60)</f>
        <v>2.5</v>
      </c>
      <c r="H55" s="206"/>
      <c r="I55" s="267"/>
      <c r="J55" s="268"/>
      <c r="K55" s="268"/>
    </row>
    <row r="56" spans="2:11" ht="15" x14ac:dyDescent="0.2">
      <c r="B56" s="22" t="s">
        <v>321</v>
      </c>
      <c r="C56" s="70" t="s">
        <v>322</v>
      </c>
      <c r="D56" s="71" t="s">
        <v>93</v>
      </c>
      <c r="E56" s="224">
        <v>0.28999999999999998</v>
      </c>
      <c r="F56" s="247">
        <v>0.72499999999999998</v>
      </c>
      <c r="G56" s="109">
        <f>IF(D56="Yes",F56,0)</f>
        <v>0.72499999999999998</v>
      </c>
      <c r="H56" s="206"/>
      <c r="I56" s="269"/>
      <c r="J56" s="270"/>
      <c r="K56" s="270"/>
    </row>
    <row r="57" spans="2:11" ht="15" x14ac:dyDescent="0.2">
      <c r="B57" s="22" t="s">
        <v>323</v>
      </c>
      <c r="C57" s="70" t="s">
        <v>324</v>
      </c>
      <c r="D57" s="71" t="s">
        <v>93</v>
      </c>
      <c r="E57" s="224">
        <v>0.14000000000000001</v>
      </c>
      <c r="F57" s="247">
        <v>0.35</v>
      </c>
      <c r="G57" s="109">
        <f>IF(D57="Yes",F57,0)</f>
        <v>0.35</v>
      </c>
      <c r="H57" s="206"/>
      <c r="I57" s="279"/>
      <c r="J57" s="270"/>
      <c r="K57" s="270"/>
    </row>
    <row r="58" spans="2:11" ht="15" x14ac:dyDescent="0.2">
      <c r="B58" s="22" t="s">
        <v>325</v>
      </c>
      <c r="C58" s="70" t="s">
        <v>326</v>
      </c>
      <c r="D58" s="71" t="s">
        <v>93</v>
      </c>
      <c r="E58" s="224">
        <v>0.28999999999999998</v>
      </c>
      <c r="F58" s="247">
        <v>0.72499999999999998</v>
      </c>
      <c r="G58" s="109">
        <f>IF(D58="Yes",F58,0)</f>
        <v>0.72499999999999998</v>
      </c>
      <c r="H58" s="206"/>
      <c r="I58" s="279"/>
      <c r="J58" s="280"/>
      <c r="K58" s="280"/>
    </row>
    <row r="59" spans="2:11" ht="15" x14ac:dyDescent="0.2">
      <c r="B59" s="22" t="s">
        <v>327</v>
      </c>
      <c r="C59" s="70" t="s">
        <v>328</v>
      </c>
      <c r="D59" s="71" t="s">
        <v>93</v>
      </c>
      <c r="E59" s="224">
        <v>0.14000000000000001</v>
      </c>
      <c r="F59" s="247">
        <v>0.35</v>
      </c>
      <c r="G59" s="109">
        <f t="shared" ref="G59:G60" si="4">IF(D59="Yes",F59,0)</f>
        <v>0.35</v>
      </c>
      <c r="H59" s="206"/>
      <c r="I59" s="279"/>
      <c r="J59" s="270"/>
      <c r="K59" s="270"/>
    </row>
    <row r="60" spans="2:11" ht="15" x14ac:dyDescent="0.2">
      <c r="B60" s="22" t="s">
        <v>329</v>
      </c>
      <c r="C60" s="70" t="s">
        <v>330</v>
      </c>
      <c r="D60" s="71" t="s">
        <v>93</v>
      </c>
      <c r="E60" s="224">
        <v>0.14000000000000001</v>
      </c>
      <c r="F60" s="247">
        <v>0.35</v>
      </c>
      <c r="G60" s="109">
        <f t="shared" si="4"/>
        <v>0.35</v>
      </c>
      <c r="H60" s="206"/>
      <c r="I60" s="279"/>
      <c r="J60" s="270"/>
      <c r="K60" s="270"/>
    </row>
    <row r="61" spans="2:11" ht="21" customHeight="1" x14ac:dyDescent="0.2">
      <c r="B61" s="106" t="s">
        <v>331</v>
      </c>
      <c r="C61" s="107"/>
      <c r="D61" s="107"/>
      <c r="E61" s="245">
        <v>0.75</v>
      </c>
      <c r="F61" s="246">
        <v>7.5</v>
      </c>
      <c r="G61" s="120">
        <f>MAX(G62,G83)</f>
        <v>7.5</v>
      </c>
      <c r="H61" s="206"/>
      <c r="I61" s="267"/>
      <c r="J61" s="268"/>
      <c r="K61" s="268"/>
    </row>
    <row r="62" spans="2:11" ht="21" customHeight="1" x14ac:dyDescent="0.2">
      <c r="B62" s="110" t="s">
        <v>332</v>
      </c>
      <c r="C62" s="112"/>
      <c r="D62" s="112"/>
      <c r="E62" s="232">
        <v>1</v>
      </c>
      <c r="F62" s="248">
        <v>7.5</v>
      </c>
      <c r="G62" s="122">
        <f>SUM(G69+G76)</f>
        <v>7.5</v>
      </c>
      <c r="H62" s="206"/>
      <c r="I62" s="271"/>
      <c r="J62" s="272"/>
      <c r="K62" s="272"/>
    </row>
    <row r="63" spans="2:11" ht="15" x14ac:dyDescent="0.2">
      <c r="B63" s="123" t="s">
        <v>333</v>
      </c>
      <c r="C63" s="124"/>
      <c r="D63" s="124"/>
      <c r="E63" s="249"/>
      <c r="F63" s="249"/>
      <c r="G63" s="124"/>
      <c r="H63" s="206"/>
      <c r="I63" s="281"/>
      <c r="J63" s="282"/>
      <c r="K63" s="282"/>
    </row>
    <row r="64" spans="2:11" ht="15" x14ac:dyDescent="0.2">
      <c r="B64" s="22" t="s">
        <v>334</v>
      </c>
      <c r="C64" s="70" t="s">
        <v>335</v>
      </c>
      <c r="D64" s="71" t="s">
        <v>93</v>
      </c>
      <c r="E64" s="224"/>
      <c r="F64" s="146"/>
      <c r="G64" s="116"/>
      <c r="H64" s="206"/>
      <c r="I64" s="269"/>
      <c r="J64" s="270"/>
      <c r="K64" s="270"/>
    </row>
    <row r="65" spans="2:39" ht="15" x14ac:dyDescent="0.2">
      <c r="B65" s="22" t="s">
        <v>336</v>
      </c>
      <c r="C65" s="70" t="s">
        <v>337</v>
      </c>
      <c r="D65" s="71" t="s">
        <v>93</v>
      </c>
      <c r="E65" s="224"/>
      <c r="F65" s="146"/>
      <c r="G65" s="116"/>
      <c r="H65" s="206"/>
      <c r="I65" s="269"/>
      <c r="J65" s="270"/>
      <c r="K65" s="270"/>
    </row>
    <row r="66" spans="2:39" ht="15" x14ac:dyDescent="0.2">
      <c r="B66" s="22" t="s">
        <v>338</v>
      </c>
      <c r="C66" s="70" t="s">
        <v>339</v>
      </c>
      <c r="D66" s="71" t="s">
        <v>93</v>
      </c>
      <c r="E66" s="224"/>
      <c r="F66" s="146"/>
      <c r="G66" s="116"/>
      <c r="H66" s="206"/>
      <c r="I66" s="269"/>
      <c r="J66" s="270"/>
      <c r="K66" s="270"/>
    </row>
    <row r="67" spans="2:39" ht="15" x14ac:dyDescent="0.2">
      <c r="B67" s="22" t="s">
        <v>340</v>
      </c>
      <c r="C67" s="70" t="s">
        <v>341</v>
      </c>
      <c r="D67" s="71" t="s">
        <v>93</v>
      </c>
      <c r="E67" s="224"/>
      <c r="F67" s="146"/>
      <c r="G67" s="116"/>
      <c r="H67" s="206"/>
      <c r="I67" s="269"/>
      <c r="J67" s="270"/>
      <c r="K67" s="270"/>
    </row>
    <row r="68" spans="2:39" ht="28.5" x14ac:dyDescent="0.2">
      <c r="B68" s="22" t="s">
        <v>342</v>
      </c>
      <c r="C68" s="70"/>
      <c r="D68" s="71"/>
      <c r="E68" s="224"/>
      <c r="F68" s="146"/>
      <c r="G68" s="116"/>
      <c r="H68" s="206"/>
      <c r="I68" s="269"/>
      <c r="J68" s="270"/>
      <c r="K68" s="270"/>
    </row>
    <row r="69" spans="2:39" ht="15.75" customHeight="1" x14ac:dyDescent="0.2">
      <c r="B69" s="194" t="s">
        <v>343</v>
      </c>
      <c r="C69" s="124"/>
      <c r="D69" s="124"/>
      <c r="E69" s="250">
        <v>0.4</v>
      </c>
      <c r="F69" s="251">
        <v>3</v>
      </c>
      <c r="G69" s="125">
        <f>MAX(G70,G71,G72,G73,G74,G75)</f>
        <v>3</v>
      </c>
      <c r="H69" s="206"/>
      <c r="I69" s="281"/>
      <c r="J69" s="282"/>
      <c r="K69" s="282"/>
    </row>
    <row r="70" spans="2:39" ht="15" x14ac:dyDescent="0.2">
      <c r="B70" s="126" t="s">
        <v>344</v>
      </c>
      <c r="C70" s="127"/>
      <c r="D70" s="71"/>
      <c r="E70" s="224"/>
      <c r="F70" s="247">
        <v>3</v>
      </c>
      <c r="G70" s="109">
        <f t="shared" ref="G70:G75" si="5">IF(D70="Yes",F70,0)</f>
        <v>0</v>
      </c>
      <c r="H70" s="206"/>
      <c r="I70" s="283"/>
      <c r="J70" s="270"/>
      <c r="K70" s="270"/>
    </row>
    <row r="71" spans="2:39" s="5" customFormat="1" ht="15" x14ac:dyDescent="0.2">
      <c r="B71" s="126" t="s">
        <v>345</v>
      </c>
      <c r="C71" s="127"/>
      <c r="D71" s="71"/>
      <c r="E71" s="224"/>
      <c r="F71" s="247">
        <v>3</v>
      </c>
      <c r="G71" s="109">
        <f t="shared" si="5"/>
        <v>0</v>
      </c>
      <c r="H71" s="206"/>
      <c r="I71" s="269"/>
      <c r="J71" s="284"/>
      <c r="K71" s="284"/>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row>
    <row r="72" spans="2:39" s="5" customFormat="1" ht="15" x14ac:dyDescent="0.2">
      <c r="B72" s="126" t="s">
        <v>346</v>
      </c>
      <c r="C72" s="127"/>
      <c r="D72" s="71"/>
      <c r="E72" s="224"/>
      <c r="F72" s="247">
        <v>3</v>
      </c>
      <c r="G72" s="109">
        <f t="shared" si="5"/>
        <v>0</v>
      </c>
      <c r="H72" s="206"/>
      <c r="I72" s="269"/>
      <c r="J72" s="284"/>
      <c r="K72" s="284"/>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row>
    <row r="73" spans="2:39" ht="15" x14ac:dyDescent="0.2">
      <c r="B73" s="126" t="s">
        <v>347</v>
      </c>
      <c r="C73" s="127"/>
      <c r="D73" s="71"/>
      <c r="E73" s="224"/>
      <c r="F73" s="247">
        <v>3</v>
      </c>
      <c r="G73" s="109">
        <f t="shared" si="5"/>
        <v>0</v>
      </c>
      <c r="H73" s="206"/>
      <c r="I73" s="269"/>
      <c r="J73" s="270"/>
      <c r="K73" s="270"/>
    </row>
    <row r="74" spans="2:39" ht="15" x14ac:dyDescent="0.2">
      <c r="B74" s="126" t="s">
        <v>348</v>
      </c>
      <c r="C74" s="127"/>
      <c r="D74" s="71" t="s">
        <v>93</v>
      </c>
      <c r="E74" s="224"/>
      <c r="F74" s="247">
        <v>3</v>
      </c>
      <c r="G74" s="109">
        <f t="shared" si="5"/>
        <v>3</v>
      </c>
      <c r="H74" s="206"/>
      <c r="I74" s="269"/>
      <c r="J74" s="270"/>
      <c r="K74" s="270"/>
    </row>
    <row r="75" spans="2:39" ht="15" x14ac:dyDescent="0.2">
      <c r="B75" s="126" t="s">
        <v>349</v>
      </c>
      <c r="C75" s="127"/>
      <c r="D75" s="71"/>
      <c r="E75" s="224"/>
      <c r="F75" s="247">
        <v>3</v>
      </c>
      <c r="G75" s="109">
        <f t="shared" si="5"/>
        <v>0</v>
      </c>
      <c r="H75" s="206"/>
      <c r="I75" s="269"/>
      <c r="J75" s="270"/>
      <c r="K75" s="270"/>
    </row>
    <row r="76" spans="2:39" ht="15" x14ac:dyDescent="0.2">
      <c r="B76" s="123" t="s">
        <v>350</v>
      </c>
      <c r="C76" s="124"/>
      <c r="D76" s="124"/>
      <c r="E76" s="250">
        <v>0.6</v>
      </c>
      <c r="F76" s="251">
        <v>4.5</v>
      </c>
      <c r="G76" s="125">
        <f>SUM(G77:G82)</f>
        <v>4.5</v>
      </c>
      <c r="H76" s="206"/>
      <c r="I76" s="281"/>
      <c r="J76" s="282"/>
      <c r="K76" s="282"/>
    </row>
    <row r="77" spans="2:39" ht="15" x14ac:dyDescent="0.2">
      <c r="B77" s="22" t="s">
        <v>351</v>
      </c>
      <c r="C77" s="70" t="s">
        <v>352</v>
      </c>
      <c r="D77" s="318" t="s">
        <v>93</v>
      </c>
      <c r="E77" s="224">
        <v>0.3</v>
      </c>
      <c r="F77" s="247">
        <v>1.35</v>
      </c>
      <c r="G77" s="109">
        <f t="shared" ref="G77:G82" si="6">IF(D77="Yes",F77,0)</f>
        <v>1.35</v>
      </c>
      <c r="H77" s="206"/>
      <c r="I77" s="319"/>
      <c r="J77" s="270"/>
      <c r="K77" s="270"/>
    </row>
    <row r="78" spans="2:39" ht="89.25" x14ac:dyDescent="0.2">
      <c r="B78" s="126" t="s">
        <v>353</v>
      </c>
      <c r="C78" s="127" t="s">
        <v>354</v>
      </c>
      <c r="D78" s="317" t="s">
        <v>93</v>
      </c>
      <c r="E78" s="224">
        <v>0.3</v>
      </c>
      <c r="F78" s="247">
        <v>1.35</v>
      </c>
      <c r="G78" s="109">
        <f t="shared" si="6"/>
        <v>1.35</v>
      </c>
      <c r="H78" s="206"/>
      <c r="I78" s="319" t="s">
        <v>466</v>
      </c>
      <c r="J78" s="270" t="s">
        <v>480</v>
      </c>
      <c r="K78" s="270" t="s">
        <v>510</v>
      </c>
    </row>
    <row r="79" spans="2:39" ht="178.5" x14ac:dyDescent="0.2">
      <c r="B79" s="128" t="s">
        <v>355</v>
      </c>
      <c r="C79" s="127" t="s">
        <v>356</v>
      </c>
      <c r="D79" s="317" t="s">
        <v>93</v>
      </c>
      <c r="E79" s="224">
        <v>0.15</v>
      </c>
      <c r="F79" s="247">
        <v>0.67500000000000004</v>
      </c>
      <c r="G79" s="109">
        <f t="shared" si="6"/>
        <v>0.67500000000000004</v>
      </c>
      <c r="H79" s="206"/>
      <c r="I79" s="319" t="s">
        <v>470</v>
      </c>
      <c r="J79" s="270" t="s">
        <v>481</v>
      </c>
      <c r="K79" s="329" t="s">
        <v>513</v>
      </c>
    </row>
    <row r="80" spans="2:39" ht="114.75" x14ac:dyDescent="0.2">
      <c r="B80" s="22" t="s">
        <v>357</v>
      </c>
      <c r="C80" s="70" t="s">
        <v>358</v>
      </c>
      <c r="D80" s="317" t="s">
        <v>93</v>
      </c>
      <c r="E80" s="224">
        <v>0.1</v>
      </c>
      <c r="F80" s="247">
        <v>0.45</v>
      </c>
      <c r="G80" s="109">
        <f t="shared" si="6"/>
        <v>0.45</v>
      </c>
      <c r="H80" s="206"/>
      <c r="I80" s="327" t="s">
        <v>467</v>
      </c>
      <c r="J80" s="270" t="s">
        <v>482</v>
      </c>
      <c r="K80" s="270" t="s">
        <v>510</v>
      </c>
    </row>
    <row r="81" spans="2:39" ht="64.5" thickBot="1" x14ac:dyDescent="0.25">
      <c r="B81" s="22" t="s">
        <v>359</v>
      </c>
      <c r="C81" s="70"/>
      <c r="D81" s="317" t="s">
        <v>93</v>
      </c>
      <c r="E81" s="224">
        <v>0</v>
      </c>
      <c r="F81" s="146"/>
      <c r="G81" s="116"/>
      <c r="H81" s="213"/>
      <c r="I81" s="319" t="s">
        <v>468</v>
      </c>
      <c r="J81" s="270" t="s">
        <v>483</v>
      </c>
      <c r="K81" s="270" t="s">
        <v>510</v>
      </c>
    </row>
    <row r="82" spans="2:39" ht="51" x14ac:dyDescent="0.2">
      <c r="B82" s="23" t="s">
        <v>360</v>
      </c>
      <c r="C82" s="70"/>
      <c r="D82" s="317" t="s">
        <v>93</v>
      </c>
      <c r="E82" s="252">
        <v>0.15</v>
      </c>
      <c r="F82" s="253">
        <v>0.67500000000000004</v>
      </c>
      <c r="G82" s="109">
        <f t="shared" si="6"/>
        <v>0.67500000000000004</v>
      </c>
      <c r="I82" s="319" t="s">
        <v>469</v>
      </c>
      <c r="J82" s="270" t="s">
        <v>484</v>
      </c>
      <c r="K82" s="270" t="s">
        <v>514</v>
      </c>
    </row>
    <row r="83" spans="2:39" ht="21" customHeight="1" x14ac:dyDescent="0.2">
      <c r="B83" s="110" t="s">
        <v>361</v>
      </c>
      <c r="C83" s="112"/>
      <c r="D83" s="112"/>
      <c r="E83" s="232">
        <v>1</v>
      </c>
      <c r="F83" s="248">
        <v>6</v>
      </c>
      <c r="G83" s="113">
        <f>SUM(G84+G90)</f>
        <v>4.5</v>
      </c>
      <c r="H83" s="206"/>
      <c r="I83" s="271"/>
      <c r="J83" s="272"/>
      <c r="K83" s="272"/>
    </row>
    <row r="84" spans="2:39" ht="15.75" customHeight="1" x14ac:dyDescent="0.2">
      <c r="B84" s="194" t="s">
        <v>343</v>
      </c>
      <c r="C84" s="124"/>
      <c r="D84" s="124"/>
      <c r="E84" s="250">
        <v>0.4</v>
      </c>
      <c r="F84" s="254">
        <v>2.4</v>
      </c>
      <c r="G84" s="125">
        <f>MAX(G85:G89)</f>
        <v>0.9</v>
      </c>
      <c r="H84" s="206"/>
      <c r="I84" s="281"/>
      <c r="J84" s="282"/>
      <c r="K84" s="282"/>
    </row>
    <row r="85" spans="2:39" ht="15" x14ac:dyDescent="0.2">
      <c r="B85" s="126" t="s">
        <v>362</v>
      </c>
      <c r="C85" s="127"/>
      <c r="D85" s="71"/>
      <c r="E85" s="224"/>
      <c r="F85" s="247">
        <v>2.35</v>
      </c>
      <c r="G85" s="109">
        <f>IF(D85="Yes",F85,0)</f>
        <v>0</v>
      </c>
      <c r="H85" s="206"/>
      <c r="I85" s="283"/>
      <c r="J85" s="270"/>
      <c r="K85" s="270"/>
    </row>
    <row r="86" spans="2:39" s="5" customFormat="1" ht="15" x14ac:dyDescent="0.2">
      <c r="B86" s="126" t="s">
        <v>363</v>
      </c>
      <c r="C86" s="127"/>
      <c r="D86" s="71"/>
      <c r="E86" s="224"/>
      <c r="F86" s="247">
        <v>2.35</v>
      </c>
      <c r="G86" s="109">
        <f>IF(D86="Yes",F86,0)</f>
        <v>0</v>
      </c>
      <c r="H86" s="206"/>
      <c r="I86" s="269"/>
      <c r="J86" s="284"/>
      <c r="K86" s="284"/>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row>
    <row r="87" spans="2:39" s="5" customFormat="1" ht="15" x14ac:dyDescent="0.2">
      <c r="B87" s="126" t="s">
        <v>364</v>
      </c>
      <c r="C87" s="127"/>
      <c r="D87" s="71" t="s">
        <v>93</v>
      </c>
      <c r="E87" s="224"/>
      <c r="F87" s="247">
        <v>0.9</v>
      </c>
      <c r="G87" s="109">
        <f>IF(D87="Yes",F87,0)</f>
        <v>0.9</v>
      </c>
      <c r="H87" s="206"/>
      <c r="I87" s="269"/>
      <c r="J87" s="284"/>
      <c r="K87" s="284"/>
      <c r="L87" s="38"/>
      <c r="M87" s="38"/>
      <c r="N87" s="38"/>
      <c r="O87" s="38"/>
      <c r="P87" s="38"/>
      <c r="Q87" s="38"/>
      <c r="R87" s="38"/>
      <c r="S87" s="38"/>
      <c r="T87" s="38"/>
      <c r="U87" s="38"/>
      <c r="V87" s="38"/>
      <c r="W87" s="38"/>
      <c r="X87" s="38"/>
      <c r="Y87" s="38"/>
      <c r="Z87" s="38"/>
      <c r="AA87" s="38"/>
      <c r="AB87" s="38"/>
      <c r="AC87" s="38"/>
      <c r="AD87" s="38"/>
      <c r="AE87" s="38"/>
      <c r="AF87" s="38"/>
      <c r="AG87" s="38"/>
      <c r="AH87" s="38"/>
      <c r="AI87" s="38"/>
      <c r="AJ87" s="38"/>
      <c r="AK87" s="38"/>
      <c r="AL87" s="38"/>
      <c r="AM87" s="38"/>
    </row>
    <row r="88" spans="2:39" ht="15" x14ac:dyDescent="0.2">
      <c r="B88" s="126" t="s">
        <v>365</v>
      </c>
      <c r="C88" s="127"/>
      <c r="D88" s="71"/>
      <c r="E88" s="224"/>
      <c r="F88" s="247">
        <v>0.9</v>
      </c>
      <c r="G88" s="109">
        <f>IF(D88="Yes",F88,0)</f>
        <v>0</v>
      </c>
      <c r="H88" s="206"/>
      <c r="I88" s="269"/>
      <c r="J88" s="270"/>
      <c r="K88" s="270"/>
    </row>
    <row r="89" spans="2:39" ht="15" x14ac:dyDescent="0.2">
      <c r="B89" s="126" t="s">
        <v>366</v>
      </c>
      <c r="C89" s="127"/>
      <c r="D89" s="71"/>
      <c r="E89" s="224"/>
      <c r="F89" s="247">
        <v>0.9</v>
      </c>
      <c r="G89" s="109">
        <f>IF(D89="Yes",F89,0)</f>
        <v>0</v>
      </c>
      <c r="H89" s="206"/>
      <c r="I89" s="269"/>
      <c r="J89" s="270"/>
      <c r="K89" s="270"/>
    </row>
    <row r="90" spans="2:39" ht="15" x14ac:dyDescent="0.2">
      <c r="B90" s="123" t="s">
        <v>350</v>
      </c>
      <c r="C90" s="124"/>
      <c r="D90" s="124"/>
      <c r="E90" s="250">
        <v>0.6</v>
      </c>
      <c r="F90" s="254">
        <v>3.6</v>
      </c>
      <c r="G90" s="196">
        <f>SUM(G91:G94)</f>
        <v>3.6</v>
      </c>
      <c r="H90" s="206"/>
      <c r="I90" s="281"/>
      <c r="J90" s="282"/>
      <c r="K90" s="282"/>
    </row>
    <row r="91" spans="2:39" ht="38.25" x14ac:dyDescent="0.2">
      <c r="B91" s="22" t="s">
        <v>367</v>
      </c>
      <c r="C91" s="70" t="s">
        <v>368</v>
      </c>
      <c r="D91" s="317" t="s">
        <v>93</v>
      </c>
      <c r="E91" s="224">
        <v>0.35</v>
      </c>
      <c r="F91" s="231">
        <v>1.26</v>
      </c>
      <c r="G91" s="109">
        <f>IF(D91="Yes",F91,0)</f>
        <v>1.26</v>
      </c>
      <c r="H91" s="206"/>
      <c r="I91" s="319" t="s">
        <v>473</v>
      </c>
      <c r="J91" s="270" t="s">
        <v>485</v>
      </c>
      <c r="K91" s="270" t="s">
        <v>510</v>
      </c>
    </row>
    <row r="92" spans="2:39" ht="15" x14ac:dyDescent="0.2">
      <c r="B92" s="128" t="s">
        <v>369</v>
      </c>
      <c r="C92" s="70" t="s">
        <v>368</v>
      </c>
      <c r="D92" s="71" t="s">
        <v>93</v>
      </c>
      <c r="E92" s="224">
        <v>0.35</v>
      </c>
      <c r="F92" s="231">
        <v>1.26</v>
      </c>
      <c r="G92" s="109">
        <f t="shared" ref="G92:G94" si="7">IF(D92="Yes",F92,0)</f>
        <v>1.26</v>
      </c>
      <c r="H92" s="206"/>
      <c r="I92" s="269"/>
      <c r="J92" s="270"/>
      <c r="K92" s="270"/>
    </row>
    <row r="93" spans="2:39" ht="15" x14ac:dyDescent="0.2">
      <c r="B93" s="128" t="s">
        <v>370</v>
      </c>
      <c r="C93" s="70" t="s">
        <v>368</v>
      </c>
      <c r="D93" s="71" t="s">
        <v>93</v>
      </c>
      <c r="E93" s="224">
        <v>0.15</v>
      </c>
      <c r="F93" s="231">
        <v>0.54</v>
      </c>
      <c r="G93" s="109">
        <f t="shared" si="7"/>
        <v>0.54</v>
      </c>
      <c r="H93" s="206"/>
      <c r="I93" s="269"/>
      <c r="J93" s="270"/>
      <c r="K93" s="270"/>
    </row>
    <row r="94" spans="2:39" ht="15" x14ac:dyDescent="0.2">
      <c r="B94" s="22" t="s">
        <v>360</v>
      </c>
      <c r="C94" s="70" t="s">
        <v>330</v>
      </c>
      <c r="D94" s="71" t="s">
        <v>93</v>
      </c>
      <c r="E94" s="224">
        <v>0.15</v>
      </c>
      <c r="F94" s="231">
        <v>0.54</v>
      </c>
      <c r="G94" s="109">
        <f t="shared" si="7"/>
        <v>0.54</v>
      </c>
      <c r="H94" s="206"/>
      <c r="I94" s="269"/>
      <c r="J94" s="270"/>
      <c r="K94" s="270"/>
    </row>
    <row r="95" spans="2:39" x14ac:dyDescent="0.2">
      <c r="D95" s="17"/>
      <c r="E95" s="255"/>
      <c r="F95" s="256"/>
      <c r="G95" s="18"/>
    </row>
    <row r="96" spans="2:39" x14ac:dyDescent="0.2">
      <c r="D96" s="17"/>
      <c r="E96" s="255"/>
      <c r="F96" s="256"/>
      <c r="G96" s="18"/>
    </row>
    <row r="97" spans="4:7" x14ac:dyDescent="0.2">
      <c r="D97" s="17"/>
      <c r="E97" s="255"/>
      <c r="F97" s="256"/>
      <c r="G97" s="18"/>
    </row>
    <row r="98" spans="4:7" x14ac:dyDescent="0.2">
      <c r="D98" s="17"/>
      <c r="E98" s="255"/>
      <c r="F98" s="256"/>
      <c r="G98" s="18"/>
    </row>
    <row r="99" spans="4:7" x14ac:dyDescent="0.2">
      <c r="D99" s="17"/>
      <c r="E99" s="255"/>
      <c r="F99" s="256"/>
      <c r="G99" s="18"/>
    </row>
    <row r="100" spans="4:7" x14ac:dyDescent="0.2">
      <c r="D100" s="17"/>
      <c r="E100" s="255"/>
      <c r="F100" s="256"/>
      <c r="G100" s="18"/>
    </row>
    <row r="101" spans="4:7" x14ac:dyDescent="0.2">
      <c r="D101" s="17"/>
      <c r="E101" s="255"/>
      <c r="F101" s="256"/>
      <c r="G101" s="18"/>
    </row>
    <row r="102" spans="4:7" x14ac:dyDescent="0.2">
      <c r="D102" s="17"/>
      <c r="E102" s="255"/>
      <c r="F102" s="256"/>
      <c r="G102" s="18"/>
    </row>
    <row r="103" spans="4:7" x14ac:dyDescent="0.2">
      <c r="D103" s="17"/>
      <c r="E103" s="255"/>
      <c r="F103" s="256"/>
      <c r="G103" s="18"/>
    </row>
    <row r="104" spans="4:7" x14ac:dyDescent="0.2">
      <c r="D104" s="17"/>
      <c r="E104" s="255"/>
      <c r="F104" s="256"/>
      <c r="G104" s="18"/>
    </row>
    <row r="105" spans="4:7" x14ac:dyDescent="0.2">
      <c r="D105" s="17"/>
      <c r="E105" s="255"/>
      <c r="F105" s="256"/>
      <c r="G105" s="18"/>
    </row>
    <row r="106" spans="4:7" x14ac:dyDescent="0.2">
      <c r="D106" s="17"/>
      <c r="E106" s="255"/>
      <c r="F106" s="256"/>
      <c r="G106" s="18"/>
    </row>
    <row r="107" spans="4:7" x14ac:dyDescent="0.2">
      <c r="D107" s="17"/>
      <c r="E107" s="255"/>
      <c r="F107" s="256"/>
      <c r="G107" s="18"/>
    </row>
    <row r="108" spans="4:7" x14ac:dyDescent="0.2">
      <c r="D108" s="17"/>
      <c r="E108" s="255"/>
      <c r="F108" s="256"/>
      <c r="G108" s="18"/>
    </row>
    <row r="109" spans="4:7" x14ac:dyDescent="0.2">
      <c r="D109" s="17"/>
      <c r="E109" s="255"/>
      <c r="F109" s="256"/>
      <c r="G109" s="18"/>
    </row>
    <row r="110" spans="4:7" x14ac:dyDescent="0.2">
      <c r="D110" s="17"/>
      <c r="E110" s="255"/>
      <c r="F110" s="256"/>
      <c r="G110" s="18"/>
    </row>
    <row r="111" spans="4:7" x14ac:dyDescent="0.2">
      <c r="D111" s="17"/>
      <c r="E111" s="255"/>
      <c r="F111" s="256"/>
      <c r="G111" s="18"/>
    </row>
    <row r="112" spans="4:7" x14ac:dyDescent="0.2">
      <c r="D112" s="17"/>
      <c r="E112" s="255"/>
      <c r="F112" s="256"/>
      <c r="G112" s="18"/>
    </row>
    <row r="113" spans="4:7" x14ac:dyDescent="0.2">
      <c r="D113" s="17"/>
      <c r="E113" s="255"/>
      <c r="F113" s="256"/>
      <c r="G113" s="18"/>
    </row>
    <row r="114" spans="4:7" x14ac:dyDescent="0.2">
      <c r="D114" s="17"/>
      <c r="E114" s="255"/>
      <c r="F114" s="256"/>
      <c r="G114" s="18"/>
    </row>
    <row r="115" spans="4:7" x14ac:dyDescent="0.2">
      <c r="D115" s="17"/>
      <c r="E115" s="255"/>
      <c r="F115" s="256"/>
      <c r="G115" s="18"/>
    </row>
  </sheetData>
  <sheetProtection algorithmName="SHA-512" hashValue="NyIEgNc1WvMuZHYQPES1JfddwpoTKdfX4yre08I24XLl8n5SaHapoel42eJmG8fCG7xeYPgmLNW9Dpdqz4v5ig==" saltValue="tnlZ/ZtZHjqnJqmHCyqIbg==" spinCount="100000" sheet="1" formatCells="0" formatRows="0" selectLockedCells="1"/>
  <mergeCells count="10">
    <mergeCell ref="G9:G10"/>
    <mergeCell ref="I9:K10"/>
    <mergeCell ref="B9:B10"/>
    <mergeCell ref="D9:D10"/>
    <mergeCell ref="C9:C10"/>
    <mergeCell ref="B2:D2"/>
    <mergeCell ref="B3:D3"/>
    <mergeCell ref="B5:D5"/>
    <mergeCell ref="B6:D6"/>
    <mergeCell ref="B7:D7"/>
  </mergeCells>
  <pageMargins left="0.4765625" right="1.036875" top="1.08" bottom="0.91" header="0.5" footer="0.5"/>
  <pageSetup scale="30"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AA20"/>
  <sheetViews>
    <sheetView topLeftCell="C1" zoomScale="70" zoomScaleNormal="70" workbookViewId="0">
      <selection activeCell="D19" sqref="D19"/>
    </sheetView>
  </sheetViews>
  <sheetFormatPr defaultColWidth="9.140625" defaultRowHeight="12.75" x14ac:dyDescent="0.2"/>
  <cols>
    <col min="1" max="1" width="2.42578125" style="2" customWidth="1"/>
    <col min="2" max="2" width="82.85546875" style="3" customWidth="1"/>
    <col min="3" max="3" width="68.85546875" style="2" customWidth="1"/>
    <col min="4" max="4" width="25.28515625" style="15" customWidth="1"/>
    <col min="5" max="5" width="6.140625" style="37" hidden="1" customWidth="1"/>
    <col min="6" max="8" width="55.42578125" style="37" customWidth="1"/>
    <col min="9" max="27" width="9.140625" style="37"/>
    <col min="28" max="16384" width="9.140625" style="2"/>
  </cols>
  <sheetData>
    <row r="2" spans="1:8" ht="18" x14ac:dyDescent="0.2">
      <c r="B2" s="481" t="s">
        <v>76</v>
      </c>
      <c r="C2" s="481"/>
      <c r="D2" s="481"/>
    </row>
    <row r="3" spans="1:8" ht="18.75" thickBot="1" x14ac:dyDescent="0.25">
      <c r="B3" s="481" t="s">
        <v>371</v>
      </c>
      <c r="C3" s="521"/>
      <c r="D3" s="521"/>
    </row>
    <row r="4" spans="1:8" ht="18" x14ac:dyDescent="0.2">
      <c r="A4" s="522" t="s">
        <v>78</v>
      </c>
      <c r="B4" s="523"/>
      <c r="C4" s="523"/>
      <c r="D4" s="524"/>
      <c r="E4" s="39"/>
    </row>
    <row r="5" spans="1:8" ht="23.25" customHeight="1" x14ac:dyDescent="0.2">
      <c r="A5" s="20"/>
      <c r="B5" s="525" t="s">
        <v>372</v>
      </c>
      <c r="C5" s="525"/>
      <c r="D5" s="526"/>
      <c r="E5" s="40"/>
    </row>
    <row r="6" spans="1:8" ht="31.5" customHeight="1" x14ac:dyDescent="0.2">
      <c r="A6" s="4">
        <v>1</v>
      </c>
      <c r="B6" s="494" t="s">
        <v>260</v>
      </c>
      <c r="C6" s="494"/>
      <c r="D6" s="495"/>
      <c r="E6" s="40"/>
    </row>
    <row r="7" spans="1:8" ht="30.75" customHeight="1" thickBot="1" x14ac:dyDescent="0.25">
      <c r="A7" s="21">
        <v>2</v>
      </c>
      <c r="B7" s="519" t="s">
        <v>373</v>
      </c>
      <c r="C7" s="519"/>
      <c r="D7" s="520"/>
      <c r="E7" s="41"/>
    </row>
    <row r="8" spans="1:8" ht="27" customHeight="1" x14ac:dyDescent="0.2">
      <c r="C8" s="3"/>
      <c r="D8" s="14"/>
    </row>
    <row r="9" spans="1:8" ht="18" customHeight="1" thickBot="1" x14ac:dyDescent="0.25">
      <c r="B9" s="518" t="s">
        <v>374</v>
      </c>
      <c r="C9" s="518"/>
      <c r="D9" s="518"/>
    </row>
    <row r="10" spans="1:8" ht="25.5" customHeight="1" x14ac:dyDescent="0.2">
      <c r="B10" s="160" t="s">
        <v>82</v>
      </c>
      <c r="C10" s="60" t="s">
        <v>83</v>
      </c>
      <c r="D10" s="164" t="s">
        <v>262</v>
      </c>
      <c r="E10" s="161"/>
      <c r="F10" s="516" t="s">
        <v>85</v>
      </c>
      <c r="G10" s="517"/>
      <c r="H10" s="517"/>
    </row>
    <row r="11" spans="1:8" ht="23.25" customHeight="1" x14ac:dyDescent="0.2">
      <c r="B11" s="156" t="s">
        <v>375</v>
      </c>
      <c r="C11" s="89"/>
      <c r="D11" s="165"/>
      <c r="E11" s="162"/>
      <c r="F11" s="148" t="s">
        <v>87</v>
      </c>
      <c r="G11" s="309" t="s">
        <v>265</v>
      </c>
      <c r="H11" s="309" t="s">
        <v>89</v>
      </c>
    </row>
    <row r="12" spans="1:8" ht="33" customHeight="1" x14ac:dyDescent="0.2">
      <c r="B12" s="157" t="s">
        <v>376</v>
      </c>
      <c r="C12" s="35" t="s">
        <v>377</v>
      </c>
      <c r="D12" s="314" t="s">
        <v>378</v>
      </c>
      <c r="E12" s="162"/>
      <c r="F12" s="301"/>
      <c r="G12" s="270"/>
      <c r="H12" s="270"/>
    </row>
    <row r="13" spans="1:8" ht="33" customHeight="1" x14ac:dyDescent="0.2">
      <c r="B13" s="157" t="s">
        <v>379</v>
      </c>
      <c r="C13" s="35" t="s">
        <v>380</v>
      </c>
      <c r="D13" s="314" t="s">
        <v>381</v>
      </c>
      <c r="E13" s="162"/>
      <c r="F13" s="301"/>
      <c r="G13" s="270"/>
      <c r="H13" s="270"/>
    </row>
    <row r="14" spans="1:8" ht="15" x14ac:dyDescent="0.2">
      <c r="B14" s="106" t="s">
        <v>382</v>
      </c>
      <c r="C14" s="90"/>
      <c r="D14" s="155"/>
      <c r="E14" s="162"/>
      <c r="F14" s="90"/>
      <c r="G14" s="155"/>
      <c r="H14" s="155"/>
    </row>
    <row r="15" spans="1:8" ht="33" customHeight="1" x14ac:dyDescent="0.2">
      <c r="B15" s="22" t="s">
        <v>383</v>
      </c>
      <c r="C15" s="91" t="s">
        <v>384</v>
      </c>
      <c r="D15" s="166" t="s">
        <v>93</v>
      </c>
      <c r="E15" s="162"/>
      <c r="F15" s="301"/>
      <c r="G15" s="270"/>
      <c r="H15" s="270"/>
    </row>
    <row r="16" spans="1:8" ht="33" customHeight="1" x14ac:dyDescent="0.2">
      <c r="B16" s="22" t="s">
        <v>385</v>
      </c>
      <c r="C16" s="91" t="s">
        <v>386</v>
      </c>
      <c r="D16" s="166" t="s">
        <v>93</v>
      </c>
      <c r="E16" s="162"/>
      <c r="F16" s="301"/>
      <c r="G16" s="270"/>
      <c r="H16" s="270"/>
    </row>
    <row r="17" spans="2:8" ht="15" x14ac:dyDescent="0.2">
      <c r="B17" s="106" t="s">
        <v>387</v>
      </c>
      <c r="C17" s="90"/>
      <c r="D17" s="155"/>
      <c r="E17" s="162"/>
      <c r="F17" s="90"/>
      <c r="G17" s="155"/>
      <c r="H17" s="155"/>
    </row>
    <row r="18" spans="2:8" ht="33" customHeight="1" x14ac:dyDescent="0.2">
      <c r="B18" s="22" t="s">
        <v>388</v>
      </c>
      <c r="C18" s="91" t="s">
        <v>389</v>
      </c>
      <c r="D18" s="166" t="s">
        <v>93</v>
      </c>
      <c r="E18" s="162"/>
      <c r="F18" s="301"/>
      <c r="G18" s="270"/>
      <c r="H18" s="270"/>
    </row>
    <row r="19" spans="2:8" ht="33" customHeight="1" thickBot="1" x14ac:dyDescent="0.25">
      <c r="B19" s="158" t="s">
        <v>390</v>
      </c>
      <c r="C19" s="159" t="s">
        <v>391</v>
      </c>
      <c r="D19" s="167" t="s">
        <v>93</v>
      </c>
      <c r="E19" s="163"/>
      <c r="F19" s="302"/>
      <c r="G19" s="291"/>
      <c r="H19" s="291"/>
    </row>
    <row r="20" spans="2:8" ht="14.25" x14ac:dyDescent="0.2">
      <c r="B20" s="23"/>
      <c r="D20" s="92"/>
    </row>
  </sheetData>
  <sheetProtection algorithmName="SHA-512" hashValue="LECFLpNxySFh3llLcvH2XuboehxcQT25AOSI/yXivVUXldCzg7+CiD2kF5VH4qdhIqYOTmioG7C9WRGNmUC29g==" saltValue="wqZeZUHLIxx05C3OtG+JHw==" spinCount="100000" sheet="1" objects="1" scenarios="1" formatCell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0000000}">
          <x14:formula1>
            <xm:f>'Listas desplegables'!$B$2:$B$4</xm:f>
          </x14:formula1>
          <xm:sqref>D12</xm:sqref>
        </x14:dataValidation>
        <x14:dataValidation type="list" allowBlank="1" showInputMessage="1" showErrorMessage="1" xr:uid="{00000000-0002-0000-0700-000001000000}">
          <x14:formula1>
            <xm:f>'Listas desplegables'!$C$2:$C$5</xm:f>
          </x14:formula1>
          <xm:sqref>D13</xm:sqref>
        </x14:dataValidation>
        <x14:dataValidation type="list" allowBlank="1" showInputMessage="1" showErrorMessage="1" xr:uid="{00000000-0002-0000-07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pageSetUpPr fitToPage="1"/>
  </sheetPr>
  <dimension ref="A1:Z42"/>
  <sheetViews>
    <sheetView topLeftCell="C11" zoomScale="70" zoomScaleNormal="70" workbookViewId="0">
      <selection activeCell="E31" sqref="E31"/>
    </sheetView>
  </sheetViews>
  <sheetFormatPr defaultColWidth="9.140625" defaultRowHeight="12.75" x14ac:dyDescent="0.2"/>
  <cols>
    <col min="1" max="1" width="2.42578125" style="2" customWidth="1"/>
    <col min="2" max="2" width="79.28515625" style="3" customWidth="1"/>
    <col min="3" max="3" width="50.42578125" style="2" customWidth="1"/>
    <col min="4" max="4" width="0.28515625" style="2" customWidth="1"/>
    <col min="5" max="5" width="11" style="15" customWidth="1"/>
    <col min="6" max="6" width="24" style="85" hidden="1" customWidth="1"/>
    <col min="7" max="7" width="3.85546875" style="85" hidden="1" customWidth="1"/>
    <col min="8" max="8" width="19.140625" style="85" hidden="1" customWidth="1"/>
    <col min="9" max="9" width="20.140625" style="85" hidden="1" customWidth="1"/>
    <col min="10" max="10" width="34" style="85" hidden="1" customWidth="1"/>
    <col min="11" max="11" width="3.85546875" style="85" hidden="1" customWidth="1"/>
    <col min="12" max="12" width="33" style="85" hidden="1" customWidth="1"/>
    <col min="13" max="13" width="33.42578125" style="85" hidden="1" customWidth="1"/>
    <col min="14" max="14" width="36.42578125" style="2" hidden="1" customWidth="1"/>
    <col min="15" max="17" width="55.140625" style="37" customWidth="1"/>
    <col min="18" max="26" width="9.140625" style="37"/>
    <col min="27" max="16384" width="9.140625" style="2"/>
  </cols>
  <sheetData>
    <row r="1" spans="1:26" x14ac:dyDescent="0.2">
      <c r="O1" s="2"/>
      <c r="P1" s="2"/>
    </row>
    <row r="2" spans="1:26" ht="18" x14ac:dyDescent="0.2">
      <c r="B2" s="481" t="s">
        <v>76</v>
      </c>
      <c r="C2" s="481"/>
      <c r="D2" s="481"/>
      <c r="E2" s="481"/>
      <c r="O2" s="2"/>
      <c r="P2" s="2"/>
    </row>
    <row r="3" spans="1:26" ht="18.75" thickBot="1" x14ac:dyDescent="0.25">
      <c r="B3" s="481" t="s">
        <v>371</v>
      </c>
      <c r="C3" s="521"/>
      <c r="D3" s="521"/>
      <c r="E3" s="521"/>
      <c r="O3" s="2"/>
      <c r="P3" s="2"/>
    </row>
    <row r="4" spans="1:26" ht="18" x14ac:dyDescent="0.2">
      <c r="A4" s="522" t="s">
        <v>78</v>
      </c>
      <c r="B4" s="523"/>
      <c r="C4" s="523"/>
      <c r="D4" s="523"/>
      <c r="E4" s="524"/>
      <c r="F4" s="93"/>
      <c r="O4" s="2"/>
      <c r="P4" s="2"/>
    </row>
    <row r="5" spans="1:26" ht="23.25" customHeight="1" x14ac:dyDescent="0.2">
      <c r="A5" s="20"/>
      <c r="B5" s="525" t="s">
        <v>372</v>
      </c>
      <c r="C5" s="525"/>
      <c r="D5" s="525"/>
      <c r="E5" s="526"/>
      <c r="F5" s="94"/>
      <c r="O5" s="2"/>
      <c r="P5" s="2"/>
    </row>
    <row r="6" spans="1:26" ht="31.5" customHeight="1" x14ac:dyDescent="0.2">
      <c r="A6" s="4">
        <v>1</v>
      </c>
      <c r="B6" s="494" t="s">
        <v>260</v>
      </c>
      <c r="C6" s="494"/>
      <c r="D6" s="494"/>
      <c r="E6" s="495"/>
      <c r="F6" s="94"/>
      <c r="O6" s="2"/>
      <c r="P6" s="2"/>
    </row>
    <row r="7" spans="1:26" ht="30.75" customHeight="1" thickBot="1" x14ac:dyDescent="0.25">
      <c r="A7" s="21">
        <v>2</v>
      </c>
      <c r="B7" s="519" t="s">
        <v>373</v>
      </c>
      <c r="C7" s="519"/>
      <c r="D7" s="519"/>
      <c r="E7" s="520"/>
      <c r="F7" s="95"/>
      <c r="O7" s="2"/>
      <c r="P7" s="2"/>
    </row>
    <row r="8" spans="1:26" ht="27" customHeight="1" x14ac:dyDescent="0.2">
      <c r="C8" s="3"/>
      <c r="D8" s="3"/>
      <c r="E8" s="14"/>
      <c r="O8" s="2"/>
      <c r="P8" s="2"/>
    </row>
    <row r="9" spans="1:26" ht="18.75" thickBot="1" x14ac:dyDescent="0.25">
      <c r="B9" s="518" t="s">
        <v>392</v>
      </c>
      <c r="C9" s="518"/>
      <c r="D9" s="518"/>
      <c r="E9" s="518"/>
      <c r="O9" s="2"/>
      <c r="P9" s="2"/>
    </row>
    <row r="10" spans="1:26" s="24" customFormat="1" ht="15.75" customHeight="1" x14ac:dyDescent="0.2">
      <c r="B10" s="28" t="s">
        <v>82</v>
      </c>
      <c r="C10" s="29" t="s">
        <v>83</v>
      </c>
      <c r="D10" s="29" t="s">
        <v>393</v>
      </c>
      <c r="E10" s="30" t="s">
        <v>262</v>
      </c>
      <c r="F10" s="96"/>
      <c r="G10" s="96"/>
      <c r="H10" s="96"/>
      <c r="I10" s="96"/>
      <c r="J10" s="96"/>
      <c r="K10" s="96"/>
      <c r="L10" s="96"/>
      <c r="M10" s="96"/>
      <c r="O10" s="528" t="s">
        <v>85</v>
      </c>
      <c r="P10" s="517"/>
      <c r="Q10" s="517"/>
      <c r="R10" s="42"/>
      <c r="S10" s="42"/>
      <c r="T10" s="42"/>
      <c r="U10" s="42"/>
      <c r="V10" s="42"/>
      <c r="W10" s="42"/>
      <c r="X10" s="42"/>
      <c r="Y10" s="42"/>
      <c r="Z10" s="42"/>
    </row>
    <row r="11" spans="1:26" s="24" customFormat="1" ht="17.25" customHeight="1" x14ac:dyDescent="0.2">
      <c r="B11" s="48" t="s">
        <v>394</v>
      </c>
      <c r="C11" s="152"/>
      <c r="D11" s="152"/>
      <c r="E11" s="153"/>
      <c r="F11" s="96"/>
      <c r="G11" s="96"/>
      <c r="H11" s="96"/>
      <c r="I11" s="96"/>
      <c r="J11" s="96"/>
      <c r="K11" s="96"/>
      <c r="L11" s="96"/>
      <c r="M11" s="96"/>
      <c r="O11" s="529" t="s">
        <v>87</v>
      </c>
      <c r="P11" s="527" t="s">
        <v>265</v>
      </c>
      <c r="Q11" s="527" t="s">
        <v>89</v>
      </c>
      <c r="R11" s="42"/>
      <c r="S11" s="42"/>
      <c r="T11" s="42"/>
      <c r="U11" s="42"/>
      <c r="V11" s="42"/>
      <c r="W11" s="42"/>
      <c r="X11" s="42"/>
      <c r="Y11" s="42"/>
      <c r="Z11" s="42"/>
    </row>
    <row r="12" spans="1:26" s="24" customFormat="1" ht="14.25" x14ac:dyDescent="0.2">
      <c r="B12" s="86" t="s">
        <v>395</v>
      </c>
      <c r="C12" s="62"/>
      <c r="D12" s="62"/>
      <c r="E12" s="154" t="str">
        <f>IF(OR(E13="Yes",E27="Yes"),"Yes","")</f>
        <v>Yes</v>
      </c>
      <c r="F12" s="96"/>
      <c r="G12" s="96"/>
      <c r="H12" s="96"/>
      <c r="I12" s="96"/>
      <c r="J12" s="96"/>
      <c r="K12" s="96"/>
      <c r="L12" s="96"/>
      <c r="M12" s="96"/>
      <c r="O12" s="529"/>
      <c r="P12" s="527"/>
      <c r="Q12" s="527"/>
      <c r="R12" s="42"/>
      <c r="S12" s="42"/>
      <c r="T12" s="42"/>
      <c r="U12" s="42"/>
      <c r="V12" s="42"/>
      <c r="W12" s="42"/>
      <c r="X12" s="42"/>
      <c r="Y12" s="42"/>
      <c r="Z12" s="42"/>
    </row>
    <row r="13" spans="1:26" s="24" customFormat="1" ht="14.25" x14ac:dyDescent="0.2">
      <c r="B13" s="52" t="s">
        <v>396</v>
      </c>
      <c r="C13" s="46"/>
      <c r="D13" s="46"/>
      <c r="E13" s="97" t="str">
        <f>IF(OR(E14="Yes",E20="Yes"),"Yes","")</f>
        <v>Yes</v>
      </c>
      <c r="F13" s="96"/>
      <c r="G13" s="96"/>
      <c r="H13" s="96"/>
      <c r="I13" s="96"/>
      <c r="J13" s="96"/>
      <c r="K13" s="96"/>
      <c r="L13" s="96"/>
      <c r="M13" s="96"/>
      <c r="O13" s="149"/>
      <c r="P13" s="97"/>
      <c r="Q13" s="97"/>
      <c r="R13" s="42"/>
      <c r="S13" s="42"/>
      <c r="T13" s="42"/>
      <c r="U13" s="42"/>
      <c r="V13" s="42"/>
      <c r="W13" s="42"/>
      <c r="X13" s="42"/>
      <c r="Y13" s="42"/>
      <c r="Z13" s="42"/>
    </row>
    <row r="14" spans="1:26" s="24" customFormat="1" ht="14.25" x14ac:dyDescent="0.2">
      <c r="B14" s="8" t="s">
        <v>397</v>
      </c>
      <c r="C14" s="7"/>
      <c r="D14" s="7"/>
      <c r="E14" s="98" t="str">
        <f>IF(OR(E15="Yes",E16="Yes",E17="Yes",E18="Yes",E19="Yes"),"Yes","")</f>
        <v>Yes</v>
      </c>
      <c r="F14" s="96" t="str">
        <f t="shared" ref="F14:F24" si="0">IF(E14="Yes",B14,"")</f>
        <v xml:space="preserve">     Financial Management</v>
      </c>
      <c r="G14" s="96">
        <f>LEN(F14)</f>
        <v>25</v>
      </c>
      <c r="H14" s="96" t="str">
        <f>RIGHT(F14,(G14-5))</f>
        <v>Financial Management</v>
      </c>
      <c r="I14" s="96" t="str">
        <f>IF(E14="Yes",CONCATENATE(H14,": "),"")</f>
        <v xml:space="preserve">Financial Management: </v>
      </c>
      <c r="J14" s="96" t="str">
        <f>CONCATENATE(I14,I15,I16,I17,I18,I19)</f>
        <v xml:space="preserve">Financial Management: Budget, </v>
      </c>
      <c r="K14" s="96">
        <f>LEN(J14)</f>
        <v>30</v>
      </c>
      <c r="L14" s="96" t="str">
        <f>LEFT(J14,(K14-2))</f>
        <v>Financial Management: Budget</v>
      </c>
      <c r="M14" s="96" t="str">
        <f>IF(K14=0,"",CONCATENATE(L14,"."))</f>
        <v>Financial Management: Budget.</v>
      </c>
      <c r="N14" s="24" t="str">
        <f>CONCATENATE(M14,CHAR(10),CHAR(10),M20)</f>
        <v>Financial Management: Budget.
Procurement: Information System, Price Comparison.</v>
      </c>
      <c r="O14" s="8"/>
      <c r="P14" s="150"/>
      <c r="Q14" s="150"/>
      <c r="R14" s="42"/>
      <c r="S14" s="42"/>
      <c r="T14" s="42"/>
      <c r="U14" s="42"/>
      <c r="V14" s="42"/>
      <c r="W14" s="42"/>
      <c r="X14" s="42"/>
      <c r="Y14" s="42"/>
      <c r="Z14" s="42"/>
    </row>
    <row r="15" spans="1:26" s="24" customFormat="1" ht="15" x14ac:dyDescent="0.2">
      <c r="B15" s="22" t="s">
        <v>398</v>
      </c>
      <c r="C15" s="33"/>
      <c r="D15" s="26"/>
      <c r="E15" s="99" t="s">
        <v>93</v>
      </c>
      <c r="F15" s="96" t="str">
        <f t="shared" si="0"/>
        <v xml:space="preserve">         Budget</v>
      </c>
      <c r="G15" s="96">
        <f t="shared" ref="G15:G33" si="1">LEN(F15)</f>
        <v>15</v>
      </c>
      <c r="H15" s="96" t="str">
        <f>RIGHT(F15,(G15-9))</f>
        <v>Budget</v>
      </c>
      <c r="I15" s="96" t="str">
        <f>IF(E15="Yes",CONCATENATE(H15,", "),"")</f>
        <v xml:space="preserve">Budget, </v>
      </c>
      <c r="J15" s="96"/>
      <c r="K15" s="96"/>
      <c r="L15" s="96"/>
      <c r="M15" s="96"/>
      <c r="O15" s="303"/>
      <c r="P15" s="304"/>
      <c r="Q15" s="304"/>
      <c r="R15" s="42"/>
      <c r="S15" s="42"/>
      <c r="T15" s="42"/>
      <c r="U15" s="42"/>
      <c r="V15" s="42"/>
      <c r="W15" s="42"/>
      <c r="X15" s="42"/>
      <c r="Y15" s="42"/>
      <c r="Z15" s="42"/>
    </row>
    <row r="16" spans="1:26" s="24" customFormat="1" ht="15" x14ac:dyDescent="0.2">
      <c r="B16" s="22" t="s">
        <v>399</v>
      </c>
      <c r="C16" s="33"/>
      <c r="D16" s="26"/>
      <c r="E16" s="99" t="s">
        <v>305</v>
      </c>
      <c r="F16" s="96" t="str">
        <f t="shared" si="0"/>
        <v/>
      </c>
      <c r="G16" s="96">
        <f t="shared" si="1"/>
        <v>0</v>
      </c>
      <c r="H16" s="96" t="e">
        <f t="shared" ref="H16:H19" si="2">RIGHT(F16,(G16-9))</f>
        <v>#VALUE!</v>
      </c>
      <c r="I16" s="96" t="str">
        <f t="shared" ref="I16:I23" si="3">IF(E16="Yes",CONCATENATE(H16,", "),"")</f>
        <v/>
      </c>
      <c r="J16" s="96"/>
      <c r="K16" s="96"/>
      <c r="L16" s="96"/>
      <c r="M16" s="96"/>
      <c r="O16" s="303"/>
      <c r="P16" s="304"/>
      <c r="Q16" s="304"/>
      <c r="R16" s="42"/>
      <c r="S16" s="42"/>
      <c r="T16" s="42"/>
      <c r="U16" s="42"/>
      <c r="V16" s="42"/>
      <c r="W16" s="42"/>
      <c r="X16" s="42"/>
      <c r="Y16" s="42"/>
      <c r="Z16" s="42"/>
    </row>
    <row r="17" spans="2:26" s="24" customFormat="1" ht="15" x14ac:dyDescent="0.2">
      <c r="B17" s="22" t="s">
        <v>400</v>
      </c>
      <c r="C17" s="33"/>
      <c r="D17" s="26"/>
      <c r="E17" s="99" t="s">
        <v>305</v>
      </c>
      <c r="F17" s="96" t="str">
        <f t="shared" si="0"/>
        <v/>
      </c>
      <c r="G17" s="96">
        <f t="shared" si="1"/>
        <v>0</v>
      </c>
      <c r="H17" s="96" t="e">
        <f t="shared" si="2"/>
        <v>#VALUE!</v>
      </c>
      <c r="I17" s="96" t="str">
        <f t="shared" si="3"/>
        <v/>
      </c>
      <c r="J17" s="96"/>
      <c r="K17" s="96"/>
      <c r="L17" s="96"/>
      <c r="M17" s="96"/>
      <c r="O17" s="303"/>
      <c r="P17" s="304"/>
      <c r="Q17" s="304"/>
      <c r="R17" s="42"/>
      <c r="S17" s="42"/>
      <c r="T17" s="42"/>
      <c r="U17" s="42"/>
      <c r="V17" s="42"/>
      <c r="W17" s="42"/>
      <c r="X17" s="42"/>
      <c r="Y17" s="42"/>
      <c r="Z17" s="42"/>
    </row>
    <row r="18" spans="2:26" s="24" customFormat="1" ht="15" x14ac:dyDescent="0.2">
      <c r="B18" s="22" t="s">
        <v>401</v>
      </c>
      <c r="C18" s="33"/>
      <c r="D18" s="26"/>
      <c r="E18" s="99" t="s">
        <v>305</v>
      </c>
      <c r="F18" s="96" t="str">
        <f t="shared" si="0"/>
        <v/>
      </c>
      <c r="G18" s="96">
        <f t="shared" si="1"/>
        <v>0</v>
      </c>
      <c r="H18" s="96" t="e">
        <f t="shared" si="2"/>
        <v>#VALUE!</v>
      </c>
      <c r="I18" s="96" t="str">
        <f t="shared" si="3"/>
        <v/>
      </c>
      <c r="J18" s="96"/>
      <c r="K18" s="96"/>
      <c r="L18" s="96"/>
      <c r="M18" s="96"/>
      <c r="O18" s="303"/>
      <c r="P18" s="304"/>
      <c r="Q18" s="304"/>
      <c r="R18" s="42"/>
      <c r="S18" s="42"/>
      <c r="T18" s="42"/>
      <c r="U18" s="42"/>
      <c r="V18" s="42"/>
      <c r="W18" s="42"/>
      <c r="X18" s="42"/>
      <c r="Y18" s="42"/>
      <c r="Z18" s="42"/>
    </row>
    <row r="19" spans="2:26" s="24" customFormat="1" ht="15" x14ac:dyDescent="0.2">
      <c r="B19" s="22" t="s">
        <v>402</v>
      </c>
      <c r="C19" s="33"/>
      <c r="D19" s="26"/>
      <c r="E19" s="99" t="s">
        <v>305</v>
      </c>
      <c r="F19" s="96" t="str">
        <f t="shared" si="0"/>
        <v/>
      </c>
      <c r="G19" s="96">
        <f t="shared" si="1"/>
        <v>0</v>
      </c>
      <c r="H19" s="96" t="e">
        <f t="shared" si="2"/>
        <v>#VALUE!</v>
      </c>
      <c r="I19" s="96" t="str">
        <f t="shared" si="3"/>
        <v/>
      </c>
      <c r="J19" s="96"/>
      <c r="K19" s="96"/>
      <c r="L19" s="96"/>
      <c r="M19" s="96"/>
      <c r="O19" s="303"/>
      <c r="P19" s="304"/>
      <c r="Q19" s="304"/>
      <c r="R19" s="42"/>
      <c r="S19" s="42"/>
      <c r="T19" s="42"/>
      <c r="U19" s="42"/>
      <c r="V19" s="42"/>
      <c r="W19" s="42"/>
      <c r="X19" s="42"/>
      <c r="Y19" s="42"/>
      <c r="Z19" s="42"/>
    </row>
    <row r="20" spans="2:26" s="24" customFormat="1" ht="14.25" x14ac:dyDescent="0.2">
      <c r="B20" s="8" t="s">
        <v>403</v>
      </c>
      <c r="C20" s="7"/>
      <c r="D20" s="7"/>
      <c r="E20" s="100" t="str">
        <f>IF(OR(E21="Yes",E22="Yes",E23="Yes",E24="Yes"),"Yes","")</f>
        <v>Yes</v>
      </c>
      <c r="F20" s="96" t="str">
        <f t="shared" si="0"/>
        <v xml:space="preserve">     Procurement</v>
      </c>
      <c r="G20" s="96">
        <f>LEN(F20)</f>
        <v>16</v>
      </c>
      <c r="H20" s="96" t="str">
        <f>RIGHT(F20,(G20-5))</f>
        <v>Procurement</v>
      </c>
      <c r="I20" s="96" t="str">
        <f>IF(E20="Yes",CONCATENATE(H20,": "),"")</f>
        <v xml:space="preserve">Procurement: </v>
      </c>
      <c r="J20" s="96" t="str">
        <f>CONCATENATE(I20,I21,I22,I23,I24)</f>
        <v xml:space="preserve">Procurement: Information System, Price Comparison, </v>
      </c>
      <c r="K20" s="96">
        <f>LEN(J20)</f>
        <v>51</v>
      </c>
      <c r="L20" s="96" t="str">
        <f t="shared" ref="L20" si="4">LEFT(J20,(K20-2))</f>
        <v>Procurement: Information System, Price Comparison</v>
      </c>
      <c r="M20" s="96" t="str">
        <f t="shared" ref="M20:M28" si="5">IF(K20=0,"",CONCATENATE(L20,"."))</f>
        <v>Procurement: Information System, Price Comparison.</v>
      </c>
      <c r="O20" s="8"/>
      <c r="P20" s="150"/>
      <c r="Q20" s="150"/>
      <c r="R20" s="42"/>
      <c r="S20" s="42"/>
      <c r="T20" s="42"/>
      <c r="U20" s="42"/>
      <c r="V20" s="42"/>
      <c r="W20" s="42"/>
      <c r="X20" s="42"/>
      <c r="Y20" s="42"/>
      <c r="Z20" s="42"/>
    </row>
    <row r="21" spans="2:26" s="24" customFormat="1" ht="15" x14ac:dyDescent="0.2">
      <c r="B21" s="22" t="s">
        <v>404</v>
      </c>
      <c r="C21" s="33"/>
      <c r="D21" s="26"/>
      <c r="E21" s="99" t="s">
        <v>93</v>
      </c>
      <c r="F21" s="96" t="str">
        <f t="shared" si="0"/>
        <v xml:space="preserve">        Information System</v>
      </c>
      <c r="G21" s="96">
        <f>LEN(F21)</f>
        <v>26</v>
      </c>
      <c r="H21" s="96" t="str">
        <f>RIGHT(F21,(G21-8))</f>
        <v>Information System</v>
      </c>
      <c r="I21" s="96" t="str">
        <f>IF(E21="Yes",CONCATENATE(H21,", "),"")</f>
        <v xml:space="preserve">Information System, </v>
      </c>
      <c r="J21" s="96"/>
      <c r="K21" s="96"/>
      <c r="L21" s="96"/>
      <c r="M21" s="96"/>
      <c r="O21" s="303"/>
      <c r="P21" s="304"/>
      <c r="Q21" s="304"/>
      <c r="R21" s="42"/>
      <c r="S21" s="42"/>
      <c r="T21" s="42"/>
      <c r="U21" s="42"/>
      <c r="V21" s="42"/>
      <c r="W21" s="42"/>
      <c r="X21" s="42"/>
      <c r="Y21" s="42"/>
      <c r="Z21" s="42"/>
    </row>
    <row r="22" spans="2:26" s="24" customFormat="1" ht="15" x14ac:dyDescent="0.2">
      <c r="B22" s="187" t="s">
        <v>405</v>
      </c>
      <c r="C22" s="33"/>
      <c r="D22" s="26"/>
      <c r="E22" s="99" t="s">
        <v>93</v>
      </c>
      <c r="F22" s="96" t="str">
        <f t="shared" si="0"/>
        <v>Price Comparison</v>
      </c>
      <c r="G22" s="96">
        <f t="shared" si="1"/>
        <v>16</v>
      </c>
      <c r="H22" s="96" t="str">
        <f>RIGHT(F22,(G22-0))</f>
        <v>Price Comparison</v>
      </c>
      <c r="I22" s="96" t="str">
        <f t="shared" si="3"/>
        <v xml:space="preserve">Price Comparison, </v>
      </c>
      <c r="J22" s="96"/>
      <c r="K22" s="96"/>
      <c r="L22" s="96"/>
      <c r="M22" s="96"/>
      <c r="O22" s="303"/>
      <c r="P22" s="304"/>
      <c r="Q22" s="304"/>
      <c r="R22" s="42"/>
      <c r="S22" s="42"/>
      <c r="T22" s="42"/>
      <c r="U22" s="42"/>
      <c r="V22" s="42"/>
      <c r="W22" s="42"/>
      <c r="X22" s="42"/>
      <c r="Y22" s="42"/>
      <c r="Z22" s="42"/>
    </row>
    <row r="23" spans="2:26" s="24" customFormat="1" ht="15" x14ac:dyDescent="0.2">
      <c r="B23" s="22" t="s">
        <v>406</v>
      </c>
      <c r="C23" s="33"/>
      <c r="D23" s="26"/>
      <c r="E23" s="99" t="s">
        <v>305</v>
      </c>
      <c r="F23" s="96" t="str">
        <f t="shared" si="0"/>
        <v/>
      </c>
      <c r="G23" s="96">
        <f t="shared" si="1"/>
        <v>0</v>
      </c>
      <c r="H23" s="96" t="e">
        <f>RIGHT(F23,(G23-8))</f>
        <v>#VALUE!</v>
      </c>
      <c r="I23" s="96" t="str">
        <f t="shared" si="3"/>
        <v/>
      </c>
      <c r="J23" s="96"/>
      <c r="K23" s="96"/>
      <c r="L23" s="96"/>
      <c r="M23" s="96"/>
      <c r="O23" s="303"/>
      <c r="P23" s="304"/>
      <c r="Q23" s="304"/>
      <c r="R23" s="42"/>
      <c r="S23" s="42"/>
      <c r="T23" s="42"/>
      <c r="U23" s="42"/>
      <c r="V23" s="42"/>
      <c r="W23" s="42"/>
      <c r="X23" s="42"/>
      <c r="Y23" s="42"/>
      <c r="Z23" s="42"/>
    </row>
    <row r="24" spans="2:26" s="24" customFormat="1" ht="15" x14ac:dyDescent="0.2">
      <c r="B24" s="22" t="s">
        <v>407</v>
      </c>
      <c r="C24" s="26"/>
      <c r="D24" s="26"/>
      <c r="E24" s="88" t="str">
        <f>IF(OR(E25="Yes",E26="Yes"),"Yes","")</f>
        <v/>
      </c>
      <c r="F24" s="96" t="str">
        <f t="shared" si="0"/>
        <v/>
      </c>
      <c r="G24" s="96">
        <f t="shared" si="1"/>
        <v>0</v>
      </c>
      <c r="H24" s="96" t="e">
        <f>RIGHT(F24,(G24-8))</f>
        <v>#VALUE!</v>
      </c>
      <c r="I24" s="96" t="str">
        <f t="shared" ref="I24:I33" si="6">IF(E24="Yes",CONCATENATE(H24,", "),"")</f>
        <v/>
      </c>
      <c r="J24" s="96"/>
      <c r="K24" s="96"/>
      <c r="L24" s="96"/>
      <c r="M24" s="96"/>
      <c r="O24" s="303"/>
      <c r="P24" s="304"/>
      <c r="Q24" s="304"/>
      <c r="R24" s="42"/>
      <c r="S24" s="42"/>
      <c r="T24" s="42"/>
      <c r="U24" s="42"/>
      <c r="V24" s="42"/>
      <c r="W24" s="42"/>
      <c r="X24" s="42"/>
      <c r="Y24" s="42"/>
      <c r="Z24" s="42"/>
    </row>
    <row r="25" spans="2:26" s="24" customFormat="1" ht="15" x14ac:dyDescent="0.2">
      <c r="B25" s="22" t="s">
        <v>408</v>
      </c>
      <c r="C25" s="33"/>
      <c r="D25" s="26"/>
      <c r="E25" s="99" t="s">
        <v>305</v>
      </c>
      <c r="F25" s="96"/>
      <c r="G25" s="96"/>
      <c r="H25" s="96"/>
      <c r="I25" s="96"/>
      <c r="J25" s="96"/>
      <c r="K25" s="96"/>
      <c r="L25" s="96"/>
      <c r="M25" s="96"/>
      <c r="O25" s="303"/>
      <c r="P25" s="304"/>
      <c r="Q25" s="304"/>
      <c r="R25" s="42"/>
      <c r="S25" s="42"/>
      <c r="T25" s="42"/>
      <c r="U25" s="42"/>
      <c r="V25" s="42"/>
      <c r="W25" s="42"/>
      <c r="X25" s="42"/>
      <c r="Y25" s="42"/>
      <c r="Z25" s="42"/>
    </row>
    <row r="26" spans="2:26" s="24" customFormat="1" ht="15" x14ac:dyDescent="0.2">
      <c r="B26" s="22" t="s">
        <v>409</v>
      </c>
      <c r="C26" s="33"/>
      <c r="D26" s="26"/>
      <c r="E26" s="99" t="s">
        <v>305</v>
      </c>
      <c r="F26" s="96"/>
      <c r="G26" s="96"/>
      <c r="H26" s="96"/>
      <c r="I26" s="96"/>
      <c r="J26" s="96"/>
      <c r="K26" s="96"/>
      <c r="L26" s="96"/>
      <c r="M26" s="96"/>
      <c r="O26" s="303"/>
      <c r="P26" s="304"/>
      <c r="Q26" s="304"/>
      <c r="R26" s="42"/>
      <c r="S26" s="42"/>
      <c r="T26" s="42"/>
      <c r="U26" s="42"/>
      <c r="V26" s="42"/>
      <c r="W26" s="42"/>
      <c r="X26" s="42"/>
      <c r="Y26" s="42"/>
      <c r="Z26" s="42"/>
    </row>
    <row r="27" spans="2:26" s="24" customFormat="1" ht="14.25" x14ac:dyDescent="0.2">
      <c r="B27" s="52" t="s">
        <v>410</v>
      </c>
      <c r="C27" s="46"/>
      <c r="D27" s="46"/>
      <c r="E27" s="101" t="str">
        <f>IF(OR(E28="Yes",E30="Yes",E32="Yes",E33="Yes"),"Yes","")</f>
        <v/>
      </c>
      <c r="F27" s="96"/>
      <c r="G27" s="96"/>
      <c r="H27" s="96"/>
      <c r="I27" s="96"/>
      <c r="J27" s="96"/>
      <c r="K27" s="96"/>
      <c r="L27" s="96"/>
      <c r="M27" s="96"/>
      <c r="O27" s="149"/>
      <c r="P27" s="97"/>
      <c r="Q27" s="97"/>
      <c r="R27" s="42"/>
      <c r="S27" s="42"/>
      <c r="T27" s="42"/>
      <c r="U27" s="42"/>
      <c r="V27" s="42"/>
      <c r="W27" s="42"/>
      <c r="X27" s="42"/>
      <c r="Y27" s="42"/>
      <c r="Z27" s="42"/>
    </row>
    <row r="28" spans="2:26" s="24" customFormat="1" ht="14.25" x14ac:dyDescent="0.2">
      <c r="B28" s="8" t="s">
        <v>411</v>
      </c>
      <c r="C28" s="7"/>
      <c r="D28" s="7"/>
      <c r="E28" s="100" t="str">
        <f>IF(E29="Yes","Yes","")</f>
        <v/>
      </c>
      <c r="F28" s="96" t="str">
        <f>IF(E28="Yes",B28,"")</f>
        <v/>
      </c>
      <c r="G28" s="96">
        <f t="shared" si="1"/>
        <v>0</v>
      </c>
      <c r="H28" s="96" t="e">
        <f>RIGHT(F28,(G28-5))</f>
        <v>#VALUE!</v>
      </c>
      <c r="I28" s="96" t="str">
        <f t="shared" si="6"/>
        <v/>
      </c>
      <c r="J28" s="96" t="str">
        <f>CONCATENATE(I28,I30,I32,I33)</f>
        <v/>
      </c>
      <c r="K28" s="96">
        <f>LEN(J28)</f>
        <v>0</v>
      </c>
      <c r="L28" s="96" t="e">
        <f>LEFT(J28,(K28-2))</f>
        <v>#VALUE!</v>
      </c>
      <c r="M28" s="96" t="str">
        <f t="shared" si="5"/>
        <v/>
      </c>
      <c r="O28" s="8"/>
      <c r="P28" s="150"/>
      <c r="Q28" s="150"/>
      <c r="R28" s="42"/>
      <c r="S28" s="42"/>
      <c r="T28" s="42"/>
      <c r="U28" s="42"/>
      <c r="V28" s="42"/>
      <c r="W28" s="42"/>
      <c r="X28" s="42"/>
      <c r="Y28" s="42"/>
      <c r="Z28" s="42"/>
    </row>
    <row r="29" spans="2:26" s="24" customFormat="1" ht="15" x14ac:dyDescent="0.2">
      <c r="B29" s="22" t="s">
        <v>412</v>
      </c>
      <c r="C29" s="32"/>
      <c r="D29" s="26"/>
      <c r="E29" s="326" t="s">
        <v>305</v>
      </c>
      <c r="F29" s="96"/>
      <c r="G29" s="96"/>
      <c r="H29" s="96"/>
      <c r="I29" s="96"/>
      <c r="J29" s="96"/>
      <c r="K29" s="96"/>
      <c r="L29" s="96"/>
      <c r="M29" s="96"/>
      <c r="O29" s="303"/>
      <c r="P29" s="304"/>
      <c r="Q29" s="304"/>
      <c r="R29" s="42"/>
      <c r="S29" s="42"/>
      <c r="T29" s="42"/>
      <c r="U29" s="42"/>
      <c r="V29" s="42"/>
      <c r="W29" s="42"/>
      <c r="X29" s="42"/>
      <c r="Y29" s="42"/>
      <c r="Z29" s="42"/>
    </row>
    <row r="30" spans="2:26" s="24" customFormat="1" ht="14.25" x14ac:dyDescent="0.2">
      <c r="B30" s="8" t="s">
        <v>413</v>
      </c>
      <c r="C30" s="7"/>
      <c r="D30" s="7"/>
      <c r="E30" s="100" t="str">
        <f>IF(E31="Yes","Yes","")</f>
        <v/>
      </c>
      <c r="F30" s="96" t="str">
        <f>IF(E30="Yes",B30,"")</f>
        <v/>
      </c>
      <c r="G30" s="96">
        <f t="shared" si="1"/>
        <v>0</v>
      </c>
      <c r="H30" s="96" t="e">
        <f>RIGHT(F30,(G30-5))</f>
        <v>#VALUE!</v>
      </c>
      <c r="I30" s="96" t="str">
        <f t="shared" si="6"/>
        <v/>
      </c>
      <c r="J30" s="96"/>
      <c r="K30" s="96"/>
      <c r="L30" s="96"/>
      <c r="M30" s="96"/>
      <c r="O30" s="8"/>
      <c r="P30" s="150"/>
      <c r="Q30" s="150"/>
      <c r="R30" s="42"/>
      <c r="S30" s="42"/>
      <c r="T30" s="42"/>
      <c r="U30" s="42"/>
      <c r="V30" s="42"/>
      <c r="W30" s="42"/>
      <c r="X30" s="42"/>
      <c r="Y30" s="42"/>
      <c r="Z30" s="42"/>
    </row>
    <row r="31" spans="2:26" s="24" customFormat="1" ht="15" x14ac:dyDescent="0.2">
      <c r="B31" s="22" t="s">
        <v>412</v>
      </c>
      <c r="C31" s="32"/>
      <c r="D31" s="26"/>
      <c r="E31" s="326" t="s">
        <v>305</v>
      </c>
      <c r="F31" s="96"/>
      <c r="G31" s="96"/>
      <c r="H31" s="96"/>
      <c r="I31" s="96"/>
      <c r="J31" s="96"/>
      <c r="K31" s="96"/>
      <c r="L31" s="96"/>
      <c r="M31" s="96"/>
      <c r="O31" s="303"/>
      <c r="P31" s="304"/>
      <c r="Q31" s="304"/>
      <c r="R31" s="42"/>
      <c r="S31" s="42"/>
      <c r="T31" s="42"/>
      <c r="U31" s="42"/>
      <c r="V31" s="42"/>
      <c r="W31" s="42"/>
      <c r="X31" s="42"/>
      <c r="Y31" s="42"/>
      <c r="Z31" s="42"/>
    </row>
    <row r="32" spans="2:26" s="24" customFormat="1" ht="14.25" x14ac:dyDescent="0.2">
      <c r="B32" s="8" t="s">
        <v>414</v>
      </c>
      <c r="C32" s="300"/>
      <c r="D32" s="7"/>
      <c r="E32" s="129"/>
      <c r="F32" s="96" t="str">
        <f>IF(E32="Yes",B32,"")</f>
        <v/>
      </c>
      <c r="G32" s="96">
        <f t="shared" si="1"/>
        <v>0</v>
      </c>
      <c r="H32" s="96" t="e">
        <f>RIGHT(F32,(G32-5))</f>
        <v>#VALUE!</v>
      </c>
      <c r="I32" s="96" t="str">
        <f t="shared" si="6"/>
        <v/>
      </c>
      <c r="J32" s="96"/>
      <c r="K32" s="96"/>
      <c r="L32" s="96"/>
      <c r="M32" s="96"/>
      <c r="O32" s="305"/>
      <c r="P32" s="305"/>
      <c r="Q32" s="305"/>
      <c r="R32" s="42"/>
      <c r="S32" s="42"/>
      <c r="T32" s="42"/>
      <c r="U32" s="42"/>
      <c r="V32" s="42"/>
      <c r="W32" s="42"/>
      <c r="X32" s="42"/>
      <c r="Y32" s="42"/>
      <c r="Z32" s="42"/>
    </row>
    <row r="33" spans="2:26" s="24" customFormat="1" ht="14.25" x14ac:dyDescent="0.2">
      <c r="B33" s="8" t="s">
        <v>415</v>
      </c>
      <c r="C33" s="300"/>
      <c r="D33" s="7"/>
      <c r="E33" s="129"/>
      <c r="F33" s="96" t="str">
        <f>IF(E33="Yes",B33,"")</f>
        <v/>
      </c>
      <c r="G33" s="96">
        <f t="shared" si="1"/>
        <v>0</v>
      </c>
      <c r="H33" s="96" t="e">
        <f>RIGHT(F33,(G33-5))</f>
        <v>#VALUE!</v>
      </c>
      <c r="I33" s="96" t="str">
        <f t="shared" si="6"/>
        <v/>
      </c>
      <c r="J33" s="96"/>
      <c r="K33" s="96"/>
      <c r="L33" s="96"/>
      <c r="M33" s="96"/>
      <c r="O33" s="305"/>
      <c r="P33" s="305"/>
      <c r="Q33" s="305"/>
      <c r="R33" s="42"/>
      <c r="S33" s="42"/>
      <c r="T33" s="42"/>
      <c r="U33" s="42"/>
      <c r="V33" s="42"/>
      <c r="W33" s="42"/>
      <c r="X33" s="42"/>
      <c r="Y33" s="42"/>
      <c r="Z33" s="42"/>
    </row>
    <row r="34" spans="2:26" s="24" customFormat="1" ht="34.5" customHeight="1" x14ac:dyDescent="0.2">
      <c r="B34" s="86" t="s">
        <v>34</v>
      </c>
      <c r="C34" s="62"/>
      <c r="D34" s="62"/>
      <c r="E34" s="62"/>
      <c r="F34" s="96"/>
      <c r="G34" s="96"/>
      <c r="H34" s="96"/>
      <c r="I34" s="96"/>
      <c r="J34" s="96"/>
      <c r="K34" s="96"/>
      <c r="L34" s="96"/>
      <c r="M34" s="96"/>
      <c r="O34" s="86"/>
      <c r="P34" s="151"/>
      <c r="Q34" s="151"/>
      <c r="R34" s="42"/>
      <c r="S34" s="42"/>
      <c r="T34" s="42"/>
      <c r="U34" s="42"/>
      <c r="V34" s="42"/>
      <c r="W34" s="42"/>
      <c r="X34" s="42"/>
      <c r="Y34" s="42"/>
      <c r="Z34" s="42"/>
    </row>
    <row r="35" spans="2:26" s="24" customFormat="1" ht="84.75" customHeight="1" x14ac:dyDescent="0.2">
      <c r="B35" s="25" t="s">
        <v>35</v>
      </c>
      <c r="C35" s="315" t="s">
        <v>416</v>
      </c>
      <c r="D35" s="32" t="s">
        <v>417</v>
      </c>
      <c r="E35" s="99"/>
      <c r="F35" s="96"/>
      <c r="G35" s="96"/>
      <c r="H35" s="96"/>
      <c r="I35" s="96"/>
      <c r="J35" s="96"/>
      <c r="K35" s="96"/>
      <c r="L35" s="96"/>
      <c r="M35" s="96"/>
      <c r="O35" s="303"/>
      <c r="P35" s="304"/>
      <c r="Q35" s="304"/>
      <c r="R35" s="42"/>
      <c r="S35" s="42"/>
      <c r="T35" s="42"/>
      <c r="U35" s="42"/>
      <c r="V35" s="42"/>
      <c r="W35" s="42"/>
      <c r="X35" s="42"/>
      <c r="Y35" s="42"/>
      <c r="Z35" s="42"/>
    </row>
    <row r="36" spans="2:26" s="24" customFormat="1" ht="15" x14ac:dyDescent="0.2">
      <c r="B36" s="23"/>
      <c r="E36" s="27"/>
      <c r="F36" s="96"/>
      <c r="G36" s="96"/>
      <c r="H36" s="96"/>
      <c r="I36" s="96"/>
      <c r="J36" s="96"/>
      <c r="K36" s="96"/>
      <c r="L36" s="96">
        <f>3*0.25</f>
        <v>0.75</v>
      </c>
      <c r="M36" s="96"/>
      <c r="O36" s="42"/>
      <c r="P36" s="42"/>
      <c r="Q36" s="42"/>
      <c r="R36" s="42"/>
      <c r="S36" s="42"/>
      <c r="T36" s="42"/>
      <c r="U36" s="42"/>
      <c r="V36" s="42"/>
      <c r="W36" s="42"/>
      <c r="X36" s="42"/>
      <c r="Y36" s="42"/>
      <c r="Z36" s="42"/>
    </row>
    <row r="37" spans="2:26" x14ac:dyDescent="0.2">
      <c r="L37" s="85">
        <f>3*0.15</f>
        <v>0.44999999999999996</v>
      </c>
    </row>
    <row r="39" spans="2:26" x14ac:dyDescent="0.2">
      <c r="L39" s="85">
        <f>SUM(L36:L38)</f>
        <v>1.2</v>
      </c>
    </row>
    <row r="41" spans="2:26" x14ac:dyDescent="0.2">
      <c r="L41" s="85">
        <f>1*0.25</f>
        <v>0.25</v>
      </c>
    </row>
    <row r="42" spans="2:26" x14ac:dyDescent="0.2">
      <c r="L42" s="85">
        <f>1*0.15</f>
        <v>0.15</v>
      </c>
    </row>
  </sheetData>
  <sheetProtection algorithmName="SHA-512" hashValue="tDp43pYZQyMaJ/WrBMc3vt3LpKbcQgMpP87kcCcHPOEi9mTYlEG7fQX2xWwJuzKyEtHS/hgOUYIMre9+gLnHIw==" saltValue="3id1hCuCmQqseDsIY2Kf6Q==" spinCount="100000" sheet="1" formatCell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Tapia, Waldo</Other_x0020_Author>
    <Division_x0020_or_x0020_Unit xmlns="cdc7663a-08f0-4737-9e8c-148ce897a09c">SCL/LMK</Division_x0020_or_x0020_Unit>
    <IDBDocs_x0020_Number xmlns="cdc7663a-08f0-4737-9e8c-148ce897a09c">38562678</IDBDocs_x0020_Number>
    <Document_x0020_Author xmlns="cdc7663a-08f0-4737-9e8c-148ce897a09c">Muhlstein, Ethel Rosa</Document_x0020_Author>
    <TaxCatchAll xmlns="cdc7663a-08f0-4737-9e8c-148ce897a09c">
      <Value>124</Value>
      <Value>25</Value>
      <Value>29</Value>
      <Value>1</Value>
      <Value>22</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Spanish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Panama</TermName>
          <TermId xmlns="http://schemas.microsoft.com/office/infopath/2007/PartnerControls">7af43a84-776d-43d1-b0f2-8a1f2a8ffc7b</TermId>
        </TermInfo>
      </Terms>
    </ic46d7e087fd4a108fb86518ca413cc6>
    <Related_x0020_SisCor_x0020_Number xmlns="cdc7663a-08f0-4737-9e8c-148ce897a09c" xsi:nil="true"/>
    <_dlc_DocId xmlns="cdc7663a-08f0-4737-9e8c-148ce897a09c">EZSHARE-58069796-8</_dlc_DocId>
    <_dlc_DocIdUrl xmlns="cdc7663a-08f0-4737-9e8c-148ce897a09c">
      <Url>https://idbg.sharepoint.com/teams/EZ-PN-LON/PN-L1153/_layouts/15/DocIdRedir.aspx?ID=EZSHARE-58069796-8</Url>
      <Description>EZSHARE-58069796-8</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HUMAN RESOURCES ＆ WORKFORCE DEVELOPMENT</TermName>
          <TermId xmlns="http://schemas.microsoft.com/office/infopath/2007/PartnerControls">3a930519-b636-4ec6-984c-84525e0cf029</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Operation_x0020_Type xmlns="cdc7663a-08f0-4737-9e8c-148ce897a09c">Loan Operation</Operation_x0020_Type>
    <Package_x0020_Code xmlns="cdc7663a-08f0-4737-9e8c-148ce897a09c" xsi:nil="true"/>
    <To_x003a_ xmlns="cdc7663a-08f0-4737-9e8c-148ce897a09c" xsi:nil="true"/>
    <Project_x0020_Number xmlns="cdc7663a-08f0-4737-9e8c-148ce897a09c">PN-L1153;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R0002826379</Record_x0020_Number>
  </documentManagement>
</p:properties>
</file>

<file path=customXml/item2.xml><?xml version="1.0" encoding="utf-8"?>
<ct:contentTypeSchema xmlns:ct="http://schemas.microsoft.com/office/2006/metadata/contentType" xmlns:ma="http://schemas.microsoft.com/office/2006/metadata/properties/metaAttributes" ct:_="" ma:_="" ma:contentTypeName="ez-Operations" ma:contentTypeID="0x010100ACF722E9F6B0B149B0CD8BE2560A66720033C55CCCC1A8464489626179CE93CC9F" ma:contentTypeVersion="915" ma:contentTypeDescription="The base project type from which other project content types inherit their information." ma:contentTypeScope="" ma:versionID="c3f675071546db0b04a091eaee6fc527">
  <xsd:schema xmlns:xsd="http://www.w3.org/2001/XMLSchema" xmlns:xs="http://www.w3.org/2001/XMLSchema" xmlns:p="http://schemas.microsoft.com/office/2006/metadata/properties" xmlns:ns2="cdc7663a-08f0-4737-9e8c-148ce897a09c" targetNamespace="http://schemas.microsoft.com/office/2006/metadata/properties" ma:root="true" ma:fieldsID="6a64bd0f2fdc4d17ffeb295f0d98b6f2"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PN-L1153"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ae61f9b1-e23d-4f49-b3d7-56b991556c4b" ContentTypeId="0x010100ACF722E9F6B0B149B0CD8BE2560A6672" PreviousValue="false"/>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8688207F-6955-481B-BA9D-A509C06E6BA1}">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cdc7663a-08f0-4737-9e8c-148ce897a09c"/>
    <ds:schemaRef ds:uri="http://www.w3.org/XML/1998/namespace"/>
    <ds:schemaRef ds:uri="http://purl.org/dc/dcmitype/"/>
  </ds:schemaRefs>
</ds:datastoreItem>
</file>

<file path=customXml/itemProps2.xml><?xml version="1.0" encoding="utf-8"?>
<ds:datastoreItem xmlns:ds="http://schemas.openxmlformats.org/officeDocument/2006/customXml" ds:itemID="{D5391B3F-E521-4BE7-B850-05D7A2A6525A}"/>
</file>

<file path=customXml/itemProps3.xml><?xml version="1.0" encoding="utf-8"?>
<ds:datastoreItem xmlns:ds="http://schemas.openxmlformats.org/officeDocument/2006/customXml" ds:itemID="{A4267557-5169-4841-9330-2F53D785C905}">
  <ds:schemaRefs>
    <ds:schemaRef ds:uri="Microsoft.SharePoint.Taxonomy.ContentTypeSync"/>
  </ds:schemaRefs>
</ds:datastoreItem>
</file>

<file path=customXml/itemProps4.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5.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6.xml><?xml version="1.0" encoding="utf-8"?>
<ds:datastoreItem xmlns:ds="http://schemas.openxmlformats.org/officeDocument/2006/customXml" ds:itemID="{ABDBFFF8-37B9-40C3-B128-03FC325E6ED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2018</dc:title>
  <dc:creator>Carola Alvarez</dc:creator>
  <cp:keywords/>
  <cp:lastModifiedBy>Muhlstein, Ethel Rosa</cp:lastModifiedBy>
  <cp:revision/>
  <cp:lastPrinted>2018-10-15T20:51:24Z</cp:lastPrinted>
  <dcterms:created xsi:type="dcterms:W3CDTF">2009-01-21T14:19:32Z</dcterms:created>
  <dcterms:modified xsi:type="dcterms:W3CDTF">2018-10-17T16:29:15Z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0x010100ACF722E9F6B0B149B0CD8BE2560A66720033C55CCCC1A8464489626179CE93CC9F</vt:lpwstr>
  </property>
  <property fmtid="{D5CDD505-2E9C-101B-9397-08002B2CF9AE}" pid="6" name="TaxKeywordTaxHTField">
    <vt:lpwstr/>
  </property>
  <property fmtid="{D5CDD505-2E9C-101B-9397-08002B2CF9AE}" pid="7" name="Country">
    <vt:lpwstr>22;#Panama|7af43a84-776d-43d1-b0f2-8a1f2a8ffc7b</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SharedWithUsers">
    <vt:lpwstr>10;#Everyone except external users;#2161;#Pasos Contreras, Reyna Elisa;#988;#Chacon, Carolina;#935;#Phillips-Ward, Vera</vt:lpwstr>
  </property>
  <property fmtid="{D5CDD505-2E9C-101B-9397-08002B2CF9AE}" pid="24" name="_dlc_DocIdItemGuid">
    <vt:lpwstr>867f4076-5dcb-4ce4-941c-28bde99811da</vt:lpwstr>
  </property>
  <property fmtid="{D5CDD505-2E9C-101B-9397-08002B2CF9AE}" pid="25" name="Sub-Sector">
    <vt:lpwstr>124;#HUMAN RESOURCES ＆ WORKFORCE DEVELOPMENT|3a930519-b636-4ec6-984c-84525e0cf029</vt:lpwstr>
  </property>
  <property fmtid="{D5CDD505-2E9C-101B-9397-08002B2CF9AE}" pid="26" name="Series Operations IDB">
    <vt:lpwstr/>
  </property>
  <property fmtid="{D5CDD505-2E9C-101B-9397-08002B2CF9AE}" pid="27" name="Fund IDB">
    <vt:lpwstr>25;#ORC|c028a4b2-ad8b-4cf4-9cac-a2ae6a778e23</vt:lpwstr>
  </property>
  <property fmtid="{D5CDD505-2E9C-101B-9397-08002B2CF9AE}" pid="28" name="Publishing House">
    <vt:lpwstr/>
  </property>
  <property fmtid="{D5CDD505-2E9C-101B-9397-08002B2CF9AE}" pid="29" name="Sector IDB">
    <vt:lpwstr>29;#SOCIAL INVESTMENT|3f908695-d5b5-49f6-941f-76876b39564f</vt:lpwstr>
  </property>
  <property fmtid="{D5CDD505-2E9C-101B-9397-08002B2CF9AE}" pid="30" name="KP Topics">
    <vt:lpwstr/>
  </property>
  <property fmtid="{D5CDD505-2E9C-101B-9397-08002B2CF9AE}" pid="31" name="Function Operations IDB">
    <vt:lpwstr>1;#Project Preparation, Planning and Design|29ca0c72-1fc4-435f-a09c-28585cb5eac9</vt:lpwstr>
  </property>
  <property fmtid="{D5CDD505-2E9C-101B-9397-08002B2CF9AE}" pid="32" name="Publication Type">
    <vt:lpwstr/>
  </property>
</Properties>
</file>