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228"/>
  <workbookPr defaultThemeVersion="124226"/>
  <xr:revisionPtr revIDLastSave="0" documentId="D3D4F14BF3B19F1E0CAF3CD7EFDC0501BC05BDF9" xr6:coauthVersionLast="20" xr6:coauthVersionMax="20" xr10:uidLastSave="{00000000-0000-0000-0000-000000000000}"/>
  <bookViews>
    <workbookView xWindow="360" yWindow="270" windowWidth="14940" windowHeight="9150" xr2:uid="{00000000-000D-0000-FFFF-FFFF00000000}"/>
  </bookViews>
  <sheets>
    <sheet name="Quantidades e Valores" sheetId="7" r:id="rId1"/>
  </sheets>
  <definedNames>
    <definedName name="_xlnm.Print_Area" localSheetId="0">'Quantidades e Valores'!#REF!</definedName>
  </definedNames>
  <calcPr calcId="171026"/>
</workbook>
</file>

<file path=xl/calcChain.xml><?xml version="1.0" encoding="utf-8"?>
<calcChain xmlns="http://schemas.openxmlformats.org/spreadsheetml/2006/main">
  <c r="L113" i="7" l="1"/>
  <c r="L112" i="7"/>
  <c r="L111" i="7"/>
  <c r="L110" i="7"/>
  <c r="L109" i="7"/>
  <c r="L108" i="7"/>
  <c r="L114" i="7"/>
  <c r="J106" i="7"/>
  <c r="J105" i="7"/>
  <c r="J103" i="7"/>
  <c r="J102" i="7"/>
  <c r="J104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66" i="7"/>
  <c r="Q66" i="7"/>
  <c r="O113" i="7"/>
  <c r="N113" i="7"/>
  <c r="M113" i="7"/>
  <c r="O112" i="7"/>
  <c r="N112" i="7"/>
  <c r="M112" i="7"/>
  <c r="O111" i="7"/>
  <c r="N111" i="7"/>
  <c r="M111" i="7"/>
  <c r="O110" i="7"/>
  <c r="N110" i="7"/>
  <c r="M110" i="7"/>
  <c r="O109" i="7"/>
  <c r="N109" i="7"/>
  <c r="M109" i="7"/>
  <c r="O108" i="7"/>
  <c r="N108" i="7"/>
  <c r="M108" i="7"/>
  <c r="M74" i="7"/>
  <c r="M73" i="7"/>
  <c r="M72" i="7"/>
  <c r="M71" i="7"/>
  <c r="M70" i="7"/>
  <c r="M69" i="7"/>
  <c r="M33" i="7"/>
  <c r="M32" i="7"/>
  <c r="M31" i="7"/>
  <c r="M30" i="7"/>
  <c r="M29" i="7"/>
  <c r="M28" i="7"/>
  <c r="J67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4" i="7"/>
  <c r="J43" i="7"/>
  <c r="J42" i="7"/>
  <c r="J41" i="7"/>
  <c r="J40" i="7"/>
  <c r="J24" i="7"/>
  <c r="J26" i="7"/>
  <c r="J23" i="7"/>
  <c r="J25" i="7"/>
  <c r="J22" i="7"/>
  <c r="J21" i="7"/>
  <c r="J20" i="7"/>
  <c r="J19" i="7"/>
  <c r="J18" i="7"/>
  <c r="J17" i="7"/>
  <c r="J16" i="7"/>
  <c r="J10" i="7"/>
  <c r="J15" i="7"/>
  <c r="J14" i="7"/>
  <c r="J13" i="7"/>
  <c r="J12" i="7"/>
  <c r="J11" i="7"/>
  <c r="J9" i="7"/>
  <c r="J8" i="7"/>
  <c r="J7" i="7"/>
  <c r="J38" i="7"/>
  <c r="J39" i="7"/>
  <c r="J45" i="7"/>
  <c r="J46" i="7"/>
  <c r="J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3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5" i="7"/>
  <c r="N23" i="7"/>
  <c r="N26" i="7"/>
  <c r="N24" i="7"/>
  <c r="N7" i="7"/>
  <c r="N33" i="7"/>
  <c r="N71" i="7"/>
  <c r="N69" i="7"/>
  <c r="N72" i="7"/>
  <c r="N32" i="7"/>
  <c r="N31" i="7"/>
  <c r="N30" i="7"/>
  <c r="N28" i="7"/>
  <c r="N73" i="7"/>
  <c r="N74" i="7"/>
  <c r="N29" i="7"/>
  <c r="N70" i="7"/>
  <c r="O114" i="7"/>
  <c r="M114" i="7"/>
  <c r="N114" i="7"/>
  <c r="M75" i="7"/>
  <c r="M34" i="7"/>
  <c r="N34" i="7"/>
  <c r="N75" i="7"/>
  <c r="P79" i="7"/>
  <c r="P80" i="7"/>
  <c r="P81" i="7"/>
  <c r="P82" i="7"/>
  <c r="P83" i="7"/>
  <c r="P84" i="7"/>
  <c r="P85" i="7"/>
  <c r="P86" i="7"/>
  <c r="P87" i="7"/>
  <c r="P88" i="7"/>
  <c r="P89" i="7"/>
  <c r="P90" i="7"/>
  <c r="P91" i="7"/>
  <c r="P92" i="7"/>
  <c r="P93" i="7"/>
  <c r="P94" i="7"/>
  <c r="P95" i="7"/>
  <c r="P96" i="7"/>
  <c r="P97" i="7"/>
  <c r="P98" i="7"/>
  <c r="P99" i="7"/>
  <c r="P100" i="7"/>
  <c r="P101" i="7"/>
  <c r="P104" i="7"/>
  <c r="P102" i="7"/>
  <c r="P103" i="7"/>
  <c r="P105" i="7"/>
  <c r="P106" i="7"/>
  <c r="P78" i="7"/>
  <c r="U97" i="7"/>
  <c r="S97" i="7"/>
  <c r="S82" i="7"/>
  <c r="U82" i="7"/>
  <c r="U105" i="7"/>
  <c r="S105" i="7"/>
  <c r="U101" i="7"/>
  <c r="S101" i="7"/>
  <c r="U96" i="7"/>
  <c r="S96" i="7"/>
  <c r="U93" i="7"/>
  <c r="S93" i="7"/>
  <c r="U89" i="7"/>
  <c r="S89" i="7"/>
  <c r="U85" i="7"/>
  <c r="S85" i="7"/>
  <c r="U81" i="7"/>
  <c r="S81" i="7"/>
  <c r="U78" i="7"/>
  <c r="S78" i="7"/>
  <c r="U104" i="7"/>
  <c r="S104" i="7"/>
  <c r="U90" i="7"/>
  <c r="S90" i="7"/>
  <c r="U103" i="7"/>
  <c r="S103" i="7"/>
  <c r="U99" i="7"/>
  <c r="S99" i="7"/>
  <c r="U95" i="7"/>
  <c r="S95" i="7"/>
  <c r="U92" i="7"/>
  <c r="S92" i="7"/>
  <c r="U88" i="7"/>
  <c r="S88" i="7"/>
  <c r="U84" i="7"/>
  <c r="S84" i="7"/>
  <c r="U80" i="7"/>
  <c r="S80" i="7"/>
  <c r="S106" i="7"/>
  <c r="U106" i="7"/>
  <c r="U86" i="7"/>
  <c r="S86" i="7"/>
  <c r="U102" i="7"/>
  <c r="S102" i="7"/>
  <c r="U100" i="7"/>
  <c r="S100" i="7"/>
  <c r="U98" i="7"/>
  <c r="S98" i="7"/>
  <c r="U94" i="7"/>
  <c r="S94" i="7"/>
  <c r="U91" i="7"/>
  <c r="S91" i="7"/>
  <c r="U87" i="7"/>
  <c r="S87" i="7"/>
  <c r="U83" i="7"/>
  <c r="S83" i="7"/>
  <c r="U79" i="7"/>
  <c r="S79" i="7"/>
  <c r="P108" i="7"/>
  <c r="P109" i="7"/>
  <c r="U110" i="7"/>
  <c r="S109" i="7"/>
  <c r="U109" i="7"/>
  <c r="S110" i="7"/>
  <c r="Q67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5" i="7"/>
  <c r="Q23" i="7"/>
  <c r="Q24" i="7"/>
  <c r="Q7" i="7"/>
  <c r="W110" i="7"/>
  <c r="W109" i="7"/>
  <c r="J109" i="7"/>
  <c r="J110" i="7"/>
  <c r="J111" i="7"/>
  <c r="J112" i="7"/>
  <c r="J113" i="7"/>
  <c r="H113" i="7"/>
  <c r="H112" i="7"/>
  <c r="H111" i="7"/>
  <c r="H110" i="7"/>
  <c r="H109" i="7"/>
  <c r="J108" i="7"/>
  <c r="H108" i="7"/>
  <c r="E108" i="7"/>
  <c r="J70" i="7"/>
  <c r="J71" i="7"/>
  <c r="J72" i="7"/>
  <c r="J73" i="7"/>
  <c r="J74" i="7"/>
  <c r="H74" i="7"/>
  <c r="H73" i="7"/>
  <c r="H72" i="7"/>
  <c r="H71" i="7"/>
  <c r="H70" i="7"/>
  <c r="J69" i="7"/>
  <c r="H69" i="7"/>
  <c r="F69" i="7"/>
  <c r="J33" i="7"/>
  <c r="H33" i="7"/>
  <c r="J32" i="7"/>
  <c r="H32" i="7"/>
  <c r="J31" i="7"/>
  <c r="H31" i="7"/>
  <c r="J30" i="7"/>
  <c r="H30" i="7"/>
  <c r="J29" i="7"/>
  <c r="H29" i="7"/>
  <c r="J28" i="7"/>
  <c r="H28" i="7"/>
  <c r="S112" i="7"/>
  <c r="U112" i="7"/>
  <c r="U113" i="7"/>
  <c r="S111" i="7"/>
  <c r="S108" i="7"/>
  <c r="U108" i="7"/>
  <c r="U111" i="7"/>
  <c r="S113" i="7"/>
  <c r="Y116" i="7"/>
  <c r="W116" i="7"/>
  <c r="U116" i="7"/>
  <c r="S116" i="7"/>
  <c r="AA116" i="7"/>
  <c r="H34" i="7"/>
  <c r="J114" i="7"/>
  <c r="J34" i="7"/>
  <c r="H75" i="7"/>
  <c r="H114" i="7"/>
  <c r="J75" i="7"/>
  <c r="E109" i="7"/>
  <c r="E110" i="7"/>
  <c r="E111" i="7"/>
  <c r="E112" i="7"/>
  <c r="E113" i="7"/>
  <c r="W112" i="7"/>
  <c r="W113" i="7"/>
  <c r="U114" i="7"/>
  <c r="S114" i="7"/>
  <c r="W108" i="7"/>
  <c r="W111" i="7"/>
  <c r="E114" i="7"/>
  <c r="F74" i="7"/>
  <c r="F73" i="7"/>
  <c r="F72" i="7"/>
  <c r="F71" i="7"/>
  <c r="F70" i="7"/>
  <c r="F28" i="7"/>
  <c r="F33" i="7"/>
  <c r="F32" i="7"/>
  <c r="F31" i="7"/>
  <c r="F30" i="7"/>
  <c r="F29" i="7"/>
  <c r="E33" i="7"/>
  <c r="E72" i="7"/>
  <c r="E70" i="7"/>
  <c r="F75" i="7"/>
  <c r="E29" i="7"/>
  <c r="F34" i="7"/>
  <c r="E31" i="7"/>
  <c r="E74" i="7"/>
  <c r="C113" i="7"/>
  <c r="C112" i="7"/>
  <c r="C111" i="7"/>
  <c r="B111" i="7"/>
  <c r="C110" i="7"/>
  <c r="B110" i="7"/>
  <c r="C109" i="7"/>
  <c r="C74" i="7"/>
  <c r="C73" i="7"/>
  <c r="C72" i="7"/>
  <c r="C71" i="7"/>
  <c r="C70" i="7"/>
  <c r="B70" i="7"/>
  <c r="C33" i="7"/>
  <c r="C32" i="7"/>
  <c r="C31" i="7"/>
  <c r="C30" i="7"/>
  <c r="C29" i="7"/>
  <c r="B29" i="7"/>
  <c r="B109" i="7"/>
  <c r="AC116" i="7"/>
  <c r="B33" i="7"/>
  <c r="B112" i="7"/>
  <c r="B72" i="7"/>
  <c r="B31" i="7"/>
  <c r="B74" i="7"/>
  <c r="C108" i="7"/>
  <c r="C69" i="7"/>
  <c r="C28" i="7"/>
  <c r="Q28" i="7"/>
  <c r="C114" i="7"/>
  <c r="B114" i="7"/>
</calcChain>
</file>

<file path=xl/sharedStrings.xml><?xml version="1.0" encoding="utf-8"?>
<sst xmlns="http://schemas.openxmlformats.org/spreadsheetml/2006/main" count="299" uniqueCount="136">
  <si>
    <t>PROYECTOS MUESTRA DEL PROGRAMA DE INVERSIONES EN INFRAESTRUCTURA ENERGÉTICA - CELESC-D</t>
  </si>
  <si>
    <t>BR-L1491</t>
  </si>
  <si>
    <t>1.1   IMPLANTAÇÃO DE NOVAS SUBESTAÇÕES</t>
  </si>
  <si>
    <t>OBRA</t>
  </si>
  <si>
    <t>TIPO DE OBRA</t>
  </si>
  <si>
    <t>VALOR ESTIMADO    R$</t>
  </si>
  <si>
    <t>ANO</t>
  </si>
  <si>
    <t>Ext. LD (km)</t>
  </si>
  <si>
    <t>Pot. Ad. (MVA)</t>
  </si>
  <si>
    <t>OBSERVAÇÕES</t>
  </si>
  <si>
    <t>VALOR MATERIAIS e EQUIPAMENTOS</t>
  </si>
  <si>
    <t>A</t>
  </si>
  <si>
    <t>VALOR EXECUÇÃO das OBRAS</t>
  </si>
  <si>
    <t>PROJETOS</t>
  </si>
  <si>
    <t>B</t>
  </si>
  <si>
    <t>TT</t>
  </si>
  <si>
    <t>OUTROS</t>
  </si>
  <si>
    <t>RESUMO: VER LINHA 140</t>
  </si>
  <si>
    <t>SE  138/13,8kV FLORIANÓPOLIS CAPOEIRAS - IMPLANTAÇÃO DA SUBESTAÇÃO - 26,67MVA</t>
  </si>
  <si>
    <t>NSE</t>
  </si>
  <si>
    <t>SE 138/23KV BRUSQUE SÃO PEDRO - IMPLANTAÇÃO DA SUBESTAÇÃO - 26,67MVA</t>
  </si>
  <si>
    <t>Enviado FTP</t>
  </si>
  <si>
    <t>SE 138/23KV CHAPECÓ III - IMPLANTAÇÃO DA SUBESTAÇÃO - 26,67MVA</t>
  </si>
  <si>
    <t>SE SÃO JOSÉ REAL PARQUE - IMPLANTAÇÃO DA SUBESTAÇÃO - 40 MVA</t>
  </si>
  <si>
    <t>SED CANOINHAS RIO DA AREIA - 9,4MVA</t>
  </si>
  <si>
    <t>SE  138/69kV JOINVILLE BOA VISTA - IMPLANTAÇÃO DA SUBESTAÇÃO - 2 X 66,67MVA  (138/69kV) + 1x 26,67 MVA (138/13kV)</t>
  </si>
  <si>
    <t>SE  138/69kV SÃO FRANCISCO DO SUL II - IMPLANTAÇÃO SUBESTAÇÃO - 66,67MVA</t>
  </si>
  <si>
    <t>SE 138/13,8KV CAPIVARI DE BAIXO - IMPLANTAÇÃO DA SUBESTAÇÃO - 26,67MVA</t>
  </si>
  <si>
    <t>SE 138/13,8KV ITAPEMA MEIA PRAIA - IMPLANTAÇÃO DA SUBESTAÇÃO - 40MVA</t>
  </si>
  <si>
    <t>SE  138/13,8kV FLORIANÓPOLIS SACO DOS LIMÕES - IMPLANTAÇÃO DA SUBESTAÇÃO - 26,67MVA</t>
  </si>
  <si>
    <t>SE 138/23KV ITAJAÍ SALSEIROS II - IMPLANTAÇÃO - 2 X 40MVA  (80MVA SUBSTITUI 26,67MVA)</t>
  </si>
  <si>
    <t>SE  138/13,8kV  FPOLIS SACO GRANDE - IMPLANTAÇÃO DA SUBESTAÇÃO - 40MVA</t>
  </si>
  <si>
    <t>SE  138/23kV SÃO JOÃO BATISTA - IMPLANTAÇÃO DA SUBESTAÇÃO - 26,67MVA</t>
  </si>
  <si>
    <t>SE 138/13,8kV BARRA VELHA - IMPLANTAÇÃO DA SUBESTAÇÃO - 26,67MVA</t>
  </si>
  <si>
    <t>SE 138/23KV TIMBÓ POMERANOS - IMPLANTAÇÃO DA SUBESTAÇÃO - 26,67MVA</t>
  </si>
  <si>
    <t>SE  138/13,8kV SANTO AMARO DA IMPERATRIZ - IMPLANTAÇÃO DA SUBESTAÇÃO - 40MVA</t>
  </si>
  <si>
    <t>SE 69/13,8KV CRICIÚMA III - IMPLANTAÇÃO DA SUBESTAÇÃO - 26,67MVA</t>
  </si>
  <si>
    <t>SE JARAGUÁ DO SUL II - IMPLANTAÇÃO DA SUBESTAÇÃO - 26,67MVA</t>
  </si>
  <si>
    <t>SE 138/13,8KV SCHROEDER 138kV - IMPLANTAÇÃO DE SUBESTAÇÃO - 40MVA</t>
  </si>
  <si>
    <t>SE  138/13,8kV JOINVILLE VILA NOVA - IMPLANTAÇÃO DA SUBESTAÇÃO - 26,67MVA</t>
  </si>
  <si>
    <t>Total</t>
  </si>
  <si>
    <t xml:space="preserve">Grupo 1: </t>
  </si>
  <si>
    <t>Ano 1</t>
  </si>
  <si>
    <t>Ano 2</t>
  </si>
  <si>
    <t xml:space="preserve">Grupo 2: </t>
  </si>
  <si>
    <t>Ano 3</t>
  </si>
  <si>
    <t>Ano 4</t>
  </si>
  <si>
    <t xml:space="preserve">Grupo 3: </t>
  </si>
  <si>
    <t>Ano 5</t>
  </si>
  <si>
    <t>1.2   AMPLIAÇÃO DA TRANSFORMAÇÃO DE SUBESTAÇÕES EXISTENTES</t>
  </si>
  <si>
    <t>SE  138/13,8kV JARAGUÁ DO SUL RIO DA LUZ - AMPLIAÇÃO DA TRANSFORMAÇÃO - 26,67MVA</t>
  </si>
  <si>
    <t>AMP</t>
  </si>
  <si>
    <t>SE  138/13,8kV MAFRA - AMPLIAÇÃO DA TRANSFORMAÇÃO - 26,67MVA (26,67MVA SUBSTITUI 16,67MVA)</t>
  </si>
  <si>
    <t>SE  138/34,5kV JARAGUÁ DO SUL RIO DA LUZ - AMPLIAÇÃO DA TRANSFORMAÇÃO - 40MVA</t>
  </si>
  <si>
    <t>SE 138/23KV BLUMENAU GARCIA - AMPLIAÇÃO DA CAPACIDADE TRANSFORMADORA - 26,67MVA</t>
  </si>
  <si>
    <t>SE 138/23KV ITUPORANGA - AMPLIAÇÃO DA TRANSFORMAÇÃO - 26,67MVA</t>
  </si>
  <si>
    <t>SE 138/23KV SÃO LOURENÇO DO OESTE - AMPLIAÇÃO DA TRANSFORMAÇÃO - 26,67MVA</t>
  </si>
  <si>
    <t>SE 69/13,8KV IÇARA - AMPLIAÇÃO DA TRANSFORMAÇÃO  E COMPLEMENTAÇÃO DA SE (26,67MVA SUBSTITUI 16,67MVA)</t>
  </si>
  <si>
    <t>SE 69/13,8KV SOMBRIO - AMPLIAÇÃO DA TRANSFORMAÇÃO - 26,67MVA</t>
  </si>
  <si>
    <t>SE 69/23KV CAPINZAL - AMPLIAÇÃO DA CAPACIDADE TRANSFORMADORA - SUBSTITUI 9,4MVA POR 26,67MVA</t>
  </si>
  <si>
    <t>SE SÃO JOSÉ DO CEDRO - AMPLIAÇÃO DA CAPACIDADE TRANSFORMADORA - 26,67MVA (SUBSTITUI TT 20MVA)</t>
  </si>
  <si>
    <t>SE  138/13,8kV  ILHA SUL - AMPLIAÇÃO DA TRANSFORMAÇÃO - 26,67MVA</t>
  </si>
  <si>
    <t>SE 138/23KV TROMBUDO CENTRAL - AMPLIAÇÃO DA TRANSFORMAÇÃO - 26,67MVA (26,67MVA SUBSTITUI 9,375MVA)</t>
  </si>
  <si>
    <t>SE TIJUCAS - EL 138KV</t>
  </si>
  <si>
    <t>Vinculada à LD  N. 13</t>
  </si>
  <si>
    <t>SE 138/13,8kV BIGUAÇU QUINTINO BOCAIÚVA - AMPLIAÇÃO DA TRANSFORMAÇÃO - 26,67MVA</t>
  </si>
  <si>
    <t>SE 69/13,8KV CRICIÚMA FLORESTA - AMPLIAÇÃO DA TRANSFORMAÇÃO - 26,67MVA</t>
  </si>
  <si>
    <t>SE 138/23KV CAMBORIU MORRO DO BOI - AMPLIAÇÃO DA TRANSFORMAÇÃO - 40MVA SUBSTITUI 26,67 MVA</t>
  </si>
  <si>
    <t>SE 138/23KV POMERODE - AMPLIAÇÃO DA CAPACIDADE TRANSFORMADORA - 26,67MVA</t>
  </si>
  <si>
    <t>SE 69/23KV ITAPIRANGA - AMPLIAÇÃO DA TRANSFORMAÇÃO - 26,67MVA (SUBSTITUI 2 X 7,5MVA)</t>
  </si>
  <si>
    <t>SE PIÇARRAS - EL 138 Kv</t>
  </si>
  <si>
    <t xml:space="preserve">SE SOMBRIO EL 69kV </t>
  </si>
  <si>
    <t>Vinculada à LD N. 58</t>
  </si>
  <si>
    <t xml:space="preserve">SE IÇARA EL 69kV </t>
  </si>
  <si>
    <t>Vinculada à LD N.  34</t>
  </si>
  <si>
    <t>SE 138/13,8KV ORLEANS - AMPLIAÇÃO DA TRANSFORMAÇÃO - 26,67MVA</t>
  </si>
  <si>
    <t>SE 138/23KV CHAPECÓ III - AMPL. DA TRANSFORMAÇÃO - 26,67MVA</t>
  </si>
  <si>
    <t>SE 138/23KV VIDEIRA - AMPLIAÇÃO DA TRANSFORMAÇÃO - SUBSTITUIÃO DE 26,67MVA POR 40MVA</t>
  </si>
  <si>
    <t>SE 69/23KV TAIÓ - AMPLIAÇÃO DA CAPACIDADE TRANSFORMADORA E ADEQUAÇÃO DA SUBESTAÇÃO - 26,67MVA (26,67MVA SUBSTITUI 10MVA)</t>
  </si>
  <si>
    <t>SE  138/13,8kV RIO NEGRINHO - AMPLIAÇÃO DA TRANSFORMAÇÃO - 26,67MVA</t>
  </si>
  <si>
    <t>SE  138/13,8kV SÃO BENTO DO SUL BRASÍLIA - AMPLIAÇÃO DA TRANSFORMAÇÃO - 26,67MVA</t>
  </si>
  <si>
    <t>SE  138/13,8kV JOINVILLE PERINI - AMPLIAÇÃO DA TRANSFORMAÇÃO - 26,67MVA</t>
  </si>
  <si>
    <t>SE 138/23KV PALMITOS - AMPLIAÇÃO DA TRANSFORMAÇÃO - 26,67MVA</t>
  </si>
  <si>
    <t>+ 1 EL 138kV  SE JPM</t>
  </si>
  <si>
    <t>SE GUARAMIRIM - AMPLIAÇÃO DA TRANSFORMAÇÃO - 40 MVA</t>
  </si>
  <si>
    <t>40 MVA</t>
  </si>
  <si>
    <t>SE LAGUNA 138/13,8kV - AMPLIAÇÃO DA TRANSFORMAÇÃO - 26,67MVA</t>
  </si>
  <si>
    <t>1.3   IMPLANTAÇÃO DE LINHAS DE DISTRIBUIÇÃO</t>
  </si>
  <si>
    <t>FAIXA SERVIDÃO</t>
  </si>
  <si>
    <t>POSTES</t>
  </si>
  <si>
    <t>ISOLADORES</t>
  </si>
  <si>
    <t>CABOS</t>
  </si>
  <si>
    <t>SE Linha &gt;10 km = 1</t>
  </si>
  <si>
    <t>Até 10 km</t>
  </si>
  <si>
    <t>Acima 10 km</t>
  </si>
  <si>
    <t>LD 138KV BRUSQUE SÃO PEDRO - SECC (BRUSQUE - BRUSQUE RIO BRANCO) - 3,5KM - CIRCUITO DUPLO - 477MCM</t>
  </si>
  <si>
    <t>NLD</t>
  </si>
  <si>
    <t>EAS</t>
  </si>
  <si>
    <t>LD 138KV CHAPECÓ II - CHAPECÓ III - 7KM - CIRCUITO SIMPLES - 636MCM</t>
  </si>
  <si>
    <t>LD 138kV FLORIANÓPOLIS CAPOEIRAS - SECC (PALHOÇA RB - TRINDADE) - 1KM - CIRCUITO DUPLO - 636MCM</t>
  </si>
  <si>
    <t>LD 69kV TUBARÃO - SANGÃO - IMPLANTAÇÃO DO TRECHO 2 - 19,2KM - CIRCUITO DUPLO (LANÇAMENTO DO CIRCUITO 1)</t>
  </si>
  <si>
    <t>+  1 EL  138kV   SE GRM</t>
  </si>
  <si>
    <t>LD 138KV CAPIVARI DE BAIXO - SECC (ORLEANS - JORGE LACERDA) - 6KM - CIRCUITO DUPLO - 477MCM</t>
  </si>
  <si>
    <t>LD 138kV JOINVILLE BOA VISTA - JOINVILLE PARANAGUAMIRIM - 9,5KM - CIRCUITO SIMPLES - 636MCM</t>
  </si>
  <si>
    <t>LD 138KV JOINVILLE SC - SÃO FRANCISCO DO SUL II (TRECHO 2) - 35KM - CIRCUITO DUPLO LANÇAMENTO DO C1 - 477MCM</t>
  </si>
  <si>
    <t>EIA</t>
  </si>
  <si>
    <t>LD 138kV TIJUCAS - PORTO BELO C2 - IMPLANTAÇÃO DO TRECHO INICIAL - 12,8KM - CIRCUITO SIMPLES - 636MCM</t>
  </si>
  <si>
    <t>LD 138kV TUBARÃO SUL RB - SECCIONAMENTO (ORLEANS - JORGE LACERDA) - 11,7KM - CIRCUITO DUPLO - 477MCM</t>
  </si>
  <si>
    <t>LD 138kV VIDEIRA - FRAIBURGO - CIRCUITO DUPLO - LANÇAMENTO DO 1º CIRCUITO - 23KM</t>
  </si>
  <si>
    <t>LD 69kV JOINVILLE BOA VISTA - JOINVILLE TRÊS - 2,3KM - CIRCUITO SIMPLES - 477MCM</t>
  </si>
  <si>
    <t>LD 69kV TUBARÃO SUL RB - SECCIONAMENTO (TUBARÃO - SANGÃO) - 1KM - CIRCUITO DUPLO - 477MCM</t>
  </si>
  <si>
    <t>LD 138KV ITAPEMA - SECC (TIJUCAS - PORTOBELO C2) - 8KM - CIRCUITO DUPLO - 636MCM LANÇ. 1o CIRCUITO D1</t>
  </si>
  <si>
    <t>LD 138KV FLORIANÓPOLIS SACO DOS LIMÕES - SECC (PALHOÇA RB - TRINDADE) - 0,5KM - CIRCUITO DUPLO - 477MCM</t>
  </si>
  <si>
    <t>LD 138KV FPOLIS SACO GRANDE - SECC (ILHA NORTE - TRINDADE) - 3KM - CIRCUITO DUPLO - 636MCM</t>
  </si>
  <si>
    <t>LD 138kV PIÇARRAS - BARRA VELHA - 15,0KM - CIRCUITO SIMPLES - 477MCM</t>
  </si>
  <si>
    <t>LD 138kV SALTO PILÃO - PRESIDENTE GETÚLIO - 15KM - CIRCUITO SIMPLES - 477MCM</t>
  </si>
  <si>
    <t>LD 138KV SÃO JOÃO BATISTA - TIJUCAS - 14KM - CIRCUITO SIMPLES - 477MCM</t>
  </si>
  <si>
    <t>LD 138KV TIMBÓ POMERANOS - TIMBÓ - 6,2KM - CIRCUITO SIMPLES - 636MCM</t>
  </si>
  <si>
    <t>LD 69kV - FORQUILHINHA RB - TURVO - 3º CIRCUITO - 22,6KM - CIRCUITO SIMPLES - 477MCM</t>
  </si>
  <si>
    <t>LD 69kV ERMO - SOMBRIO - 2º CIRCUITO - 11KM - CIRCUITO SIMPLES - 477MCM</t>
  </si>
  <si>
    <t>LD 69kV FORQUILHINHA REDE BÁSICA - IÇARA - 25KM - CIRCUITO SIMPLES - 477MCM</t>
  </si>
  <si>
    <t>LD 138kV PALHOÇA RB - SANTO AMARO DA IMPERATRIZ - 10KM - CIRCUITO SIMPLES - 477MCM</t>
  </si>
  <si>
    <t>LD 138kV SÃO MIGUEL DO OESTE II - ITAPIRANGA - 54KM - CIRCUITO SIMPLES - 477MCM</t>
  </si>
  <si>
    <t>LD 69KV CRICIÚMA III - SECC (FORQUILHINHA RB - IÇARA) - 2,5KM - CIRCUITO DUPLO - 477MCM</t>
  </si>
  <si>
    <t>LD 138KV JARAGUÁ DO SUL II - 9,4KM - CIRCUITO SIMPLES - 636MCM</t>
  </si>
  <si>
    <t>LD 138KV SCHROEDER - 8KM - CIRCUITO SIMPLES - 477MCM</t>
  </si>
  <si>
    <t>1 EL 138 kV  Timbó</t>
  </si>
  <si>
    <t>LD 138KV JOINVILLE VILA NOVA - SECC(JOINVILLE RB - TIGRE) - 3,5KM - CIRCUITO DUPLO - 336MCM</t>
  </si>
  <si>
    <t>IMPLANTAÇÃO DO SECCIONAMENTO DA LD 138kV SACO GRANDE - ILHA NORTE NA SE RATONES 230/138kV - 2 KM - CIRCUITO DUPLO - 636MCM</t>
  </si>
  <si>
    <t>SOMAS</t>
  </si>
  <si>
    <t>&gt;=10 km</t>
  </si>
  <si>
    <t xml:space="preserve">Grupo 1 (2018): </t>
  </si>
  <si>
    <t>&lt;10 km</t>
  </si>
  <si>
    <t xml:space="preserve">Grupo 2 (2019): </t>
  </si>
  <si>
    <t xml:space="preserve">Grupo 3 (2020): </t>
  </si>
  <si>
    <t xml:space="preserve">Grupo 4 (2021+2022):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</si>
</sst>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0.0"/>
    <numFmt numFmtId="166" formatCode="#,##0.0"/>
    <numFmt numFmtId="167" formatCode="0.0000"/>
    <numFmt numFmtId="168" formatCode="#,##0.00_ ;\-#,##0.00\ "/>
  </numFmts>
  <fonts count="1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sz val="10"/>
      <color rgb="FF00B0F0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0"/>
      <color theme="7" tint="0.39997558519241921"/>
      <name val="Arial"/>
      <family val="2"/>
    </font>
    <font>
      <b/>
      <sz val="16"/>
      <name val="Arial"/>
      <family val="2"/>
    </font>
    <font>
      <b/>
      <sz val="1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2" fillId="0" borderId="0" applyNumberFormat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0">
    <xf numFmtId="0" fontId="0" fillId="0" borderId="0" xfId="0" applyNumberFormat="1" applyFont="1" applyFill="1" applyBorder="1" applyAlignment="1"/>
    <xf numFmtId="0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/>
    <xf numFmtId="0" fontId="0" fillId="0" borderId="1" xfId="0" applyNumberFormat="1" applyFont="1" applyFill="1" applyBorder="1" applyAlignment="1"/>
    <xf numFmtId="166" fontId="0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7" fontId="0" fillId="0" borderId="0" xfId="0" applyNumberFormat="1" applyFont="1" applyFill="1" applyBorder="1" applyAlignment="1"/>
    <xf numFmtId="0" fontId="2" fillId="0" borderId="1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/>
    <xf numFmtId="4" fontId="6" fillId="0" borderId="1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/>
    <xf numFmtId="0" fontId="5" fillId="0" borderId="3" xfId="0" quotePrefix="1" applyNumberFormat="1" applyFont="1" applyFill="1" applyBorder="1" applyAlignment="1"/>
    <xf numFmtId="0" fontId="5" fillId="0" borderId="3" xfId="0" applyNumberFormat="1" applyFont="1" applyFill="1" applyBorder="1" applyAlignment="1"/>
    <xf numFmtId="0" fontId="7" fillId="0" borderId="3" xfId="0" applyNumberFormat="1" applyFont="1" applyFill="1" applyBorder="1" applyAlignment="1"/>
    <xf numFmtId="168" fontId="6" fillId="0" borderId="1" xfId="2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/>
    <xf numFmtId="4" fontId="10" fillId="0" borderId="0" xfId="0" applyNumberFormat="1" applyFont="1" applyFill="1" applyBorder="1" applyAlignment="1"/>
    <xf numFmtId="168" fontId="11" fillId="0" borderId="1" xfId="2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right" vertical="center"/>
    </xf>
    <xf numFmtId="4" fontId="10" fillId="3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right"/>
    </xf>
    <xf numFmtId="4" fontId="0" fillId="5" borderId="0" xfId="0" applyNumberFormat="1" applyFont="1" applyFill="1" applyBorder="1" applyAlignment="1">
      <alignment horizontal="center" vertical="center"/>
    </xf>
    <xf numFmtId="0" fontId="0" fillId="5" borderId="0" xfId="0" applyNumberFormat="1" applyFont="1" applyFill="1" applyBorder="1" applyAlignment="1"/>
    <xf numFmtId="0" fontId="0" fillId="5" borderId="0" xfId="0" applyNumberFormat="1" applyFont="1" applyFill="1" applyBorder="1" applyAlignment="1">
      <alignment horizontal="center" vertical="center"/>
    </xf>
    <xf numFmtId="4" fontId="0" fillId="5" borderId="0" xfId="0" applyNumberFormat="1" applyFont="1" applyFill="1" applyBorder="1" applyAlignment="1"/>
    <xf numFmtId="0" fontId="3" fillId="5" borderId="0" xfId="0" applyNumberFormat="1" applyFont="1" applyFill="1" applyBorder="1" applyAlignment="1">
      <alignment horizontal="right"/>
    </xf>
    <xf numFmtId="4" fontId="0" fillId="3" borderId="0" xfId="0" applyNumberFormat="1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/>
    <xf numFmtId="0" fontId="2" fillId="4" borderId="1" xfId="0" applyNumberFormat="1" applyFont="1" applyFill="1" applyBorder="1" applyAlignment="1"/>
    <xf numFmtId="2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13" fillId="6" borderId="0" xfId="0" applyNumberFormat="1" applyFont="1" applyFill="1" applyBorder="1" applyAlignment="1">
      <alignment horizontal="center"/>
    </xf>
    <xf numFmtId="0" fontId="12" fillId="2" borderId="0" xfId="0" applyNumberFormat="1" applyFont="1" applyFill="1" applyBorder="1" applyAlignment="1">
      <alignment horizontal="center" vertical="center"/>
    </xf>
  </cellXfs>
  <cellStyles count="7">
    <cellStyle name="Comma" xfId="2" builtinId="3"/>
    <cellStyle name="Normal" xfId="0" builtinId="0"/>
    <cellStyle name="Normal 10 8 2" xfId="1" xr:uid="{00000000-0005-0000-0000-000002000000}"/>
    <cellStyle name="Normal 2" xfId="4" xr:uid="{00000000-0005-0000-0000-000003000000}"/>
    <cellStyle name="Normal 3" xfId="3" xr:uid="{00000000-0005-0000-0000-000004000000}"/>
    <cellStyle name="Porcentagem 2" xfId="5" xr:uid="{00000000-0005-0000-0000-000005000000}"/>
    <cellStyle name="Vírgula 2" xfId="6" xr:uid="{00000000-0005-0000-0000-000006000000}"/>
  </cellStyles>
  <dxfs count="0"/>
  <tableStyles count="0" defaultTableStyle="TableStyleMedium9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16"/>
  <sheetViews>
    <sheetView tabSelected="1" zoomScale="80" zoomScaleNormal="80" workbookViewId="0" xr3:uid="{AEA406A1-0E4B-5B11-9CD5-51D6E497D94C}">
      <selection activeCell="A119" sqref="A119"/>
    </sheetView>
  </sheetViews>
  <sheetFormatPr defaultRowHeight="12.75"/>
  <cols>
    <col min="1" max="1" width="109.28515625" customWidth="1"/>
    <col min="2" max="2" width="15.28515625" style="7" customWidth="1"/>
    <col min="3" max="3" width="20.7109375" customWidth="1"/>
    <col min="4" max="4" width="11.7109375" style="11" customWidth="1"/>
    <col min="5" max="5" width="13" customWidth="1"/>
    <col min="6" max="6" width="14.7109375" customWidth="1"/>
    <col min="7" max="7" width="28.7109375" customWidth="1"/>
    <col min="8" max="8" width="17.85546875" customWidth="1"/>
    <col min="9" max="9" width="11.140625" customWidth="1"/>
    <col min="10" max="10" width="17.85546875" customWidth="1"/>
    <col min="11" max="15" width="14.28515625" customWidth="1"/>
    <col min="16" max="16" width="12.28515625" customWidth="1"/>
    <col min="17" max="17" width="37.7109375" customWidth="1"/>
    <col min="19" max="19" width="15.5703125" customWidth="1"/>
    <col min="21" max="21" width="15.42578125" customWidth="1"/>
    <col min="23" max="23" width="15.28515625" customWidth="1"/>
    <col min="25" max="25" width="15.85546875" customWidth="1"/>
    <col min="27" max="27" width="15.7109375" customWidth="1"/>
    <col min="29" max="29" width="16.140625" customWidth="1"/>
    <col min="31" max="31" width="89.5703125" customWidth="1"/>
  </cols>
  <sheetData>
    <row r="1" spans="1:17">
      <c r="B1" s="11"/>
    </row>
    <row r="2" spans="1:17" ht="30.75" customHeight="1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7" ht="28.5" customHeight="1">
      <c r="A3" s="59" t="s">
        <v>1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5" spans="1:17" ht="15.75">
      <c r="A5" s="6" t="s">
        <v>2</v>
      </c>
      <c r="B5" s="11"/>
    </row>
    <row r="6" spans="1:17" ht="46.15" customHeight="1">
      <c r="A6" s="3" t="s">
        <v>3</v>
      </c>
      <c r="B6" s="4" t="s">
        <v>4</v>
      </c>
      <c r="C6" s="4" t="s">
        <v>5</v>
      </c>
      <c r="D6" s="3" t="s">
        <v>6</v>
      </c>
      <c r="E6" s="4" t="s">
        <v>7</v>
      </c>
      <c r="F6" s="3" t="s">
        <v>8</v>
      </c>
      <c r="G6" s="3" t="s">
        <v>9</v>
      </c>
      <c r="H6" s="4" t="s">
        <v>10</v>
      </c>
      <c r="I6" s="4" t="s">
        <v>11</v>
      </c>
      <c r="J6" s="4" t="s">
        <v>12</v>
      </c>
      <c r="K6" s="4" t="s">
        <v>13</v>
      </c>
      <c r="L6" s="38" t="s">
        <v>14</v>
      </c>
      <c r="M6" s="4" t="s">
        <v>15</v>
      </c>
      <c r="N6" s="4" t="s">
        <v>16</v>
      </c>
      <c r="O6" s="38"/>
      <c r="Q6" s="23" t="s">
        <v>17</v>
      </c>
    </row>
    <row r="7" spans="1:17">
      <c r="A7" s="54" t="s">
        <v>18</v>
      </c>
      <c r="B7" s="2" t="s">
        <v>19</v>
      </c>
      <c r="C7" s="27">
        <v>8057155.7999999998</v>
      </c>
      <c r="D7" s="22">
        <v>2018</v>
      </c>
      <c r="E7" s="25"/>
      <c r="F7" s="56">
        <v>26.67</v>
      </c>
      <c r="G7" s="30"/>
      <c r="H7" s="26">
        <v>4046577.8</v>
      </c>
      <c r="I7" s="26"/>
      <c r="J7" s="26">
        <f>C7-H7</f>
        <v>4010578</v>
      </c>
      <c r="K7" s="13"/>
      <c r="L7" s="5"/>
      <c r="M7" s="43">
        <v>1968136</v>
      </c>
      <c r="N7" s="43">
        <f>H7-M7</f>
        <v>2078441.7999999998</v>
      </c>
      <c r="O7" s="5"/>
      <c r="Q7" t="str">
        <f>IF(C7=H7+J7,"",C7-H7-J7)</f>
        <v/>
      </c>
    </row>
    <row r="8" spans="1:17">
      <c r="A8" s="54" t="s">
        <v>20</v>
      </c>
      <c r="B8" s="2" t="s">
        <v>19</v>
      </c>
      <c r="C8" s="27">
        <v>8211317.1699999999</v>
      </c>
      <c r="D8" s="22">
        <v>2018</v>
      </c>
      <c r="E8" s="25"/>
      <c r="F8" s="56">
        <v>26.67</v>
      </c>
      <c r="G8" s="30"/>
      <c r="H8" s="26">
        <v>4363869.5</v>
      </c>
      <c r="I8" s="26"/>
      <c r="J8" s="26">
        <f>C8-H8</f>
        <v>3847447.67</v>
      </c>
      <c r="K8" s="28" t="s">
        <v>21</v>
      </c>
      <c r="L8" s="5"/>
      <c r="M8" s="43">
        <v>1988685</v>
      </c>
      <c r="N8" s="43">
        <f t="shared" ref="N8:N26" si="0">H8-M8</f>
        <v>2375184.5</v>
      </c>
      <c r="O8" s="5"/>
      <c r="Q8" t="str">
        <f>IF(C8=H8+J8,"",C8-H8-J8)</f>
        <v/>
      </c>
    </row>
    <row r="9" spans="1:17">
      <c r="A9" s="54" t="s">
        <v>22</v>
      </c>
      <c r="B9" s="2" t="s">
        <v>19</v>
      </c>
      <c r="C9" s="27">
        <v>7280213.8499999996</v>
      </c>
      <c r="D9" s="22">
        <v>2018</v>
      </c>
      <c r="E9" s="25"/>
      <c r="F9" s="56">
        <v>26.67</v>
      </c>
      <c r="G9" s="30"/>
      <c r="H9" s="26">
        <v>4112449.13</v>
      </c>
      <c r="I9" s="26"/>
      <c r="J9" s="26">
        <f>C9-H9</f>
        <v>3167764.7199999997</v>
      </c>
      <c r="K9" s="13"/>
      <c r="L9" s="5"/>
      <c r="M9" s="43">
        <v>1988685</v>
      </c>
      <c r="N9" s="43">
        <f t="shared" si="0"/>
        <v>2123764.13</v>
      </c>
      <c r="O9" s="5"/>
      <c r="Q9" t="str">
        <f>IF(C9=H9+J9,"",C9-H9-J9)</f>
        <v/>
      </c>
    </row>
    <row r="10" spans="1:17">
      <c r="A10" s="54" t="s">
        <v>23</v>
      </c>
      <c r="B10" s="2" t="s">
        <v>19</v>
      </c>
      <c r="C10" s="27">
        <v>8406665.6999999993</v>
      </c>
      <c r="D10" s="22">
        <v>2018</v>
      </c>
      <c r="E10" s="25"/>
      <c r="F10" s="56">
        <v>40</v>
      </c>
      <c r="G10" s="30"/>
      <c r="H10" s="26">
        <v>4250693.8</v>
      </c>
      <c r="I10" s="26"/>
      <c r="J10" s="26">
        <f>C10-H10</f>
        <v>4155971.8999999994</v>
      </c>
      <c r="K10" s="13"/>
      <c r="L10" s="5"/>
      <c r="M10" s="43">
        <v>2172232</v>
      </c>
      <c r="N10" s="43">
        <f t="shared" si="0"/>
        <v>2078461.7999999998</v>
      </c>
      <c r="O10" s="5"/>
      <c r="Q10" t="str">
        <f>IF(C10=H10+J10,"",C10-H10-J10)</f>
        <v/>
      </c>
    </row>
    <row r="11" spans="1:17">
      <c r="A11" s="54" t="s">
        <v>24</v>
      </c>
      <c r="B11" s="2" t="s">
        <v>19</v>
      </c>
      <c r="C11" s="27">
        <v>4073760.22</v>
      </c>
      <c r="D11" s="22">
        <v>2018</v>
      </c>
      <c r="E11" s="25"/>
      <c r="F11" s="56">
        <v>9.4</v>
      </c>
      <c r="G11" s="30"/>
      <c r="H11" s="26">
        <v>2753084.91</v>
      </c>
      <c r="I11" s="26"/>
      <c r="J11" s="26">
        <f>C11-H11</f>
        <v>1320675.31</v>
      </c>
      <c r="K11" s="13"/>
      <c r="L11" s="5"/>
      <c r="M11" s="43">
        <v>810000</v>
      </c>
      <c r="N11" s="43">
        <f t="shared" si="0"/>
        <v>1943084.9100000001</v>
      </c>
      <c r="O11" s="5"/>
      <c r="Q11" t="str">
        <f>IF(C11=H11+J11,"",C11-H11-J11)</f>
        <v/>
      </c>
    </row>
    <row r="12" spans="1:17">
      <c r="A12" s="54" t="s">
        <v>25</v>
      </c>
      <c r="B12" s="2" t="s">
        <v>19</v>
      </c>
      <c r="C12" s="27">
        <v>20180874.84</v>
      </c>
      <c r="D12" s="22">
        <v>2019</v>
      </c>
      <c r="E12" s="25"/>
      <c r="F12" s="56">
        <v>160.01</v>
      </c>
      <c r="G12" s="30"/>
      <c r="H12" s="42">
        <v>12771531.560000001</v>
      </c>
      <c r="I12" s="26"/>
      <c r="J12" s="42">
        <f>C12-H12</f>
        <v>7409343.2799999993</v>
      </c>
      <c r="K12" s="13"/>
      <c r="L12" s="5"/>
      <c r="M12" s="43">
        <v>7768136</v>
      </c>
      <c r="N12" s="43">
        <f t="shared" si="0"/>
        <v>5003395.5600000005</v>
      </c>
      <c r="O12" s="5"/>
      <c r="Q12" t="str">
        <f>IF(C12=H12+J12,"",C12-H12-J12)</f>
        <v/>
      </c>
    </row>
    <row r="13" spans="1:17" hidden="1">
      <c r="A13" s="1" t="s">
        <v>26</v>
      </c>
      <c r="B13" s="2" t="s">
        <v>19</v>
      </c>
      <c r="C13" s="27">
        <v>9422783.0399999991</v>
      </c>
      <c r="D13" s="22">
        <v>2019</v>
      </c>
      <c r="E13" s="25"/>
      <c r="F13" s="56">
        <v>66.67</v>
      </c>
      <c r="G13" s="30"/>
      <c r="H13" s="26">
        <v>4717054.07</v>
      </c>
      <c r="I13" s="26"/>
      <c r="J13" s="26">
        <f>C13-H13</f>
        <v>4705728.9699999988</v>
      </c>
      <c r="K13" s="13"/>
      <c r="L13" s="5"/>
      <c r="M13" s="43">
        <v>2900000</v>
      </c>
      <c r="N13" s="43">
        <f t="shared" si="0"/>
        <v>1817054.0700000003</v>
      </c>
      <c r="O13" s="5"/>
      <c r="Q13" t="str">
        <f>IF(C13=H13+J13,"",C13-H13-J13)</f>
        <v/>
      </c>
    </row>
    <row r="14" spans="1:17" hidden="1">
      <c r="A14" s="55" t="s">
        <v>27</v>
      </c>
      <c r="B14" s="2" t="s">
        <v>19</v>
      </c>
      <c r="C14" s="27">
        <v>8057155.7999999998</v>
      </c>
      <c r="D14" s="22">
        <v>2019</v>
      </c>
      <c r="E14" s="25"/>
      <c r="F14" s="56">
        <v>26.67</v>
      </c>
      <c r="H14" s="26">
        <v>4046577.8</v>
      </c>
      <c r="I14" s="26"/>
      <c r="J14" s="26">
        <f>C14-H14</f>
        <v>4010578</v>
      </c>
      <c r="K14" s="13"/>
      <c r="L14" s="5"/>
      <c r="M14" s="43">
        <v>1968136</v>
      </c>
      <c r="N14" s="43">
        <f t="shared" si="0"/>
        <v>2078441.7999999998</v>
      </c>
      <c r="O14" s="5"/>
      <c r="Q14" t="str">
        <f>IF(C14=H14+J14,"",C14-H14-J14)</f>
        <v/>
      </c>
    </row>
    <row r="15" spans="1:17" hidden="1">
      <c r="A15" s="1" t="s">
        <v>28</v>
      </c>
      <c r="B15" s="2" t="s">
        <v>19</v>
      </c>
      <c r="C15" s="27">
        <v>8691438.4499999993</v>
      </c>
      <c r="D15" s="22">
        <v>2019</v>
      </c>
      <c r="E15" s="25"/>
      <c r="F15" s="56">
        <v>40</v>
      </c>
      <c r="G15" s="30"/>
      <c r="H15" s="26">
        <v>4505223.74</v>
      </c>
      <c r="I15" s="26"/>
      <c r="J15" s="26">
        <f>C15-H15</f>
        <v>4186214.709999999</v>
      </c>
      <c r="K15" s="13"/>
      <c r="L15" s="5"/>
      <c r="M15" s="43">
        <v>2172232</v>
      </c>
      <c r="N15" s="43">
        <f t="shared" si="0"/>
        <v>2332991.7400000002</v>
      </c>
      <c r="O15" s="5"/>
      <c r="Q15" t="str">
        <f>IF(C15=H15+J15,"",C15-H15-J15)</f>
        <v/>
      </c>
    </row>
    <row r="16" spans="1:17" hidden="1">
      <c r="A16" s="55" t="s">
        <v>29</v>
      </c>
      <c r="B16" s="2" t="s">
        <v>19</v>
      </c>
      <c r="C16" s="27">
        <v>8007884.4100000001</v>
      </c>
      <c r="D16" s="22">
        <v>2020</v>
      </c>
      <c r="E16" s="25"/>
      <c r="F16" s="56">
        <v>26.67</v>
      </c>
      <c r="H16" s="26">
        <v>4046577.8</v>
      </c>
      <c r="I16" s="26"/>
      <c r="J16" s="26">
        <f>C16-H16</f>
        <v>3961306.6100000003</v>
      </c>
      <c r="K16" s="28" t="s">
        <v>21</v>
      </c>
      <c r="L16" s="5"/>
      <c r="M16" s="43">
        <v>1968136</v>
      </c>
      <c r="N16" s="43">
        <f t="shared" si="0"/>
        <v>2078441.7999999998</v>
      </c>
      <c r="O16" s="5"/>
      <c r="Q16" t="str">
        <f>IF(C16=H16+J16,"",C16-H16-J16)</f>
        <v/>
      </c>
    </row>
    <row r="17" spans="1:17" hidden="1">
      <c r="A17" s="1" t="s">
        <v>30</v>
      </c>
      <c r="B17" s="2" t="s">
        <v>19</v>
      </c>
      <c r="C17" s="27">
        <v>12705379.16</v>
      </c>
      <c r="D17" s="22">
        <v>2020</v>
      </c>
      <c r="E17" s="25"/>
      <c r="F17" s="56">
        <v>53.33</v>
      </c>
      <c r="G17" s="30"/>
      <c r="H17" s="34">
        <v>7538018.4100000001</v>
      </c>
      <c r="I17" s="26"/>
      <c r="J17" s="34">
        <f>C17-H17</f>
        <v>5167360.75</v>
      </c>
      <c r="K17" s="13"/>
      <c r="L17" s="5"/>
      <c r="M17" s="43">
        <v>4369632</v>
      </c>
      <c r="N17" s="43">
        <f t="shared" si="0"/>
        <v>3168386.41</v>
      </c>
      <c r="O17" s="5"/>
      <c r="Q17" t="str">
        <f>IF(C17=H17+J17,"",C17-H17-J17)</f>
        <v/>
      </c>
    </row>
    <row r="18" spans="1:17" hidden="1">
      <c r="A18" s="1" t="s">
        <v>31</v>
      </c>
      <c r="B18" s="2" t="s">
        <v>19</v>
      </c>
      <c r="C18" s="27">
        <v>8357155.7999999998</v>
      </c>
      <c r="D18" s="22">
        <v>2020</v>
      </c>
      <c r="E18" s="25"/>
      <c r="F18" s="56">
        <v>40</v>
      </c>
      <c r="G18" s="30"/>
      <c r="H18" s="26">
        <v>4346577.8</v>
      </c>
      <c r="I18" s="26"/>
      <c r="J18" s="26">
        <f>C18-H18</f>
        <v>4010578</v>
      </c>
      <c r="K18" s="13"/>
      <c r="L18" s="5"/>
      <c r="M18" s="43">
        <v>2172232</v>
      </c>
      <c r="N18" s="43">
        <f t="shared" si="0"/>
        <v>2174345.7999999998</v>
      </c>
      <c r="O18" s="5"/>
      <c r="Q18" t="str">
        <f>IF(C18=H18+J18,"",C18-H18-J18)</f>
        <v/>
      </c>
    </row>
    <row r="19" spans="1:17" hidden="1">
      <c r="A19" s="1" t="s">
        <v>32</v>
      </c>
      <c r="B19" s="2" t="s">
        <v>19</v>
      </c>
      <c r="C19" s="27">
        <v>7956039.0899999999</v>
      </c>
      <c r="D19" s="22">
        <v>2020</v>
      </c>
      <c r="E19" s="25"/>
      <c r="F19" s="56">
        <v>26.67</v>
      </c>
      <c r="G19" s="30"/>
      <c r="H19" s="26">
        <v>4080127.05</v>
      </c>
      <c r="I19" s="26"/>
      <c r="J19" s="26">
        <f>C19-H19</f>
        <v>3875912.04</v>
      </c>
      <c r="K19" s="13"/>
      <c r="L19" s="5"/>
      <c r="M19" s="43">
        <v>1988685</v>
      </c>
      <c r="N19" s="43">
        <f t="shared" si="0"/>
        <v>2091442.0499999998</v>
      </c>
      <c r="O19" s="5"/>
      <c r="Q19" t="str">
        <f>IF(C19=H19+J19,"",C19-H19-J19)</f>
        <v/>
      </c>
    </row>
    <row r="20" spans="1:17" hidden="1">
      <c r="A20" s="1" t="s">
        <v>33</v>
      </c>
      <c r="B20" s="2" t="s">
        <v>19</v>
      </c>
      <c r="C20" s="27">
        <v>7346764.3799999999</v>
      </c>
      <c r="D20" s="22">
        <v>2020</v>
      </c>
      <c r="E20" s="25"/>
      <c r="F20" s="56">
        <v>26.67</v>
      </c>
      <c r="G20" s="30"/>
      <c r="H20" s="26">
        <v>3517595.53</v>
      </c>
      <c r="I20" s="26"/>
      <c r="J20" s="26">
        <f>C20-H20</f>
        <v>3829168.85</v>
      </c>
      <c r="K20" s="13"/>
      <c r="L20" s="5"/>
      <c r="M20" s="43">
        <v>1968136</v>
      </c>
      <c r="N20" s="43">
        <f t="shared" si="0"/>
        <v>1549459.5299999998</v>
      </c>
      <c r="O20" s="5"/>
      <c r="Q20" t="str">
        <f>IF(C20=H20+J20,"",C20-H20-J20)</f>
        <v/>
      </c>
    </row>
    <row r="21" spans="1:17" hidden="1">
      <c r="A21" s="1" t="s">
        <v>34</v>
      </c>
      <c r="B21" s="2" t="s">
        <v>19</v>
      </c>
      <c r="C21" s="27">
        <v>8005310.4800000004</v>
      </c>
      <c r="D21" s="22">
        <v>2020</v>
      </c>
      <c r="E21" s="25"/>
      <c r="F21" s="56">
        <v>26.67</v>
      </c>
      <c r="G21" s="30"/>
      <c r="H21" s="26">
        <v>4112449.13</v>
      </c>
      <c r="I21" s="26"/>
      <c r="J21" s="26">
        <f>C21-H21</f>
        <v>3892861.3500000006</v>
      </c>
      <c r="K21" s="13"/>
      <c r="L21" s="5"/>
      <c r="M21" s="43">
        <v>1988685</v>
      </c>
      <c r="N21" s="43">
        <f t="shared" si="0"/>
        <v>2123764.13</v>
      </c>
      <c r="O21" s="5"/>
      <c r="Q21" t="str">
        <f>IF(C21=H21+J21,"",C21-H21-J21)</f>
        <v/>
      </c>
    </row>
    <row r="22" spans="1:17" hidden="1">
      <c r="A22" s="1" t="s">
        <v>35</v>
      </c>
      <c r="B22" s="2" t="s">
        <v>19</v>
      </c>
      <c r="C22" s="27">
        <v>7783360.6100000003</v>
      </c>
      <c r="D22" s="22">
        <v>2021</v>
      </c>
      <c r="E22" s="25"/>
      <c r="F22" s="56">
        <v>40</v>
      </c>
      <c r="G22" s="30"/>
      <c r="H22" s="26">
        <v>4071488.72</v>
      </c>
      <c r="I22" s="26"/>
      <c r="J22" s="26">
        <f>C22-H22</f>
        <v>3711871.89</v>
      </c>
      <c r="K22" s="13"/>
      <c r="L22" s="5"/>
      <c r="M22" s="43">
        <v>2172232</v>
      </c>
      <c r="N22" s="43">
        <f t="shared" si="0"/>
        <v>1899256.7200000002</v>
      </c>
      <c r="O22" s="5"/>
      <c r="Q22" t="str">
        <f>IF(C22=H22+J22,"",C22-H22-J22)</f>
        <v/>
      </c>
    </row>
    <row r="23" spans="1:17" hidden="1">
      <c r="A23" s="1" t="s">
        <v>36</v>
      </c>
      <c r="B23" s="2" t="s">
        <v>19</v>
      </c>
      <c r="C23" s="27">
        <v>7335025.46</v>
      </c>
      <c r="D23" s="22">
        <v>2021</v>
      </c>
      <c r="E23" s="25"/>
      <c r="F23" s="56">
        <v>26.67</v>
      </c>
      <c r="G23" s="30"/>
      <c r="H23" s="34">
        <v>3627249.17</v>
      </c>
      <c r="I23" s="26"/>
      <c r="J23" s="34">
        <f>C23-H23</f>
        <v>3707776.29</v>
      </c>
      <c r="K23" s="13"/>
      <c r="L23" s="5"/>
      <c r="M23" s="43">
        <v>1670897</v>
      </c>
      <c r="N23" s="43">
        <f t="shared" si="0"/>
        <v>1956352.17</v>
      </c>
      <c r="O23" s="5"/>
      <c r="Q23" t="str">
        <f>IF(C23=H23+J23,"",C23-H23-J23)</f>
        <v/>
      </c>
    </row>
    <row r="24" spans="1:17" hidden="1">
      <c r="A24" s="1" t="s">
        <v>37</v>
      </c>
      <c r="B24" s="2" t="s">
        <v>19</v>
      </c>
      <c r="C24" s="27">
        <v>7894399.2199999997</v>
      </c>
      <c r="D24" s="22">
        <v>2021</v>
      </c>
      <c r="E24" s="25"/>
      <c r="F24" s="56">
        <v>26.67</v>
      </c>
      <c r="G24" s="30"/>
      <c r="H24" s="26">
        <v>4077057.8</v>
      </c>
      <c r="I24" s="26"/>
      <c r="J24" s="26">
        <f>C24-H24</f>
        <v>3817341.42</v>
      </c>
      <c r="K24" s="13"/>
      <c r="L24" s="5"/>
      <c r="M24" s="43">
        <v>1968136</v>
      </c>
      <c r="N24" s="43">
        <f>H24-M24</f>
        <v>2108921.7999999998</v>
      </c>
      <c r="O24" s="5"/>
      <c r="Q24" t="str">
        <f>IF(C24=H24+J24,"",C24-H24-J24)</f>
        <v/>
      </c>
    </row>
    <row r="25" spans="1:17" hidden="1">
      <c r="A25" s="1" t="s">
        <v>38</v>
      </c>
      <c r="B25" s="2" t="s">
        <v>19</v>
      </c>
      <c r="C25" s="27">
        <v>8220559.5700000003</v>
      </c>
      <c r="D25" s="22">
        <v>2022</v>
      </c>
      <c r="E25" s="25"/>
      <c r="F25" s="56">
        <v>40</v>
      </c>
      <c r="H25" s="26">
        <v>4377057.8</v>
      </c>
      <c r="I25" s="26"/>
      <c r="J25" s="26">
        <f>C25-H25</f>
        <v>3843501.7700000005</v>
      </c>
      <c r="K25" s="13"/>
      <c r="L25" s="5"/>
      <c r="M25" s="43">
        <v>2172232</v>
      </c>
      <c r="N25" s="43">
        <f>H25-M25</f>
        <v>2204825.7999999998</v>
      </c>
      <c r="O25" s="5"/>
      <c r="Q25" t="str">
        <f>IF(C25=H25+J25,"",C25-H25-J25)</f>
        <v/>
      </c>
    </row>
    <row r="26" spans="1:17" hidden="1">
      <c r="A26" s="1" t="s">
        <v>39</v>
      </c>
      <c r="B26" s="2" t="s">
        <v>19</v>
      </c>
      <c r="C26" s="27">
        <v>8057155.7999999998</v>
      </c>
      <c r="D26" s="22">
        <v>2022</v>
      </c>
      <c r="E26" s="25"/>
      <c r="F26" s="56">
        <v>26.67</v>
      </c>
      <c r="G26" s="30"/>
      <c r="H26" s="26">
        <v>4046577.8</v>
      </c>
      <c r="I26" s="26"/>
      <c r="J26" s="26">
        <f>C26-H26</f>
        <v>4010578</v>
      </c>
      <c r="K26" s="13"/>
      <c r="L26" s="5"/>
      <c r="M26" s="43">
        <v>1968136</v>
      </c>
      <c r="N26" s="43">
        <f t="shared" si="0"/>
        <v>2078441.7999999998</v>
      </c>
      <c r="O26" s="5"/>
    </row>
    <row r="27" spans="1:17" hidden="1">
      <c r="B27" s="11"/>
      <c r="F27" s="21"/>
    </row>
    <row r="28" spans="1:17" hidden="1">
      <c r="B28" s="11"/>
      <c r="C28" s="9">
        <f>IF(SUM(C7:C26)=SUM(C29:C33),SUM(C29:C33),"ERRO")</f>
        <v>174050398.84999999</v>
      </c>
      <c r="D28" s="39" t="s">
        <v>40</v>
      </c>
      <c r="F28" s="15">
        <f>SUM(F7:F26)</f>
        <v>782.77999999999975</v>
      </c>
      <c r="G28" t="s">
        <v>40</v>
      </c>
      <c r="H28" s="15">
        <f>SUM(H7:H26)</f>
        <v>93407839.319999978</v>
      </c>
      <c r="I28" s="15"/>
      <c r="J28" s="15">
        <f>SUM(J7:J26)</f>
        <v>80642559.530000001</v>
      </c>
      <c r="K28" s="15"/>
      <c r="L28" s="15"/>
      <c r="M28" s="15">
        <f>SUM(M7:M26)</f>
        <v>48143381</v>
      </c>
      <c r="N28" s="15">
        <f>SUM(N7:N26)</f>
        <v>45264458.32</v>
      </c>
      <c r="O28" s="15"/>
      <c r="Q28">
        <f>0.3*C28</f>
        <v>52215119.654999994</v>
      </c>
    </row>
    <row r="29" spans="1:17" hidden="1">
      <c r="A29" s="24" t="s">
        <v>41</v>
      </c>
      <c r="B29" s="15">
        <f>C29</f>
        <v>36029112.740000002</v>
      </c>
      <c r="C29" s="8">
        <f>SUMIF($D$7:$D$26,"=2018",$C$7:$C$26)</f>
        <v>36029112.740000002</v>
      </c>
      <c r="D29" s="39" t="s">
        <v>42</v>
      </c>
      <c r="E29" s="15">
        <f>F29</f>
        <v>129.41</v>
      </c>
      <c r="F29" s="11">
        <f>SUMIF($D$7:$D$26,"=2018",$F$7:$F$26)</f>
        <v>129.41</v>
      </c>
      <c r="G29" t="s">
        <v>42</v>
      </c>
      <c r="H29" s="10">
        <f>SUMIF($D$7:$D$26,"=2018",H$7:H$26)</f>
        <v>19526675.140000001</v>
      </c>
      <c r="I29" s="10"/>
      <c r="J29" s="10">
        <f>SUMIF($D$7:$D$26,"=2018",J$7:J$26)</f>
        <v>16502437.6</v>
      </c>
      <c r="K29" s="10"/>
      <c r="L29" s="10"/>
      <c r="M29" s="10">
        <f>SUMIF($D$7:$D$26,"=2018",M$7:M$26)</f>
        <v>8927738</v>
      </c>
      <c r="N29" s="10">
        <f>SUMIF($D$7:$D$26,"=2018",N$7:N$26)</f>
        <v>10598937.140000001</v>
      </c>
      <c r="O29" s="10"/>
    </row>
    <row r="30" spans="1:17" hidden="1">
      <c r="A30" s="12"/>
      <c r="B30" s="11"/>
      <c r="C30" s="8">
        <f>SUMIF($D$7:$D$26,"=2019",$C$7:$C$26)</f>
        <v>46352252.129999995</v>
      </c>
      <c r="D30" s="39" t="s">
        <v>43</v>
      </c>
      <c r="E30" s="11"/>
      <c r="F30" s="11">
        <f>SUMIF($D$7:$D$26,"=2019",$F$7:$F$26)</f>
        <v>293.35000000000002</v>
      </c>
      <c r="G30" t="s">
        <v>43</v>
      </c>
      <c r="H30" s="10">
        <f>SUMIF($D$7:$D$26,"=2019",H$7:H$26)</f>
        <v>26040387.170000002</v>
      </c>
      <c r="I30" s="10"/>
      <c r="J30" s="10">
        <f>SUMIF($D$7:$D$26,"=2019",J$7:J$26)</f>
        <v>20311864.959999997</v>
      </c>
      <c r="K30" s="10"/>
      <c r="L30" s="10"/>
      <c r="M30" s="10">
        <f>SUMIF($D$7:$D$26,"=2019",M$7:M$26)</f>
        <v>14808504</v>
      </c>
      <c r="N30" s="10">
        <f>SUMIF($D$7:$D$26,"=2019",N$7:N$26)</f>
        <v>11231883.17</v>
      </c>
      <c r="O30" s="10"/>
    </row>
    <row r="31" spans="1:17" hidden="1">
      <c r="A31" s="24" t="s">
        <v>44</v>
      </c>
      <c r="B31" s="15">
        <f>SUM(C30:C31)</f>
        <v>98730785.450000003</v>
      </c>
      <c r="C31" s="8">
        <f>SUMIF($D$7:$D$26,"=2020",$C$7:$C$26)</f>
        <v>52378533.320000008</v>
      </c>
      <c r="D31" s="39" t="s">
        <v>45</v>
      </c>
      <c r="E31" s="15">
        <f>SUM(F30:F31)</f>
        <v>493.36000000000007</v>
      </c>
      <c r="F31" s="11">
        <f>SUMIF($D$7:$D$26,"=2020",$F$7:$F$26)</f>
        <v>200.01000000000005</v>
      </c>
      <c r="G31" t="s">
        <v>45</v>
      </c>
      <c r="H31" s="10">
        <f>SUMIF($D$7:$D$26,"=2020",H$7:H$26)</f>
        <v>27641345.720000003</v>
      </c>
      <c r="I31" s="10"/>
      <c r="J31" s="10">
        <f>SUMIF($D$7:$D$26,"=2020",J$7:J$26)</f>
        <v>24737187.600000001</v>
      </c>
      <c r="K31" s="10"/>
      <c r="L31" s="10"/>
      <c r="M31" s="10">
        <f>SUMIF($D$7:$D$26,"=2020",M$7:M$26)</f>
        <v>14455506</v>
      </c>
      <c r="N31" s="10">
        <f>SUMIF($D$7:$D$26,"=2020",N$7:N$26)</f>
        <v>13185839.719999999</v>
      </c>
      <c r="O31" s="10"/>
    </row>
    <row r="32" spans="1:17" hidden="1">
      <c r="A32" s="12"/>
      <c r="B32" s="11"/>
      <c r="C32" s="8">
        <f>SUMIF($D$7:$D$26,"=2021",$C$7:$C$26)</f>
        <v>23012785.289999999</v>
      </c>
      <c r="D32" s="39" t="s">
        <v>46</v>
      </c>
      <c r="E32" s="11"/>
      <c r="F32" s="11">
        <f>SUMIF($D$7:$D$26,"=2021",$F$7:$F$26)</f>
        <v>93.34</v>
      </c>
      <c r="G32" t="s">
        <v>46</v>
      </c>
      <c r="H32" s="10">
        <f>SUMIF($D$7:$D$26,"=2021",H$7:H$26)</f>
        <v>11775795.690000001</v>
      </c>
      <c r="I32" s="10"/>
      <c r="J32" s="10">
        <f>SUMIF($D$7:$D$26,"=2021",J$7:J$26)</f>
        <v>11236989.6</v>
      </c>
      <c r="K32" s="10"/>
      <c r="L32" s="10"/>
      <c r="M32" s="10">
        <f>SUMIF($D$7:$D$26,"=2021",M$7:M$26)</f>
        <v>5811265</v>
      </c>
      <c r="N32" s="10">
        <f>SUMIF($D$7:$D$26,"=2021",N$7:N$26)</f>
        <v>5964530.6899999995</v>
      </c>
      <c r="O32" s="10"/>
    </row>
    <row r="33" spans="1:17" hidden="1">
      <c r="A33" s="24" t="s">
        <v>47</v>
      </c>
      <c r="B33" s="15">
        <f>SUM(C32:C33)</f>
        <v>39290500.659999996</v>
      </c>
      <c r="C33" s="8">
        <f>SUMIF($D$7:$D$26,"=2022",$C$7:$C$26)</f>
        <v>16277715.370000001</v>
      </c>
      <c r="D33" s="39" t="s">
        <v>48</v>
      </c>
      <c r="E33" s="15">
        <f>SUM(F32:F33)</f>
        <v>160.01</v>
      </c>
      <c r="F33" s="11">
        <f>SUMIF($D$7:$D$26,"=2022",$F$7:$F$26)</f>
        <v>66.67</v>
      </c>
      <c r="G33" t="s">
        <v>48</v>
      </c>
      <c r="H33" s="10">
        <f>SUMIF($D$7:$D$26,"=2022",H$7:H$26)</f>
        <v>8423635.5999999996</v>
      </c>
      <c r="I33" s="10"/>
      <c r="J33" s="10">
        <f>SUMIF($D$7:$D$26,"=2022",J$7:J$26)</f>
        <v>7854079.7700000005</v>
      </c>
      <c r="K33" s="10"/>
      <c r="L33" s="10"/>
      <c r="M33" s="10">
        <f>SUMIF($D$7:$D$26,"=2022",M$7:M$26)</f>
        <v>4140368</v>
      </c>
      <c r="N33" s="10">
        <f>SUMIF($D$7:$D$26,"=2022",N$7:N$26)</f>
        <v>4283267.5999999996</v>
      </c>
      <c r="O33" s="10"/>
    </row>
    <row r="34" spans="1:17">
      <c r="B34" s="11"/>
      <c r="F34" s="11" t="str">
        <f>IF(SUM(F29:F33)&lt;&gt;F28,"Erro soma","OK")</f>
        <v>OK</v>
      </c>
      <c r="H34" s="11" t="str">
        <f>IF(SUM(H29:H33)&lt;&gt;H28,"Erro soma","OK")</f>
        <v>OK</v>
      </c>
      <c r="I34" s="11"/>
      <c r="J34" s="11" t="str">
        <f>IF(SUM(J29:J33)&lt;&gt;J28,"Erro soma","OK")</f>
        <v>OK</v>
      </c>
      <c r="K34" s="11"/>
      <c r="L34" s="11"/>
      <c r="M34" s="11" t="str">
        <f t="shared" ref="M34:N34" si="1">IF(SUM(M29:M33)&lt;&gt;M28,"Erro soma","OK")</f>
        <v>OK</v>
      </c>
      <c r="N34" s="11" t="str">
        <f t="shared" si="1"/>
        <v>OK</v>
      </c>
      <c r="O34" s="11"/>
    </row>
    <row r="35" spans="1:17" ht="15.75">
      <c r="A35" s="6" t="s">
        <v>49</v>
      </c>
      <c r="B35" s="11"/>
      <c r="F35" s="21"/>
    </row>
    <row r="36" spans="1:17" ht="38.25">
      <c r="A36" s="3" t="s">
        <v>3</v>
      </c>
      <c r="B36" s="4" t="s">
        <v>4</v>
      </c>
      <c r="C36" s="4" t="s">
        <v>5</v>
      </c>
      <c r="D36" s="3" t="s">
        <v>6</v>
      </c>
      <c r="E36" s="4" t="s">
        <v>7</v>
      </c>
      <c r="F36" s="3" t="s">
        <v>8</v>
      </c>
      <c r="G36" s="3" t="s">
        <v>9</v>
      </c>
      <c r="H36" s="4" t="s">
        <v>10</v>
      </c>
      <c r="I36" s="4"/>
      <c r="J36" s="4" t="s">
        <v>12</v>
      </c>
      <c r="K36" s="4" t="s">
        <v>13</v>
      </c>
      <c r="L36" s="38"/>
      <c r="M36" s="4" t="s">
        <v>15</v>
      </c>
      <c r="N36" s="4" t="s">
        <v>16</v>
      </c>
      <c r="O36" s="38"/>
    </row>
    <row r="37" spans="1:17">
      <c r="A37" s="54" t="s">
        <v>50</v>
      </c>
      <c r="B37" s="2" t="s">
        <v>51</v>
      </c>
      <c r="C37" s="27">
        <v>3488350.16</v>
      </c>
      <c r="D37" s="2">
        <v>2018</v>
      </c>
      <c r="E37" s="25"/>
      <c r="F37" s="56">
        <v>26.67</v>
      </c>
      <c r="G37" s="30"/>
      <c r="H37" s="34">
        <v>2945370.1732590524</v>
      </c>
      <c r="I37" s="26"/>
      <c r="J37" s="34">
        <f>C37-H37</f>
        <v>542979.9867409477</v>
      </c>
      <c r="K37" s="13"/>
      <c r="L37" s="44"/>
      <c r="M37" s="43">
        <v>1968136</v>
      </c>
      <c r="N37" s="43">
        <f>H37-M37</f>
        <v>977234.17325905245</v>
      </c>
      <c r="O37" s="5"/>
      <c r="Q37" t="str">
        <f>IF(C37=H37+J37,"",C37-H37-J37)</f>
        <v/>
      </c>
    </row>
    <row r="38" spans="1:17" hidden="1">
      <c r="A38" s="1" t="s">
        <v>52</v>
      </c>
      <c r="B38" s="2" t="s">
        <v>51</v>
      </c>
      <c r="C38" s="27">
        <v>2843801.03</v>
      </c>
      <c r="D38" s="2">
        <v>2018</v>
      </c>
      <c r="E38" s="25"/>
      <c r="F38" s="56">
        <v>10</v>
      </c>
      <c r="G38" s="30"/>
      <c r="H38" s="42">
        <v>2415040.8199999998</v>
      </c>
      <c r="I38" s="26"/>
      <c r="J38" s="42">
        <f>C38-H38</f>
        <v>428760.20999999996</v>
      </c>
      <c r="K38" s="13"/>
      <c r="L38" s="44"/>
      <c r="M38" s="43">
        <v>1968136</v>
      </c>
      <c r="N38" s="43">
        <f t="shared" ref="N38:N67" si="2">H38-M38</f>
        <v>446904.81999999983</v>
      </c>
      <c r="O38" s="5"/>
      <c r="Q38" t="str">
        <f>IF(C38=H38+J38,"",C38-H38-J38)</f>
        <v/>
      </c>
    </row>
    <row r="39" spans="1:17">
      <c r="A39" s="54" t="s">
        <v>53</v>
      </c>
      <c r="B39" s="2" t="s">
        <v>51</v>
      </c>
      <c r="C39" s="27">
        <v>2843826.62</v>
      </c>
      <c r="D39" s="2">
        <v>2018</v>
      </c>
      <c r="E39" s="25"/>
      <c r="F39" s="56">
        <v>40</v>
      </c>
      <c r="H39" s="42">
        <v>2509673.7200000002</v>
      </c>
      <c r="I39" s="26"/>
      <c r="J39" s="42">
        <f>C39-H39</f>
        <v>334152.89999999991</v>
      </c>
      <c r="K39" s="13"/>
      <c r="L39" s="44"/>
      <c r="M39" s="43">
        <v>1900000</v>
      </c>
      <c r="N39" s="43">
        <f t="shared" si="2"/>
        <v>609673.7200000002</v>
      </c>
      <c r="O39" s="5"/>
      <c r="Q39" t="str">
        <f>IF(C39=H39+J39,"",C39-H39-J39)</f>
        <v/>
      </c>
    </row>
    <row r="40" spans="1:17">
      <c r="A40" s="54" t="s">
        <v>54</v>
      </c>
      <c r="B40" s="2" t="s">
        <v>51</v>
      </c>
      <c r="C40" s="27">
        <v>4274815.55</v>
      </c>
      <c r="D40" s="2">
        <v>2018</v>
      </c>
      <c r="E40" s="25"/>
      <c r="F40" s="56">
        <v>26.67</v>
      </c>
      <c r="G40" s="30"/>
      <c r="H40" s="26">
        <v>3009817.4800000004</v>
      </c>
      <c r="I40" s="26"/>
      <c r="J40" s="26">
        <f>C40-H40</f>
        <v>1264998.0699999994</v>
      </c>
      <c r="K40" s="13"/>
      <c r="L40" s="44"/>
      <c r="M40" s="43">
        <v>1988685</v>
      </c>
      <c r="N40" s="43">
        <f t="shared" si="2"/>
        <v>1021132.4800000004</v>
      </c>
      <c r="O40" s="5"/>
      <c r="Q40" t="str">
        <f>IF(C40=H40+J40,"",C40-H40-J40)</f>
        <v/>
      </c>
    </row>
    <row r="41" spans="1:17" hidden="1">
      <c r="A41" s="1" t="s">
        <v>55</v>
      </c>
      <c r="B41" s="2" t="s">
        <v>51</v>
      </c>
      <c r="C41" s="27">
        <v>3156689.71</v>
      </c>
      <c r="D41" s="2">
        <v>2018</v>
      </c>
      <c r="E41" s="25"/>
      <c r="F41" s="56">
        <v>26.67</v>
      </c>
      <c r="G41" s="30"/>
      <c r="H41" s="26">
        <v>2777720.2199999997</v>
      </c>
      <c r="I41" s="26"/>
      <c r="J41" s="26">
        <f>C41-H41</f>
        <v>378969.49000000022</v>
      </c>
      <c r="K41" s="13"/>
      <c r="L41" s="44"/>
      <c r="M41" s="43">
        <v>1988685</v>
      </c>
      <c r="N41" s="43">
        <f t="shared" si="2"/>
        <v>789035.21999999974</v>
      </c>
      <c r="O41" s="5"/>
      <c r="Q41" t="str">
        <f>IF(C41=H41+J41,"",C41-H41-J41)</f>
        <v/>
      </c>
    </row>
    <row r="42" spans="1:17" hidden="1">
      <c r="A42" s="1" t="s">
        <v>56</v>
      </c>
      <c r="B42" s="2" t="s">
        <v>51</v>
      </c>
      <c r="C42" s="27">
        <v>1472341.48</v>
      </c>
      <c r="D42" s="2">
        <v>2018</v>
      </c>
      <c r="E42" s="25"/>
      <c r="F42" s="56">
        <v>26.67</v>
      </c>
      <c r="G42" s="30"/>
      <c r="H42" s="34">
        <v>1177873.1840000001</v>
      </c>
      <c r="I42" s="26"/>
      <c r="J42" s="34">
        <f>C42-H42</f>
        <v>294468.29599999986</v>
      </c>
      <c r="K42" s="13"/>
      <c r="L42" s="44"/>
      <c r="M42" s="43">
        <v>0</v>
      </c>
      <c r="N42" s="43">
        <f t="shared" si="2"/>
        <v>1177873.1840000001</v>
      </c>
      <c r="O42" s="5"/>
      <c r="Q42" t="str">
        <f>IF(C42=H42+J42,"",C42-H42-J42)</f>
        <v/>
      </c>
    </row>
    <row r="43" spans="1:17" hidden="1">
      <c r="A43" s="1" t="s">
        <v>57</v>
      </c>
      <c r="B43" s="2" t="s">
        <v>51</v>
      </c>
      <c r="C43" s="27">
        <v>2208831.56</v>
      </c>
      <c r="D43" s="2">
        <v>2018</v>
      </c>
      <c r="E43" s="25"/>
      <c r="F43" s="56">
        <v>10</v>
      </c>
      <c r="G43" s="30"/>
      <c r="H43" s="26">
        <v>2003979.93</v>
      </c>
      <c r="I43" s="26"/>
      <c r="J43" s="26">
        <f>C43-H43</f>
        <v>204851.63000000012</v>
      </c>
      <c r="K43" s="13"/>
      <c r="L43" s="44"/>
      <c r="M43" s="43">
        <v>1670897</v>
      </c>
      <c r="N43" s="43">
        <f t="shared" si="2"/>
        <v>333082.92999999993</v>
      </c>
      <c r="O43" s="5"/>
      <c r="Q43" t="str">
        <f>IF(C43=H43+J43,"",C43-H43-J43)</f>
        <v/>
      </c>
    </row>
    <row r="44" spans="1:17" hidden="1">
      <c r="A44" s="1" t="s">
        <v>58</v>
      </c>
      <c r="B44" s="2" t="s">
        <v>51</v>
      </c>
      <c r="C44" s="27">
        <v>2686555.9299999997</v>
      </c>
      <c r="D44" s="2">
        <v>2018</v>
      </c>
      <c r="E44" s="25"/>
      <c r="F44" s="56">
        <v>26.67</v>
      </c>
      <c r="G44" s="30"/>
      <c r="H44" s="26">
        <v>2398552.75</v>
      </c>
      <c r="I44" s="26"/>
      <c r="J44" s="26">
        <f>C44-H44</f>
        <v>288003.1799999997</v>
      </c>
      <c r="K44" s="13"/>
      <c r="L44" s="44"/>
      <c r="M44" s="43">
        <v>1670897</v>
      </c>
      <c r="N44" s="43">
        <f t="shared" si="2"/>
        <v>727655.75</v>
      </c>
      <c r="O44" s="5"/>
      <c r="Q44" t="str">
        <f>IF(C44=H44+J44,"",C44-H44-J44)</f>
        <v/>
      </c>
    </row>
    <row r="45" spans="1:17" hidden="1">
      <c r="A45" s="1" t="s">
        <v>59</v>
      </c>
      <c r="B45" s="2" t="s">
        <v>51</v>
      </c>
      <c r="C45" s="27">
        <v>2710847.63</v>
      </c>
      <c r="D45" s="2">
        <v>2018</v>
      </c>
      <c r="E45" s="25"/>
      <c r="F45" s="56">
        <v>17.29</v>
      </c>
      <c r="G45" s="32"/>
      <c r="H45" s="42">
        <v>2156493.34</v>
      </c>
      <c r="I45" s="26"/>
      <c r="J45" s="42">
        <f>C45-H45</f>
        <v>554354.29</v>
      </c>
      <c r="K45" s="13"/>
      <c r="L45" s="44"/>
      <c r="M45" s="43">
        <v>1863048</v>
      </c>
      <c r="N45" s="43">
        <f t="shared" si="2"/>
        <v>293445.33999999985</v>
      </c>
      <c r="O45" s="5"/>
      <c r="Q45" t="str">
        <f>IF(C45=H45+J45,"",C45-H45-J45)</f>
        <v/>
      </c>
    </row>
    <row r="46" spans="1:17" hidden="1">
      <c r="A46" s="1" t="s">
        <v>60</v>
      </c>
      <c r="B46" s="2" t="s">
        <v>51</v>
      </c>
      <c r="C46" s="27">
        <v>2805490.67</v>
      </c>
      <c r="D46" s="2">
        <v>2018</v>
      </c>
      <c r="E46" s="25"/>
      <c r="F46" s="56">
        <v>6.67</v>
      </c>
      <c r="G46" s="30"/>
      <c r="H46" s="42">
        <v>2233843.4700000002</v>
      </c>
      <c r="I46" s="26"/>
      <c r="J46" s="42">
        <f>C46-H46</f>
        <v>571647.19999999972</v>
      </c>
      <c r="K46" s="13"/>
      <c r="L46" s="44"/>
      <c r="M46" s="43">
        <v>1863048</v>
      </c>
      <c r="N46" s="43">
        <f t="shared" si="2"/>
        <v>370795.4700000002</v>
      </c>
      <c r="O46" s="5"/>
      <c r="Q46" t="str">
        <f>IF(C46=H46+J46,"",C46-H46-J46)</f>
        <v/>
      </c>
    </row>
    <row r="47" spans="1:17" hidden="1">
      <c r="A47" s="1" t="s">
        <v>61</v>
      </c>
      <c r="B47" s="2" t="s">
        <v>51</v>
      </c>
      <c r="C47" s="27">
        <v>2868199.8899999997</v>
      </c>
      <c r="D47" s="2">
        <v>2019</v>
      </c>
      <c r="E47" s="25"/>
      <c r="F47" s="56">
        <v>26.67</v>
      </c>
      <c r="G47" s="30"/>
      <c r="H47" s="26">
        <v>2612827.9300000002</v>
      </c>
      <c r="I47" s="26"/>
      <c r="J47" s="26">
        <f>C47-H47</f>
        <v>255371.9599999995</v>
      </c>
      <c r="K47" s="13"/>
      <c r="L47" s="44"/>
      <c r="M47" s="43">
        <v>1968136</v>
      </c>
      <c r="N47" s="43">
        <f t="shared" si="2"/>
        <v>644691.93000000017</v>
      </c>
      <c r="O47" s="5"/>
      <c r="Q47" t="str">
        <f>IF(C47=H47+J47,"",C47-H47-J47)</f>
        <v/>
      </c>
    </row>
    <row r="48" spans="1:17" hidden="1">
      <c r="A48" s="1" t="s">
        <v>62</v>
      </c>
      <c r="B48" s="2" t="s">
        <v>51</v>
      </c>
      <c r="C48" s="27">
        <v>2543709.75</v>
      </c>
      <c r="D48" s="2">
        <v>2019</v>
      </c>
      <c r="E48" s="25"/>
      <c r="F48" s="56">
        <v>17.295000000000002</v>
      </c>
      <c r="G48" s="30"/>
      <c r="H48" s="34">
        <v>2180310.468657685</v>
      </c>
      <c r="I48" s="26"/>
      <c r="J48" s="34">
        <f>C48-H48</f>
        <v>363399.28134231502</v>
      </c>
      <c r="K48" s="13"/>
      <c r="L48" s="44"/>
      <c r="M48" s="43">
        <v>1988685</v>
      </c>
      <c r="N48" s="43">
        <f t="shared" si="2"/>
        <v>191625.46865768498</v>
      </c>
      <c r="O48" s="5"/>
      <c r="Q48" t="str">
        <f>IF(C48=H48+J48,"",C48-H48-J48)</f>
        <v/>
      </c>
    </row>
    <row r="49" spans="1:17" hidden="1">
      <c r="A49" s="1" t="s">
        <v>63</v>
      </c>
      <c r="B49" s="2" t="s">
        <v>51</v>
      </c>
      <c r="C49" s="27">
        <v>573795.18999999994</v>
      </c>
      <c r="D49" s="2">
        <v>2019</v>
      </c>
      <c r="E49" s="25"/>
      <c r="F49" s="56"/>
      <c r="G49" s="32" t="s">
        <v>64</v>
      </c>
      <c r="H49" s="26">
        <v>275209.08</v>
      </c>
      <c r="I49" s="26"/>
      <c r="J49" s="26">
        <f>C49-H49</f>
        <v>298586.10999999993</v>
      </c>
      <c r="K49" s="13"/>
      <c r="L49" s="44"/>
      <c r="M49" s="43">
        <v>0</v>
      </c>
      <c r="N49" s="43">
        <f t="shared" si="2"/>
        <v>275209.08</v>
      </c>
      <c r="O49" s="5"/>
      <c r="Q49" t="str">
        <f>IF(C49=H49+J49,"",C49-H49-J49)</f>
        <v/>
      </c>
    </row>
    <row r="50" spans="1:17" hidden="1">
      <c r="A50" s="1" t="s">
        <v>65</v>
      </c>
      <c r="B50" s="2" t="s">
        <v>51</v>
      </c>
      <c r="C50" s="27">
        <v>2868199.8899999997</v>
      </c>
      <c r="D50" s="2">
        <v>2020</v>
      </c>
      <c r="E50" s="25"/>
      <c r="F50" s="56">
        <v>26.67</v>
      </c>
      <c r="G50" s="30"/>
      <c r="H50" s="26">
        <v>2549658.33</v>
      </c>
      <c r="I50" s="26"/>
      <c r="J50" s="26">
        <f>C50-H50</f>
        <v>318541.55999999959</v>
      </c>
      <c r="K50" s="13"/>
      <c r="L50" s="44"/>
      <c r="M50" s="43">
        <v>1968136</v>
      </c>
      <c r="N50" s="43">
        <f t="shared" si="2"/>
        <v>581522.33000000007</v>
      </c>
      <c r="O50" s="5"/>
      <c r="Q50" t="str">
        <f>IF(C50=H50+J50,"",C50-H50-J50)</f>
        <v/>
      </c>
    </row>
    <row r="51" spans="1:17" hidden="1">
      <c r="A51" s="1" t="s">
        <v>66</v>
      </c>
      <c r="B51" s="2" t="s">
        <v>51</v>
      </c>
      <c r="C51" s="27">
        <v>2796043.23</v>
      </c>
      <c r="D51" s="2">
        <v>2020</v>
      </c>
      <c r="E51" s="25"/>
      <c r="F51" s="56">
        <v>26.67</v>
      </c>
      <c r="G51" s="30"/>
      <c r="H51" s="34">
        <v>2312973.3687976724</v>
      </c>
      <c r="I51" s="26"/>
      <c r="J51" s="34">
        <f>C51-H51</f>
        <v>483069.86120232753</v>
      </c>
      <c r="K51" s="13"/>
      <c r="L51" s="44"/>
      <c r="M51" s="43">
        <v>1670897</v>
      </c>
      <c r="N51" s="43">
        <f t="shared" si="2"/>
        <v>642076.36879767245</v>
      </c>
      <c r="O51" s="5"/>
      <c r="Q51" t="str">
        <f>IF(C51=H51+J51,"",C51-H51-J51)</f>
        <v/>
      </c>
    </row>
    <row r="52" spans="1:17" hidden="1">
      <c r="A52" s="1" t="s">
        <v>67</v>
      </c>
      <c r="B52" s="2" t="s">
        <v>51</v>
      </c>
      <c r="C52" s="27">
        <v>2862268.43</v>
      </c>
      <c r="D52" s="2">
        <v>2020</v>
      </c>
      <c r="E52" s="25"/>
      <c r="F52" s="56">
        <v>13.329999999999998</v>
      </c>
      <c r="H52" s="42">
        <v>2588168.38</v>
      </c>
      <c r="I52" s="26"/>
      <c r="J52" s="42">
        <f>C52-H52</f>
        <v>274100.05000000028</v>
      </c>
      <c r="K52" s="13"/>
      <c r="L52" s="44"/>
      <c r="M52" s="43">
        <v>2184816</v>
      </c>
      <c r="N52" s="43">
        <f t="shared" si="2"/>
        <v>403352.37999999989</v>
      </c>
      <c r="O52" s="5"/>
      <c r="Q52" t="str">
        <f>IF(C52=H52+J52,"",C52-H52-J52)</f>
        <v/>
      </c>
    </row>
    <row r="53" spans="1:17">
      <c r="A53" s="54" t="s">
        <v>68</v>
      </c>
      <c r="B53" s="2" t="s">
        <v>51</v>
      </c>
      <c r="C53" s="27">
        <v>4022464.06</v>
      </c>
      <c r="D53" s="2">
        <v>2020</v>
      </c>
      <c r="E53" s="25"/>
      <c r="F53" s="56">
        <v>26.67</v>
      </c>
      <c r="G53" s="30"/>
      <c r="H53" s="34">
        <v>2914630.948707337</v>
      </c>
      <c r="I53" s="26"/>
      <c r="J53" s="34">
        <f>C53-H53</f>
        <v>1107833.111292663</v>
      </c>
      <c r="K53" s="28" t="s">
        <v>21</v>
      </c>
      <c r="L53" s="44"/>
      <c r="M53" s="43">
        <v>1988685</v>
      </c>
      <c r="N53" s="43">
        <f t="shared" si="2"/>
        <v>925945.94870733703</v>
      </c>
      <c r="O53" s="5"/>
      <c r="Q53" t="str">
        <f>IF(C53=H53+J53,"",C53-H53-J53)</f>
        <v/>
      </c>
    </row>
    <row r="54" spans="1:17" hidden="1">
      <c r="A54" s="1" t="s">
        <v>69</v>
      </c>
      <c r="B54" s="2" t="s">
        <v>51</v>
      </c>
      <c r="C54" s="27">
        <v>1541440.39</v>
      </c>
      <c r="D54" s="2">
        <v>2020</v>
      </c>
      <c r="E54" s="25"/>
      <c r="F54" s="56">
        <v>11.67</v>
      </c>
      <c r="G54" s="30"/>
      <c r="H54" s="34">
        <v>1079008.2729999998</v>
      </c>
      <c r="I54" s="26"/>
      <c r="J54" s="34">
        <f>C54-H54</f>
        <v>462432.11700000009</v>
      </c>
      <c r="K54" s="13"/>
      <c r="L54" s="44"/>
      <c r="M54" s="43">
        <v>1863048</v>
      </c>
      <c r="N54" s="43">
        <f t="shared" si="2"/>
        <v>-784039.72700000019</v>
      </c>
      <c r="O54" s="5"/>
      <c r="Q54" t="str">
        <f>IF(C54=H54+J54,"",C54-H54-J54)</f>
        <v/>
      </c>
    </row>
    <row r="55" spans="1:17" hidden="1">
      <c r="A55" s="1" t="s">
        <v>70</v>
      </c>
      <c r="B55" s="2" t="s">
        <v>51</v>
      </c>
      <c r="C55" s="27">
        <v>600000</v>
      </c>
      <c r="D55" s="2">
        <v>2020</v>
      </c>
      <c r="E55" s="25"/>
      <c r="F55" s="56"/>
      <c r="G55" s="30"/>
      <c r="H55" s="26">
        <v>287777.6790007599</v>
      </c>
      <c r="I55" s="26"/>
      <c r="J55" s="26">
        <f>C55-H55</f>
        <v>312222.3209992401</v>
      </c>
      <c r="K55" s="13"/>
      <c r="L55" s="44"/>
      <c r="M55" s="43">
        <v>0</v>
      </c>
      <c r="N55" s="43">
        <f t="shared" si="2"/>
        <v>287777.6790007599</v>
      </c>
      <c r="O55" s="5"/>
      <c r="Q55" t="str">
        <f>IF(C55=H55+J55,"",C55-H55-J55)</f>
        <v/>
      </c>
    </row>
    <row r="56" spans="1:17" hidden="1">
      <c r="A56" s="1" t="s">
        <v>71</v>
      </c>
      <c r="B56" s="2" t="s">
        <v>51</v>
      </c>
      <c r="C56" s="27">
        <v>517066.21</v>
      </c>
      <c r="D56" s="2">
        <v>2020</v>
      </c>
      <c r="E56" s="25"/>
      <c r="F56" s="56"/>
      <c r="G56" s="32" t="s">
        <v>72</v>
      </c>
      <c r="H56" s="26">
        <v>234122.61</v>
      </c>
      <c r="I56" s="26"/>
      <c r="J56" s="26">
        <f>C56-H56</f>
        <v>282943.60000000003</v>
      </c>
      <c r="K56" s="13"/>
      <c r="L56" s="44"/>
      <c r="M56" s="43">
        <v>0</v>
      </c>
      <c r="N56" s="43">
        <f t="shared" si="2"/>
        <v>234122.61</v>
      </c>
      <c r="O56" s="5"/>
      <c r="Q56" t="str">
        <f>IF(C56=H56+J56,"",C56-H56-J56)</f>
        <v/>
      </c>
    </row>
    <row r="57" spans="1:17" hidden="1">
      <c r="A57" s="1" t="s">
        <v>73</v>
      </c>
      <c r="B57" s="2" t="s">
        <v>51</v>
      </c>
      <c r="C57" s="27">
        <v>517066.21</v>
      </c>
      <c r="D57" s="2">
        <v>2021</v>
      </c>
      <c r="E57" s="25"/>
      <c r="F57" s="56"/>
      <c r="G57" s="40" t="s">
        <v>74</v>
      </c>
      <c r="H57" s="26">
        <v>234122.61</v>
      </c>
      <c r="I57" s="26"/>
      <c r="J57" s="26">
        <f>C57-H57</f>
        <v>282943.60000000003</v>
      </c>
      <c r="K57" s="13"/>
      <c r="L57" s="44"/>
      <c r="M57" s="43">
        <v>0</v>
      </c>
      <c r="N57" s="43">
        <f t="shared" si="2"/>
        <v>234122.61</v>
      </c>
      <c r="O57" s="5"/>
      <c r="Q57" t="str">
        <f>IF(C57=H57+J57,"",C57-H57-J57)</f>
        <v/>
      </c>
    </row>
    <row r="58" spans="1:17" hidden="1">
      <c r="A58" s="1" t="s">
        <v>75</v>
      </c>
      <c r="B58" s="2" t="s">
        <v>51</v>
      </c>
      <c r="C58" s="27">
        <v>3013812.7399999998</v>
      </c>
      <c r="D58" s="2">
        <v>2021</v>
      </c>
      <c r="E58" s="25"/>
      <c r="F58" s="56">
        <v>26.67</v>
      </c>
      <c r="G58" s="30"/>
      <c r="H58" s="26">
        <v>2708461.3000000003</v>
      </c>
      <c r="I58" s="26"/>
      <c r="J58" s="26">
        <f>C58-H58</f>
        <v>305351.43999999948</v>
      </c>
      <c r="K58" s="13"/>
      <c r="L58" s="44"/>
      <c r="M58" s="43">
        <v>1968136</v>
      </c>
      <c r="N58" s="43">
        <f t="shared" si="2"/>
        <v>740325.30000000028</v>
      </c>
      <c r="O58" s="5"/>
      <c r="Q58" t="str">
        <f>IF(C58=H58+J58,"",C58-H58-J58)</f>
        <v/>
      </c>
    </row>
    <row r="59" spans="1:17" hidden="1">
      <c r="A59" s="1" t="s">
        <v>76</v>
      </c>
      <c r="B59" s="2" t="s">
        <v>51</v>
      </c>
      <c r="C59" s="27">
        <v>3545492.21</v>
      </c>
      <c r="D59" s="2">
        <v>2021</v>
      </c>
      <c r="E59" s="25"/>
      <c r="F59" s="56">
        <v>26.67</v>
      </c>
      <c r="G59" s="30"/>
      <c r="H59" s="26">
        <v>2753740.3800000004</v>
      </c>
      <c r="I59" s="26"/>
      <c r="J59" s="26">
        <f>C59-H59</f>
        <v>791751.82999999961</v>
      </c>
      <c r="K59" s="13"/>
      <c r="L59" s="44"/>
      <c r="M59" s="43">
        <v>1988685</v>
      </c>
      <c r="N59" s="43">
        <f t="shared" si="2"/>
        <v>765055.38000000035</v>
      </c>
      <c r="O59" s="5"/>
      <c r="Q59" t="str">
        <f>IF(C59=H59+J59,"",C59-H59-J59)</f>
        <v/>
      </c>
    </row>
    <row r="60" spans="1:17" hidden="1">
      <c r="A60" s="1" t="s">
        <v>77</v>
      </c>
      <c r="B60" s="2" t="s">
        <v>51</v>
      </c>
      <c r="C60" s="27">
        <v>2375775.16</v>
      </c>
      <c r="D60" s="2">
        <v>2021</v>
      </c>
      <c r="E60" s="25"/>
      <c r="F60" s="56">
        <v>13.33</v>
      </c>
      <c r="G60" s="30"/>
      <c r="H60" s="26">
        <v>2277816</v>
      </c>
      <c r="I60" s="26"/>
      <c r="J60" s="26">
        <f>C60-H60</f>
        <v>97959.160000000149</v>
      </c>
      <c r="K60" s="13"/>
      <c r="L60" s="44"/>
      <c r="M60" s="43">
        <v>2184816</v>
      </c>
      <c r="N60" s="43">
        <f t="shared" si="2"/>
        <v>93000</v>
      </c>
      <c r="O60" s="5"/>
      <c r="Q60" t="str">
        <f>IF(C60=H60+J60,"",C60-H60-J60)</f>
        <v/>
      </c>
    </row>
    <row r="61" spans="1:17">
      <c r="A61" s="54" t="s">
        <v>78</v>
      </c>
      <c r="B61" s="2" t="s">
        <v>51</v>
      </c>
      <c r="C61" s="27">
        <v>4317807.91</v>
      </c>
      <c r="D61" s="2">
        <v>2021</v>
      </c>
      <c r="E61" s="25"/>
      <c r="F61" s="56">
        <v>16.670000000000002</v>
      </c>
      <c r="G61" s="30"/>
      <c r="H61" s="26">
        <v>3041210.09</v>
      </c>
      <c r="I61" s="26"/>
      <c r="J61" s="26">
        <f>C61-H61</f>
        <v>1276597.8200000003</v>
      </c>
      <c r="K61" s="13"/>
      <c r="L61" s="44"/>
      <c r="M61" s="43">
        <v>1863048</v>
      </c>
      <c r="N61" s="43">
        <f t="shared" si="2"/>
        <v>1178162.0899999999</v>
      </c>
      <c r="O61" s="5"/>
      <c r="Q61" t="str">
        <f>IF(C61=H61+J61,"",C61-H61-J61)</f>
        <v/>
      </c>
    </row>
    <row r="62" spans="1:17" hidden="1">
      <c r="A62" s="1" t="s">
        <v>79</v>
      </c>
      <c r="B62" s="2" t="s">
        <v>51</v>
      </c>
      <c r="C62" s="27">
        <v>3004796.1199999996</v>
      </c>
      <c r="D62" s="2">
        <v>2022</v>
      </c>
      <c r="E62" s="25"/>
      <c r="F62" s="56">
        <v>26.67</v>
      </c>
      <c r="G62" s="30"/>
      <c r="H62" s="26">
        <v>2621518.33</v>
      </c>
      <c r="I62" s="26"/>
      <c r="J62" s="26">
        <f>C62-H62</f>
        <v>383277.78999999957</v>
      </c>
      <c r="K62" s="13"/>
      <c r="L62" s="44"/>
      <c r="M62" s="43">
        <v>1968136</v>
      </c>
      <c r="N62" s="43">
        <f t="shared" si="2"/>
        <v>653382.33000000007</v>
      </c>
      <c r="O62" s="5"/>
      <c r="Q62" t="str">
        <f>IF(C62=H62+J62,"",C62-H62-J62)</f>
        <v/>
      </c>
    </row>
    <row r="63" spans="1:17" hidden="1">
      <c r="A63" s="1" t="s">
        <v>80</v>
      </c>
      <c r="B63" s="2" t="s">
        <v>51</v>
      </c>
      <c r="C63" s="27">
        <v>3059976.9099999997</v>
      </c>
      <c r="D63" s="2">
        <v>2022</v>
      </c>
      <c r="E63" s="25"/>
      <c r="F63" s="56">
        <v>26.67</v>
      </c>
      <c r="G63" s="30"/>
      <c r="H63" s="26">
        <v>2397711.4500000002</v>
      </c>
      <c r="I63" s="26"/>
      <c r="J63" s="26">
        <f>C63-H63</f>
        <v>662265.4599999995</v>
      </c>
      <c r="K63" s="13"/>
      <c r="L63" s="44"/>
      <c r="M63" s="43">
        <v>1968136</v>
      </c>
      <c r="N63" s="43">
        <f t="shared" si="2"/>
        <v>429575.45000000019</v>
      </c>
      <c r="O63" s="5"/>
      <c r="Q63" t="str">
        <f>IF(C63=H63+J63,"",C63-H63-J63)</f>
        <v/>
      </c>
    </row>
    <row r="64" spans="1:17">
      <c r="A64" s="54" t="s">
        <v>81</v>
      </c>
      <c r="B64" s="2" t="s">
        <v>51</v>
      </c>
      <c r="C64" s="27">
        <v>3394259.56</v>
      </c>
      <c r="D64" s="2">
        <v>2022</v>
      </c>
      <c r="E64" s="25"/>
      <c r="F64" s="56">
        <v>26.67</v>
      </c>
      <c r="G64" s="30"/>
      <c r="H64" s="26">
        <v>2568743.33</v>
      </c>
      <c r="I64" s="26"/>
      <c r="J64" s="26">
        <f>C64-H64</f>
        <v>825516.23</v>
      </c>
      <c r="K64" s="13"/>
      <c r="L64" s="44"/>
      <c r="M64" s="43">
        <v>1968136</v>
      </c>
      <c r="N64" s="43">
        <f t="shared" si="2"/>
        <v>600607.33000000007</v>
      </c>
      <c r="O64" s="5"/>
      <c r="Q64" t="str">
        <f>IF(C64=H64+J64,"",C64-H64-J64)</f>
        <v/>
      </c>
    </row>
    <row r="65" spans="1:21">
      <c r="A65" s="54" t="s">
        <v>82</v>
      </c>
      <c r="B65" s="2" t="s">
        <v>51</v>
      </c>
      <c r="C65" s="27">
        <v>3678127.35</v>
      </c>
      <c r="D65" s="2">
        <v>2022</v>
      </c>
      <c r="E65" s="25"/>
      <c r="F65" s="56">
        <v>26.67</v>
      </c>
      <c r="G65" s="31" t="s">
        <v>83</v>
      </c>
      <c r="H65" s="26">
        <v>2701488.73</v>
      </c>
      <c r="I65" s="26"/>
      <c r="J65" s="26">
        <f>C65-H65</f>
        <v>976638.62000000011</v>
      </c>
      <c r="K65" s="13"/>
      <c r="L65" s="44"/>
      <c r="M65" s="43">
        <v>1988685</v>
      </c>
      <c r="N65" s="43">
        <f t="shared" si="2"/>
        <v>712803.73</v>
      </c>
      <c r="O65" s="5"/>
      <c r="Q65" t="str">
        <f>IF(C65=H65+J65,"",C65-H65-J65)</f>
        <v/>
      </c>
    </row>
    <row r="66" spans="1:21" hidden="1">
      <c r="A66" s="1" t="s">
        <v>84</v>
      </c>
      <c r="B66" s="2" t="s">
        <v>51</v>
      </c>
      <c r="C66" s="27">
        <v>3159722.33</v>
      </c>
      <c r="D66" s="2">
        <v>2021</v>
      </c>
      <c r="E66" s="25"/>
      <c r="F66" s="56" t="s">
        <v>85</v>
      </c>
      <c r="G66" s="31"/>
      <c r="H66" s="26">
        <v>2709799.25</v>
      </c>
      <c r="I66" s="26"/>
      <c r="J66" s="26">
        <f>C66-H66</f>
        <v>449923.08000000007</v>
      </c>
      <c r="K66" s="13"/>
      <c r="L66" s="44"/>
      <c r="M66" s="43">
        <v>2172232</v>
      </c>
      <c r="N66" s="43">
        <f t="shared" si="2"/>
        <v>537567.25</v>
      </c>
      <c r="O66" s="5"/>
      <c r="Q66" t="str">
        <f>IF(C66=H66+J66,"",C66-H66-J66)</f>
        <v/>
      </c>
    </row>
    <row r="67" spans="1:21" hidden="1">
      <c r="A67" s="1" t="s">
        <v>86</v>
      </c>
      <c r="B67" s="2" t="s">
        <v>51</v>
      </c>
      <c r="C67" s="27">
        <v>3196573.1399999997</v>
      </c>
      <c r="D67" s="2">
        <v>2022</v>
      </c>
      <c r="E67" s="25"/>
      <c r="F67" s="56">
        <v>26.67</v>
      </c>
      <c r="G67" s="30"/>
      <c r="H67" s="26">
        <v>2552414.8200000003</v>
      </c>
      <c r="I67" s="26"/>
      <c r="J67" s="26">
        <f>C67-H67</f>
        <v>644158.31999999937</v>
      </c>
      <c r="K67" s="13"/>
      <c r="L67" s="44"/>
      <c r="M67" s="43">
        <v>1968136</v>
      </c>
      <c r="N67" s="43">
        <f t="shared" si="2"/>
        <v>584278.8200000003</v>
      </c>
      <c r="O67" s="5"/>
      <c r="Q67" t="str">
        <f>IF(C67=H67+J67,"",C67-H67-J67)</f>
        <v/>
      </c>
    </row>
    <row r="68" spans="1:21" hidden="1">
      <c r="B68" s="39"/>
      <c r="C68" s="44"/>
      <c r="D68" s="39"/>
      <c r="E68" s="5"/>
      <c r="F68" s="5"/>
    </row>
    <row r="69" spans="1:21" hidden="1">
      <c r="B69" s="39"/>
      <c r="C69" s="9">
        <f>IF(SUM(C37:C67)=SUM(C70:C74),SUM(C70:C74),"ERRO")</f>
        <v>82948147.019999996</v>
      </c>
      <c r="D69" s="39" t="s">
        <v>40</v>
      </c>
      <c r="E69" s="5"/>
      <c r="F69" s="15">
        <f>SUM(F37:F67)</f>
        <v>582.97500000000002</v>
      </c>
      <c r="G69" s="5" t="s">
        <v>40</v>
      </c>
      <c r="H69" s="15">
        <f>SUM(H37:H67)</f>
        <v>67230078.4454225</v>
      </c>
      <c r="I69" s="15"/>
      <c r="J69" s="15">
        <f>SUM(J37:J67)</f>
        <v>15718068.574577488</v>
      </c>
      <c r="K69" s="15"/>
      <c r="L69" s="15"/>
      <c r="M69" s="15">
        <f>SUM(M37:M67)</f>
        <v>50552081</v>
      </c>
      <c r="N69" s="15">
        <f>SUM(N37:N67)</f>
        <v>16677997.44542251</v>
      </c>
      <c r="O69" s="15"/>
    </row>
    <row r="70" spans="1:21" hidden="1">
      <c r="A70" s="24" t="s">
        <v>41</v>
      </c>
      <c r="B70" s="15">
        <f>C70</f>
        <v>28491550.339999996</v>
      </c>
      <c r="C70" s="44">
        <f>SUMIF($D$37:$D$67,"=2018",$C$37:$C$67)</f>
        <v>28491550.339999996</v>
      </c>
      <c r="D70" s="39" t="s">
        <v>42</v>
      </c>
      <c r="E70" s="15">
        <f>F70</f>
        <v>217.31</v>
      </c>
      <c r="F70" s="57">
        <f>SUMIF($D$37:$D$67,"=2018",$F$37:$F$67)</f>
        <v>217.31</v>
      </c>
      <c r="G70" s="5" t="s">
        <v>42</v>
      </c>
      <c r="H70" s="10">
        <f>SUMIF($D$37:$D$67,"=2018",H$37:H$67)</f>
        <v>23628365.08725905</v>
      </c>
      <c r="I70" s="10"/>
      <c r="J70" s="10">
        <f>SUMIF($D$37:$D$67,"=2018",J$37:J$67)</f>
        <v>4863185.2527409457</v>
      </c>
      <c r="K70" s="10"/>
      <c r="L70" s="10"/>
      <c r="M70" s="10">
        <f>SUMIF($D$37:$D$67,"=2018",M$37:M$67)</f>
        <v>16881532</v>
      </c>
      <c r="N70" s="10">
        <f>SUMIF($D$37:$D$67,"=2018",N$37:N$67)</f>
        <v>6746833.0872590523</v>
      </c>
      <c r="O70" s="10"/>
    </row>
    <row r="71" spans="1:21" hidden="1">
      <c r="A71" s="12"/>
      <c r="B71" s="39"/>
      <c r="C71" s="44">
        <f>SUMIF($D$37:$D$67,"=2019",$C$37:$C$67)</f>
        <v>5985704.8300000001</v>
      </c>
      <c r="D71" s="39" t="s">
        <v>43</v>
      </c>
      <c r="E71" s="39"/>
      <c r="F71" s="57">
        <f>SUMIF($D$37:$D$67,"=2019",$F$37:$F$67)</f>
        <v>43.965000000000003</v>
      </c>
      <c r="G71" s="5" t="s">
        <v>43</v>
      </c>
      <c r="H71" s="10">
        <f>SUMIF($D$37:$D$67,"=2019",H$37:H$67)</f>
        <v>5068347.4786576852</v>
      </c>
      <c r="I71" s="10"/>
      <c r="J71" s="10">
        <f>SUMIF($D$37:$D$67,"=2019",J$37:J$67)</f>
        <v>917357.35134231439</v>
      </c>
      <c r="K71" s="10"/>
      <c r="L71" s="10"/>
      <c r="M71" s="10">
        <f>SUMIF($D$37:$D$67,"=2019",M$37:M$67)</f>
        <v>3956821</v>
      </c>
      <c r="N71" s="10">
        <f>SUMIF($D$37:$D$67,"=2019",N$37:N$67)</f>
        <v>1111526.4786576852</v>
      </c>
      <c r="O71" s="10"/>
    </row>
    <row r="72" spans="1:21" hidden="1">
      <c r="A72" s="24" t="s">
        <v>44</v>
      </c>
      <c r="B72" s="15">
        <f>SUM(C71:C72)</f>
        <v>21193187.039999999</v>
      </c>
      <c r="C72" s="44">
        <f>SUMIF($D$37:$D$67,"=2020",$C$37:$C$67)</f>
        <v>15207482.210000001</v>
      </c>
      <c r="D72" s="39" t="s">
        <v>45</v>
      </c>
      <c r="E72" s="15">
        <f>SUM(F71:F72)</f>
        <v>148.97500000000002</v>
      </c>
      <c r="F72" s="57">
        <f>SUMIF($D$37:$D$67,"=2020",$F$37:$F$67)</f>
        <v>105.01</v>
      </c>
      <c r="G72" s="5" t="s">
        <v>45</v>
      </c>
      <c r="H72" s="10">
        <f>SUMIF($D$37:$D$67,"=2020",H$37:H$67)</f>
        <v>11966339.589505769</v>
      </c>
      <c r="I72" s="10"/>
      <c r="J72" s="10">
        <f>SUMIF($D$37:$D$67,"=2020",J$37:J$67)</f>
        <v>3241142.6204942307</v>
      </c>
      <c r="K72" s="10"/>
      <c r="L72" s="10"/>
      <c r="M72" s="10">
        <f>SUMIF($D$37:$D$67,"=2020",M$37:M$67)</f>
        <v>9675582</v>
      </c>
      <c r="N72" s="10">
        <f>SUMIF($D$37:$D$67,"=2020",N$37:N$67)</f>
        <v>2290757.5895057693</v>
      </c>
      <c r="O72" s="10"/>
    </row>
    <row r="73" spans="1:21" hidden="1">
      <c r="A73" s="12"/>
      <c r="B73" s="39"/>
      <c r="C73" s="44">
        <f>SUMIF($D$37:$D$67,"=2021",$C$37:$C$67)</f>
        <v>16929676.560000002</v>
      </c>
      <c r="D73" s="39" t="s">
        <v>46</v>
      </c>
      <c r="E73" s="39"/>
      <c r="F73" s="57">
        <f>SUMIF($D$37:$D$67,"=2021",$F$37:$F$67)</f>
        <v>83.34</v>
      </c>
      <c r="G73" s="5" t="s">
        <v>46</v>
      </c>
      <c r="H73" s="10">
        <f>SUMIF($D$37:$D$67,"=2021",H$37:H$67)</f>
        <v>13725149.630000001</v>
      </c>
      <c r="I73" s="10"/>
      <c r="J73" s="10">
        <f>SUMIF($D$37:$D$67,"=2021",J$37:J$67)</f>
        <v>3204526.9299999997</v>
      </c>
      <c r="K73" s="10"/>
      <c r="L73" s="10"/>
      <c r="M73" s="10">
        <f>SUMIF($D$37:$D$67,"=2021",M$37:M$67)</f>
        <v>10176917</v>
      </c>
      <c r="N73" s="10">
        <f>SUMIF($D$37:$D$67,"=2021",N$37:N$67)</f>
        <v>3548232.6300000004</v>
      </c>
      <c r="O73" s="10"/>
    </row>
    <row r="74" spans="1:21" hidden="1">
      <c r="A74" s="24" t="s">
        <v>47</v>
      </c>
      <c r="B74" s="15">
        <f>SUM(C73:C74)</f>
        <v>33263409.640000001</v>
      </c>
      <c r="C74" s="44">
        <f>SUMIF($D$37:$D$67,"=2022",$C$37:$C$67)</f>
        <v>16333733.079999998</v>
      </c>
      <c r="D74" s="39" t="s">
        <v>48</v>
      </c>
      <c r="E74" s="15">
        <f>SUM(F73:F74)</f>
        <v>216.69000000000003</v>
      </c>
      <c r="F74" s="57">
        <f>SUMIF($D$37:$D$67,"=2022",$F$37:$F$67)</f>
        <v>133.35000000000002</v>
      </c>
      <c r="G74" s="5" t="s">
        <v>48</v>
      </c>
      <c r="H74" s="10">
        <f>SUMIF($D$37:$D$67,"=2022",H$37:H$67)</f>
        <v>12841876.66</v>
      </c>
      <c r="I74" s="10"/>
      <c r="J74" s="10">
        <f>SUMIF($D$37:$D$67,"=2022",J$37:J$67)</f>
        <v>3491856.4199999985</v>
      </c>
      <c r="K74" s="10"/>
      <c r="L74" s="10"/>
      <c r="M74" s="10">
        <f>SUMIF($D$37:$D$67,"=2022",M$37:M$67)</f>
        <v>9861229</v>
      </c>
      <c r="N74" s="10">
        <f>SUMIF($D$37:$D$67,"=2022",N$37:N$67)</f>
        <v>2980647.6600000006</v>
      </c>
      <c r="O74" s="10"/>
    </row>
    <row r="75" spans="1:21">
      <c r="B75" s="39"/>
      <c r="C75" s="5"/>
      <c r="D75" s="39"/>
      <c r="E75" s="5"/>
      <c r="F75" s="39" t="str">
        <f>IF(SUM(F70:F74)&lt;&gt;F69,"Erro soma","OK")</f>
        <v>OK</v>
      </c>
      <c r="H75" s="11" t="str">
        <f t="shared" ref="H75:J75" si="3">IF(SUM(H70:H74)&lt;&gt;H69,"Erro soma","OK")</f>
        <v>OK</v>
      </c>
      <c r="I75" s="11"/>
      <c r="J75" s="11" t="str">
        <f t="shared" si="3"/>
        <v>OK</v>
      </c>
      <c r="K75" s="11"/>
      <c r="L75" s="11"/>
      <c r="M75" s="11" t="str">
        <f t="shared" ref="M75:N75" si="4">IF(SUM(M70:M74)&lt;&gt;M69,"Erro soma","OK")</f>
        <v>OK</v>
      </c>
      <c r="N75" s="11" t="str">
        <f t="shared" si="4"/>
        <v>OK</v>
      </c>
      <c r="O75" s="11"/>
    </row>
    <row r="76" spans="1:21" ht="15.75">
      <c r="A76" s="6" t="s">
        <v>87</v>
      </c>
      <c r="B76" s="39"/>
      <c r="C76" s="5"/>
      <c r="D76" s="39"/>
      <c r="E76" s="5"/>
      <c r="F76" s="5"/>
    </row>
    <row r="77" spans="1:21" ht="38.25">
      <c r="A77" s="3" t="s">
        <v>3</v>
      </c>
      <c r="B77" s="4" t="s">
        <v>4</v>
      </c>
      <c r="C77" s="4" t="s">
        <v>5</v>
      </c>
      <c r="D77" s="3" t="s">
        <v>6</v>
      </c>
      <c r="E77" s="4" t="s">
        <v>7</v>
      </c>
      <c r="F77" s="3" t="s">
        <v>8</v>
      </c>
      <c r="G77" s="3" t="s">
        <v>9</v>
      </c>
      <c r="H77" s="4" t="s">
        <v>10</v>
      </c>
      <c r="I77" s="4"/>
      <c r="J77" s="4" t="s">
        <v>12</v>
      </c>
      <c r="K77" s="4" t="s">
        <v>13</v>
      </c>
      <c r="L77" s="4" t="s">
        <v>88</v>
      </c>
      <c r="M77" s="4" t="s">
        <v>89</v>
      </c>
      <c r="N77" s="4" t="s">
        <v>90</v>
      </c>
      <c r="O77" s="4" t="s">
        <v>91</v>
      </c>
      <c r="P77" s="35" t="s">
        <v>92</v>
      </c>
      <c r="Q77" s="45"/>
      <c r="S77" s="38" t="s">
        <v>93</v>
      </c>
      <c r="U77" s="38" t="s">
        <v>94</v>
      </c>
    </row>
    <row r="78" spans="1:21" hidden="1">
      <c r="A78" s="1" t="s">
        <v>95</v>
      </c>
      <c r="B78" s="2" t="s">
        <v>96</v>
      </c>
      <c r="C78" s="27">
        <v>169735.86</v>
      </c>
      <c r="D78" s="22">
        <v>2018</v>
      </c>
      <c r="E78" s="19">
        <v>3.5</v>
      </c>
      <c r="F78" s="17"/>
      <c r="G78" s="30"/>
      <c r="H78" s="26">
        <v>121325.38</v>
      </c>
      <c r="I78" s="26"/>
      <c r="J78" s="26">
        <f>C78-H78</f>
        <v>48410.479999999981</v>
      </c>
      <c r="K78" s="13"/>
      <c r="L78" s="46">
        <v>0</v>
      </c>
      <c r="M78" s="43">
        <v>96500</v>
      </c>
      <c r="N78" s="43">
        <v>18831.192000000003</v>
      </c>
      <c r="O78" s="43">
        <v>5994.1917000000012</v>
      </c>
      <c r="P78" s="11">
        <f>IF(E78&gt;=10,1,0)</f>
        <v>0</v>
      </c>
      <c r="Q78" s="47" t="s">
        <v>97</v>
      </c>
      <c r="R78" s="39"/>
      <c r="S78" s="26">
        <f>IF(Q78="",0,IF(P78=1,"",IF($Q78="EAS",60000+250000,IF($Q78="EIA",300000+350000,"Erro!"))))</f>
        <v>310000</v>
      </c>
      <c r="U78" s="26" t="str">
        <f>IF(Q78="",0,IF(P78=0,"",IF($Q78="EAS",80000+250000,IF($Q78="EIA",400000+350000,"Erro!"))))</f>
        <v/>
      </c>
    </row>
    <row r="79" spans="1:21" hidden="1">
      <c r="A79" s="1" t="s">
        <v>98</v>
      </c>
      <c r="B79" s="2" t="s">
        <v>96</v>
      </c>
      <c r="C79" s="27">
        <v>5032620.5999999996</v>
      </c>
      <c r="D79" s="22">
        <v>2018</v>
      </c>
      <c r="E79" s="19">
        <v>7</v>
      </c>
      <c r="F79" s="17"/>
      <c r="G79" s="30"/>
      <c r="H79" s="26">
        <v>3167694.83</v>
      </c>
      <c r="I79" s="26"/>
      <c r="J79" s="26">
        <f>C79-H79</f>
        <v>1864925.7699999996</v>
      </c>
      <c r="K79" s="13"/>
      <c r="L79" s="46">
        <v>0</v>
      </c>
      <c r="M79" s="43">
        <v>2555421.69</v>
      </c>
      <c r="N79" s="43">
        <v>425021.27710843371</v>
      </c>
      <c r="O79" s="43">
        <v>187251.8634</v>
      </c>
      <c r="P79" s="11">
        <f t="shared" ref="P79:P106" si="5">IF(E79&gt;=10,1,0)</f>
        <v>0</v>
      </c>
      <c r="Q79" s="47" t="s">
        <v>97</v>
      </c>
      <c r="R79" s="39"/>
      <c r="S79" s="26">
        <f t="shared" ref="S79:S106" si="6">IF(Q79="",0,IF(P79=1,"",IF($Q79="EAS",60000+250000,IF($Q79="EIA",300000+350000,"Erro!"))))</f>
        <v>310000</v>
      </c>
      <c r="U79" s="26" t="str">
        <f t="shared" ref="U79:U106" si="7">IF(Q79="",0,IF(P79=0,"",IF($Q79="EAS",80000+250000,IF($Q79="EIA",400000+350000,"Erro!"))))</f>
        <v/>
      </c>
    </row>
    <row r="80" spans="1:21" hidden="1">
      <c r="A80" s="1" t="s">
        <v>99</v>
      </c>
      <c r="B80" s="2" t="s">
        <v>96</v>
      </c>
      <c r="C80" s="27">
        <v>1131572.4099999999</v>
      </c>
      <c r="D80" s="22">
        <v>2018</v>
      </c>
      <c r="E80" s="19">
        <v>1</v>
      </c>
      <c r="F80" s="17"/>
      <c r="G80" s="30"/>
      <c r="H80" s="26">
        <v>586395.91</v>
      </c>
      <c r="I80" s="26"/>
      <c r="J80" s="26">
        <f>C80-H80</f>
        <v>545176.49999999988</v>
      </c>
      <c r="K80" s="13"/>
      <c r="L80" s="46">
        <v>0</v>
      </c>
      <c r="M80" s="43">
        <v>482500</v>
      </c>
      <c r="N80" s="43">
        <v>50395.380000000005</v>
      </c>
      <c r="O80" s="43">
        <v>53500.532399999996</v>
      </c>
      <c r="P80" s="11">
        <f t="shared" si="5"/>
        <v>0</v>
      </c>
      <c r="Q80" s="47" t="s">
        <v>97</v>
      </c>
      <c r="S80" s="26">
        <f t="shared" si="6"/>
        <v>310000</v>
      </c>
      <c r="U80" s="26" t="str">
        <f t="shared" si="7"/>
        <v/>
      </c>
    </row>
    <row r="81" spans="1:21">
      <c r="A81" s="54" t="s">
        <v>100</v>
      </c>
      <c r="B81" s="2" t="s">
        <v>96</v>
      </c>
      <c r="C81" s="27">
        <v>11493391.51</v>
      </c>
      <c r="D81" s="22">
        <v>2018</v>
      </c>
      <c r="E81" s="19">
        <v>19.2</v>
      </c>
      <c r="F81" s="17"/>
      <c r="G81" s="31" t="s">
        <v>101</v>
      </c>
      <c r="H81" s="34">
        <v>5287897.87</v>
      </c>
      <c r="I81" s="26"/>
      <c r="J81" s="34">
        <f>C81-H81</f>
        <v>6205493.6399999997</v>
      </c>
      <c r="K81" s="28" t="s">
        <v>21</v>
      </c>
      <c r="L81" s="46">
        <v>370739.04668034299</v>
      </c>
      <c r="M81" s="43">
        <v>4586963</v>
      </c>
      <c r="N81" s="43">
        <v>344612.22</v>
      </c>
      <c r="O81" s="43">
        <v>356322.65</v>
      </c>
      <c r="P81" s="11">
        <f t="shared" si="5"/>
        <v>1</v>
      </c>
      <c r="Q81" s="47" t="s">
        <v>97</v>
      </c>
      <c r="S81" s="26" t="str">
        <f t="shared" si="6"/>
        <v/>
      </c>
      <c r="U81" s="26">
        <f t="shared" si="7"/>
        <v>330000</v>
      </c>
    </row>
    <row r="82" spans="1:21" hidden="1">
      <c r="A82" s="1" t="s">
        <v>102</v>
      </c>
      <c r="B82" s="2" t="s">
        <v>96</v>
      </c>
      <c r="C82" s="27">
        <v>3624993.75</v>
      </c>
      <c r="D82" s="22">
        <v>2019</v>
      </c>
      <c r="E82" s="19">
        <v>6</v>
      </c>
      <c r="F82" s="17"/>
      <c r="G82" s="30"/>
      <c r="H82" s="34">
        <v>952842.85</v>
      </c>
      <c r="I82" s="26"/>
      <c r="J82" s="34">
        <f>C82-H82</f>
        <v>2672150.9</v>
      </c>
      <c r="K82" s="13"/>
      <c r="L82" s="46">
        <v>221629.60933474617</v>
      </c>
      <c r="M82" s="43">
        <v>297839.51</v>
      </c>
      <c r="N82" s="43">
        <v>174362.88888888891</v>
      </c>
      <c r="O82" s="43">
        <v>480640.45050000004</v>
      </c>
      <c r="P82" s="11">
        <f t="shared" si="5"/>
        <v>0</v>
      </c>
      <c r="Q82" s="47" t="s">
        <v>97</v>
      </c>
      <c r="S82" s="26">
        <f t="shared" si="6"/>
        <v>310000</v>
      </c>
      <c r="U82" s="26" t="str">
        <f t="shared" si="7"/>
        <v/>
      </c>
    </row>
    <row r="83" spans="1:21" hidden="1">
      <c r="A83" s="1" t="s">
        <v>103</v>
      </c>
      <c r="B83" s="2" t="s">
        <v>96</v>
      </c>
      <c r="C83" s="27">
        <v>6829985.0999999996</v>
      </c>
      <c r="D83" s="22">
        <v>2019</v>
      </c>
      <c r="E83" s="19">
        <v>9.5</v>
      </c>
      <c r="F83" s="17"/>
      <c r="G83" s="30"/>
      <c r="H83" s="26">
        <v>4477091.1900000004</v>
      </c>
      <c r="I83" s="26"/>
      <c r="J83" s="26">
        <f>C83-H83</f>
        <v>2352893.9099999992</v>
      </c>
      <c r="K83" s="13"/>
      <c r="L83" s="46">
        <v>0</v>
      </c>
      <c r="M83" s="43">
        <v>3620754.72</v>
      </c>
      <c r="N83" s="43">
        <v>602208.94339622639</v>
      </c>
      <c r="O83" s="43">
        <v>254127.52890000006</v>
      </c>
      <c r="P83" s="11">
        <f t="shared" si="5"/>
        <v>0</v>
      </c>
      <c r="Q83" s="47" t="s">
        <v>97</v>
      </c>
      <c r="S83" s="26">
        <f t="shared" si="6"/>
        <v>310000</v>
      </c>
      <c r="U83" s="26" t="str">
        <f t="shared" si="7"/>
        <v/>
      </c>
    </row>
    <row r="84" spans="1:21" hidden="1">
      <c r="A84" s="55" t="s">
        <v>104</v>
      </c>
      <c r="B84" s="2" t="s">
        <v>96</v>
      </c>
      <c r="C84" s="27">
        <v>18082088.449999999</v>
      </c>
      <c r="D84" s="22">
        <v>2019</v>
      </c>
      <c r="E84" s="19">
        <v>35</v>
      </c>
      <c r="F84" s="17"/>
      <c r="G84" s="30"/>
      <c r="H84" s="34">
        <v>4321609.0199999996</v>
      </c>
      <c r="I84" s="26"/>
      <c r="J84" s="34">
        <f>C84-H84</f>
        <v>13760479.43</v>
      </c>
      <c r="K84" s="13"/>
      <c r="L84" s="46">
        <v>1236693.220087884</v>
      </c>
      <c r="M84" s="43">
        <v>868500</v>
      </c>
      <c r="N84" s="43">
        <v>561053.04</v>
      </c>
      <c r="O84" s="43">
        <v>2892055.9815000007</v>
      </c>
      <c r="P84" s="11">
        <f t="shared" si="5"/>
        <v>1</v>
      </c>
      <c r="Q84" s="47" t="s">
        <v>105</v>
      </c>
      <c r="S84" s="26" t="str">
        <f t="shared" si="6"/>
        <v/>
      </c>
      <c r="U84" s="26">
        <f t="shared" si="7"/>
        <v>750000</v>
      </c>
    </row>
    <row r="85" spans="1:21">
      <c r="A85" s="54" t="s">
        <v>106</v>
      </c>
      <c r="B85" s="2" t="s">
        <v>96</v>
      </c>
      <c r="C85" s="27">
        <v>5478128.5899999999</v>
      </c>
      <c r="D85" s="22">
        <v>2019</v>
      </c>
      <c r="E85" s="19">
        <v>12.8</v>
      </c>
      <c r="F85" s="17"/>
      <c r="G85" s="30"/>
      <c r="H85" s="34">
        <v>1151106.4099999999</v>
      </c>
      <c r="I85" s="26"/>
      <c r="J85" s="34">
        <f>C85-H85</f>
        <v>4327022.18</v>
      </c>
      <c r="K85" s="13"/>
      <c r="L85" s="46">
        <v>359119.46530884417</v>
      </c>
      <c r="M85" s="43">
        <v>201328.9</v>
      </c>
      <c r="N85" s="43">
        <v>214305.93488372097</v>
      </c>
      <c r="O85" s="43">
        <v>735471.57600000012</v>
      </c>
      <c r="P85" s="11">
        <f t="shared" si="5"/>
        <v>1</v>
      </c>
      <c r="Q85" s="47" t="s">
        <v>105</v>
      </c>
      <c r="S85" s="26" t="str">
        <f t="shared" si="6"/>
        <v/>
      </c>
      <c r="U85" s="26">
        <f t="shared" si="7"/>
        <v>750000</v>
      </c>
    </row>
    <row r="86" spans="1:21" hidden="1">
      <c r="A86" s="1" t="s">
        <v>107</v>
      </c>
      <c r="B86" s="2" t="s">
        <v>96</v>
      </c>
      <c r="C86" s="27">
        <v>5834605.9299999997</v>
      </c>
      <c r="D86" s="22">
        <v>2019</v>
      </c>
      <c r="E86" s="19">
        <v>11.7</v>
      </c>
      <c r="F86" s="17"/>
      <c r="G86" s="30"/>
      <c r="H86" s="34">
        <v>1770534.72</v>
      </c>
      <c r="I86" s="26"/>
      <c r="J86" s="34">
        <f>C86-H86</f>
        <v>4064071.21</v>
      </c>
      <c r="K86" s="13"/>
      <c r="L86" s="46">
        <v>518613.28584330605</v>
      </c>
      <c r="M86" s="43">
        <v>0</v>
      </c>
      <c r="N86" s="43">
        <v>739345.45771812089</v>
      </c>
      <c r="O86" s="43">
        <v>1031189.26365</v>
      </c>
      <c r="P86" s="11">
        <f t="shared" si="5"/>
        <v>1</v>
      </c>
      <c r="Q86" s="47" t="s">
        <v>97</v>
      </c>
      <c r="S86" s="26" t="str">
        <f t="shared" si="6"/>
        <v/>
      </c>
      <c r="U86" s="26">
        <f t="shared" si="7"/>
        <v>330000</v>
      </c>
    </row>
    <row r="87" spans="1:21">
      <c r="A87" s="54" t="s">
        <v>108</v>
      </c>
      <c r="B87" s="2" t="s">
        <v>96</v>
      </c>
      <c r="C87" s="27">
        <v>17633890.379999999</v>
      </c>
      <c r="D87" s="22">
        <v>2019</v>
      </c>
      <c r="E87" s="19">
        <v>23</v>
      </c>
      <c r="F87" s="17"/>
      <c r="G87" s="30"/>
      <c r="H87" s="29">
        <v>5278953.6100000003</v>
      </c>
      <c r="I87" s="26"/>
      <c r="J87" s="29">
        <f>C87-H87</f>
        <v>12354936.77</v>
      </c>
      <c r="K87" s="13"/>
      <c r="L87" s="46">
        <v>834869.03086140612</v>
      </c>
      <c r="M87" s="43">
        <v>3774291</v>
      </c>
      <c r="N87" s="43">
        <v>360617.61</v>
      </c>
      <c r="O87" s="43">
        <v>1144045</v>
      </c>
      <c r="P87" s="11">
        <f t="shared" si="5"/>
        <v>1</v>
      </c>
      <c r="Q87" s="47" t="s">
        <v>105</v>
      </c>
      <c r="S87" s="26" t="str">
        <f t="shared" si="6"/>
        <v/>
      </c>
      <c r="U87" s="26">
        <f t="shared" si="7"/>
        <v>750000</v>
      </c>
    </row>
    <row r="88" spans="1:21" hidden="1">
      <c r="A88" s="1" t="s">
        <v>109</v>
      </c>
      <c r="B88" s="2" t="s">
        <v>96</v>
      </c>
      <c r="C88" s="27">
        <v>1608615.45</v>
      </c>
      <c r="D88" s="22">
        <v>2019</v>
      </c>
      <c r="E88" s="19">
        <v>2.2999999999999998</v>
      </c>
      <c r="F88" s="17"/>
      <c r="G88" s="30"/>
      <c r="H88" s="26">
        <v>996978.04</v>
      </c>
      <c r="I88" s="26"/>
      <c r="J88" s="26">
        <f>C88-H88</f>
        <v>611637.40999999992</v>
      </c>
      <c r="K88" s="13"/>
      <c r="L88" s="46">
        <v>0</v>
      </c>
      <c r="M88" s="43">
        <v>876603.77</v>
      </c>
      <c r="N88" s="43">
        <v>74418.8</v>
      </c>
      <c r="O88" s="43">
        <v>45955.469700000001</v>
      </c>
      <c r="P88" s="11">
        <f t="shared" si="5"/>
        <v>0</v>
      </c>
      <c r="Q88" s="47" t="s">
        <v>97</v>
      </c>
      <c r="S88" s="26">
        <f t="shared" si="6"/>
        <v>310000</v>
      </c>
      <c r="U88" s="26" t="str">
        <f t="shared" si="7"/>
        <v/>
      </c>
    </row>
    <row r="89" spans="1:21" hidden="1">
      <c r="A89" s="1" t="s">
        <v>110</v>
      </c>
      <c r="B89" s="2" t="s">
        <v>96</v>
      </c>
      <c r="C89" s="27">
        <v>482750.22</v>
      </c>
      <c r="D89" s="22">
        <v>2019</v>
      </c>
      <c r="E89" s="19">
        <v>1</v>
      </c>
      <c r="F89" s="17"/>
      <c r="G89" s="30"/>
      <c r="H89" s="34">
        <v>113858.85</v>
      </c>
      <c r="I89" s="26"/>
      <c r="J89" s="34">
        <f>C89-H89</f>
        <v>368891.37</v>
      </c>
      <c r="K89" s="13"/>
      <c r="L89" s="46">
        <v>42909.611884298953</v>
      </c>
      <c r="M89" s="43">
        <v>0</v>
      </c>
      <c r="N89" s="43">
        <v>25723.02</v>
      </c>
      <c r="O89" s="43">
        <v>88135.834499999997</v>
      </c>
      <c r="P89" s="11">
        <f t="shared" si="5"/>
        <v>0</v>
      </c>
      <c r="Q89" s="47" t="s">
        <v>97</v>
      </c>
      <c r="S89" s="26">
        <f t="shared" si="6"/>
        <v>310000</v>
      </c>
      <c r="U89" s="26" t="str">
        <f t="shared" si="7"/>
        <v/>
      </c>
    </row>
    <row r="90" spans="1:21" hidden="1">
      <c r="A90" s="1" t="s">
        <v>111</v>
      </c>
      <c r="B90" s="2" t="s">
        <v>96</v>
      </c>
      <c r="C90" s="27">
        <v>3681597.95</v>
      </c>
      <c r="D90" s="22">
        <v>2019</v>
      </c>
      <c r="E90" s="25">
        <v>8</v>
      </c>
      <c r="F90" s="18"/>
      <c r="G90" s="33"/>
      <c r="H90" s="34">
        <v>1300372.82</v>
      </c>
      <c r="I90" s="26"/>
      <c r="J90" s="34">
        <f>C90-H90</f>
        <v>2381225.13</v>
      </c>
      <c r="K90" s="13"/>
      <c r="L90" s="46">
        <v>327241.56751907704</v>
      </c>
      <c r="M90" s="43">
        <v>0</v>
      </c>
      <c r="N90" s="43">
        <v>290045.35251798556</v>
      </c>
      <c r="O90" s="43">
        <v>1010327.4720000002</v>
      </c>
      <c r="P90" s="11">
        <f t="shared" si="5"/>
        <v>0</v>
      </c>
      <c r="Q90" s="47" t="s">
        <v>97</v>
      </c>
      <c r="S90" s="26">
        <f t="shared" si="6"/>
        <v>310000</v>
      </c>
      <c r="U90" s="26" t="str">
        <f t="shared" si="7"/>
        <v/>
      </c>
    </row>
    <row r="91" spans="1:21" hidden="1">
      <c r="A91" s="1" t="s">
        <v>112</v>
      </c>
      <c r="B91" s="2" t="s">
        <v>96</v>
      </c>
      <c r="C91" s="27">
        <v>565786.21</v>
      </c>
      <c r="D91" s="22">
        <v>2020</v>
      </c>
      <c r="E91" s="19">
        <v>0.5</v>
      </c>
      <c r="F91" s="17"/>
      <c r="G91" s="30"/>
      <c r="H91" s="26">
        <v>461295.62</v>
      </c>
      <c r="I91" s="26"/>
      <c r="J91" s="26">
        <f>C91-H91</f>
        <v>104490.58999999997</v>
      </c>
      <c r="K91" s="13"/>
      <c r="L91" s="46">
        <v>0</v>
      </c>
      <c r="M91" s="43">
        <v>402083.33</v>
      </c>
      <c r="N91" s="43">
        <v>39231.65</v>
      </c>
      <c r="O91" s="43">
        <v>19980.639000000003</v>
      </c>
      <c r="P91" s="11">
        <f t="shared" si="5"/>
        <v>0</v>
      </c>
      <c r="Q91" s="47" t="s">
        <v>97</v>
      </c>
      <c r="S91" s="26">
        <f t="shared" si="6"/>
        <v>310000</v>
      </c>
      <c r="U91" s="26" t="str">
        <f t="shared" si="7"/>
        <v/>
      </c>
    </row>
    <row r="92" spans="1:21" hidden="1">
      <c r="A92" s="1" t="s">
        <v>113</v>
      </c>
      <c r="B92" s="2" t="s">
        <v>96</v>
      </c>
      <c r="C92" s="27">
        <v>2491682.42</v>
      </c>
      <c r="D92" s="22">
        <v>2020</v>
      </c>
      <c r="E92" s="19">
        <v>3</v>
      </c>
      <c r="F92" s="17"/>
      <c r="G92" s="30"/>
      <c r="H92" s="34">
        <v>1712527.16</v>
      </c>
      <c r="I92" s="26"/>
      <c r="J92" s="34">
        <f>C92-H92</f>
        <v>779155.26</v>
      </c>
      <c r="K92" s="13"/>
      <c r="L92" s="46">
        <v>68175.326566474381</v>
      </c>
      <c r="M92" s="43">
        <v>1258695.6499999999</v>
      </c>
      <c r="N92" s="43">
        <v>184144.30625662775</v>
      </c>
      <c r="O92" s="43">
        <v>269687.19960000005</v>
      </c>
      <c r="P92" s="11">
        <f t="shared" si="5"/>
        <v>0</v>
      </c>
      <c r="Q92" s="47" t="s">
        <v>97</v>
      </c>
      <c r="S92" s="26">
        <f t="shared" si="6"/>
        <v>310000</v>
      </c>
      <c r="U92" s="26" t="str">
        <f t="shared" si="7"/>
        <v/>
      </c>
    </row>
    <row r="93" spans="1:21" hidden="1">
      <c r="A93" s="1" t="s">
        <v>114</v>
      </c>
      <c r="B93" s="2" t="s">
        <v>96</v>
      </c>
      <c r="C93" s="27">
        <v>5581943.2400000002</v>
      </c>
      <c r="D93" s="22">
        <v>2020</v>
      </c>
      <c r="E93" s="20">
        <v>15</v>
      </c>
      <c r="F93" s="17"/>
      <c r="G93" s="30"/>
      <c r="H93" s="34">
        <v>896408.66</v>
      </c>
      <c r="I93" s="26"/>
      <c r="J93" s="34">
        <f>C93-H93</f>
        <v>4685534.58</v>
      </c>
      <c r="K93" s="13"/>
      <c r="L93" s="46">
        <v>424964.71009220579</v>
      </c>
      <c r="M93" s="43">
        <v>0</v>
      </c>
      <c r="N93" s="43">
        <v>235389.9</v>
      </c>
      <c r="O93" s="43">
        <v>661018.75875000004</v>
      </c>
      <c r="P93" s="11">
        <f t="shared" si="5"/>
        <v>1</v>
      </c>
      <c r="Q93" s="47" t="s">
        <v>97</v>
      </c>
      <c r="S93" s="26" t="str">
        <f t="shared" si="6"/>
        <v/>
      </c>
      <c r="U93" s="26">
        <f t="shared" si="7"/>
        <v>330000</v>
      </c>
    </row>
    <row r="94" spans="1:21" hidden="1">
      <c r="A94" s="1" t="s">
        <v>115</v>
      </c>
      <c r="B94" s="2" t="s">
        <v>96</v>
      </c>
      <c r="C94" s="27">
        <v>7226897.9199999999</v>
      </c>
      <c r="D94" s="22">
        <v>2020</v>
      </c>
      <c r="E94" s="19">
        <v>15</v>
      </c>
      <c r="F94" s="17"/>
      <c r="G94" s="30"/>
      <c r="H94" s="34">
        <v>2484559.2200000002</v>
      </c>
      <c r="I94" s="26"/>
      <c r="J94" s="34">
        <f>C94-H94</f>
        <v>4742338.6999999993</v>
      </c>
      <c r="K94" s="13"/>
      <c r="L94" s="46">
        <v>326895.93084015825</v>
      </c>
      <c r="M94" s="43">
        <v>1594736.84</v>
      </c>
      <c r="N94" s="43">
        <v>349240.00589836668</v>
      </c>
      <c r="O94" s="43">
        <v>540582.36750000005</v>
      </c>
      <c r="P94" s="11">
        <f t="shared" si="5"/>
        <v>1</v>
      </c>
      <c r="Q94" s="47" t="s">
        <v>105</v>
      </c>
      <c r="S94" s="26" t="str">
        <f t="shared" si="6"/>
        <v/>
      </c>
      <c r="U94" s="26">
        <f t="shared" si="7"/>
        <v>750000</v>
      </c>
    </row>
    <row r="95" spans="1:21" hidden="1">
      <c r="A95" s="1" t="s">
        <v>116</v>
      </c>
      <c r="B95" s="2" t="s">
        <v>96</v>
      </c>
      <c r="C95" s="27">
        <v>5832926.6600000001</v>
      </c>
      <c r="D95" s="22">
        <v>2020</v>
      </c>
      <c r="E95" s="19">
        <v>14</v>
      </c>
      <c r="F95" s="17"/>
      <c r="G95" s="30"/>
      <c r="H95" s="34">
        <v>950979.22</v>
      </c>
      <c r="I95" s="26"/>
      <c r="J95" s="34">
        <f>C95-H95</f>
        <v>4881947.4400000004</v>
      </c>
      <c r="K95" s="13"/>
      <c r="L95" s="46">
        <v>392275.11700818996</v>
      </c>
      <c r="M95" s="43">
        <v>183081.57</v>
      </c>
      <c r="N95" s="43">
        <v>199121.3655589124</v>
      </c>
      <c r="O95" s="43">
        <v>568776.28499999992</v>
      </c>
      <c r="P95" s="11">
        <f t="shared" si="5"/>
        <v>1</v>
      </c>
      <c r="Q95" s="47" t="s">
        <v>105</v>
      </c>
      <c r="S95" s="26" t="str">
        <f t="shared" si="6"/>
        <v/>
      </c>
      <c r="U95" s="26">
        <f t="shared" si="7"/>
        <v>750000</v>
      </c>
    </row>
    <row r="96" spans="1:21" hidden="1">
      <c r="A96" s="1" t="s">
        <v>117</v>
      </c>
      <c r="B96" s="2" t="s">
        <v>96</v>
      </c>
      <c r="C96" s="27">
        <v>4457463.96</v>
      </c>
      <c r="D96" s="22">
        <v>2020</v>
      </c>
      <c r="E96" s="19">
        <v>6.2</v>
      </c>
      <c r="F96" s="17"/>
      <c r="G96" s="30"/>
      <c r="H96" s="26">
        <v>2904665.85</v>
      </c>
      <c r="I96" s="26"/>
      <c r="J96" s="26">
        <f>C96-H96</f>
        <v>1552798.1099999999</v>
      </c>
      <c r="K96" s="13"/>
      <c r="L96" s="46">
        <v>0</v>
      </c>
      <c r="M96" s="43">
        <v>2348250</v>
      </c>
      <c r="N96" s="43">
        <v>390564.19500000001</v>
      </c>
      <c r="O96" s="43">
        <v>165851.65044000006</v>
      </c>
      <c r="P96" s="11">
        <f t="shared" si="5"/>
        <v>0</v>
      </c>
      <c r="Q96" s="47" t="s">
        <v>97</v>
      </c>
      <c r="S96" s="26">
        <f t="shared" si="6"/>
        <v>310000</v>
      </c>
      <c r="U96" s="26" t="str">
        <f t="shared" si="7"/>
        <v/>
      </c>
    </row>
    <row r="97" spans="1:23" hidden="1">
      <c r="A97" s="1" t="s">
        <v>118</v>
      </c>
      <c r="B97" s="2" t="s">
        <v>96</v>
      </c>
      <c r="C97" s="27">
        <v>9132692.3599999994</v>
      </c>
      <c r="D97" s="22">
        <v>2020</v>
      </c>
      <c r="E97" s="19">
        <v>22.6</v>
      </c>
      <c r="F97" s="17"/>
      <c r="G97" s="30"/>
      <c r="H97" s="34">
        <v>1405178.62</v>
      </c>
      <c r="I97" s="26"/>
      <c r="J97" s="34">
        <f>C97-H97</f>
        <v>7727513.7399999993</v>
      </c>
      <c r="K97" s="13"/>
      <c r="L97" s="46">
        <v>606616.65317005001</v>
      </c>
      <c r="M97" s="43">
        <v>303000</v>
      </c>
      <c r="N97" s="43">
        <v>185731.70990415334</v>
      </c>
      <c r="O97" s="43">
        <v>916446.91162499995</v>
      </c>
      <c r="P97" s="11">
        <f t="shared" si="5"/>
        <v>1</v>
      </c>
      <c r="Q97" s="47" t="s">
        <v>97</v>
      </c>
      <c r="S97" s="26" t="str">
        <f t="shared" si="6"/>
        <v/>
      </c>
      <c r="U97" s="26">
        <f t="shared" si="7"/>
        <v>330000</v>
      </c>
    </row>
    <row r="98" spans="1:23" hidden="1">
      <c r="A98" s="1" t="s">
        <v>119</v>
      </c>
      <c r="B98" s="2" t="s">
        <v>96</v>
      </c>
      <c r="C98" s="27">
        <v>3889713.36</v>
      </c>
      <c r="D98" s="22">
        <v>2020</v>
      </c>
      <c r="E98" s="19">
        <v>11</v>
      </c>
      <c r="F98" s="17"/>
      <c r="G98" s="30"/>
      <c r="H98" s="34">
        <v>588014.68999999994</v>
      </c>
      <c r="I98" s="26"/>
      <c r="J98" s="34">
        <f>C98-H98</f>
        <v>3301698.67</v>
      </c>
      <c r="K98" s="13"/>
      <c r="L98" s="46">
        <v>345740.06139225647</v>
      </c>
      <c r="M98" s="43">
        <v>0</v>
      </c>
      <c r="N98" s="43">
        <v>103267.59854014598</v>
      </c>
      <c r="O98" s="43">
        <v>484747.08974999993</v>
      </c>
      <c r="P98" s="11">
        <f t="shared" si="5"/>
        <v>1</v>
      </c>
      <c r="Q98" s="47" t="s">
        <v>97</v>
      </c>
      <c r="S98" s="26" t="str">
        <f t="shared" si="6"/>
        <v/>
      </c>
      <c r="U98" s="26">
        <f t="shared" si="7"/>
        <v>330000</v>
      </c>
    </row>
    <row r="99" spans="1:23" hidden="1">
      <c r="A99" s="1" t="s">
        <v>120</v>
      </c>
      <c r="B99" s="2" t="s">
        <v>96</v>
      </c>
      <c r="C99" s="27">
        <v>12298134.779999999</v>
      </c>
      <c r="D99" s="22">
        <v>2021</v>
      </c>
      <c r="E99" s="19">
        <v>25</v>
      </c>
      <c r="F99" s="17"/>
      <c r="G99" s="30"/>
      <c r="H99" s="34">
        <v>4705265.9800000004</v>
      </c>
      <c r="I99" s="26"/>
      <c r="J99" s="34">
        <f>C99-H99</f>
        <v>7592868.7999999989</v>
      </c>
      <c r="K99" s="13"/>
      <c r="L99" s="46">
        <v>471463.72008034971</v>
      </c>
      <c r="M99" s="43">
        <v>3366666.67</v>
      </c>
      <c r="N99" s="43">
        <v>477774.16915422893</v>
      </c>
      <c r="O99" s="43">
        <v>860825.14875000005</v>
      </c>
      <c r="P99" s="11">
        <f t="shared" si="5"/>
        <v>1</v>
      </c>
      <c r="Q99" s="47" t="s">
        <v>105</v>
      </c>
      <c r="S99" s="26" t="str">
        <f t="shared" si="6"/>
        <v/>
      </c>
      <c r="U99" s="26">
        <f t="shared" si="7"/>
        <v>750000</v>
      </c>
    </row>
    <row r="100" spans="1:23" hidden="1">
      <c r="A100" s="1" t="s">
        <v>121</v>
      </c>
      <c r="B100" s="2" t="s">
        <v>96</v>
      </c>
      <c r="C100" s="27">
        <v>5388043.2300000004</v>
      </c>
      <c r="D100" s="22">
        <v>2021</v>
      </c>
      <c r="E100" s="19">
        <v>10</v>
      </c>
      <c r="F100" s="17"/>
      <c r="G100" s="30"/>
      <c r="H100" s="34">
        <v>2583918.23</v>
      </c>
      <c r="I100" s="26"/>
      <c r="J100" s="34">
        <f>C100-H100</f>
        <v>2804125.0000000005</v>
      </c>
      <c r="K100" s="13"/>
      <c r="L100" s="46">
        <v>163447.96542007913</v>
      </c>
      <c r="M100" s="43">
        <v>1893750</v>
      </c>
      <c r="N100" s="43">
        <v>369925.44573954982</v>
      </c>
      <c r="O100" s="43">
        <v>320242.78125</v>
      </c>
      <c r="P100" s="11">
        <f t="shared" si="5"/>
        <v>1</v>
      </c>
      <c r="Q100" s="47" t="s">
        <v>105</v>
      </c>
      <c r="S100" s="26" t="str">
        <f t="shared" si="6"/>
        <v/>
      </c>
      <c r="U100" s="26">
        <f t="shared" si="7"/>
        <v>750000</v>
      </c>
    </row>
    <row r="101" spans="1:23">
      <c r="A101" s="54" t="s">
        <v>122</v>
      </c>
      <c r="B101" s="2" t="s">
        <v>96</v>
      </c>
      <c r="C101" s="27">
        <v>21227897.690000001</v>
      </c>
      <c r="D101" s="22">
        <v>2021</v>
      </c>
      <c r="E101" s="19">
        <v>54</v>
      </c>
      <c r="F101" s="17"/>
      <c r="G101" s="30"/>
      <c r="H101" s="34">
        <v>3233751.56</v>
      </c>
      <c r="I101" s="26"/>
      <c r="J101" s="34">
        <f>C101-H101</f>
        <v>17994146.130000003</v>
      </c>
      <c r="K101" s="13"/>
      <c r="L101" s="46">
        <v>1634479.6542007914</v>
      </c>
      <c r="M101" s="43">
        <v>306835.44</v>
      </c>
      <c r="N101" s="43">
        <v>643597.70126582275</v>
      </c>
      <c r="O101" s="43">
        <v>2283318.4184999997</v>
      </c>
      <c r="P101" s="11">
        <f t="shared" si="5"/>
        <v>1</v>
      </c>
      <c r="Q101" s="47" t="s">
        <v>105</v>
      </c>
      <c r="S101" s="26" t="str">
        <f t="shared" si="6"/>
        <v/>
      </c>
      <c r="U101" s="26">
        <f t="shared" si="7"/>
        <v>750000</v>
      </c>
      <c r="W101" s="49" t="s">
        <v>97</v>
      </c>
    </row>
    <row r="102" spans="1:23" hidden="1">
      <c r="A102" s="1" t="s">
        <v>123</v>
      </c>
      <c r="B102" s="2" t="s">
        <v>96</v>
      </c>
      <c r="C102" s="27">
        <v>1859132.03</v>
      </c>
      <c r="D102" s="22">
        <v>2021</v>
      </c>
      <c r="E102" s="19">
        <v>2.5</v>
      </c>
      <c r="F102" s="17"/>
      <c r="G102" s="30"/>
      <c r="H102" s="34">
        <v>936135.3</v>
      </c>
      <c r="I102" s="26"/>
      <c r="J102" s="34">
        <f>C102-H102</f>
        <v>922996.73</v>
      </c>
      <c r="K102" s="13"/>
      <c r="L102" s="46">
        <v>42909.611884298953</v>
      </c>
      <c r="M102" s="43">
        <v>723750</v>
      </c>
      <c r="N102" s="43">
        <v>64307.55</v>
      </c>
      <c r="O102" s="43">
        <v>148077.75150000001</v>
      </c>
      <c r="P102" s="11">
        <f t="shared" si="5"/>
        <v>0</v>
      </c>
      <c r="Q102" s="47" t="s">
        <v>97</v>
      </c>
      <c r="S102" s="26">
        <f t="shared" si="6"/>
        <v>310000</v>
      </c>
      <c r="U102" s="26" t="str">
        <f t="shared" si="7"/>
        <v/>
      </c>
    </row>
    <row r="103" spans="1:23" hidden="1">
      <c r="A103" s="1" t="s">
        <v>124</v>
      </c>
      <c r="B103" s="2" t="s">
        <v>96</v>
      </c>
      <c r="C103" s="27">
        <v>3930322.3</v>
      </c>
      <c r="D103" s="22">
        <v>2021</v>
      </c>
      <c r="E103" s="19">
        <v>9.4</v>
      </c>
      <c r="F103" s="17"/>
      <c r="G103" s="30"/>
      <c r="H103" s="34">
        <v>1217733.5900000001</v>
      </c>
      <c r="I103" s="26"/>
      <c r="J103" s="34">
        <f>C103-H103</f>
        <v>2712588.71</v>
      </c>
      <c r="K103" s="13"/>
      <c r="L103" s="46">
        <v>272664.77921597421</v>
      </c>
      <c r="M103" s="43">
        <v>454499.99999999988</v>
      </c>
      <c r="N103" s="43">
        <v>213340.44199999995</v>
      </c>
      <c r="O103" s="43">
        <v>549893.14884000004</v>
      </c>
      <c r="P103" s="11">
        <f t="shared" si="5"/>
        <v>0</v>
      </c>
      <c r="Q103" s="47" t="s">
        <v>97</v>
      </c>
      <c r="S103" s="26">
        <f t="shared" si="6"/>
        <v>310000</v>
      </c>
      <c r="U103" s="26" t="str">
        <f t="shared" si="7"/>
        <v/>
      </c>
    </row>
    <row r="104" spans="1:23" hidden="1">
      <c r="A104" s="1" t="s">
        <v>125</v>
      </c>
      <c r="B104" s="2" t="s">
        <v>96</v>
      </c>
      <c r="C104" s="27">
        <v>3007546.68</v>
      </c>
      <c r="D104" s="22">
        <v>2022</v>
      </c>
      <c r="E104" s="19">
        <v>8</v>
      </c>
      <c r="F104" s="17"/>
      <c r="G104" s="31" t="s">
        <v>126</v>
      </c>
      <c r="H104" s="34">
        <v>1273719.69</v>
      </c>
      <c r="I104" s="26"/>
      <c r="J104" s="34">
        <f>C104-H104</f>
        <v>1733826.9900000002</v>
      </c>
      <c r="K104" s="13"/>
      <c r="L104" s="46">
        <v>196137.55850409498</v>
      </c>
      <c r="M104" s="43">
        <v>757500</v>
      </c>
      <c r="N104" s="43">
        <v>211850.91</v>
      </c>
      <c r="O104" s="43">
        <v>304368.78149999992</v>
      </c>
      <c r="P104" s="11">
        <f>IF(E104&gt;=10,1,0)</f>
        <v>0</v>
      </c>
      <c r="Q104" s="47" t="s">
        <v>105</v>
      </c>
      <c r="S104" s="26">
        <f>IF(Q104="",0,IF(P104=1,"",IF($Q104="EAS",60000+250000,IF($Q104="EIA",300000+350000,"Erro!"))))</f>
        <v>650000</v>
      </c>
      <c r="U104" s="26" t="str">
        <f>IF(Q104="",0,IF(P104=0,"",IF($Q104="EAS",80000+250000,IF($Q104="EIA",400000+350000,"Erro!"))))</f>
        <v/>
      </c>
    </row>
    <row r="105" spans="1:23" hidden="1">
      <c r="A105" s="1" t="s">
        <v>127</v>
      </c>
      <c r="B105" s="2" t="s">
        <v>96</v>
      </c>
      <c r="C105" s="27">
        <v>3904414.05</v>
      </c>
      <c r="D105" s="22">
        <v>2022</v>
      </c>
      <c r="E105" s="19">
        <v>3.5</v>
      </c>
      <c r="F105" s="17"/>
      <c r="G105" s="30"/>
      <c r="H105" s="26">
        <v>2614485.98</v>
      </c>
      <c r="I105" s="26"/>
      <c r="J105" s="26">
        <f>C105-H105</f>
        <v>1289928.0699999998</v>
      </c>
      <c r="K105" s="13"/>
      <c r="L105" s="46">
        <v>0</v>
      </c>
      <c r="M105" s="43">
        <v>2251666.67</v>
      </c>
      <c r="N105" s="43">
        <v>219697.24</v>
      </c>
      <c r="O105" s="43">
        <v>143122.07385000002</v>
      </c>
      <c r="P105" s="11">
        <f t="shared" si="5"/>
        <v>0</v>
      </c>
      <c r="Q105" s="47" t="s">
        <v>97</v>
      </c>
      <c r="S105" s="26">
        <f t="shared" si="6"/>
        <v>310000</v>
      </c>
      <c r="U105" s="26" t="str">
        <f t="shared" si="7"/>
        <v/>
      </c>
    </row>
    <row r="106" spans="1:23" hidden="1">
      <c r="A106" s="1" t="s">
        <v>128</v>
      </c>
      <c r="B106" s="2" t="s">
        <v>96</v>
      </c>
      <c r="C106" s="27">
        <v>1022666.08</v>
      </c>
      <c r="D106" s="22">
        <v>2022</v>
      </c>
      <c r="E106" s="19">
        <v>2</v>
      </c>
      <c r="F106" s="17"/>
      <c r="G106" s="30"/>
      <c r="H106" s="34">
        <v>333214.48</v>
      </c>
      <c r="I106" s="26"/>
      <c r="J106" s="34">
        <f>C106-H106</f>
        <v>689451.6</v>
      </c>
      <c r="K106" s="13"/>
      <c r="L106" s="46">
        <v>90900.435421965827</v>
      </c>
      <c r="M106" s="43">
        <v>0</v>
      </c>
      <c r="N106" s="43">
        <v>80632.608000000007</v>
      </c>
      <c r="O106" s="43">
        <v>252581.86800000005</v>
      </c>
      <c r="P106" s="11">
        <f t="shared" si="5"/>
        <v>0</v>
      </c>
      <c r="Q106" s="47" t="s">
        <v>97</v>
      </c>
      <c r="S106" s="26">
        <f t="shared" si="6"/>
        <v>310000</v>
      </c>
      <c r="U106" s="26" t="str">
        <f t="shared" si="7"/>
        <v/>
      </c>
    </row>
    <row r="107" spans="1:23">
      <c r="B107" s="11"/>
      <c r="W107" s="50" t="s">
        <v>129</v>
      </c>
    </row>
    <row r="108" spans="1:23" hidden="1">
      <c r="B108" s="11"/>
      <c r="C108" s="9">
        <f>IF(SUM(C78:C106)=SUM(C109:C113),SUM(C109:C113),"ERRO")</f>
        <v>172901239.17000002</v>
      </c>
      <c r="D108" s="39" t="s">
        <v>40</v>
      </c>
      <c r="E108" s="16">
        <f>SUM(E78:E106)</f>
        <v>341.69999999999993</v>
      </c>
      <c r="F108" s="5" t="s">
        <v>40</v>
      </c>
      <c r="G108" s="16"/>
      <c r="H108" s="15">
        <f>SUM(H78:H106)</f>
        <v>57828515.349999987</v>
      </c>
      <c r="I108" s="16"/>
      <c r="J108" s="15">
        <f>SUM(J78:J106)</f>
        <v>115072723.81999995</v>
      </c>
      <c r="K108" s="16" t="s">
        <v>130</v>
      </c>
      <c r="L108" s="15">
        <f>SUM(L78:L106)</f>
        <v>8948486.3613167945</v>
      </c>
      <c r="M108" s="15">
        <f>SUM(M78:M106)</f>
        <v>33205218.759999998</v>
      </c>
      <c r="N108" s="15">
        <f>SUM(N78:N106)</f>
        <v>7848757.9138311837</v>
      </c>
      <c r="O108" s="15">
        <f>SUM(O78:O106)</f>
        <v>16774538.688105002</v>
      </c>
      <c r="P108" s="37">
        <f>SUM(P78:P106)</f>
        <v>13</v>
      </c>
      <c r="S108" s="15">
        <f>SUM(S78:S106)</f>
        <v>5300000</v>
      </c>
      <c r="U108" s="15">
        <f>SUM(U78:U106)</f>
        <v>7650000</v>
      </c>
      <c r="W108" s="9">
        <f>SUM(S108,U108)</f>
        <v>12950000</v>
      </c>
    </row>
    <row r="109" spans="1:23" hidden="1">
      <c r="A109" s="24" t="s">
        <v>131</v>
      </c>
      <c r="B109" s="15">
        <f>C109</f>
        <v>17827320.379999999</v>
      </c>
      <c r="C109" s="8">
        <f>SUMIF($D$78:$D$106,"=2018",$C$78:$C$106)</f>
        <v>17827320.379999999</v>
      </c>
      <c r="D109" s="39" t="s">
        <v>42</v>
      </c>
      <c r="E109" s="14">
        <f>SUMIF($D$78:$D$106,"=2018",$E$78:$E$106)</f>
        <v>30.7</v>
      </c>
      <c r="F109" s="5" t="s">
        <v>42</v>
      </c>
      <c r="G109" s="14"/>
      <c r="H109" s="10">
        <f>SUMIF($D$78:$D$106,"=2018",H$78:H$106)</f>
        <v>9163313.9900000002</v>
      </c>
      <c r="I109" s="14"/>
      <c r="J109" s="10">
        <f>SUMIF($D$78:$D$106,"=2018",J$78:J$106)</f>
        <v>8664006.3899999987</v>
      </c>
      <c r="K109" s="36" t="s">
        <v>132</v>
      </c>
      <c r="L109" s="53">
        <f>SUMIF($D$78:$D$106,"=2018",L$78:L$106)</f>
        <v>370739.04668034299</v>
      </c>
      <c r="M109" s="10">
        <f>SUMIF($D$78:$D$106,"=2018",M$78:M$106)</f>
        <v>7721384.6899999995</v>
      </c>
      <c r="N109" s="10">
        <f>SUMIF($D$78:$D$106,"=2018",N$78:N$106)</f>
        <v>838860.06910843367</v>
      </c>
      <c r="O109" s="10">
        <f>SUMIF($D$78:$D$106,"=2018",O$78:O$106)</f>
        <v>603069.23750000005</v>
      </c>
      <c r="P109" s="37">
        <f>COUNT(E78:E106)-P108</f>
        <v>16</v>
      </c>
      <c r="Q109" s="52">
        <v>2018</v>
      </c>
      <c r="R109" s="49"/>
      <c r="S109" s="48">
        <f>SUMIF($D$78:$D$106,"=2018",S$78:S$106)</f>
        <v>930000</v>
      </c>
      <c r="T109" s="49"/>
      <c r="U109" s="48">
        <f>SUMIF($D$78:$D$106,"=2018",U$78:U$106)</f>
        <v>330000</v>
      </c>
      <c r="V109" s="49"/>
      <c r="W109" s="51">
        <f>SUM(S109,U109)</f>
        <v>1260000</v>
      </c>
    </row>
    <row r="110" spans="1:23" hidden="1">
      <c r="A110" s="24" t="s">
        <v>133</v>
      </c>
      <c r="B110" s="15">
        <f>C110</f>
        <v>63256655.820000008</v>
      </c>
      <c r="C110" s="8">
        <f>SUMIF($D$78:$D$106,"=2019",$C$78:$C$106)</f>
        <v>63256655.820000008</v>
      </c>
      <c r="D110" s="39" t="s">
        <v>43</v>
      </c>
      <c r="E110" s="14">
        <f>SUMIF($D$78:$D$106,"=2019",$E$78:$E$106)</f>
        <v>109.3</v>
      </c>
      <c r="F110" s="5" t="s">
        <v>43</v>
      </c>
      <c r="G110" s="14"/>
      <c r="H110" s="10">
        <f>SUMIF($D$78:$D$106,"=2019",H$78:H$106)</f>
        <v>20363347.510000002</v>
      </c>
      <c r="I110" s="14"/>
      <c r="J110" s="10">
        <f>SUMIF($D$78:$D$106,"=2019",J$78:J$106)</f>
        <v>42893308.309999995</v>
      </c>
      <c r="K110" s="14"/>
      <c r="L110" s="53">
        <f>SUMIF($D$78:$D$106,"=2019",L$78:L$106)</f>
        <v>3541075.7908395622</v>
      </c>
      <c r="M110" s="10">
        <f>SUMIF($D$78:$D$106,"=2019",M$78:M$106)</f>
        <v>9639317.9000000004</v>
      </c>
      <c r="N110" s="10">
        <f>SUMIF($D$78:$D$106,"=2019",N$78:N$106)</f>
        <v>3042081.0474049426</v>
      </c>
      <c r="O110" s="10">
        <f>SUMIF($D$78:$D$106,"=2019",O$78:O$106)</f>
        <v>7681948.5767500009</v>
      </c>
      <c r="Q110" s="52">
        <v>2019</v>
      </c>
      <c r="R110" s="49"/>
      <c r="S110" s="48">
        <f>SUMIF($D$78:$D$106,"=2019",S$78:S$106)</f>
        <v>1550000</v>
      </c>
      <c r="T110" s="49"/>
      <c r="U110" s="48">
        <f>SUMIF($D$78:$D$106,"=2019",U$78:U$106)</f>
        <v>2580000</v>
      </c>
      <c r="V110" s="49"/>
      <c r="W110" s="51">
        <f t="shared" ref="W110:W113" si="8">SUM(S110,U110)</f>
        <v>4130000</v>
      </c>
    </row>
    <row r="111" spans="1:23" hidden="1">
      <c r="A111" s="24" t="s">
        <v>134</v>
      </c>
      <c r="B111" s="15">
        <f>C111</f>
        <v>39179106.130000003</v>
      </c>
      <c r="C111" s="8">
        <f>SUMIF($D$78:$D$106,"=2020",$C$78:$C$106)</f>
        <v>39179106.130000003</v>
      </c>
      <c r="D111" s="39" t="s">
        <v>45</v>
      </c>
      <c r="E111" s="14">
        <f>SUMIF($D$78:$D$106,"=2020",$E$78:$E$106)</f>
        <v>87.300000000000011</v>
      </c>
      <c r="F111" s="5" t="s">
        <v>45</v>
      </c>
      <c r="G111" s="14"/>
      <c r="H111" s="10">
        <f>SUMIF($D$78:$D$106,"=2020",H$78:H$106)</f>
        <v>11403629.040000001</v>
      </c>
      <c r="I111" s="14"/>
      <c r="J111" s="10">
        <f>SUMIF($D$78:$D$106,"=2020",J$78:J$106)</f>
        <v>27775477.089999996</v>
      </c>
      <c r="K111" s="14"/>
      <c r="L111" s="53">
        <f>SUMIF($D$78:$D$106,"=2020",L$78:L$106)</f>
        <v>2164667.7990693348</v>
      </c>
      <c r="M111" s="10">
        <f>SUMIF($D$78:$D$106,"=2020",M$78:M$106)</f>
        <v>6089847.3900000006</v>
      </c>
      <c r="N111" s="10">
        <f>SUMIF($D$78:$D$106,"=2020",N$78:N$106)</f>
        <v>1686690.731158206</v>
      </c>
      <c r="O111" s="10">
        <f>SUMIF($D$78:$D$106,"=2020",O$78:O$106)</f>
        <v>3627090.9016649998</v>
      </c>
      <c r="Q111" s="52">
        <v>2020</v>
      </c>
      <c r="R111" s="49"/>
      <c r="S111" s="48">
        <f>SUMIF($D$78:$D$106,"=2020",S$78:S$106)</f>
        <v>930000</v>
      </c>
      <c r="T111" s="49"/>
      <c r="U111" s="48">
        <f>SUMIF($D$78:$D$106,"=2020",U$78:U$106)</f>
        <v>2490000</v>
      </c>
      <c r="V111" s="49"/>
      <c r="W111" s="51">
        <f t="shared" si="8"/>
        <v>3420000</v>
      </c>
    </row>
    <row r="112" spans="1:23" hidden="1">
      <c r="A112" s="24" t="s">
        <v>135</v>
      </c>
      <c r="B112" s="15">
        <f>SUM(C112:C113)</f>
        <v>52638156.840000004</v>
      </c>
      <c r="C112" s="8">
        <f>SUMIF($D$78:$D$106,"=2021",$C$78:$C$106)</f>
        <v>44703530.030000001</v>
      </c>
      <c r="D112" s="39" t="s">
        <v>46</v>
      </c>
      <c r="E112" s="14">
        <f>SUMIF($D$78:$D$106,"=2021",$E$78:$E$106)</f>
        <v>100.9</v>
      </c>
      <c r="F112" s="5" t="s">
        <v>46</v>
      </c>
      <c r="G112" s="14"/>
      <c r="H112" s="10">
        <f>SUMIF($D$78:$D$106,"=2021",H$78:H$106)</f>
        <v>12676804.660000002</v>
      </c>
      <c r="I112" s="14"/>
      <c r="J112" s="10">
        <f>SUMIF($D$78:$D$106,"=2021",J$78:J$106)</f>
        <v>32026725.370000001</v>
      </c>
      <c r="K112" s="14"/>
      <c r="L112" s="53">
        <f>SUMIF($D$78:$D$106,"=2021",L$78:L$106)</f>
        <v>2584965.7308014934</v>
      </c>
      <c r="M112" s="10">
        <f>SUMIF($D$78:$D$106,"=2021",M$78:M$106)</f>
        <v>6745502.1100000003</v>
      </c>
      <c r="N112" s="10">
        <f>SUMIF($D$78:$D$106,"=2021",N$78:N$106)</f>
        <v>1768945.3081596014</v>
      </c>
      <c r="O112" s="10">
        <f>SUMIF($D$78:$D$106,"=2021",O$78:O$106)</f>
        <v>4162357.2488399995</v>
      </c>
      <c r="Q112" s="52">
        <v>2021</v>
      </c>
      <c r="R112" s="49"/>
      <c r="S112" s="48">
        <f>SUMIF($D$78:$D$106,"=2021",S$78:S$106)</f>
        <v>620000</v>
      </c>
      <c r="T112" s="49"/>
      <c r="U112" s="48">
        <f>SUMIF($D$78:$D$106,"=2021",U$78:U$106)</f>
        <v>2250000</v>
      </c>
      <c r="V112" s="49"/>
      <c r="W112" s="51">
        <f t="shared" si="8"/>
        <v>2870000</v>
      </c>
    </row>
    <row r="113" spans="2:29" hidden="1">
      <c r="B113" s="11"/>
      <c r="C113" s="8">
        <f>SUMIF($D$78:$D$106,"=2022",$C$78:$C$106)</f>
        <v>7934626.8100000005</v>
      </c>
      <c r="D113" s="39" t="s">
        <v>48</v>
      </c>
      <c r="E113" s="14">
        <f>SUMIF($D$78:$D$106,"=2022",$E$78:$E$106)</f>
        <v>13.5</v>
      </c>
      <c r="F113" s="5" t="s">
        <v>48</v>
      </c>
      <c r="G113" s="14"/>
      <c r="H113" s="10">
        <f>SUMIF($D$78:$D$106,"=2022",H$78:H$106)</f>
        <v>4221420.1500000004</v>
      </c>
      <c r="I113" s="14"/>
      <c r="J113" s="10">
        <f>SUMIF($D$78:$D$106,"=2022",J$78:J$106)</f>
        <v>3713206.66</v>
      </c>
      <c r="K113" s="14"/>
      <c r="L113" s="53">
        <f>SUMIF($D$78:$D$106,"=2022",L$78:L$106)</f>
        <v>287037.99392606079</v>
      </c>
      <c r="M113" s="10">
        <f>SUMIF($D$78:$D$106,"=2022",M$78:M$106)</f>
        <v>3009166.67</v>
      </c>
      <c r="N113" s="10">
        <f>SUMIF($D$78:$D$106,"=2022",N$78:N$106)</f>
        <v>512180.75800000003</v>
      </c>
      <c r="O113" s="10">
        <f>SUMIF($D$78:$D$106,"=2022",O$78:O$106)</f>
        <v>700072.72334999999</v>
      </c>
      <c r="Q113" s="52">
        <v>2022</v>
      </c>
      <c r="R113" s="49"/>
      <c r="S113" s="48">
        <f>SUMIF($D$78:$D$106,"=2022",S$78:S$106)</f>
        <v>1270000</v>
      </c>
      <c r="T113" s="49"/>
      <c r="U113" s="48">
        <f>SUMIF($D$78:$D$106,"=2022",U$78:U$106)</f>
        <v>0</v>
      </c>
      <c r="V113" s="49"/>
      <c r="W113" s="51">
        <f t="shared" si="8"/>
        <v>1270000</v>
      </c>
    </row>
    <row r="114" spans="2:29" hidden="1">
      <c r="B114" s="11" t="str">
        <f>IF(SUM(B109:B112)&lt;&gt;C108,"Erro soma","OK")</f>
        <v>OK</v>
      </c>
      <c r="C114" s="11" t="str">
        <f>IF(SUM(C109:C113)&lt;&gt;C108,"Erro soma","OK")</f>
        <v>OK</v>
      </c>
      <c r="E114" s="11" t="str">
        <f>IF(SUM(E109:E113)&lt;&gt;E108,"Erro soma","OK")</f>
        <v>OK</v>
      </c>
      <c r="H114" s="11" t="str">
        <f t="shared" ref="H114:J114" si="9">IF(SUM(H109:H113)&lt;&gt;H108,"Erro soma","OK")</f>
        <v>OK</v>
      </c>
      <c r="I114" s="11"/>
      <c r="J114" s="11" t="str">
        <f t="shared" si="9"/>
        <v>OK</v>
      </c>
      <c r="K114" s="11"/>
      <c r="L114" s="11" t="str">
        <f t="shared" ref="L114" si="10">IF(SUM(L109:L113)&lt;&gt;L108,"Erro soma","OK")</f>
        <v>OK</v>
      </c>
      <c r="M114" s="11" t="str">
        <f t="shared" ref="M114:O114" si="11">IF(SUM(M109:M113)&lt;&gt;M108,"Erro soma","OK")</f>
        <v>OK</v>
      </c>
      <c r="N114" s="11" t="str">
        <f t="shared" si="11"/>
        <v>OK</v>
      </c>
      <c r="O114" s="11" t="str">
        <f t="shared" si="11"/>
        <v>OK</v>
      </c>
      <c r="S114" s="11" t="str">
        <f t="shared" ref="S114" si="12">IF(SUM(S109:S113)&lt;&gt;S108,"Erro soma","OK")</f>
        <v>OK</v>
      </c>
      <c r="U114" s="11" t="str">
        <f t="shared" ref="U114" si="13">IF(SUM(U109:U113)&lt;&gt;U108,"Erro soma","OK")</f>
        <v>OK</v>
      </c>
    </row>
    <row r="115" spans="2:29">
      <c r="B115" s="11"/>
      <c r="AC115" s="41">
        <v>429572218.58000004</v>
      </c>
    </row>
    <row r="116" spans="2:29">
      <c r="B116" s="11"/>
      <c r="M116" s="8"/>
      <c r="S116" s="8" t="e">
        <f>SUM(#REF!,#REF!,#REF!,#REF!,#REF!,#REF!)</f>
        <v>#REF!</v>
      </c>
      <c r="U116" s="8" t="e">
        <f>SUM(#REF!,#REF!,#REF!,#REF!,#REF!,#REF!)</f>
        <v>#REF!</v>
      </c>
      <c r="W116" s="8" t="e">
        <f>SUM(#REF!,#REF!,#REF!,#REF!,#REF!,#REF!)</f>
        <v>#REF!</v>
      </c>
      <c r="Y116" s="8" t="e">
        <f>SUM(#REF!,#REF!,#REF!,#REF!,#REF!,#REF!)</f>
        <v>#REF!</v>
      </c>
      <c r="AA116" s="8" t="e">
        <f>SUM(#REF!,#REF!,#REF!,#REF!,#REF!,#REF!)</f>
        <v>#REF!</v>
      </c>
      <c r="AC116" s="8" t="e">
        <f>SUM(#REF!,#REF!,#REF!,#REF!,#REF!,#REF!)</f>
        <v>#REF!</v>
      </c>
    </row>
  </sheetData>
  <mergeCells count="2">
    <mergeCell ref="A2:K2"/>
    <mergeCell ref="A3:K3"/>
  </mergeCells>
  <printOptions horizontalCentered="1" verticalCentered="1"/>
  <pageMargins left="0.51181102362204722" right="0.51181102362204722" top="0.59055118110236227" bottom="0.39370078740157483" header="0.31496062992125984" footer="0.31496062992125984"/>
  <pageSetup paperSize="9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R0000319076</Record_x0020_Number>
    <Key_x0020_Document xmlns="cdc7663a-08f0-4737-9e8c-148ce897a09c">false</Key_x0020_Document>
    <Division_x0020_or_x0020_Unit xmlns="cdc7663a-08f0-4737-9e8c-148ce897a09c">INE/ENE</Division_x0020_or_x0020_Unit>
    <Other_x0020_Author xmlns="cdc7663a-08f0-4737-9e8c-148ce897a09c" xsi:nil="true"/>
    <IDBDocs_x0020_Number xmlns="cdc7663a-08f0-4737-9e8c-148ce897a09c" xsi:nil="true"/>
    <Document_x0020_Author xmlns="cdc7663a-08f0-4737-9e8c-148ce897a09c">Hernandez-Santoyo, Joel</Document_x0020_Author>
    <_dlc_DocId xmlns="cdc7663a-08f0-4737-9e8c-148ce897a09c">EZSHARE-620530985-43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TaxCatchAll xmlns="cdc7663a-08f0-4737-9e8c-148ce897a09c">
      <Value>33</Value>
      <Value>61</Value>
      <Value>30</Value>
      <Value>65</Value>
      <Value>1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BR-L1491</Project_x0020_Number>
    <Package_x0020_Code xmlns="cdc7663a-08f0-4737-9e8c-148ce897a09c" xsi:nil="true"/>
    <Migration_x0020_Info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Document_x0020_Language_x0020_IDB xmlns="cdc7663a-08f0-4737-9e8c-148ce897a09c">Portuguese</Document_x0020_Language_x0020_IDB>
    <_dlc_DocIdUrl xmlns="cdc7663a-08f0-4737-9e8c-148ce897a09c">
      <Url>https://idbg.sharepoint.com/teams/EZ-BR-LON/BR-L1491/_layouts/15/DocIdRedir.aspx?ID=EZSHARE-620530985-43</Url>
      <Description>EZSHARE-620530985-43</Description>
    </_dlc_DocIdUrl>
    <Phase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A60D5BB1070ED47AAAC37FC3B8E9AC2" ma:contentTypeVersion="28" ma:contentTypeDescription="A content type to manage public (operations) IDB documents" ma:contentTypeScope="" ma:versionID="3f29b86fc565f190df321e6e49e2db3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Props1.xml><?xml version="1.0" encoding="utf-8"?>
<ds:datastoreItem xmlns:ds="http://schemas.openxmlformats.org/officeDocument/2006/customXml" ds:itemID="{E7317CCA-43D2-498F-8C74-94CDCAEFC6A8}"/>
</file>

<file path=customXml/itemProps2.xml><?xml version="1.0" encoding="utf-8"?>
<ds:datastoreItem xmlns:ds="http://schemas.openxmlformats.org/officeDocument/2006/customXml" ds:itemID="{734DEF7F-E048-43E7-8957-69458A1E0E1D}"/>
</file>

<file path=customXml/itemProps3.xml><?xml version="1.0" encoding="utf-8"?>
<ds:datastoreItem xmlns:ds="http://schemas.openxmlformats.org/officeDocument/2006/customXml" ds:itemID="{920E7363-DF63-42D4-978A-23A760094AFD}"/>
</file>

<file path=customXml/itemProps4.xml><?xml version="1.0" encoding="utf-8"?>
<ds:datastoreItem xmlns:ds="http://schemas.openxmlformats.org/officeDocument/2006/customXml" ds:itemID="{65B1A8BF-4AF6-488A-A6E3-FCFD4058D6C7}"/>
</file>

<file path=customXml/itemProps5.xml><?xml version="1.0" encoding="utf-8"?>
<ds:datastoreItem xmlns:ds="http://schemas.openxmlformats.org/officeDocument/2006/customXml" ds:itemID="{B3BE762D-A863-4E98-BF28-DCA1EE9C6163}"/>
</file>

<file path=customXml/itemProps6.xml><?xml version="1.0" encoding="utf-8"?>
<ds:datastoreItem xmlns:ds="http://schemas.openxmlformats.org/officeDocument/2006/customXml" ds:itemID="{1C734622-7F1C-4ED1-95FA-F6C7852AF1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Hinnig da Silva</dc:creator>
  <cp:keywords/>
  <dc:description/>
  <cp:lastModifiedBy>Alarcon, Arturo</cp:lastModifiedBy>
  <cp:revision/>
  <dcterms:created xsi:type="dcterms:W3CDTF">2015-11-04T13:09:11Z</dcterms:created>
  <dcterms:modified xsi:type="dcterms:W3CDTF">2017-06-05T18:33:18Z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65;#ENERGY SECTOR REHABILITATION AND EFFICIENCY|bc14044a-5020-4002-b61d-5f3750c96619</vt:lpwstr>
  </property>
  <property fmtid="{D5CDD505-2E9C-101B-9397-08002B2CF9AE}" pid="7" name="Country">
    <vt:lpwstr>30;#Brazil|7deb27ec-6837-4974-9aa8-6cfbac841ef8</vt:lpwstr>
  </property>
  <property fmtid="{D5CDD505-2E9C-101B-9397-08002B2CF9AE}" pid="8" name="Fund IDB">
    <vt:lpwstr>33;#ORC|c028a4b2-ad8b-4cf4-9cac-a2ae6a778e23</vt:lpwstr>
  </property>
  <property fmtid="{D5CDD505-2E9C-101B-9397-08002B2CF9AE}" pid="9" name="_dlc_DocIdItemGuid">
    <vt:lpwstr>eef904bb-e938-4e52-b33c-3cbc52eaf97c</vt:lpwstr>
  </property>
  <property fmtid="{D5CDD505-2E9C-101B-9397-08002B2CF9AE}" pid="10" name="Sector IDB">
    <vt:lpwstr>61;#ENERGY|4fed196a-cd0b-4970-87de-42da17f9b203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RecordPoint_Delete">
    <vt:lpwstr>1</vt:lpwstr>
  </property>
  <property fmtid="{D5CDD505-2E9C-101B-9397-08002B2CF9AE}" pid="13" name="ContentTypeId">
    <vt:lpwstr>0x0101001A458A224826124E8B45B1D613300CFC007A60D5BB1070ED47AAAC37FC3B8E9AC2</vt:lpwstr>
  </property>
</Properties>
</file>