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as\Desktop\OPC_No objeción\"/>
    </mc:Choice>
  </mc:AlternateContent>
  <xr:revisionPtr revIDLastSave="0" documentId="13_ncr:1_{132795CA-37C1-43D6-9336-B901D9F73C68}" xr6:coauthVersionLast="43" xr6:coauthVersionMax="43" xr10:uidLastSave="{00000000-0000-0000-0000-000000000000}"/>
  <bookViews>
    <workbookView xWindow="-28920" yWindow="-75" windowWidth="29040" windowHeight="15840" xr2:uid="{FF489101-5DCD-492A-9061-930186FB60B4}"/>
  </bookViews>
  <sheets>
    <sheet name="POA 18 meses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6" i="1" l="1"/>
  <c r="K56" i="1"/>
  <c r="J81" i="1" l="1"/>
  <c r="J79" i="1" s="1"/>
  <c r="K81" i="1"/>
  <c r="K79" i="1" s="1"/>
  <c r="L81" i="1"/>
  <c r="L79" i="1" s="1"/>
  <c r="I81" i="1"/>
  <c r="M81" i="1" l="1"/>
  <c r="I79" i="1"/>
  <c r="M79" i="1" s="1"/>
  <c r="M96" i="1"/>
  <c r="H96" i="1"/>
  <c r="D96" i="1"/>
  <c r="J91" i="1"/>
  <c r="K91" i="1"/>
  <c r="L91" i="1"/>
  <c r="I91" i="1"/>
  <c r="G93" i="1"/>
  <c r="G91" i="1" s="1"/>
  <c r="M67" i="1"/>
  <c r="D67" i="1"/>
  <c r="H93" i="1" l="1"/>
  <c r="M91" i="1"/>
  <c r="J88" i="1"/>
  <c r="K88" i="1"/>
  <c r="L88" i="1"/>
  <c r="I88" i="1"/>
  <c r="K26" i="1"/>
  <c r="L26" i="1"/>
  <c r="J26" i="1"/>
  <c r="J85" i="1"/>
  <c r="J84" i="1" s="1"/>
  <c r="J58" i="1" s="1"/>
  <c r="K85" i="1"/>
  <c r="K84" i="1" s="1"/>
  <c r="L85" i="1"/>
  <c r="L84" i="1" s="1"/>
  <c r="I85" i="1"/>
  <c r="I84" i="1" s="1"/>
  <c r="F84" i="1"/>
  <c r="G88" i="1"/>
  <c r="G85" i="1" s="1"/>
  <c r="G84" i="1" s="1"/>
  <c r="F7" i="1"/>
  <c r="H7" i="1" s="1"/>
  <c r="L28" i="1" l="1"/>
  <c r="L27" i="1" s="1"/>
  <c r="M8" i="1"/>
  <c r="K57" i="1"/>
  <c r="K25" i="1"/>
  <c r="J19" i="1" l="1"/>
  <c r="K19" i="1"/>
  <c r="L19" i="1"/>
  <c r="I19" i="1"/>
  <c r="M26" i="1"/>
  <c r="M25" i="1"/>
  <c r="M24" i="1"/>
  <c r="E89" i="1" l="1"/>
  <c r="D89" i="1" s="1"/>
  <c r="E70" i="1"/>
  <c r="C72" i="1" s="1"/>
  <c r="D62" i="1"/>
  <c r="C63" i="1"/>
  <c r="D63" i="1" s="1"/>
  <c r="D64" i="1"/>
  <c r="D65" i="1"/>
  <c r="D66" i="1"/>
  <c r="C54" i="1"/>
  <c r="E54" i="1" s="1"/>
  <c r="C57" i="1"/>
  <c r="E57" i="1" s="1"/>
  <c r="E56" i="1"/>
  <c r="E38" i="1"/>
  <c r="D52" i="1"/>
  <c r="D51" i="1"/>
  <c r="D48" i="1"/>
  <c r="D47" i="1"/>
  <c r="E45" i="1"/>
  <c r="C41" i="1"/>
  <c r="D41" i="1" s="1"/>
  <c r="C33" i="1"/>
  <c r="E34" i="1"/>
  <c r="C35" i="1" s="1"/>
  <c r="E35" i="1" s="1"/>
  <c r="C37" i="1" s="1"/>
  <c r="D32" i="1"/>
  <c r="E32" i="1" s="1"/>
  <c r="D31" i="1"/>
  <c r="E31" i="1" s="1"/>
  <c r="C30" i="1"/>
  <c r="C28" i="1" s="1"/>
  <c r="D29" i="1"/>
  <c r="E29" i="1" s="1"/>
  <c r="C26" i="1"/>
  <c r="D26" i="1" s="1"/>
  <c r="D25" i="1"/>
  <c r="D24" i="1"/>
  <c r="E24" i="1" s="1"/>
  <c r="E23" i="1"/>
  <c r="E22" i="1"/>
  <c r="E21" i="1"/>
  <c r="E20" i="1"/>
  <c r="C19" i="1"/>
  <c r="C13" i="1"/>
  <c r="C14" i="1" s="1"/>
  <c r="E12" i="1"/>
  <c r="E55" i="1" l="1"/>
  <c r="E53" i="1" s="1"/>
  <c r="E30" i="1"/>
  <c r="E28" i="1" s="1"/>
  <c r="E37" i="1"/>
  <c r="E19" i="1"/>
  <c r="E33" i="1"/>
  <c r="D33" i="1" s="1"/>
  <c r="C55" i="1"/>
  <c r="E72" i="1"/>
  <c r="C27" i="1"/>
  <c r="C15" i="1"/>
  <c r="D14" i="1"/>
  <c r="D13" i="1"/>
  <c r="D30" i="1" l="1"/>
  <c r="E27" i="1"/>
  <c r="D27" i="1" s="1"/>
  <c r="D28" i="1"/>
  <c r="D55" i="1"/>
  <c r="C53" i="1"/>
  <c r="D53" i="1" s="1"/>
  <c r="C39" i="1"/>
  <c r="E36" i="1"/>
  <c r="E71" i="1"/>
  <c r="C73" i="1"/>
  <c r="C16" i="1"/>
  <c r="D15" i="1"/>
  <c r="D39" i="1" l="1"/>
  <c r="C40" i="1"/>
  <c r="C74" i="1"/>
  <c r="D74" i="1" s="1"/>
  <c r="D73" i="1"/>
  <c r="E61" i="1"/>
  <c r="C17" i="1"/>
  <c r="E16" i="1"/>
  <c r="E11" i="1" s="1"/>
  <c r="D40" i="1" l="1"/>
  <c r="C42" i="1"/>
  <c r="C71" i="1"/>
  <c r="D71" i="1" s="1"/>
  <c r="C18" i="1"/>
  <c r="D17" i="1"/>
  <c r="D18" i="1" l="1"/>
  <c r="C11" i="1"/>
  <c r="D42" i="1"/>
  <c r="C43" i="1"/>
  <c r="D43" i="1" l="1"/>
  <c r="C44" i="1"/>
  <c r="D44" i="1" l="1"/>
  <c r="C46" i="1"/>
  <c r="D46" i="1" l="1"/>
  <c r="C49" i="1"/>
  <c r="D49" i="1" l="1"/>
  <c r="C50" i="1"/>
  <c r="D50" i="1" s="1"/>
  <c r="C45" i="1"/>
  <c r="E93" i="1"/>
  <c r="C78" i="1"/>
  <c r="L45" i="1"/>
  <c r="D45" i="1" l="1"/>
  <c r="C38" i="1"/>
  <c r="L104" i="1"/>
  <c r="K97" i="1"/>
  <c r="K58" i="1" s="1"/>
  <c r="I61" i="1"/>
  <c r="I59" i="1" s="1"/>
  <c r="I58" i="1" s="1"/>
  <c r="D38" i="1" l="1"/>
  <c r="C36" i="1"/>
  <c r="D36" i="1" s="1"/>
  <c r="L38" i="1"/>
  <c r="L36" i="1" s="1"/>
  <c r="M112" i="1"/>
  <c r="M111" i="1"/>
  <c r="M110" i="1"/>
  <c r="M109" i="1"/>
  <c r="M106" i="1"/>
  <c r="M105" i="1"/>
  <c r="M103" i="1"/>
  <c r="M102" i="1"/>
  <c r="M101" i="1"/>
  <c r="M100" i="1"/>
  <c r="M108" i="1"/>
  <c r="L101" i="1"/>
  <c r="L97" i="1"/>
  <c r="L58" i="1" s="1"/>
  <c r="K117" i="1"/>
  <c r="K116" i="1" s="1"/>
  <c r="J11" i="1"/>
  <c r="J9" i="1" s="1"/>
  <c r="K11" i="1"/>
  <c r="K9" i="1" s="1"/>
  <c r="K7" i="1" s="1"/>
  <c r="L11" i="1"/>
  <c r="L9" i="1" s="1"/>
  <c r="I11" i="1"/>
  <c r="I9" i="1" s="1"/>
  <c r="J7" i="1" l="1"/>
  <c r="M9" i="1"/>
  <c r="M104" i="1"/>
  <c r="M107" i="1"/>
  <c r="L7" i="1" l="1"/>
  <c r="M125" i="1"/>
  <c r="M124" i="1"/>
  <c r="M123" i="1"/>
  <c r="M122" i="1"/>
  <c r="M121" i="1"/>
  <c r="M119" i="1"/>
  <c r="M118" i="1"/>
  <c r="M115" i="1"/>
  <c r="M114" i="1"/>
  <c r="M113" i="1"/>
  <c r="M99" i="1"/>
  <c r="M98" i="1"/>
  <c r="M97" i="1"/>
  <c r="M95" i="1"/>
  <c r="M94" i="1"/>
  <c r="M93" i="1"/>
  <c r="M92" i="1"/>
  <c r="M90" i="1"/>
  <c r="M89" i="1"/>
  <c r="M88" i="1"/>
  <c r="M87" i="1"/>
  <c r="M86" i="1"/>
  <c r="M85" i="1"/>
  <c r="M84" i="1"/>
  <c r="M83" i="1"/>
  <c r="M82" i="1"/>
  <c r="M80" i="1"/>
  <c r="M78" i="1"/>
  <c r="M77" i="1"/>
  <c r="M76" i="1"/>
  <c r="M74" i="1"/>
  <c r="M73" i="1"/>
  <c r="M72" i="1"/>
  <c r="M71" i="1"/>
  <c r="M70" i="1"/>
  <c r="M69" i="1"/>
  <c r="M68" i="1" s="1"/>
  <c r="M66" i="1"/>
  <c r="M65" i="1"/>
  <c r="M64" i="1"/>
  <c r="M63" i="1"/>
  <c r="M62" i="1"/>
  <c r="M61" i="1"/>
  <c r="M60" i="1"/>
  <c r="M59" i="1"/>
  <c r="M57" i="1"/>
  <c r="M56" i="1"/>
  <c r="M54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2" i="1"/>
  <c r="M31" i="1"/>
  <c r="M30" i="1"/>
  <c r="M29" i="1"/>
  <c r="M28" i="1"/>
  <c r="M27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H125" i="1"/>
  <c r="H124" i="1"/>
  <c r="H123" i="1"/>
  <c r="H122" i="1"/>
  <c r="H121" i="1"/>
  <c r="H120" i="1"/>
  <c r="H119" i="1"/>
  <c r="H118" i="1"/>
  <c r="H115" i="1"/>
  <c r="H114" i="1"/>
  <c r="H112" i="1"/>
  <c r="H111" i="1"/>
  <c r="H110" i="1"/>
  <c r="H109" i="1"/>
  <c r="H108" i="1"/>
  <c r="H107" i="1"/>
  <c r="H105" i="1"/>
  <c r="H103" i="1"/>
  <c r="H102" i="1"/>
  <c r="H101" i="1"/>
  <c r="H100" i="1"/>
  <c r="H98" i="1"/>
  <c r="H97" i="1"/>
  <c r="H95" i="1"/>
  <c r="H94" i="1"/>
  <c r="H92" i="1"/>
  <c r="H91" i="1"/>
  <c r="H90" i="1"/>
  <c r="H89" i="1"/>
  <c r="H88" i="1"/>
  <c r="H87" i="1"/>
  <c r="H86" i="1"/>
  <c r="H85" i="1"/>
  <c r="H84" i="1"/>
  <c r="H83" i="1"/>
  <c r="H82" i="1"/>
  <c r="H80" i="1"/>
  <c r="H78" i="1"/>
  <c r="H77" i="1"/>
  <c r="H76" i="1"/>
  <c r="H73" i="1"/>
  <c r="H72" i="1"/>
  <c r="H70" i="1"/>
  <c r="I75" i="1"/>
  <c r="J75" i="1"/>
  <c r="K75" i="1"/>
  <c r="L75" i="1"/>
  <c r="M75" i="1" l="1"/>
  <c r="F113" i="1" l="1"/>
  <c r="G113" i="1"/>
  <c r="F106" i="1"/>
  <c r="G106" i="1"/>
  <c r="G104" i="1" s="1"/>
  <c r="G99" i="1" s="1"/>
  <c r="F81" i="1"/>
  <c r="F79" i="1" s="1"/>
  <c r="G81" i="1"/>
  <c r="G79" i="1" s="1"/>
  <c r="F75" i="1"/>
  <c r="F74" i="1" s="1"/>
  <c r="G75" i="1"/>
  <c r="G74" i="1" s="1"/>
  <c r="F71" i="1"/>
  <c r="G71" i="1"/>
  <c r="G69" i="1" s="1"/>
  <c r="H79" i="1" l="1"/>
  <c r="H74" i="1"/>
  <c r="H71" i="1"/>
  <c r="H106" i="1"/>
  <c r="F69" i="1"/>
  <c r="H81" i="1"/>
  <c r="G68" i="1"/>
  <c r="G67" i="1" s="1"/>
  <c r="H75" i="1"/>
  <c r="F104" i="1"/>
  <c r="H113" i="1"/>
  <c r="L120" i="1"/>
  <c r="L117" i="1"/>
  <c r="I117" i="1"/>
  <c r="J117" i="1"/>
  <c r="I120" i="1"/>
  <c r="J120" i="1"/>
  <c r="F117" i="1"/>
  <c r="G117" i="1"/>
  <c r="G116" i="1" s="1"/>
  <c r="G61" i="1"/>
  <c r="G59" i="1" s="1"/>
  <c r="J55" i="1"/>
  <c r="J53" i="1" s="1"/>
  <c r="K55" i="1"/>
  <c r="K53" i="1" s="1"/>
  <c r="L55" i="1"/>
  <c r="L53" i="1" s="1"/>
  <c r="N55" i="1"/>
  <c r="O55" i="1"/>
  <c r="P55" i="1"/>
  <c r="I55" i="1"/>
  <c r="I33" i="1"/>
  <c r="I7" i="1" s="1"/>
  <c r="L116" i="1" l="1"/>
  <c r="H117" i="1"/>
  <c r="M33" i="1"/>
  <c r="J116" i="1"/>
  <c r="F99" i="1"/>
  <c r="H99" i="1" s="1"/>
  <c r="H104" i="1"/>
  <c r="I53" i="1"/>
  <c r="M53" i="1" s="1"/>
  <c r="M55" i="1"/>
  <c r="I116" i="1"/>
  <c r="M117" i="1"/>
  <c r="M120" i="1"/>
  <c r="F68" i="1"/>
  <c r="H69" i="1"/>
  <c r="F116" i="1"/>
  <c r="H116" i="1" s="1"/>
  <c r="E4" i="1"/>
  <c r="C5" i="1" s="1"/>
  <c r="H68" i="1" l="1"/>
  <c r="F67" i="1"/>
  <c r="M116" i="1"/>
  <c r="M7" i="1"/>
  <c r="E5" i="1"/>
  <c r="N90" i="1"/>
  <c r="O90" i="1"/>
  <c r="P90" i="1"/>
  <c r="F66" i="1" l="1"/>
  <c r="H66" i="1" s="1"/>
  <c r="H67" i="1"/>
  <c r="N75" i="1"/>
  <c r="F65" i="1" l="1"/>
  <c r="H65" i="1" s="1"/>
  <c r="O82" i="1"/>
  <c r="P82" i="1"/>
  <c r="N82" i="1"/>
  <c r="D78" i="1"/>
  <c r="O71" i="1"/>
  <c r="P71" i="1"/>
  <c r="N71" i="1"/>
  <c r="F64" i="1" l="1"/>
  <c r="H64" i="1" s="1"/>
  <c r="O99" i="1"/>
  <c r="N69" i="1"/>
  <c r="O75" i="1"/>
  <c r="P75" i="1"/>
  <c r="C112" i="1"/>
  <c r="N106" i="1"/>
  <c r="O106" i="1"/>
  <c r="O95" i="1"/>
  <c r="N95" i="1"/>
  <c r="F63" i="1" l="1"/>
  <c r="H63" i="1" s="1"/>
  <c r="P123" i="1"/>
  <c r="O123" i="1"/>
  <c r="N123" i="1"/>
  <c r="P117" i="1"/>
  <c r="O117" i="1"/>
  <c r="N117" i="1"/>
  <c r="P113" i="1"/>
  <c r="O113" i="1"/>
  <c r="N113" i="1"/>
  <c r="P106" i="1"/>
  <c r="P104" i="1" s="1"/>
  <c r="P99" i="1" s="1"/>
  <c r="P97" i="1" s="1"/>
  <c r="O104" i="1"/>
  <c r="O97" i="1" s="1"/>
  <c r="N104" i="1"/>
  <c r="P93" i="1"/>
  <c r="P91" i="1" s="1"/>
  <c r="O93" i="1"/>
  <c r="O91" i="1" s="1"/>
  <c r="N93" i="1"/>
  <c r="N91" i="1" s="1"/>
  <c r="P87" i="1"/>
  <c r="P85" i="1" s="1"/>
  <c r="P84" i="1" s="1"/>
  <c r="O87" i="1"/>
  <c r="O85" i="1" s="1"/>
  <c r="O84" i="1" s="1"/>
  <c r="N87" i="1"/>
  <c r="N85" i="1" s="1"/>
  <c r="N84" i="1" s="1"/>
  <c r="E87" i="1"/>
  <c r="P81" i="1"/>
  <c r="P79" i="1" s="1"/>
  <c r="O81" i="1"/>
  <c r="O79" i="1" s="1"/>
  <c r="N81" i="1"/>
  <c r="N79" i="1" s="1"/>
  <c r="E81" i="1"/>
  <c r="P69" i="1"/>
  <c r="O69" i="1"/>
  <c r="P61" i="1"/>
  <c r="P59" i="1" s="1"/>
  <c r="O61" i="1"/>
  <c r="O59" i="1" s="1"/>
  <c r="N61" i="1"/>
  <c r="N59" i="1" s="1"/>
  <c r="P53" i="1"/>
  <c r="O53" i="1"/>
  <c r="N53" i="1"/>
  <c r="P45" i="1"/>
  <c r="P38" i="1" s="1"/>
  <c r="P36" i="1" s="1"/>
  <c r="O45" i="1"/>
  <c r="O38" i="1" s="1"/>
  <c r="O36" i="1" s="1"/>
  <c r="N45" i="1"/>
  <c r="N38" i="1" s="1"/>
  <c r="N36" i="1" s="1"/>
  <c r="P33" i="1"/>
  <c r="O33" i="1"/>
  <c r="N33" i="1"/>
  <c r="P30" i="1"/>
  <c r="P28" i="1" s="1"/>
  <c r="P27" i="1" s="1"/>
  <c r="P19" i="1"/>
  <c r="P11" i="1" s="1"/>
  <c r="P9" i="1" s="1"/>
  <c r="P120" i="1"/>
  <c r="O120" i="1"/>
  <c r="N120" i="1"/>
  <c r="E124" i="1"/>
  <c r="C125" i="1" s="1"/>
  <c r="D125" i="1" s="1"/>
  <c r="E114" i="1"/>
  <c r="C115" i="1" s="1"/>
  <c r="C113" i="1" s="1"/>
  <c r="D103" i="1"/>
  <c r="E109" i="1"/>
  <c r="E110" i="1" s="1"/>
  <c r="C108" i="1"/>
  <c r="D108" i="1" s="1"/>
  <c r="E105" i="1"/>
  <c r="E98" i="1"/>
  <c r="N102" i="1"/>
  <c r="N99" i="1" s="1"/>
  <c r="E76" i="1"/>
  <c r="D83" i="1"/>
  <c r="E80" i="1"/>
  <c r="C82" i="1" s="1"/>
  <c r="D82" i="1" s="1"/>
  <c r="C86" i="1"/>
  <c r="E86" i="1" s="1"/>
  <c r="C88" i="1" s="1"/>
  <c r="D88" i="1" s="1"/>
  <c r="F62" i="1" l="1"/>
  <c r="F61" i="1" s="1"/>
  <c r="H61" i="1" s="1"/>
  <c r="C77" i="1"/>
  <c r="E75" i="1"/>
  <c r="C107" i="1"/>
  <c r="D107" i="1" s="1"/>
  <c r="C111" i="1"/>
  <c r="D111" i="1" s="1"/>
  <c r="E112" i="1"/>
  <c r="D112" i="1" s="1"/>
  <c r="N97" i="1"/>
  <c r="P68" i="1"/>
  <c r="P58" i="1" s="1"/>
  <c r="P7" i="1"/>
  <c r="N68" i="1"/>
  <c r="E85" i="1"/>
  <c r="E84" i="1" s="1"/>
  <c r="P116" i="1"/>
  <c r="O68" i="1"/>
  <c r="O58" i="1" s="1"/>
  <c r="C81" i="1"/>
  <c r="C79" i="1" s="1"/>
  <c r="C87" i="1"/>
  <c r="N116" i="1"/>
  <c r="E113" i="1"/>
  <c r="D113" i="1" s="1"/>
  <c r="E123" i="1"/>
  <c r="O116" i="1"/>
  <c r="C123" i="1"/>
  <c r="E106" i="1"/>
  <c r="E104" i="1" s="1"/>
  <c r="E79" i="1"/>
  <c r="C121" i="1"/>
  <c r="C118" i="1"/>
  <c r="C92" i="1"/>
  <c r="C100" i="1"/>
  <c r="D100" i="1" s="1"/>
  <c r="H62" i="1" l="1"/>
  <c r="F60" i="1"/>
  <c r="H60" i="1" s="1"/>
  <c r="O126" i="1"/>
  <c r="P126" i="1"/>
  <c r="D77" i="1"/>
  <c r="C75" i="1"/>
  <c r="C106" i="1"/>
  <c r="C104" i="1" s="1"/>
  <c r="C85" i="1"/>
  <c r="D85" i="1" s="1"/>
  <c r="C90" i="1"/>
  <c r="D90" i="1" s="1"/>
  <c r="N58" i="1"/>
  <c r="N126" i="1" s="1"/>
  <c r="O6" i="1"/>
  <c r="P6" i="1"/>
  <c r="D87" i="1"/>
  <c r="D79" i="1"/>
  <c r="D81" i="1"/>
  <c r="E118" i="1"/>
  <c r="E121" i="1"/>
  <c r="C101" i="1"/>
  <c r="C102" i="1" s="1"/>
  <c r="D102" i="1" s="1"/>
  <c r="E92" i="1"/>
  <c r="D123" i="1"/>
  <c r="F59" i="1" l="1"/>
  <c r="H59" i="1" s="1"/>
  <c r="H58" i="1" s="1"/>
  <c r="H126" i="1" s="1"/>
  <c r="D106" i="1"/>
  <c r="C95" i="1"/>
  <c r="E91" i="1"/>
  <c r="C69" i="1"/>
  <c r="C84" i="1"/>
  <c r="D84" i="1" s="1"/>
  <c r="E99" i="1"/>
  <c r="E97" i="1" s="1"/>
  <c r="D101" i="1"/>
  <c r="C119" i="1"/>
  <c r="E117" i="1"/>
  <c r="C99" i="1"/>
  <c r="C122" i="1"/>
  <c r="E120" i="1"/>
  <c r="C94" i="1"/>
  <c r="D95" i="1" l="1"/>
  <c r="D94" i="1"/>
  <c r="C97" i="1"/>
  <c r="D97" i="1" s="1"/>
  <c r="D99" i="1"/>
  <c r="D122" i="1"/>
  <c r="C120" i="1"/>
  <c r="D120" i="1" s="1"/>
  <c r="E116" i="1"/>
  <c r="D119" i="1"/>
  <c r="C117" i="1"/>
  <c r="C116" i="1" l="1"/>
  <c r="D116" i="1" s="1"/>
  <c r="D117" i="1"/>
  <c r="C93" i="1"/>
  <c r="D93" i="1" l="1"/>
  <c r="C91" i="1"/>
  <c r="D91" i="1" l="1"/>
  <c r="D115" i="1" l="1"/>
  <c r="E69" i="1" l="1"/>
  <c r="D69" i="1" s="1"/>
  <c r="C68" i="1"/>
  <c r="E68" i="1" l="1"/>
  <c r="E58" i="1" s="1"/>
  <c r="E6" i="1" s="1"/>
  <c r="N6" i="1"/>
  <c r="D68" i="1" l="1"/>
  <c r="C61" i="1"/>
  <c r="C58" i="1" s="1"/>
  <c r="C6" i="1" s="1"/>
  <c r="D58" i="1" l="1"/>
  <c r="M58" i="1" l="1"/>
  <c r="M1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Casas Rojas, Laura Ximena</author>
  </authors>
  <commentList>
    <comment ref="E97" authorId="0" shapeId="0" xr:uid="{FCDC7724-7921-4AA1-9FE3-79608EE1A6B2}">
      <text>
        <r>
          <rPr>
            <b/>
            <sz val="9"/>
            <color indexed="81"/>
            <rFont val="Tahoma"/>
            <family val="2"/>
          </rPr>
          <t>Casas Rojas, Laura Ximena:</t>
        </r>
        <r>
          <rPr>
            <sz val="9"/>
            <color indexed="81"/>
            <rFont val="Tahoma"/>
            <family val="2"/>
          </rPr>
          <t xml:space="preserve">
Revisar con Nata Ariza Ramirez 
fechas de los pilotos</t>
        </r>
      </text>
    </comment>
  </commentList>
</comments>
</file>

<file path=xl/sharedStrings.xml><?xml version="1.0" encoding="utf-8"?>
<sst xmlns="http://schemas.openxmlformats.org/spreadsheetml/2006/main" count="262" uniqueCount="189">
  <si>
    <t xml:space="preserve">Firma del contrato de Crédito </t>
  </si>
  <si>
    <t>Fecha inicio</t>
  </si>
  <si>
    <t>Duración</t>
  </si>
  <si>
    <t>Fecha fin</t>
  </si>
  <si>
    <t>1.3.1</t>
  </si>
  <si>
    <t>1.2.2.8</t>
  </si>
  <si>
    <t>1.3.1.1</t>
  </si>
  <si>
    <t>CRM</t>
  </si>
  <si>
    <t>1.3.1.2</t>
  </si>
  <si>
    <t>Costos no tecnológicos</t>
  </si>
  <si>
    <t>1.3.1.2.1</t>
  </si>
  <si>
    <t>1.3.1.2.2</t>
  </si>
  <si>
    <t>Capacitación</t>
  </si>
  <si>
    <t>Gestión del Cambio</t>
  </si>
  <si>
    <t>Gerencia del Proyecto</t>
  </si>
  <si>
    <t>Costos no tecnológicos CRM</t>
  </si>
  <si>
    <t xml:space="preserve">Sistema gerencial del Ministerio de Trabajo diseñado </t>
  </si>
  <si>
    <t>1.4.1</t>
  </si>
  <si>
    <t>Etapa precontractual</t>
  </si>
  <si>
    <t>Ejecución</t>
  </si>
  <si>
    <t>1.4.2</t>
  </si>
  <si>
    <t>Sistema gerencial del Ministerio de Trabajo implementado</t>
  </si>
  <si>
    <t>1.5.1</t>
  </si>
  <si>
    <t>1.5.2</t>
  </si>
  <si>
    <t>Servicio de Implementación</t>
  </si>
  <si>
    <t>Licenciamiento</t>
  </si>
  <si>
    <t>Soporte &amp; Mantenimiento Licenciamiento</t>
  </si>
  <si>
    <t>Infraestructura</t>
  </si>
  <si>
    <t>Base de Datos</t>
  </si>
  <si>
    <t>Conectividad</t>
  </si>
  <si>
    <t>1.5.2.1</t>
  </si>
  <si>
    <t>1.5.2.2</t>
  </si>
  <si>
    <t>1.5.2.3</t>
  </si>
  <si>
    <t>1.5.2.4</t>
  </si>
  <si>
    <t>1.5.2.5</t>
  </si>
  <si>
    <t>1.5.2.6</t>
  </si>
  <si>
    <t>1.5.2.7</t>
  </si>
  <si>
    <t>Costos no tecnólogicos</t>
  </si>
  <si>
    <t>1.5.2.7.1</t>
  </si>
  <si>
    <t>1.5.2.7.2</t>
  </si>
  <si>
    <t>1.5.2.7.3</t>
  </si>
  <si>
    <t>1.5.2.7.4</t>
  </si>
  <si>
    <t>1.5.2.7.5</t>
  </si>
  <si>
    <t>1.5.2.7.6</t>
  </si>
  <si>
    <t>1.5.2.7.7</t>
  </si>
  <si>
    <t>Puestos de trabajo y equipos de computo</t>
  </si>
  <si>
    <t>Testing</t>
  </si>
  <si>
    <t>Integrador</t>
  </si>
  <si>
    <t xml:space="preserve">Capacitación y Gestión del Cambio </t>
  </si>
  <si>
    <t>Equipo de Trabajo para puesta en marcha 5p y PMO</t>
  </si>
  <si>
    <t>Equipo CIL</t>
  </si>
  <si>
    <t>1.6.1</t>
  </si>
  <si>
    <t>1.6.2</t>
  </si>
  <si>
    <t>1.6.2.1</t>
  </si>
  <si>
    <t>1.6.2.2</t>
  </si>
  <si>
    <t>BPMN - Optimización modelo UASPE</t>
  </si>
  <si>
    <t>Gestión empresarial</t>
  </si>
  <si>
    <t>1.2.1</t>
  </si>
  <si>
    <t>1.2.2</t>
  </si>
  <si>
    <t>1.2.2.1</t>
  </si>
  <si>
    <t>1.2.2.2</t>
  </si>
  <si>
    <t>1.2.2.3</t>
  </si>
  <si>
    <t>1.2.2.4</t>
  </si>
  <si>
    <t>1.2.2.5</t>
  </si>
  <si>
    <t>1.2.2.6</t>
  </si>
  <si>
    <t>1.2.2.7</t>
  </si>
  <si>
    <t>1.2.2.8.1</t>
  </si>
  <si>
    <t>1.2.2.8.2</t>
  </si>
  <si>
    <t>1.2.2.8.3</t>
  </si>
  <si>
    <t>1.2.2.8.4</t>
  </si>
  <si>
    <t>1.2.2.8.5</t>
  </si>
  <si>
    <t>Pertinencia y calidad de la FT y ampliación y fortalecimiento
en certificación de competencias</t>
  </si>
  <si>
    <t>Portal de información sobre la FT implementado</t>
  </si>
  <si>
    <t>2.1.2</t>
  </si>
  <si>
    <t>2.1.1</t>
  </si>
  <si>
    <t>Servicio de implementación</t>
  </si>
  <si>
    <t>Soporte &amp; Mantenimiento Infraestructura</t>
  </si>
  <si>
    <t>2.1.2.1</t>
  </si>
  <si>
    <t>2.1.2.2</t>
  </si>
  <si>
    <t>2.1.2.3</t>
  </si>
  <si>
    <t>2.1.2.4</t>
  </si>
  <si>
    <t>2.1.2.5</t>
  </si>
  <si>
    <t xml:space="preserve">Lanzamiento de los estándares para la acreditación de organismos públicos de certificación de competencias laborales. </t>
  </si>
  <si>
    <t>Precontractual</t>
  </si>
  <si>
    <t>2.3.1</t>
  </si>
  <si>
    <t>2.3.2</t>
  </si>
  <si>
    <t>2.3.2.1</t>
  </si>
  <si>
    <t>2.3.2.2</t>
  </si>
  <si>
    <t>Portal Implementación</t>
  </si>
  <si>
    <t>Match</t>
  </si>
  <si>
    <t>Analítica</t>
  </si>
  <si>
    <t>Bus de Integración y BPM</t>
  </si>
  <si>
    <t>APP Implementación</t>
  </si>
  <si>
    <t>Centro de Notificaciones</t>
  </si>
  <si>
    <t xml:space="preserve">Infraestructura </t>
  </si>
  <si>
    <t>Puestos de Trabajo</t>
  </si>
  <si>
    <t>Mesa de ayuda</t>
  </si>
  <si>
    <t>Segunda fase del sistema de información  del servicio público de empleo implementado</t>
  </si>
  <si>
    <t>Herramienta para recolectar información de perfiles laborales implementada</t>
  </si>
  <si>
    <t>Informes para escalamiento de sistema de aseguramiento de calidad de la FT terminados</t>
  </si>
  <si>
    <t>2.4.1</t>
  </si>
  <si>
    <t>2.4.2</t>
  </si>
  <si>
    <t>2.4.2.1</t>
  </si>
  <si>
    <t>2.4.2.2</t>
  </si>
  <si>
    <t>Análisis de información de la herramienta de recolección</t>
  </si>
  <si>
    <t xml:space="preserve">Diseño e implementación de herramienta tecnológica de registro de normas y certificados laborales del programa. </t>
  </si>
  <si>
    <t>Lanzamiento plataforma consulta certificación de competencias y normas</t>
  </si>
  <si>
    <t>Elegibilidad</t>
  </si>
  <si>
    <t>Guia metodológica para estructurar modelos gestión del talento humano y certificación por competencias en las empresas/sectores</t>
  </si>
  <si>
    <t>Desarrollo del documento de diseño del mecanismo institucional, los estándares y las herramientas de evaluación para realizar la acreditación de los procesos de certificación de competencias laborales de entidades públicas.</t>
  </si>
  <si>
    <t>Aplicación y mejora continua de herramienta de recolección de información - salida al público pagina web - SENA y UAESPE</t>
  </si>
  <si>
    <t>2.5.1</t>
  </si>
  <si>
    <t>2.5.2</t>
  </si>
  <si>
    <t>2.5.2.1</t>
  </si>
  <si>
    <t>2.5.2.2</t>
  </si>
  <si>
    <t>Diseñar estándares de habilitación y certificación de  calidad de programas e instituciones FT</t>
  </si>
  <si>
    <t>2.6.1</t>
  </si>
  <si>
    <t>2.6.2</t>
  </si>
  <si>
    <t>2.6.2.1</t>
  </si>
  <si>
    <t>2.6.2.2</t>
  </si>
  <si>
    <t>Estructurar banco de evaluadores y pares (1) para implementar modelo de aseguramiento de la FT</t>
  </si>
  <si>
    <t>Diseño de plan piloto en regiones (Bogotá, Medellín, Cali) y sectores estratégicos (TI)</t>
  </si>
  <si>
    <t>Piloto de herramientas de evaluación/implementación de calidad</t>
  </si>
  <si>
    <t>Evento lanzamiento proceso de evaluación de calidad de la FT</t>
  </si>
  <si>
    <t xml:space="preserve">Documento de resultado de implementación piloto - resultado de la formación. </t>
  </si>
  <si>
    <t>Evento socialización resultados piloto de proceso de evaluación de calidad de la FT (nuevo sello calidad)</t>
  </si>
  <si>
    <t>Documento de costos unitarios por herramienta, nivel de honorarios de pares, esquema de tarifas de proceso de certificación de calidad y esquema de incentivos para las instituciones de FT elaborado</t>
  </si>
  <si>
    <t>2.8.1</t>
  </si>
  <si>
    <t>2.8.2</t>
  </si>
  <si>
    <t>Unidad ejecutora</t>
  </si>
  <si>
    <t>Auditoria financiera</t>
  </si>
  <si>
    <t>Monitoreo y evaluación</t>
  </si>
  <si>
    <t>Cobertura y efectividad de las políticas de empleo</t>
  </si>
  <si>
    <t>3.1.1</t>
  </si>
  <si>
    <t>3.1.2</t>
  </si>
  <si>
    <t>3.2.2</t>
  </si>
  <si>
    <t>3.2.1</t>
  </si>
  <si>
    <t>3.3.1</t>
  </si>
  <si>
    <t>3.3.2</t>
  </si>
  <si>
    <t>Sistema de información del servicio público de empleo diseñado</t>
  </si>
  <si>
    <t>Primera fase del sistema de información del servicio público de empleo implementado</t>
  </si>
  <si>
    <t>Diseño del mecanismo institucional, estándares y herramientas de evaluación para realizar la acreditación de los procesos de certificación de competencias laborales de entidades públicas.</t>
  </si>
  <si>
    <t>Piloto de proceso de acreditación de los procesos de certificación de competencias laborales</t>
  </si>
  <si>
    <t>Aplicación de herramientas de fomento a la gestión del talento humano y procesos de certificación por competencias laborales.</t>
  </si>
  <si>
    <t>Diseño, socialización e implementación de herramienta para recolectar información del perfil laboral de los partipantes</t>
  </si>
  <si>
    <t xml:space="preserve">Capacitación, lanzamiento,  y socialización de herramienta de recolección de información del perfil laboral de los participantes </t>
  </si>
  <si>
    <t>Diseñar indicadores, metodologías de medición y evaluación de resultados para aplicar en el proceso de habilitación y certificación de calidad de la FT</t>
  </si>
  <si>
    <t>Análisis de información resultados piloto</t>
  </si>
  <si>
    <t>Q3</t>
  </si>
  <si>
    <t>Q4</t>
  </si>
  <si>
    <t>Q1</t>
  </si>
  <si>
    <t>Q2</t>
  </si>
  <si>
    <t>Total BID</t>
  </si>
  <si>
    <t>OK</t>
  </si>
  <si>
    <t xml:space="preserve">Programa para Fortalecer Políticas de Empleo (CO-L1250) - POA 18 meses
</t>
  </si>
  <si>
    <t>Programa modular de certificación de competencias implementado</t>
  </si>
  <si>
    <t>Diseño del programa modular de evaluación y certificación</t>
  </si>
  <si>
    <t>Implementación y esquema de socialización del programa de modular de evaluación y certificación</t>
  </si>
  <si>
    <t>1.2.2.8.6</t>
  </si>
  <si>
    <t>1.2.2.8.7</t>
  </si>
  <si>
    <t>Diseño de campaña de divulgación</t>
  </si>
  <si>
    <t>-</t>
  </si>
  <si>
    <t>2.3.1.1</t>
  </si>
  <si>
    <t>2.3.1.2</t>
  </si>
  <si>
    <t>2.3.1.2.1</t>
  </si>
  <si>
    <t>2.3.1.2.2</t>
  </si>
  <si>
    <t>2.3.1.2.3</t>
  </si>
  <si>
    <t>2.3.2.3</t>
  </si>
  <si>
    <t>2.5.2.2.1</t>
  </si>
  <si>
    <t>2.5.2.2.3</t>
  </si>
  <si>
    <t xml:space="preserve">Lineamientos para eliminar barreras de género en el acceso a programa modular de capacitación y certificación de competencias desarrollados </t>
  </si>
  <si>
    <t>2.8.2.1</t>
  </si>
  <si>
    <t>2.8.2.2</t>
  </si>
  <si>
    <t>2.8.2.3</t>
  </si>
  <si>
    <t>2.8.2.4</t>
  </si>
  <si>
    <t>2.9.1</t>
  </si>
  <si>
    <t>2.9.2</t>
  </si>
  <si>
    <t>2.9.2.1</t>
  </si>
  <si>
    <t>2.9.2.2</t>
  </si>
  <si>
    <t>2.9.2.3</t>
  </si>
  <si>
    <t>2.9.2.4</t>
  </si>
  <si>
    <t>2.9.2.5</t>
  </si>
  <si>
    <t>2.9.2.6</t>
  </si>
  <si>
    <t>Contenido con enfoque de género para portal de orientación de FT desarrollado</t>
  </si>
  <si>
    <t>Mecanismo institucional, estándares y herramientas de evaluación para la acreditación de procesos de certificación por competencias implementado</t>
  </si>
  <si>
    <t>Estándares e instrumentos para el aseguramiento de calidad de la FT implementados</t>
  </si>
  <si>
    <t>Modelo de atención de la red de prestadores del servicio público de empleo implementado</t>
  </si>
  <si>
    <t>Herramientas de normas y registro de certificación de competencias laborales implementadas</t>
  </si>
  <si>
    <t>Pilotos para el aseguramiento de la calidad de la oferta de FT terminados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</si>
</sst>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06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0" fontId="0" fillId="0" borderId="0" xfId="1" applyNumberFormat="1" applyFont="1"/>
    <xf numFmtId="164" fontId="0" fillId="0" borderId="0" xfId="0" applyNumberFormat="1" applyFont="1"/>
    <xf numFmtId="0" fontId="0" fillId="0" borderId="0" xfId="0" applyFont="1"/>
    <xf numFmtId="165" fontId="3" fillId="0" borderId="0" xfId="1" applyNumberFormat="1" applyFont="1"/>
    <xf numFmtId="0" fontId="4" fillId="0" borderId="0" xfId="0" applyFont="1"/>
    <xf numFmtId="164" fontId="4" fillId="0" borderId="0" xfId="0" applyNumberFormat="1" applyFont="1"/>
    <xf numFmtId="165" fontId="4" fillId="0" borderId="0" xfId="1" applyNumberFormat="1" applyFont="1"/>
    <xf numFmtId="0" fontId="8" fillId="0" borderId="0" xfId="0" applyFont="1"/>
    <xf numFmtId="164" fontId="8" fillId="0" borderId="0" xfId="0" applyNumberFormat="1" applyFont="1"/>
    <xf numFmtId="165" fontId="8" fillId="0" borderId="0" xfId="1" applyNumberFormat="1" applyFont="1"/>
    <xf numFmtId="0" fontId="2" fillId="2" borderId="0" xfId="2" applyFont="1" applyAlignment="1">
      <alignment horizontal="left"/>
    </xf>
    <xf numFmtId="0" fontId="2" fillId="2" borderId="0" xfId="2" applyFont="1"/>
    <xf numFmtId="164" fontId="2" fillId="2" borderId="0" xfId="2" applyNumberFormat="1" applyFont="1"/>
    <xf numFmtId="165" fontId="2" fillId="2" borderId="0" xfId="2" applyNumberFormat="1" applyFont="1"/>
    <xf numFmtId="0" fontId="1" fillId="4" borderId="0" xfId="4" applyAlignment="1">
      <alignment horizontal="left"/>
    </xf>
    <xf numFmtId="0" fontId="1" fillId="4" borderId="0" xfId="4"/>
    <xf numFmtId="164" fontId="1" fillId="4" borderId="0" xfId="4" applyNumberFormat="1"/>
    <xf numFmtId="165" fontId="1" fillId="4" borderId="0" xfId="4" applyNumberFormat="1"/>
    <xf numFmtId="0" fontId="1" fillId="4" borderId="0" xfId="4" applyFont="1" applyAlignment="1">
      <alignment horizontal="left"/>
    </xf>
    <xf numFmtId="0" fontId="1" fillId="4" borderId="0" xfId="4" applyFont="1"/>
    <xf numFmtId="164" fontId="1" fillId="4" borderId="0" xfId="4" applyNumberFormat="1" applyFont="1"/>
    <xf numFmtId="165" fontId="1" fillId="4" borderId="0" xfId="4" applyNumberFormat="1" applyFont="1"/>
    <xf numFmtId="0" fontId="0" fillId="4" borderId="0" xfId="4" applyFont="1"/>
    <xf numFmtId="0" fontId="1" fillId="3" borderId="0" xfId="3"/>
    <xf numFmtId="164" fontId="1" fillId="3" borderId="0" xfId="3" applyNumberFormat="1"/>
    <xf numFmtId="165" fontId="1" fillId="3" borderId="0" xfId="3" applyNumberFormat="1"/>
    <xf numFmtId="0" fontId="1" fillId="3" borderId="0" xfId="3" applyAlignment="1">
      <alignment wrapText="1"/>
    </xf>
    <xf numFmtId="0" fontId="1" fillId="3" borderId="0" xfId="3" applyAlignment="1">
      <alignment horizontal="left"/>
    </xf>
    <xf numFmtId="0" fontId="8" fillId="0" borderId="0" xfId="0" applyFont="1" applyAlignment="1">
      <alignment wrapText="1"/>
    </xf>
    <xf numFmtId="165" fontId="1" fillId="0" borderId="0" xfId="1" applyNumberFormat="1" applyFont="1"/>
    <xf numFmtId="165" fontId="9" fillId="0" borderId="0" xfId="1" applyNumberFormat="1" applyFont="1"/>
    <xf numFmtId="0" fontId="9" fillId="0" borderId="0" xfId="0" applyFont="1"/>
    <xf numFmtId="164" fontId="9" fillId="0" borderId="0" xfId="0" applyNumberFormat="1" applyFont="1"/>
    <xf numFmtId="0" fontId="9" fillId="3" borderId="0" xfId="3" applyFont="1"/>
    <xf numFmtId="164" fontId="9" fillId="3" borderId="0" xfId="3" applyNumberFormat="1" applyFont="1"/>
    <xf numFmtId="165" fontId="9" fillId="3" borderId="0" xfId="3" applyNumberFormat="1" applyFont="1"/>
    <xf numFmtId="0" fontId="10" fillId="0" borderId="0" xfId="0" applyFont="1"/>
    <xf numFmtId="164" fontId="10" fillId="0" borderId="0" xfId="0" applyNumberFormat="1" applyFont="1"/>
    <xf numFmtId="165" fontId="10" fillId="0" borderId="0" xfId="1" applyNumberFormat="1" applyFont="1"/>
    <xf numFmtId="0" fontId="10" fillId="0" borderId="0" xfId="0" applyFont="1" applyAlignment="1">
      <alignment wrapText="1"/>
    </xf>
    <xf numFmtId="43" fontId="1" fillId="4" borderId="0" xfId="4" applyNumberFormat="1" applyFont="1"/>
    <xf numFmtId="165" fontId="0" fillId="4" borderId="0" xfId="4" applyNumberFormat="1" applyFont="1"/>
    <xf numFmtId="0" fontId="3" fillId="3" borderId="0" xfId="3" applyFont="1"/>
    <xf numFmtId="0" fontId="10" fillId="0" borderId="0" xfId="0" applyFont="1" applyAlignment="1">
      <alignment horizontal="left"/>
    </xf>
    <xf numFmtId="0" fontId="0" fillId="3" borderId="0" xfId="3" applyFont="1"/>
    <xf numFmtId="164" fontId="11" fillId="0" borderId="0" xfId="0" applyNumberFormat="1" applyFont="1"/>
    <xf numFmtId="165" fontId="8" fillId="0" borderId="0" xfId="0" applyNumberFormat="1" applyFont="1"/>
    <xf numFmtId="165" fontId="10" fillId="5" borderId="0" xfId="1" applyNumberFormat="1" applyFont="1" applyFill="1" applyBorder="1"/>
    <xf numFmtId="165" fontId="4" fillId="0" borderId="0" xfId="0" applyNumberFormat="1" applyFont="1"/>
    <xf numFmtId="0" fontId="11" fillId="3" borderId="0" xfId="3" applyFont="1" applyAlignment="1">
      <alignment horizontal="left"/>
    </xf>
    <xf numFmtId="0" fontId="11" fillId="3" borderId="0" xfId="3" applyFont="1"/>
    <xf numFmtId="164" fontId="11" fillId="3" borderId="0" xfId="3" applyNumberFormat="1" applyFont="1"/>
    <xf numFmtId="165" fontId="11" fillId="3" borderId="0" xfId="3" applyNumberFormat="1" applyFont="1"/>
    <xf numFmtId="0" fontId="10" fillId="0" borderId="0" xfId="0" applyFont="1" applyFill="1"/>
    <xf numFmtId="164" fontId="10" fillId="0" borderId="0" xfId="0" applyNumberFormat="1" applyFont="1" applyFill="1"/>
    <xf numFmtId="165" fontId="10" fillId="0" borderId="0" xfId="1" applyNumberFormat="1" applyFont="1" applyFill="1"/>
    <xf numFmtId="0" fontId="1" fillId="0" borderId="0" xfId="3" applyFill="1"/>
    <xf numFmtId="0" fontId="4" fillId="0" borderId="0" xfId="1" applyNumberFormat="1" applyFont="1" applyAlignment="1">
      <alignment horizontal="center"/>
    </xf>
    <xf numFmtId="164" fontId="1" fillId="6" borderId="0" xfId="4" applyNumberFormat="1" applyFont="1" applyFill="1"/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/>
    <xf numFmtId="165" fontId="4" fillId="0" borderId="1" xfId="1" applyNumberFormat="1" applyFont="1" applyBorder="1"/>
    <xf numFmtId="165" fontId="2" fillId="2" borderId="0" xfId="2" applyNumberFormat="1" applyFont="1" applyBorder="1"/>
    <xf numFmtId="165" fontId="2" fillId="2" borderId="1" xfId="2" applyNumberFormat="1" applyFont="1" applyBorder="1"/>
    <xf numFmtId="165" fontId="1" fillId="4" borderId="0" xfId="4" applyNumberFormat="1" applyBorder="1"/>
    <xf numFmtId="165" fontId="1" fillId="4" borderId="1" xfId="4" applyNumberFormat="1" applyBorder="1"/>
    <xf numFmtId="165" fontId="1" fillId="3" borderId="0" xfId="3" applyNumberFormat="1" applyBorder="1"/>
    <xf numFmtId="165" fontId="1" fillId="3" borderId="1" xfId="3" applyNumberFormat="1" applyBorder="1"/>
    <xf numFmtId="165" fontId="9" fillId="0" borderId="0" xfId="1" applyNumberFormat="1" applyFont="1" applyBorder="1"/>
    <xf numFmtId="165" fontId="9" fillId="0" borderId="1" xfId="1" applyNumberFormat="1" applyFont="1" applyBorder="1"/>
    <xf numFmtId="165" fontId="1" fillId="0" borderId="0" xfId="1" applyNumberFormat="1" applyFont="1" applyBorder="1"/>
    <xf numFmtId="165" fontId="1" fillId="0" borderId="1" xfId="1" applyNumberFormat="1" applyFont="1" applyBorder="1"/>
    <xf numFmtId="165" fontId="1" fillId="4" borderId="0" xfId="4" applyNumberFormat="1" applyFont="1" applyBorder="1"/>
    <xf numFmtId="165" fontId="1" fillId="4" borderId="1" xfId="4" applyNumberFormat="1" applyFont="1" applyBorder="1"/>
    <xf numFmtId="165" fontId="0" fillId="0" borderId="0" xfId="1" applyNumberFormat="1" applyFont="1" applyBorder="1"/>
    <xf numFmtId="165" fontId="0" fillId="0" borderId="1" xfId="1" applyNumberFormat="1" applyFont="1" applyBorder="1"/>
    <xf numFmtId="165" fontId="9" fillId="3" borderId="0" xfId="3" applyNumberFormat="1" applyFont="1" applyBorder="1"/>
    <xf numFmtId="165" fontId="9" fillId="3" borderId="1" xfId="3" applyNumberFormat="1" applyFont="1" applyBorder="1"/>
    <xf numFmtId="165" fontId="10" fillId="0" borderId="0" xfId="1" applyNumberFormat="1" applyFont="1" applyBorder="1"/>
    <xf numFmtId="165" fontId="10" fillId="0" borderId="1" xfId="1" applyNumberFormat="1" applyFont="1" applyBorder="1"/>
    <xf numFmtId="165" fontId="10" fillId="0" borderId="0" xfId="1" applyNumberFormat="1" applyFont="1" applyFill="1" applyBorder="1"/>
    <xf numFmtId="165" fontId="10" fillId="0" borderId="1" xfId="1" applyNumberFormat="1" applyFont="1" applyFill="1" applyBorder="1"/>
    <xf numFmtId="165" fontId="0" fillId="4" borderId="0" xfId="4" applyNumberFormat="1" applyFont="1" applyBorder="1"/>
    <xf numFmtId="165" fontId="0" fillId="4" borderId="1" xfId="4" applyNumberFormat="1" applyFont="1" applyBorder="1"/>
    <xf numFmtId="165" fontId="11" fillId="3" borderId="0" xfId="3" applyNumberFormat="1" applyFont="1" applyBorder="1"/>
    <xf numFmtId="165" fontId="11" fillId="3" borderId="1" xfId="3" applyNumberFormat="1" applyFont="1" applyBorder="1"/>
    <xf numFmtId="0" fontId="1" fillId="7" borderId="0" xfId="3" applyFill="1"/>
    <xf numFmtId="164" fontId="0" fillId="4" borderId="0" xfId="4" applyNumberFormat="1" applyFont="1"/>
    <xf numFmtId="164" fontId="1" fillId="7" borderId="0" xfId="3" applyNumberFormat="1" applyFill="1"/>
    <xf numFmtId="165" fontId="0" fillId="4" borderId="0" xfId="4" applyNumberFormat="1" applyFont="1" applyAlignment="1">
      <alignment horizontal="right"/>
    </xf>
    <xf numFmtId="165" fontId="0" fillId="6" borderId="0" xfId="4" applyNumberFormat="1" applyFont="1" applyFill="1" applyAlignment="1">
      <alignment horizontal="right"/>
    </xf>
    <xf numFmtId="165" fontId="1" fillId="4" borderId="2" xfId="4" applyNumberFormat="1" applyFont="1" applyBorder="1"/>
    <xf numFmtId="165" fontId="1" fillId="3" borderId="2" xfId="3" applyNumberFormat="1" applyBorder="1"/>
    <xf numFmtId="165" fontId="10" fillId="0" borderId="2" xfId="1" applyNumberFormat="1" applyFont="1" applyBorder="1"/>
    <xf numFmtId="2" fontId="1" fillId="4" borderId="0" xfId="4" applyNumberFormat="1" applyFont="1" applyAlignment="1">
      <alignment horizontal="left"/>
    </xf>
    <xf numFmtId="165" fontId="1" fillId="4" borderId="0" xfId="4" applyNumberFormat="1" applyFont="1" applyAlignment="1">
      <alignment horizontal="right"/>
    </xf>
    <xf numFmtId="0" fontId="0" fillId="7" borderId="0" xfId="4" applyFont="1" applyFill="1"/>
    <xf numFmtId="0" fontId="1" fillId="4" borderId="0" xfId="4" applyAlignment="1">
      <alignment wrapText="1"/>
    </xf>
    <xf numFmtId="0" fontId="0" fillId="3" borderId="0" xfId="3" applyFont="1" applyAlignment="1">
      <alignment wrapText="1"/>
    </xf>
    <xf numFmtId="0" fontId="0" fillId="0" borderId="0" xfId="0" applyAlignment="1">
      <alignment wrapText="1"/>
    </xf>
    <xf numFmtId="0" fontId="4" fillId="0" borderId="0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center"/>
    </xf>
  </cellXfs>
  <cellStyles count="5">
    <cellStyle name="40% - Accent1" xfId="3" builtinId="31"/>
    <cellStyle name="60% - Accent1" xfId="4" builtinId="32"/>
    <cellStyle name="Accent1" xfId="2" builtinId="29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79340-EB53-4372-998F-0C22F4FC4091}">
  <dimension ref="A1:Q126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65" sqref="I65"/>
    </sheetView>
  </sheetViews>
  <sheetFormatPr defaultRowHeight="14.4" outlineLevelRow="4" x14ac:dyDescent="0.3"/>
  <cols>
    <col min="2" max="2" width="47.88671875" customWidth="1"/>
    <col min="3" max="3" width="12.109375" style="1" customWidth="1"/>
    <col min="4" max="5" width="11.33203125" customWidth="1"/>
    <col min="6" max="8" width="13.109375" style="2" customWidth="1"/>
    <col min="9" max="13" width="12.5546875" style="2" customWidth="1"/>
    <col min="14" max="16" width="12.6640625" style="2" hidden="1" customWidth="1"/>
    <col min="17" max="17" width="10.88671875" bestFit="1" customWidth="1"/>
  </cols>
  <sheetData>
    <row r="1" spans="1:17" s="10" customFormat="1" ht="54" x14ac:dyDescent="0.35">
      <c r="B1" s="31" t="s">
        <v>154</v>
      </c>
      <c r="C1" s="11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49"/>
    </row>
    <row r="2" spans="1:17" x14ac:dyDescent="0.3">
      <c r="C2" s="1" t="s">
        <v>1</v>
      </c>
      <c r="D2" t="s">
        <v>2</v>
      </c>
      <c r="E2" t="s">
        <v>3</v>
      </c>
      <c r="F2" s="104">
        <v>2020</v>
      </c>
      <c r="G2" s="104"/>
      <c r="H2" s="62"/>
      <c r="I2" s="105">
        <v>2021</v>
      </c>
      <c r="J2" s="105"/>
      <c r="K2" s="105"/>
      <c r="L2" s="105"/>
      <c r="M2" s="60"/>
      <c r="N2" s="3">
        <v>2022</v>
      </c>
      <c r="O2" s="3">
        <v>2023</v>
      </c>
      <c r="P2" s="3">
        <v>2024</v>
      </c>
    </row>
    <row r="3" spans="1:17" hidden="1" x14ac:dyDescent="0.3">
      <c r="F3" s="63" t="s">
        <v>148</v>
      </c>
      <c r="G3" s="63" t="s">
        <v>149</v>
      </c>
      <c r="H3" s="62" t="s">
        <v>152</v>
      </c>
      <c r="I3" s="60" t="s">
        <v>150</v>
      </c>
      <c r="J3" s="60" t="s">
        <v>151</v>
      </c>
      <c r="K3" s="60" t="s">
        <v>148</v>
      </c>
      <c r="L3" s="60" t="s">
        <v>149</v>
      </c>
      <c r="M3" s="60" t="s">
        <v>152</v>
      </c>
      <c r="N3" s="3"/>
      <c r="O3" s="3"/>
      <c r="P3" s="3"/>
    </row>
    <row r="4" spans="1:17" s="7" customFormat="1" hidden="1" x14ac:dyDescent="0.3">
      <c r="B4" s="7" t="s">
        <v>0</v>
      </c>
      <c r="C4" s="8">
        <v>43910</v>
      </c>
      <c r="D4" s="7">
        <v>1</v>
      </c>
      <c r="E4" s="8">
        <f>+C4+D4-1</f>
        <v>43910</v>
      </c>
      <c r="F4" s="64"/>
      <c r="G4" s="64"/>
      <c r="H4" s="65"/>
      <c r="I4" s="9"/>
      <c r="J4" s="9"/>
      <c r="K4" s="9"/>
      <c r="L4" s="9"/>
      <c r="M4" s="9"/>
      <c r="N4" s="9"/>
      <c r="O4" s="9"/>
      <c r="P4" s="9"/>
    </row>
    <row r="5" spans="1:17" s="7" customFormat="1" hidden="1" x14ac:dyDescent="0.3">
      <c r="B5" s="7" t="s">
        <v>107</v>
      </c>
      <c r="C5" s="8">
        <f>+E4</f>
        <v>43910</v>
      </c>
      <c r="D5" s="7">
        <v>110</v>
      </c>
      <c r="E5" s="8">
        <f>+C5+D5-1</f>
        <v>44019</v>
      </c>
      <c r="F5" s="64"/>
      <c r="G5" s="64"/>
      <c r="H5" s="65"/>
      <c r="I5" s="9"/>
      <c r="J5" s="9"/>
      <c r="K5" s="9"/>
      <c r="L5" s="9"/>
      <c r="M5" s="9"/>
      <c r="N5" s="9"/>
      <c r="O5" s="9"/>
      <c r="P5" s="9"/>
    </row>
    <row r="6" spans="1:17" s="7" customFormat="1" hidden="1" x14ac:dyDescent="0.3">
      <c r="B6" s="7" t="s">
        <v>19</v>
      </c>
      <c r="C6" s="8">
        <f>MIN(C7:C125)</f>
        <v>43912</v>
      </c>
      <c r="D6" s="7">
        <v>1628</v>
      </c>
      <c r="E6" s="8">
        <f>MAX(E7:E125)</f>
        <v>45835</v>
      </c>
      <c r="F6" s="64">
        <v>0</v>
      </c>
      <c r="G6" s="64">
        <v>0</v>
      </c>
      <c r="H6" s="65"/>
      <c r="I6" s="9"/>
      <c r="J6" s="9"/>
      <c r="K6" s="9"/>
      <c r="L6" s="9"/>
      <c r="M6" s="9"/>
      <c r="N6" s="9" t="e">
        <f>+N7+N58+N116</f>
        <v>#VALUE!</v>
      </c>
      <c r="O6" s="9">
        <f>+O7+O58+O116</f>
        <v>5214276.2148594372</v>
      </c>
      <c r="P6" s="9">
        <f>+P7+P58+P116</f>
        <v>4018973.6666666665</v>
      </c>
      <c r="Q6" s="51"/>
    </row>
    <row r="7" spans="1:17" s="14" customFormat="1" x14ac:dyDescent="0.3">
      <c r="A7" s="13">
        <v>1</v>
      </c>
      <c r="B7" s="14" t="s">
        <v>132</v>
      </c>
      <c r="C7" s="15">
        <v>43912</v>
      </c>
      <c r="D7" s="14">
        <v>1745</v>
      </c>
      <c r="E7" s="15">
        <v>45656</v>
      </c>
      <c r="F7" s="66">
        <f>F8</f>
        <v>70000</v>
      </c>
      <c r="G7" s="66">
        <v>0</v>
      </c>
      <c r="H7" s="67">
        <f>SUM(F7:G7)</f>
        <v>70000</v>
      </c>
      <c r="I7" s="16">
        <f t="shared" ref="I7:K7" si="0">I8+I9+I27+I33</f>
        <v>1085725</v>
      </c>
      <c r="J7" s="16">
        <f t="shared" si="0"/>
        <v>296725</v>
      </c>
      <c r="K7" s="16">
        <f t="shared" si="0"/>
        <v>438805</v>
      </c>
      <c r="L7" s="16">
        <f>L8+L9+L27+L33</f>
        <v>1843305</v>
      </c>
      <c r="M7" s="16">
        <f>M8+M9+M27+M33+M36+M53</f>
        <v>4875032</v>
      </c>
      <c r="N7" s="16" t="s">
        <v>153</v>
      </c>
      <c r="O7" s="16">
        <v>3375400</v>
      </c>
      <c r="P7" s="16">
        <f>+P8+P9+P27+P33+P36+P53</f>
        <v>2676500</v>
      </c>
    </row>
    <row r="8" spans="1:17" s="18" customFormat="1" outlineLevel="1" x14ac:dyDescent="0.3">
      <c r="A8" s="17">
        <v>1.1000000000000001</v>
      </c>
      <c r="B8" s="25" t="s">
        <v>139</v>
      </c>
      <c r="C8" s="19">
        <v>43912</v>
      </c>
      <c r="D8" s="18">
        <v>120</v>
      </c>
      <c r="E8" s="19">
        <v>44031</v>
      </c>
      <c r="F8" s="68">
        <v>70000</v>
      </c>
      <c r="G8" s="68">
        <v>0</v>
      </c>
      <c r="H8" s="69">
        <v>0</v>
      </c>
      <c r="I8" s="20"/>
      <c r="J8" s="20"/>
      <c r="K8" s="20"/>
      <c r="L8" s="20"/>
      <c r="M8" s="20">
        <f>SUM(I8:L8)</f>
        <v>0</v>
      </c>
      <c r="N8" s="20" t="s">
        <v>153</v>
      </c>
      <c r="O8" s="20"/>
      <c r="P8" s="20"/>
    </row>
    <row r="9" spans="1:17" s="18" customFormat="1" outlineLevel="1" x14ac:dyDescent="0.3">
      <c r="A9" s="17">
        <v>1.2</v>
      </c>
      <c r="B9" s="25" t="s">
        <v>140</v>
      </c>
      <c r="C9" s="19">
        <v>44031</v>
      </c>
      <c r="D9" s="18">
        <v>1626</v>
      </c>
      <c r="E9" s="19">
        <v>45656</v>
      </c>
      <c r="F9" s="68">
        <v>0</v>
      </c>
      <c r="G9" s="68">
        <v>0</v>
      </c>
      <c r="H9" s="69">
        <v>0</v>
      </c>
      <c r="I9" s="20">
        <f>I11</f>
        <v>1035725</v>
      </c>
      <c r="J9" s="20">
        <f t="shared" ref="J9:L9" si="1">J11</f>
        <v>296725</v>
      </c>
      <c r="K9" s="20">
        <f t="shared" si="1"/>
        <v>438805</v>
      </c>
      <c r="L9" s="20">
        <f t="shared" si="1"/>
        <v>1543305</v>
      </c>
      <c r="M9" s="20">
        <f>SUM(I9:L9)</f>
        <v>3314560</v>
      </c>
      <c r="N9" s="20" t="s">
        <v>153</v>
      </c>
      <c r="O9" s="20">
        <v>2991400</v>
      </c>
      <c r="P9" s="20">
        <f t="shared" ref="P9" si="2">SUM(P10:P11)</f>
        <v>1024900</v>
      </c>
    </row>
    <row r="10" spans="1:17" s="26" customFormat="1" hidden="1" outlineLevel="2" x14ac:dyDescent="0.3">
      <c r="A10" s="26" t="s">
        <v>57</v>
      </c>
      <c r="B10" s="26" t="s">
        <v>18</v>
      </c>
      <c r="C10" s="27">
        <v>44031</v>
      </c>
      <c r="D10" s="26">
        <v>180</v>
      </c>
      <c r="E10" s="27">
        <v>44210</v>
      </c>
      <c r="F10" s="70"/>
      <c r="G10" s="70"/>
      <c r="H10" s="71">
        <v>0</v>
      </c>
      <c r="I10" s="28"/>
      <c r="J10" s="28"/>
      <c r="K10" s="28"/>
      <c r="L10" s="28"/>
      <c r="M10" s="28">
        <f t="shared" ref="M10:M73" si="3">SUM(I10:L10)</f>
        <v>0</v>
      </c>
      <c r="N10" s="28" t="s">
        <v>153</v>
      </c>
      <c r="O10" s="28"/>
      <c r="P10" s="28"/>
    </row>
    <row r="11" spans="1:17" s="26" customFormat="1" hidden="1" outlineLevel="2" x14ac:dyDescent="0.3">
      <c r="A11" s="26" t="s">
        <v>58</v>
      </c>
      <c r="B11" s="26" t="s">
        <v>19</v>
      </c>
      <c r="C11" s="27">
        <f>MIN(C12:C19)</f>
        <v>44203</v>
      </c>
      <c r="D11" s="26">
        <v>1400</v>
      </c>
      <c r="E11" s="27">
        <f>MAX(E12:E19)</f>
        <v>45656</v>
      </c>
      <c r="F11" s="70"/>
      <c r="G11" s="70"/>
      <c r="H11" s="71">
        <v>0</v>
      </c>
      <c r="I11" s="28">
        <f>SUM(I12:I19)</f>
        <v>1035725</v>
      </c>
      <c r="J11" s="28">
        <f t="shared" ref="J11:L11" si="4">SUM(J12:J19)</f>
        <v>296725</v>
      </c>
      <c r="K11" s="28">
        <f t="shared" si="4"/>
        <v>438805</v>
      </c>
      <c r="L11" s="28">
        <f t="shared" si="4"/>
        <v>1543305</v>
      </c>
      <c r="M11" s="28">
        <f t="shared" si="3"/>
        <v>3314560</v>
      </c>
      <c r="N11" s="28" t="s">
        <v>153</v>
      </c>
      <c r="O11" s="28">
        <v>2991400</v>
      </c>
      <c r="P11" s="28">
        <f t="shared" ref="P11" si="5">SUM(P12:P19)</f>
        <v>1024900</v>
      </c>
    </row>
    <row r="12" spans="1:17" hidden="1" outlineLevel="3" x14ac:dyDescent="0.3">
      <c r="A12" s="34" t="s">
        <v>59</v>
      </c>
      <c r="B12" s="34" t="s">
        <v>88</v>
      </c>
      <c r="C12" s="35">
        <v>44210</v>
      </c>
      <c r="D12" s="34">
        <v>365</v>
      </c>
      <c r="E12" s="35">
        <f>+C12+D12-1</f>
        <v>44574</v>
      </c>
      <c r="F12" s="72"/>
      <c r="G12" s="72"/>
      <c r="H12" s="73"/>
      <c r="I12" s="33">
        <v>80000</v>
      </c>
      <c r="J12" s="33">
        <v>80000</v>
      </c>
      <c r="K12" s="33">
        <v>100000</v>
      </c>
      <c r="L12" s="33">
        <v>115000</v>
      </c>
      <c r="M12" s="33">
        <f t="shared" si="3"/>
        <v>375000</v>
      </c>
      <c r="N12" s="33" t="s">
        <v>153</v>
      </c>
      <c r="O12" s="33">
        <v>375000</v>
      </c>
      <c r="P12" s="33">
        <v>0</v>
      </c>
    </row>
    <row r="13" spans="1:17" hidden="1" outlineLevel="3" x14ac:dyDescent="0.3">
      <c r="A13" s="34" t="s">
        <v>60</v>
      </c>
      <c r="B13" s="34" t="s">
        <v>89</v>
      </c>
      <c r="C13" s="35">
        <f t="shared" ref="C13:C17" si="6">+C12</f>
        <v>44210</v>
      </c>
      <c r="D13" s="34">
        <f t="shared" ref="D13:D15" si="7">E13-C13+1</f>
        <v>1447</v>
      </c>
      <c r="E13" s="35">
        <v>45656</v>
      </c>
      <c r="F13" s="72"/>
      <c r="G13" s="72"/>
      <c r="H13" s="73"/>
      <c r="I13" s="33">
        <v>450000</v>
      </c>
      <c r="J13" s="33"/>
      <c r="K13" s="33">
        <v>100000</v>
      </c>
      <c r="L13" s="33">
        <v>825000</v>
      </c>
      <c r="M13" s="33">
        <f t="shared" si="3"/>
        <v>1375000</v>
      </c>
      <c r="N13" s="33" t="s">
        <v>153</v>
      </c>
      <c r="O13" s="33">
        <v>1375000</v>
      </c>
      <c r="P13" s="33">
        <v>220000</v>
      </c>
    </row>
    <row r="14" spans="1:17" hidden="1" outlineLevel="3" x14ac:dyDescent="0.3">
      <c r="A14" s="34" t="s">
        <v>61</v>
      </c>
      <c r="B14" s="34" t="s">
        <v>90</v>
      </c>
      <c r="C14" s="35">
        <f t="shared" si="6"/>
        <v>44210</v>
      </c>
      <c r="D14" s="34">
        <f t="shared" si="7"/>
        <v>1447</v>
      </c>
      <c r="E14" s="35">
        <v>45656</v>
      </c>
      <c r="F14" s="72"/>
      <c r="G14" s="72"/>
      <c r="H14" s="73"/>
      <c r="I14" s="33">
        <v>162500</v>
      </c>
      <c r="J14" s="33">
        <v>100000</v>
      </c>
      <c r="K14" s="33"/>
      <c r="L14" s="33">
        <v>225000</v>
      </c>
      <c r="M14" s="33">
        <f t="shared" si="3"/>
        <v>487500</v>
      </c>
      <c r="N14" s="33" t="s">
        <v>153</v>
      </c>
      <c r="O14" s="33">
        <v>487500</v>
      </c>
      <c r="P14" s="33">
        <v>187500</v>
      </c>
    </row>
    <row r="15" spans="1:17" hidden="1" outlineLevel="3" x14ac:dyDescent="0.3">
      <c r="A15" s="34" t="s">
        <v>62</v>
      </c>
      <c r="B15" s="34" t="s">
        <v>91</v>
      </c>
      <c r="C15" s="35">
        <f t="shared" si="6"/>
        <v>44210</v>
      </c>
      <c r="D15" s="34">
        <f t="shared" si="7"/>
        <v>1447</v>
      </c>
      <c r="E15" s="35">
        <v>45656</v>
      </c>
      <c r="F15" s="72"/>
      <c r="G15" s="72"/>
      <c r="H15" s="73"/>
      <c r="I15" s="33">
        <v>209000</v>
      </c>
      <c r="J15" s="33"/>
      <c r="K15" s="33">
        <v>69500</v>
      </c>
      <c r="L15" s="33">
        <v>209000</v>
      </c>
      <c r="M15" s="33">
        <f t="shared" si="3"/>
        <v>487500</v>
      </c>
      <c r="N15" s="33" t="s">
        <v>153</v>
      </c>
      <c r="O15" s="33">
        <v>487500</v>
      </c>
      <c r="P15" s="33">
        <v>312500</v>
      </c>
    </row>
    <row r="16" spans="1:17" hidden="1" outlineLevel="3" x14ac:dyDescent="0.3">
      <c r="A16" s="34" t="s">
        <v>63</v>
      </c>
      <c r="B16" s="34" t="s">
        <v>92</v>
      </c>
      <c r="C16" s="35">
        <f t="shared" si="6"/>
        <v>44210</v>
      </c>
      <c r="D16" s="34">
        <v>365</v>
      </c>
      <c r="E16" s="35">
        <f t="shared" ref="E16" si="8">+C16+D16-1</f>
        <v>44574</v>
      </c>
      <c r="F16" s="72"/>
      <c r="G16" s="72"/>
      <c r="H16" s="73"/>
      <c r="I16" s="33">
        <v>12500</v>
      </c>
      <c r="J16" s="33"/>
      <c r="K16" s="33">
        <v>12500</v>
      </c>
      <c r="L16" s="33">
        <v>12500</v>
      </c>
      <c r="M16" s="33">
        <f t="shared" si="3"/>
        <v>37500</v>
      </c>
      <c r="N16" s="33" t="s">
        <v>153</v>
      </c>
      <c r="O16" s="33">
        <v>37500</v>
      </c>
      <c r="P16" s="33">
        <v>0</v>
      </c>
    </row>
    <row r="17" spans="1:16" hidden="1" outlineLevel="3" x14ac:dyDescent="0.3">
      <c r="A17" s="34" t="s">
        <v>64</v>
      </c>
      <c r="B17" s="34" t="s">
        <v>93</v>
      </c>
      <c r="C17" s="35">
        <f t="shared" si="6"/>
        <v>44210</v>
      </c>
      <c r="D17" s="34">
        <f t="shared" ref="D17:D18" si="9">E17-C17+1</f>
        <v>1447</v>
      </c>
      <c r="E17" s="35">
        <v>45656</v>
      </c>
      <c r="F17" s="72"/>
      <c r="G17" s="72"/>
      <c r="H17" s="73"/>
      <c r="I17" s="33">
        <v>10000</v>
      </c>
      <c r="J17" s="33">
        <v>5000</v>
      </c>
      <c r="K17" s="33">
        <v>5000</v>
      </c>
      <c r="L17" s="33">
        <v>5000</v>
      </c>
      <c r="M17" s="33">
        <f t="shared" si="3"/>
        <v>25000</v>
      </c>
      <c r="N17" s="33" t="s">
        <v>153</v>
      </c>
      <c r="O17" s="33">
        <v>25000</v>
      </c>
      <c r="P17" s="33">
        <v>2200</v>
      </c>
    </row>
    <row r="18" spans="1:16" hidden="1" outlineLevel="3" x14ac:dyDescent="0.3">
      <c r="A18" s="34" t="s">
        <v>65</v>
      </c>
      <c r="B18" s="34" t="s">
        <v>94</v>
      </c>
      <c r="C18" s="35">
        <f>+C17</f>
        <v>44210</v>
      </c>
      <c r="D18" s="34">
        <f t="shared" si="9"/>
        <v>1447</v>
      </c>
      <c r="E18" s="35">
        <v>45656</v>
      </c>
      <c r="F18" s="72"/>
      <c r="G18" s="72"/>
      <c r="H18" s="73"/>
      <c r="I18" s="33">
        <v>42850</v>
      </c>
      <c r="J18" s="33">
        <v>42850</v>
      </c>
      <c r="K18" s="33">
        <v>42850</v>
      </c>
      <c r="L18" s="33">
        <v>42850</v>
      </c>
      <c r="M18" s="33">
        <f t="shared" si="3"/>
        <v>171400</v>
      </c>
      <c r="N18" s="33" t="s">
        <v>153</v>
      </c>
      <c r="O18" s="33">
        <v>171400</v>
      </c>
      <c r="P18" s="33">
        <v>171400</v>
      </c>
    </row>
    <row r="19" spans="1:16" s="5" customFormat="1" hidden="1" outlineLevel="3" x14ac:dyDescent="0.3">
      <c r="A19" s="5" t="s">
        <v>5</v>
      </c>
      <c r="B19" t="s">
        <v>9</v>
      </c>
      <c r="C19" s="4">
        <f>MIN(C20:C25)</f>
        <v>44203</v>
      </c>
      <c r="D19" s="5">
        <v>1400</v>
      </c>
      <c r="E19" s="4">
        <f>MAX(E20:E24)</f>
        <v>45656</v>
      </c>
      <c r="F19" s="74"/>
      <c r="G19" s="74"/>
      <c r="H19" s="75">
        <v>0</v>
      </c>
      <c r="I19" s="32">
        <f>SUM(I20:I26)</f>
        <v>68875</v>
      </c>
      <c r="J19" s="32">
        <f t="shared" ref="J19:L19" si="10">SUM(J20:J26)</f>
        <v>68875</v>
      </c>
      <c r="K19" s="32">
        <f t="shared" si="10"/>
        <v>108955</v>
      </c>
      <c r="L19" s="32">
        <f t="shared" si="10"/>
        <v>108955</v>
      </c>
      <c r="M19" s="32">
        <f t="shared" si="3"/>
        <v>355660</v>
      </c>
      <c r="N19" s="32" t="s">
        <v>153</v>
      </c>
      <c r="O19" s="32">
        <v>32500</v>
      </c>
      <c r="P19" s="32">
        <f t="shared" ref="P19" si="11">SUM(P20:P24)</f>
        <v>131300</v>
      </c>
    </row>
    <row r="20" spans="1:16" hidden="1" outlineLevel="4" x14ac:dyDescent="0.3">
      <c r="A20" s="34" t="s">
        <v>66</v>
      </c>
      <c r="B20" s="34" t="s">
        <v>12</v>
      </c>
      <c r="C20" s="35">
        <v>44562</v>
      </c>
      <c r="D20" s="34">
        <v>365</v>
      </c>
      <c r="E20" s="35">
        <f>+C20+D20-1</f>
        <v>44926</v>
      </c>
      <c r="F20" s="72"/>
      <c r="G20" s="72"/>
      <c r="H20" s="73"/>
      <c r="I20" s="33"/>
      <c r="J20" s="33"/>
      <c r="K20" s="33"/>
      <c r="L20" s="33"/>
      <c r="M20" s="33">
        <f t="shared" si="3"/>
        <v>0</v>
      </c>
      <c r="N20" s="33" t="s">
        <v>153</v>
      </c>
      <c r="O20" s="33">
        <v>0</v>
      </c>
      <c r="P20" s="33">
        <v>0</v>
      </c>
    </row>
    <row r="21" spans="1:16" hidden="1" outlineLevel="4" x14ac:dyDescent="0.3">
      <c r="A21" s="34" t="s">
        <v>67</v>
      </c>
      <c r="B21" s="34" t="s">
        <v>13</v>
      </c>
      <c r="C21" s="35">
        <v>44562</v>
      </c>
      <c r="D21" s="34">
        <v>365</v>
      </c>
      <c r="E21" s="35">
        <f>+C21+D21-1</f>
        <v>44926</v>
      </c>
      <c r="F21" s="72"/>
      <c r="G21" s="72"/>
      <c r="H21" s="73"/>
      <c r="I21" s="33"/>
      <c r="J21" s="33"/>
      <c r="K21" s="33"/>
      <c r="L21" s="33"/>
      <c r="M21" s="33">
        <f t="shared" si="3"/>
        <v>0</v>
      </c>
      <c r="N21" s="33" t="s">
        <v>153</v>
      </c>
      <c r="O21" s="33">
        <v>0</v>
      </c>
      <c r="P21" s="33">
        <v>0</v>
      </c>
    </row>
    <row r="22" spans="1:16" hidden="1" outlineLevel="4" x14ac:dyDescent="0.3">
      <c r="A22" s="34" t="s">
        <v>68</v>
      </c>
      <c r="B22" s="34" t="s">
        <v>95</v>
      </c>
      <c r="C22" s="35">
        <v>44210</v>
      </c>
      <c r="D22" s="34">
        <v>1400</v>
      </c>
      <c r="E22" s="35">
        <f>+C22+D22-1</f>
        <v>45609</v>
      </c>
      <c r="F22" s="72"/>
      <c r="G22" s="72"/>
      <c r="H22" s="73"/>
      <c r="I22" s="33">
        <v>2875</v>
      </c>
      <c r="J22" s="33">
        <v>2875</v>
      </c>
      <c r="K22" s="33">
        <v>2875</v>
      </c>
      <c r="L22" s="33">
        <v>2875</v>
      </c>
      <c r="M22" s="33">
        <f t="shared" si="3"/>
        <v>11500</v>
      </c>
      <c r="N22" s="33" t="s">
        <v>153</v>
      </c>
      <c r="O22" s="33">
        <v>11500</v>
      </c>
      <c r="P22" s="33">
        <v>2300</v>
      </c>
    </row>
    <row r="23" spans="1:16" hidden="1" outlineLevel="4" x14ac:dyDescent="0.3">
      <c r="A23" s="34" t="s">
        <v>69</v>
      </c>
      <c r="B23" s="34" t="s">
        <v>46</v>
      </c>
      <c r="C23" s="35">
        <v>44210</v>
      </c>
      <c r="D23" s="34">
        <v>1400</v>
      </c>
      <c r="E23" s="35">
        <f>+C23+D23-1</f>
        <v>45609</v>
      </c>
      <c r="F23" s="72"/>
      <c r="G23" s="72"/>
      <c r="H23" s="73"/>
      <c r="I23" s="33"/>
      <c r="J23" s="33"/>
      <c r="K23" s="33">
        <v>10500</v>
      </c>
      <c r="L23" s="33">
        <v>10500</v>
      </c>
      <c r="M23" s="33">
        <f t="shared" si="3"/>
        <v>21000</v>
      </c>
      <c r="N23" s="33" t="s">
        <v>153</v>
      </c>
      <c r="O23" s="33">
        <v>21000</v>
      </c>
      <c r="P23" s="33">
        <v>29000</v>
      </c>
    </row>
    <row r="24" spans="1:16" hidden="1" outlineLevel="4" x14ac:dyDescent="0.3">
      <c r="A24" s="34" t="s">
        <v>70</v>
      </c>
      <c r="B24" s="34" t="s">
        <v>96</v>
      </c>
      <c r="C24" s="35">
        <v>44562</v>
      </c>
      <c r="D24" s="34">
        <f>365*3</f>
        <v>1095</v>
      </c>
      <c r="E24" s="35">
        <f>+C24+D24-1</f>
        <v>45656</v>
      </c>
      <c r="F24" s="72"/>
      <c r="G24" s="72"/>
      <c r="H24" s="73"/>
      <c r="I24" s="33"/>
      <c r="J24" s="33"/>
      <c r="K24" s="33"/>
      <c r="L24" s="33"/>
      <c r="M24" s="33">
        <f t="shared" si="3"/>
        <v>0</v>
      </c>
      <c r="N24" s="33" t="s">
        <v>153</v>
      </c>
      <c r="O24" s="33">
        <v>0</v>
      </c>
      <c r="P24" s="33">
        <v>100000</v>
      </c>
    </row>
    <row r="25" spans="1:16" hidden="1" outlineLevel="4" x14ac:dyDescent="0.3">
      <c r="A25" s="34" t="s">
        <v>158</v>
      </c>
      <c r="B25" s="34" t="s">
        <v>50</v>
      </c>
      <c r="C25" s="35">
        <v>44203</v>
      </c>
      <c r="D25" s="34">
        <f t="shared" ref="D25:D27" si="12">E25-C25+1</f>
        <v>1454</v>
      </c>
      <c r="E25" s="35">
        <v>45656</v>
      </c>
      <c r="F25" s="72"/>
      <c r="G25" s="72"/>
      <c r="H25" s="73"/>
      <c r="I25" s="33"/>
      <c r="J25" s="33"/>
      <c r="K25" s="33">
        <f>59160/2</f>
        <v>29580</v>
      </c>
      <c r="L25" s="33">
        <v>29580</v>
      </c>
      <c r="M25" s="33">
        <f t="shared" si="3"/>
        <v>59160</v>
      </c>
      <c r="N25" s="33"/>
      <c r="O25" s="33"/>
      <c r="P25" s="33"/>
    </row>
    <row r="26" spans="1:16" hidden="1" outlineLevel="4" x14ac:dyDescent="0.3">
      <c r="A26" s="34" t="s">
        <v>159</v>
      </c>
      <c r="B26" s="34" t="s">
        <v>14</v>
      </c>
      <c r="C26" s="35">
        <f>C22</f>
        <v>44210</v>
      </c>
      <c r="D26" s="34">
        <f t="shared" si="12"/>
        <v>1447</v>
      </c>
      <c r="E26" s="35">
        <v>45656</v>
      </c>
      <c r="F26" s="72"/>
      <c r="G26" s="72"/>
      <c r="H26" s="73"/>
      <c r="I26" s="33">
        <v>66000</v>
      </c>
      <c r="J26" s="33">
        <f>66000</f>
        <v>66000</v>
      </c>
      <c r="K26" s="33">
        <f t="shared" ref="K26:L26" si="13">66000</f>
        <v>66000</v>
      </c>
      <c r="L26" s="33">
        <f t="shared" si="13"/>
        <v>66000</v>
      </c>
      <c r="M26" s="33">
        <f t="shared" si="3"/>
        <v>264000</v>
      </c>
      <c r="N26" s="33"/>
      <c r="O26" s="33"/>
      <c r="P26" s="33"/>
    </row>
    <row r="27" spans="1:16" s="22" customFormat="1" outlineLevel="1" collapsed="1" x14ac:dyDescent="0.3">
      <c r="A27" s="21">
        <v>1.3</v>
      </c>
      <c r="B27" s="18" t="s">
        <v>97</v>
      </c>
      <c r="C27" s="23">
        <f>MIN(C28:C32)</f>
        <v>44197</v>
      </c>
      <c r="D27" s="22">
        <f t="shared" si="12"/>
        <v>1460</v>
      </c>
      <c r="E27" s="23">
        <f>MAX(E28:E32)</f>
        <v>45656</v>
      </c>
      <c r="F27" s="76">
        <v>0</v>
      </c>
      <c r="G27" s="76">
        <v>0</v>
      </c>
      <c r="H27" s="77">
        <v>0</v>
      </c>
      <c r="I27" s="93"/>
      <c r="J27" s="93"/>
      <c r="K27" s="93"/>
      <c r="L27" s="24">
        <f>L28</f>
        <v>300000</v>
      </c>
      <c r="M27" s="24">
        <f t="shared" si="3"/>
        <v>300000</v>
      </c>
      <c r="N27" s="24" t="s">
        <v>153</v>
      </c>
      <c r="O27" s="24">
        <v>384000</v>
      </c>
      <c r="P27" s="24">
        <f t="shared" ref="P27" si="14">SUM(P28)</f>
        <v>1000000</v>
      </c>
    </row>
    <row r="28" spans="1:16" s="26" customFormat="1" hidden="1" outlineLevel="2" x14ac:dyDescent="0.3">
      <c r="A28" s="26" t="s">
        <v>4</v>
      </c>
      <c r="B28" s="26" t="s">
        <v>19</v>
      </c>
      <c r="C28" s="27">
        <f>MIN(C29:C30)</f>
        <v>44197</v>
      </c>
      <c r="D28" s="26">
        <f>E28-C28+1</f>
        <v>1460</v>
      </c>
      <c r="E28" s="27">
        <f>MAX(E29:E30)</f>
        <v>45656</v>
      </c>
      <c r="F28" s="70">
        <v>0</v>
      </c>
      <c r="G28" s="70">
        <v>0</v>
      </c>
      <c r="H28" s="71">
        <v>0</v>
      </c>
      <c r="I28" s="94" t="s">
        <v>161</v>
      </c>
      <c r="J28" s="94" t="s">
        <v>161</v>
      </c>
      <c r="K28" s="94" t="s">
        <v>161</v>
      </c>
      <c r="L28" s="28">
        <f>L29</f>
        <v>300000</v>
      </c>
      <c r="M28" s="28">
        <f t="shared" si="3"/>
        <v>300000</v>
      </c>
      <c r="N28" s="28" t="s">
        <v>153</v>
      </c>
      <c r="O28" s="28">
        <v>384000</v>
      </c>
      <c r="P28" s="28">
        <f t="shared" ref="P28" si="15">SUM(P29:P30)</f>
        <v>1000000</v>
      </c>
    </row>
    <row r="29" spans="1:16" hidden="1" outlineLevel="3" x14ac:dyDescent="0.3">
      <c r="A29" s="34" t="s">
        <v>6</v>
      </c>
      <c r="B29" s="34" t="s">
        <v>7</v>
      </c>
      <c r="C29" s="35">
        <v>44197</v>
      </c>
      <c r="D29" s="34">
        <f>365*4</f>
        <v>1460</v>
      </c>
      <c r="E29" s="35">
        <f>+C29+D29-1</f>
        <v>45656</v>
      </c>
      <c r="F29" s="72"/>
      <c r="G29" s="72"/>
      <c r="H29" s="73"/>
      <c r="I29" s="33"/>
      <c r="J29" s="33"/>
      <c r="K29" s="33"/>
      <c r="L29" s="33">
        <v>300000</v>
      </c>
      <c r="M29" s="33">
        <f t="shared" si="3"/>
        <v>300000</v>
      </c>
      <c r="N29" s="33" t="s">
        <v>153</v>
      </c>
      <c r="O29" s="33">
        <v>300000</v>
      </c>
      <c r="P29" s="33">
        <v>450000</v>
      </c>
    </row>
    <row r="30" spans="1:16" hidden="1" outlineLevel="3" x14ac:dyDescent="0.3">
      <c r="A30" t="s">
        <v>8</v>
      </c>
      <c r="B30" t="s">
        <v>15</v>
      </c>
      <c r="C30" s="1">
        <f>MIN(C31:C32)</f>
        <v>44927</v>
      </c>
      <c r="D30">
        <f>E30-C30+1</f>
        <v>730</v>
      </c>
      <c r="E30" s="1">
        <f>MAX(E31:E32)</f>
        <v>45656</v>
      </c>
      <c r="F30" s="78">
        <v>0</v>
      </c>
      <c r="G30" s="78">
        <v>0</v>
      </c>
      <c r="H30" s="79">
        <v>0</v>
      </c>
      <c r="M30" s="2">
        <f t="shared" si="3"/>
        <v>0</v>
      </c>
      <c r="N30" s="2" t="s">
        <v>153</v>
      </c>
      <c r="O30" s="2">
        <v>84000</v>
      </c>
      <c r="P30" s="2">
        <f>SUM(P31:P32)</f>
        <v>550000</v>
      </c>
    </row>
    <row r="31" spans="1:16" hidden="1" outlineLevel="4" x14ac:dyDescent="0.3">
      <c r="A31" s="34" t="s">
        <v>10</v>
      </c>
      <c r="B31" s="34" t="s">
        <v>12</v>
      </c>
      <c r="C31" s="35">
        <v>44927</v>
      </c>
      <c r="D31" s="34">
        <f>365*2</f>
        <v>730</v>
      </c>
      <c r="E31" s="35">
        <f>+C31+D31-1</f>
        <v>45656</v>
      </c>
      <c r="F31" s="72"/>
      <c r="G31" s="72"/>
      <c r="H31" s="73"/>
      <c r="I31" s="33"/>
      <c r="J31" s="33"/>
      <c r="K31" s="33"/>
      <c r="L31" s="33"/>
      <c r="M31" s="33">
        <f t="shared" si="3"/>
        <v>0</v>
      </c>
      <c r="N31" s="33" t="s">
        <v>153</v>
      </c>
      <c r="O31" s="33"/>
      <c r="P31" s="33">
        <v>50000</v>
      </c>
    </row>
    <row r="32" spans="1:16" hidden="1" outlineLevel="4" x14ac:dyDescent="0.3">
      <c r="A32" s="34" t="s">
        <v>11</v>
      </c>
      <c r="B32" s="34" t="s">
        <v>13</v>
      </c>
      <c r="C32" s="35">
        <v>44927</v>
      </c>
      <c r="D32" s="34">
        <f>365*2</f>
        <v>730</v>
      </c>
      <c r="E32" s="35">
        <f>+C32+D32-1</f>
        <v>45656</v>
      </c>
      <c r="F32" s="72"/>
      <c r="G32" s="72"/>
      <c r="H32" s="73"/>
      <c r="I32" s="33"/>
      <c r="J32" s="33"/>
      <c r="K32" s="33"/>
      <c r="L32" s="33"/>
      <c r="M32" s="33">
        <f t="shared" si="3"/>
        <v>0</v>
      </c>
      <c r="N32" s="33" t="s">
        <v>153</v>
      </c>
      <c r="O32" s="33"/>
      <c r="P32" s="33">
        <v>500000</v>
      </c>
    </row>
    <row r="33" spans="1:16" s="22" customFormat="1" outlineLevel="1" collapsed="1" x14ac:dyDescent="0.3">
      <c r="A33" s="21">
        <v>1.4</v>
      </c>
      <c r="B33" s="18" t="s">
        <v>16</v>
      </c>
      <c r="C33" s="23">
        <f>C34</f>
        <v>44208</v>
      </c>
      <c r="D33" s="90">
        <f>E33-C33+1</f>
        <v>149</v>
      </c>
      <c r="E33" s="91">
        <f>MAX(E34:E35)</f>
        <v>44356</v>
      </c>
      <c r="F33" s="76">
        <v>0</v>
      </c>
      <c r="G33" s="76">
        <v>0</v>
      </c>
      <c r="H33" s="77">
        <v>0</v>
      </c>
      <c r="I33" s="24">
        <f>SUM(I34:I35)</f>
        <v>50000</v>
      </c>
      <c r="J33" s="24"/>
      <c r="K33" s="24"/>
      <c r="L33" s="24"/>
      <c r="M33" s="24">
        <f t="shared" si="3"/>
        <v>50000</v>
      </c>
      <c r="N33" s="24">
        <f t="shared" ref="N33:P33" si="16">SUM(N34:N35)</f>
        <v>0</v>
      </c>
      <c r="O33" s="24">
        <f t="shared" si="16"/>
        <v>0</v>
      </c>
      <c r="P33" s="24">
        <f t="shared" si="16"/>
        <v>0</v>
      </c>
    </row>
    <row r="34" spans="1:16" s="26" customFormat="1" hidden="1" outlineLevel="2" x14ac:dyDescent="0.3">
      <c r="A34" s="26" t="s">
        <v>17</v>
      </c>
      <c r="B34" s="26" t="s">
        <v>18</v>
      </c>
      <c r="C34" s="27">
        <v>44208</v>
      </c>
      <c r="D34" s="26">
        <v>60</v>
      </c>
      <c r="E34" s="27">
        <f t="shared" ref="E34" si="17">+C34+D34-1</f>
        <v>44267</v>
      </c>
      <c r="F34" s="70"/>
      <c r="G34" s="70"/>
      <c r="H34" s="71"/>
      <c r="I34" s="28"/>
      <c r="J34" s="28"/>
      <c r="K34" s="28"/>
      <c r="L34" s="28"/>
      <c r="M34" s="28">
        <f t="shared" si="3"/>
        <v>0</v>
      </c>
      <c r="N34" s="28"/>
      <c r="O34" s="28"/>
      <c r="P34" s="28"/>
    </row>
    <row r="35" spans="1:16" s="26" customFormat="1" hidden="1" outlineLevel="2" x14ac:dyDescent="0.3">
      <c r="A35" s="36" t="s">
        <v>20</v>
      </c>
      <c r="B35" s="36" t="s">
        <v>19</v>
      </c>
      <c r="C35" s="37">
        <f>+E34</f>
        <v>44267</v>
      </c>
      <c r="D35" s="36">
        <v>90</v>
      </c>
      <c r="E35" s="37">
        <f t="shared" ref="E35" si="18">+C35+D35-1</f>
        <v>44356</v>
      </c>
      <c r="F35" s="80"/>
      <c r="G35" s="80"/>
      <c r="H35" s="81"/>
      <c r="I35" s="38">
        <v>50000</v>
      </c>
      <c r="J35" s="38"/>
      <c r="K35" s="38"/>
      <c r="L35" s="38"/>
      <c r="M35" s="38">
        <f t="shared" si="3"/>
        <v>50000</v>
      </c>
      <c r="N35" s="38"/>
      <c r="O35" s="38"/>
      <c r="P35" s="38"/>
    </row>
    <row r="36" spans="1:16" s="22" customFormat="1" outlineLevel="1" collapsed="1" x14ac:dyDescent="0.3">
      <c r="A36" s="21">
        <v>1.5</v>
      </c>
      <c r="B36" s="18" t="s">
        <v>21</v>
      </c>
      <c r="C36" s="92">
        <f>MIN(C37:C38)</f>
        <v>44356</v>
      </c>
      <c r="D36" s="90">
        <f>E36-C36+1</f>
        <v>570</v>
      </c>
      <c r="E36" s="92">
        <f>MAX(E37:E38)</f>
        <v>44925</v>
      </c>
      <c r="F36" s="76">
        <v>0</v>
      </c>
      <c r="G36" s="76">
        <v>0</v>
      </c>
      <c r="H36" s="77">
        <v>0</v>
      </c>
      <c r="I36" s="24"/>
      <c r="J36" s="24"/>
      <c r="K36" s="24"/>
      <c r="L36" s="24">
        <f>L38</f>
        <v>1039138</v>
      </c>
      <c r="M36" s="24">
        <f t="shared" si="3"/>
        <v>1039138</v>
      </c>
      <c r="N36" s="24">
        <f t="shared" ref="N36" si="19">SUM(N37:N38)</f>
        <v>1326001</v>
      </c>
      <c r="O36" s="24">
        <f t="shared" ref="O36" si="20">SUM(O37:O38)</f>
        <v>476600</v>
      </c>
      <c r="P36" s="24">
        <f t="shared" ref="P36" si="21">SUM(P37:P38)</f>
        <v>476600</v>
      </c>
    </row>
    <row r="37" spans="1:16" s="26" customFormat="1" hidden="1" outlineLevel="2" x14ac:dyDescent="0.3">
      <c r="A37" s="26" t="s">
        <v>22</v>
      </c>
      <c r="B37" s="26" t="s">
        <v>18</v>
      </c>
      <c r="C37" s="27">
        <f>+E35</f>
        <v>44356</v>
      </c>
      <c r="D37" s="26">
        <v>128</v>
      </c>
      <c r="E37" s="27">
        <f t="shared" ref="E37" si="22">+C37+D37-1</f>
        <v>44483</v>
      </c>
      <c r="F37" s="70"/>
      <c r="G37" s="70"/>
      <c r="H37" s="71"/>
      <c r="I37" s="28"/>
      <c r="J37" s="28"/>
      <c r="K37" s="28"/>
      <c r="L37" s="28"/>
      <c r="M37" s="28">
        <f t="shared" si="3"/>
        <v>0</v>
      </c>
      <c r="N37" s="28"/>
      <c r="O37" s="28"/>
      <c r="P37" s="28"/>
    </row>
    <row r="38" spans="1:16" s="26" customFormat="1" hidden="1" outlineLevel="2" x14ac:dyDescent="0.3">
      <c r="A38" s="26" t="s">
        <v>23</v>
      </c>
      <c r="B38" s="26" t="s">
        <v>19</v>
      </c>
      <c r="C38" s="27">
        <f>MIN(C39:C46)</f>
        <v>44483</v>
      </c>
      <c r="D38" s="26">
        <f>E38-C38+1</f>
        <v>443</v>
      </c>
      <c r="E38" s="27">
        <f>MAX(E39:E40)</f>
        <v>44925</v>
      </c>
      <c r="F38" s="70"/>
      <c r="G38" s="70"/>
      <c r="H38" s="71"/>
      <c r="I38" s="28"/>
      <c r="J38" s="28"/>
      <c r="K38" s="28"/>
      <c r="L38" s="28">
        <f>SUM(L39:L45)</f>
        <v>1039138</v>
      </c>
      <c r="M38" s="28">
        <f t="shared" si="3"/>
        <v>1039138</v>
      </c>
      <c r="N38" s="28">
        <f t="shared" ref="N38:P38" si="23">SUM(N39:N45)</f>
        <v>1326001</v>
      </c>
      <c r="O38" s="28">
        <f t="shared" si="23"/>
        <v>476600</v>
      </c>
      <c r="P38" s="28">
        <f t="shared" si="23"/>
        <v>476600</v>
      </c>
    </row>
    <row r="39" spans="1:16" hidden="1" outlineLevel="3" x14ac:dyDescent="0.3">
      <c r="A39" s="34" t="s">
        <v>30</v>
      </c>
      <c r="B39" s="34" t="s">
        <v>24</v>
      </c>
      <c r="C39" s="35">
        <f>+E37</f>
        <v>44483</v>
      </c>
      <c r="D39" s="34">
        <f t="shared" ref="D39:D51" si="24">E39-C39+1</f>
        <v>78</v>
      </c>
      <c r="E39" s="35">
        <v>44560</v>
      </c>
      <c r="F39" s="72"/>
      <c r="G39" s="72"/>
      <c r="H39" s="73"/>
      <c r="I39" s="6"/>
      <c r="J39" s="6"/>
      <c r="K39" s="6"/>
      <c r="L39" s="33">
        <v>300000</v>
      </c>
      <c r="M39" s="33">
        <f t="shared" si="3"/>
        <v>300000</v>
      </c>
      <c r="N39" s="33">
        <v>0</v>
      </c>
      <c r="O39" s="33">
        <v>0</v>
      </c>
      <c r="P39" s="33">
        <v>0</v>
      </c>
    </row>
    <row r="40" spans="1:16" hidden="1" outlineLevel="3" x14ac:dyDescent="0.3">
      <c r="A40" s="34" t="s">
        <v>31</v>
      </c>
      <c r="B40" s="34" t="s">
        <v>25</v>
      </c>
      <c r="C40" s="35">
        <f>+C39</f>
        <v>44483</v>
      </c>
      <c r="D40" s="34">
        <f t="shared" si="24"/>
        <v>443</v>
      </c>
      <c r="E40" s="35">
        <v>44925</v>
      </c>
      <c r="F40" s="72"/>
      <c r="G40" s="72"/>
      <c r="H40" s="73"/>
      <c r="I40" s="33"/>
      <c r="J40" s="33"/>
      <c r="K40" s="33"/>
      <c r="L40" s="33">
        <v>400000</v>
      </c>
      <c r="M40" s="33">
        <f t="shared" si="3"/>
        <v>400000</v>
      </c>
      <c r="N40" s="33">
        <v>400000</v>
      </c>
      <c r="O40" s="33">
        <v>0</v>
      </c>
      <c r="P40" s="33">
        <v>0</v>
      </c>
    </row>
    <row r="41" spans="1:16" hidden="1" outlineLevel="3" x14ac:dyDescent="0.3">
      <c r="A41" s="34" t="s">
        <v>32</v>
      </c>
      <c r="B41" s="34" t="s">
        <v>26</v>
      </c>
      <c r="C41" s="35">
        <f>+E39+2</f>
        <v>44562</v>
      </c>
      <c r="D41" s="34">
        <f t="shared" si="24"/>
        <v>1095</v>
      </c>
      <c r="E41" s="35">
        <v>45656</v>
      </c>
      <c r="F41" s="72"/>
      <c r="G41" s="72"/>
      <c r="H41" s="73"/>
      <c r="I41" s="33"/>
      <c r="J41" s="33"/>
      <c r="K41" s="33"/>
      <c r="L41" s="33">
        <v>0</v>
      </c>
      <c r="M41" s="33">
        <f t="shared" si="3"/>
        <v>0</v>
      </c>
      <c r="N41" s="33">
        <v>160000</v>
      </c>
      <c r="O41" s="33">
        <v>160000</v>
      </c>
      <c r="P41" s="33">
        <v>160000</v>
      </c>
    </row>
    <row r="42" spans="1:16" hidden="1" outlineLevel="3" x14ac:dyDescent="0.3">
      <c r="A42" s="34" t="s">
        <v>33</v>
      </c>
      <c r="B42" s="34" t="s">
        <v>27</v>
      </c>
      <c r="C42" s="35">
        <f>+C40</f>
        <v>44483</v>
      </c>
      <c r="D42" s="34">
        <f t="shared" si="24"/>
        <v>1174</v>
      </c>
      <c r="E42" s="35">
        <v>45656</v>
      </c>
      <c r="F42" s="72"/>
      <c r="G42" s="72"/>
      <c r="H42" s="73"/>
      <c r="I42" s="33"/>
      <c r="J42" s="33"/>
      <c r="K42" s="33"/>
      <c r="L42" s="33">
        <v>100000</v>
      </c>
      <c r="M42" s="33">
        <f t="shared" si="3"/>
        <v>100000</v>
      </c>
      <c r="N42" s="33">
        <v>100000</v>
      </c>
      <c r="O42" s="33">
        <v>100000</v>
      </c>
      <c r="P42" s="33">
        <v>100000</v>
      </c>
    </row>
    <row r="43" spans="1:16" hidden="1" outlineLevel="3" x14ac:dyDescent="0.3">
      <c r="A43" s="34" t="s">
        <v>34</v>
      </c>
      <c r="B43" s="34" t="s">
        <v>28</v>
      </c>
      <c r="C43" s="35">
        <f t="shared" ref="C43:C44" si="25">+C42</f>
        <v>44483</v>
      </c>
      <c r="D43" s="34">
        <f t="shared" si="24"/>
        <v>1174</v>
      </c>
      <c r="E43" s="35">
        <v>45656</v>
      </c>
      <c r="F43" s="72"/>
      <c r="G43" s="72"/>
      <c r="H43" s="73"/>
      <c r="I43" s="33"/>
      <c r="J43" s="33"/>
      <c r="K43" s="33"/>
      <c r="L43" s="33">
        <v>30000</v>
      </c>
      <c r="M43" s="33">
        <f t="shared" si="3"/>
        <v>30000</v>
      </c>
      <c r="N43" s="33">
        <v>6600</v>
      </c>
      <c r="O43" s="33">
        <v>6600</v>
      </c>
      <c r="P43" s="33">
        <v>6600</v>
      </c>
    </row>
    <row r="44" spans="1:16" hidden="1" outlineLevel="3" x14ac:dyDescent="0.3">
      <c r="A44" s="34" t="s">
        <v>35</v>
      </c>
      <c r="B44" s="34" t="s">
        <v>29</v>
      </c>
      <c r="C44" s="35">
        <f t="shared" si="25"/>
        <v>44483</v>
      </c>
      <c r="D44" s="34">
        <f t="shared" si="24"/>
        <v>1174</v>
      </c>
      <c r="E44" s="35">
        <v>45656</v>
      </c>
      <c r="F44" s="72"/>
      <c r="G44" s="72"/>
      <c r="H44" s="73"/>
      <c r="I44" s="33"/>
      <c r="J44" s="33"/>
      <c r="K44" s="33"/>
      <c r="L44" s="33">
        <v>3000</v>
      </c>
      <c r="M44" s="33">
        <f t="shared" si="3"/>
        <v>3000</v>
      </c>
      <c r="N44" s="33">
        <v>3000</v>
      </c>
      <c r="O44" s="33">
        <v>3000</v>
      </c>
      <c r="P44" s="33">
        <v>3000</v>
      </c>
    </row>
    <row r="45" spans="1:16" hidden="1" outlineLevel="3" x14ac:dyDescent="0.3">
      <c r="A45" t="s">
        <v>36</v>
      </c>
      <c r="B45" t="s">
        <v>37</v>
      </c>
      <c r="C45" s="1">
        <f>MIN(C46:C52)</f>
        <v>44483</v>
      </c>
      <c r="D45" s="39">
        <f t="shared" si="24"/>
        <v>1174</v>
      </c>
      <c r="E45" s="1">
        <f>MAX(E46:E52)</f>
        <v>45656</v>
      </c>
      <c r="F45" s="78"/>
      <c r="G45" s="78"/>
      <c r="H45" s="79"/>
      <c r="L45" s="2">
        <f>SUM(L46:L52)</f>
        <v>206138</v>
      </c>
      <c r="M45" s="2">
        <f t="shared" si="3"/>
        <v>206138</v>
      </c>
      <c r="N45" s="2">
        <f t="shared" ref="N45:P45" si="26">SUM(N46:N52)</f>
        <v>656401</v>
      </c>
      <c r="O45" s="2">
        <f t="shared" si="26"/>
        <v>207000</v>
      </c>
      <c r="P45" s="2">
        <f t="shared" si="26"/>
        <v>207000</v>
      </c>
    </row>
    <row r="46" spans="1:16" hidden="1" outlineLevel="4" x14ac:dyDescent="0.3">
      <c r="A46" s="39" t="s">
        <v>38</v>
      </c>
      <c r="B46" s="39" t="s">
        <v>45</v>
      </c>
      <c r="C46" s="40">
        <f>+C44</f>
        <v>44483</v>
      </c>
      <c r="D46" s="39">
        <f t="shared" si="24"/>
        <v>78</v>
      </c>
      <c r="E46" s="40">
        <v>44560</v>
      </c>
      <c r="F46" s="82"/>
      <c r="G46" s="82"/>
      <c r="H46" s="83"/>
      <c r="I46" s="41"/>
      <c r="J46" s="41"/>
      <c r="K46" s="41"/>
      <c r="L46" s="41">
        <v>85103</v>
      </c>
      <c r="M46" s="41">
        <f t="shared" si="3"/>
        <v>85103</v>
      </c>
      <c r="N46" s="41"/>
      <c r="O46" s="41"/>
      <c r="P46" s="41"/>
    </row>
    <row r="47" spans="1:16" hidden="1" outlineLevel="4" x14ac:dyDescent="0.3">
      <c r="A47" s="39" t="s">
        <v>39</v>
      </c>
      <c r="B47" s="39" t="s">
        <v>46</v>
      </c>
      <c r="C47" s="35">
        <v>44562</v>
      </c>
      <c r="D47" s="34">
        <f t="shared" si="24"/>
        <v>364</v>
      </c>
      <c r="E47" s="35">
        <v>44925</v>
      </c>
      <c r="F47" s="82"/>
      <c r="G47" s="82"/>
      <c r="H47" s="83"/>
      <c r="I47" s="41"/>
      <c r="J47" s="41"/>
      <c r="K47" s="41"/>
      <c r="L47" s="41">
        <v>0</v>
      </c>
      <c r="M47" s="41">
        <f t="shared" si="3"/>
        <v>0</v>
      </c>
      <c r="N47" s="41">
        <v>50000</v>
      </c>
      <c r="O47" s="41"/>
      <c r="P47" s="41"/>
    </row>
    <row r="48" spans="1:16" hidden="1" outlineLevel="4" x14ac:dyDescent="0.3">
      <c r="A48" s="39" t="s">
        <v>40</v>
      </c>
      <c r="B48" s="39" t="s">
        <v>47</v>
      </c>
      <c r="C48" s="40">
        <v>44562</v>
      </c>
      <c r="D48" s="39">
        <f t="shared" si="24"/>
        <v>364</v>
      </c>
      <c r="E48" s="40">
        <v>44925</v>
      </c>
      <c r="F48" s="82"/>
      <c r="G48" s="82"/>
      <c r="H48" s="83"/>
      <c r="I48" s="41"/>
      <c r="J48" s="41"/>
      <c r="K48" s="41"/>
      <c r="L48" s="41">
        <v>0</v>
      </c>
      <c r="M48" s="41">
        <f t="shared" si="3"/>
        <v>0</v>
      </c>
      <c r="N48" s="41">
        <v>100000</v>
      </c>
      <c r="O48" s="41"/>
      <c r="P48" s="41"/>
    </row>
    <row r="49" spans="1:16" hidden="1" outlineLevel="4" x14ac:dyDescent="0.3">
      <c r="A49" s="39" t="s">
        <v>41</v>
      </c>
      <c r="B49" s="39" t="s">
        <v>48</v>
      </c>
      <c r="C49" s="40">
        <f>+C46</f>
        <v>44483</v>
      </c>
      <c r="D49" s="39">
        <f t="shared" si="24"/>
        <v>443</v>
      </c>
      <c r="E49" s="40">
        <v>44925</v>
      </c>
      <c r="F49" s="82"/>
      <c r="G49" s="82"/>
      <c r="H49" s="83"/>
      <c r="I49" s="41"/>
      <c r="J49" s="41"/>
      <c r="K49" s="41"/>
      <c r="L49" s="41">
        <v>30000</v>
      </c>
      <c r="M49" s="41">
        <f t="shared" si="3"/>
        <v>30000</v>
      </c>
      <c r="N49" s="41">
        <v>30001</v>
      </c>
      <c r="O49" s="41"/>
      <c r="P49" s="41"/>
    </row>
    <row r="50" spans="1:16" hidden="1" outlineLevel="4" x14ac:dyDescent="0.3">
      <c r="A50" s="39" t="s">
        <v>42</v>
      </c>
      <c r="B50" s="39" t="s">
        <v>49</v>
      </c>
      <c r="C50" s="40">
        <f>+C49</f>
        <v>44483</v>
      </c>
      <c r="D50" s="39">
        <f t="shared" si="24"/>
        <v>443</v>
      </c>
      <c r="E50" s="40">
        <v>44925</v>
      </c>
      <c r="F50" s="82"/>
      <c r="G50" s="82"/>
      <c r="H50" s="83"/>
      <c r="I50" s="41"/>
      <c r="J50" s="41"/>
      <c r="K50" s="41"/>
      <c r="L50" s="41">
        <v>31875</v>
      </c>
      <c r="M50" s="41">
        <f t="shared" si="3"/>
        <v>31875</v>
      </c>
      <c r="N50" s="41">
        <v>96000</v>
      </c>
      <c r="O50" s="41"/>
      <c r="P50" s="41"/>
    </row>
    <row r="51" spans="1:16" hidden="1" outlineLevel="4" x14ac:dyDescent="0.3">
      <c r="A51" s="39" t="s">
        <v>43</v>
      </c>
      <c r="B51" s="39" t="s">
        <v>50</v>
      </c>
      <c r="C51" s="40">
        <v>44568</v>
      </c>
      <c r="D51" s="39">
        <f t="shared" si="24"/>
        <v>1089</v>
      </c>
      <c r="E51" s="40">
        <v>45656</v>
      </c>
      <c r="F51" s="82"/>
      <c r="G51" s="82"/>
      <c r="H51" s="83"/>
      <c r="I51" s="41"/>
      <c r="J51" s="41"/>
      <c r="K51" s="41"/>
      <c r="L51" s="41">
        <v>59160</v>
      </c>
      <c r="M51" s="41">
        <f t="shared" si="3"/>
        <v>59160</v>
      </c>
      <c r="N51" s="6">
        <v>230400</v>
      </c>
      <c r="O51" s="41">
        <v>192000</v>
      </c>
      <c r="P51" s="41">
        <v>192000</v>
      </c>
    </row>
    <row r="52" spans="1:16" hidden="1" outlineLevel="4" x14ac:dyDescent="0.3">
      <c r="A52" s="39" t="s">
        <v>44</v>
      </c>
      <c r="B52" s="39" t="s">
        <v>160</v>
      </c>
      <c r="C52" s="40">
        <v>44562</v>
      </c>
      <c r="D52" s="39">
        <f>E52-C52+1</f>
        <v>1095</v>
      </c>
      <c r="E52" s="40">
        <v>45656</v>
      </c>
      <c r="F52" s="82"/>
      <c r="G52" s="82"/>
      <c r="H52" s="83"/>
      <c r="I52" s="41"/>
      <c r="J52" s="41"/>
      <c r="K52" s="41"/>
      <c r="L52" s="41">
        <v>0</v>
      </c>
      <c r="M52" s="41">
        <f t="shared" si="3"/>
        <v>0</v>
      </c>
      <c r="N52" s="41">
        <v>150000</v>
      </c>
      <c r="O52" s="41">
        <v>15000</v>
      </c>
      <c r="P52" s="41">
        <v>15000</v>
      </c>
    </row>
    <row r="53" spans="1:16" s="22" customFormat="1" outlineLevel="1" collapsed="1" x14ac:dyDescent="0.3">
      <c r="A53" s="21">
        <v>1.6</v>
      </c>
      <c r="B53" s="18" t="s">
        <v>186</v>
      </c>
      <c r="C53" s="23">
        <f>MIN(C54:C55)</f>
        <v>44208</v>
      </c>
      <c r="D53" s="22">
        <f t="shared" ref="D53" si="27">E53-C53+1</f>
        <v>1628</v>
      </c>
      <c r="E53" s="23">
        <f>MAX(E54:E55)</f>
        <v>45835</v>
      </c>
      <c r="F53" s="76">
        <v>0</v>
      </c>
      <c r="G53" s="76">
        <v>0</v>
      </c>
      <c r="H53" s="77">
        <v>0</v>
      </c>
      <c r="I53" s="24">
        <f t="shared" ref="I53:P53" si="28">SUM(I54:I55)</f>
        <v>0</v>
      </c>
      <c r="J53" s="24">
        <f t="shared" si="28"/>
        <v>0</v>
      </c>
      <c r="K53" s="24">
        <f>K55</f>
        <v>85667</v>
      </c>
      <c r="L53" s="24">
        <f>L55</f>
        <v>85667</v>
      </c>
      <c r="M53" s="24">
        <f>SUM(I53:L53)</f>
        <v>171334</v>
      </c>
      <c r="N53" s="24">
        <f t="shared" si="28"/>
        <v>375000</v>
      </c>
      <c r="O53" s="24">
        <f t="shared" si="28"/>
        <v>325000</v>
      </c>
      <c r="P53" s="24">
        <f t="shared" si="28"/>
        <v>175000</v>
      </c>
    </row>
    <row r="54" spans="1:16" s="26" customFormat="1" hidden="1" outlineLevel="2" x14ac:dyDescent="0.3">
      <c r="A54" s="26" t="s">
        <v>51</v>
      </c>
      <c r="B54" s="26" t="s">
        <v>18</v>
      </c>
      <c r="C54" s="27">
        <f>+$E$7</f>
        <v>45656</v>
      </c>
      <c r="D54" s="26">
        <v>180</v>
      </c>
      <c r="E54" s="27">
        <f t="shared" ref="E54" si="29">+C54+D54-1</f>
        <v>45835</v>
      </c>
      <c r="F54" s="70"/>
      <c r="G54" s="70"/>
      <c r="H54" s="71"/>
      <c r="I54" s="28"/>
      <c r="J54" s="28"/>
      <c r="K54" s="28"/>
      <c r="L54" s="28"/>
      <c r="M54" s="28">
        <f t="shared" si="3"/>
        <v>0</v>
      </c>
      <c r="N54" s="28"/>
      <c r="O54" s="28"/>
      <c r="P54" s="28"/>
    </row>
    <row r="55" spans="1:16" s="26" customFormat="1" hidden="1" outlineLevel="2" x14ac:dyDescent="0.3">
      <c r="A55" s="26" t="s">
        <v>52</v>
      </c>
      <c r="B55" s="26" t="s">
        <v>19</v>
      </c>
      <c r="C55" s="27">
        <f>MIN(C56:C57)</f>
        <v>44208</v>
      </c>
      <c r="D55" s="26">
        <f>E55-C55+1</f>
        <v>1400</v>
      </c>
      <c r="E55" s="27">
        <f>MIN(E56:E57)</f>
        <v>45607</v>
      </c>
      <c r="F55" s="70">
        <v>0</v>
      </c>
      <c r="G55" s="70">
        <v>0</v>
      </c>
      <c r="H55" s="71">
        <v>0</v>
      </c>
      <c r="I55" s="28">
        <f t="shared" ref="I55:P55" si="30">SUM(I56:I57)</f>
        <v>0</v>
      </c>
      <c r="J55" s="28">
        <f t="shared" si="30"/>
        <v>0</v>
      </c>
      <c r="K55" s="28">
        <f t="shared" si="30"/>
        <v>85667</v>
      </c>
      <c r="L55" s="28">
        <f t="shared" si="30"/>
        <v>85667</v>
      </c>
      <c r="M55" s="28">
        <f t="shared" si="3"/>
        <v>171334</v>
      </c>
      <c r="N55" s="28">
        <f t="shared" si="30"/>
        <v>375000</v>
      </c>
      <c r="O55" s="28">
        <f t="shared" si="30"/>
        <v>325000</v>
      </c>
      <c r="P55" s="28">
        <f t="shared" si="30"/>
        <v>175000</v>
      </c>
    </row>
    <row r="56" spans="1:16" s="39" customFormat="1" hidden="1" outlineLevel="3" x14ac:dyDescent="0.3">
      <c r="A56" s="39" t="s">
        <v>53</v>
      </c>
      <c r="B56" s="39" t="s">
        <v>55</v>
      </c>
      <c r="C56" s="40">
        <v>44208</v>
      </c>
      <c r="D56" s="39">
        <v>1400</v>
      </c>
      <c r="E56" s="40">
        <f>+C56+D56-1</f>
        <v>45607</v>
      </c>
      <c r="F56" s="82"/>
      <c r="G56" s="82"/>
      <c r="H56" s="83"/>
      <c r="I56" s="33"/>
      <c r="J56" s="33"/>
      <c r="K56" s="33">
        <f>(128584/2)-15625</f>
        <v>48667</v>
      </c>
      <c r="L56" s="33">
        <f>(128584/2)-15625</f>
        <v>48667</v>
      </c>
      <c r="M56" s="33">
        <f t="shared" si="3"/>
        <v>97334</v>
      </c>
      <c r="N56" s="33">
        <v>250000</v>
      </c>
      <c r="O56" s="33">
        <v>200000</v>
      </c>
      <c r="P56" s="33">
        <v>50000</v>
      </c>
    </row>
    <row r="57" spans="1:16" s="39" customFormat="1" hidden="1" outlineLevel="3" x14ac:dyDescent="0.3">
      <c r="A57" s="39" t="s">
        <v>54</v>
      </c>
      <c r="B57" s="39" t="s">
        <v>56</v>
      </c>
      <c r="C57" s="40">
        <f>+C56</f>
        <v>44208</v>
      </c>
      <c r="D57" s="39">
        <v>1400</v>
      </c>
      <c r="E57" s="40">
        <f>+C57+D57-1</f>
        <v>45607</v>
      </c>
      <c r="F57" s="82"/>
      <c r="G57" s="82"/>
      <c r="H57" s="83"/>
      <c r="I57" s="33"/>
      <c r="J57" s="33"/>
      <c r="K57" s="33">
        <f>74000/2</f>
        <v>37000</v>
      </c>
      <c r="L57" s="33">
        <v>37000</v>
      </c>
      <c r="M57" s="33">
        <f t="shared" si="3"/>
        <v>74000</v>
      </c>
      <c r="N57" s="33">
        <v>125000</v>
      </c>
      <c r="O57" s="33">
        <v>125000</v>
      </c>
      <c r="P57" s="33">
        <v>125000</v>
      </c>
    </row>
    <row r="58" spans="1:16" s="14" customFormat="1" x14ac:dyDescent="0.3">
      <c r="A58" s="13">
        <v>2</v>
      </c>
      <c r="B58" s="14" t="s">
        <v>71</v>
      </c>
      <c r="C58" s="15">
        <f>MIN(C59:C115)</f>
        <v>44012</v>
      </c>
      <c r="D58" s="14">
        <f t="shared" ref="D58" si="31">E58-C58+1</f>
        <v>1646</v>
      </c>
      <c r="E58" s="15">
        <f>MAX(E59:E115)</f>
        <v>45657</v>
      </c>
      <c r="F58" s="66"/>
      <c r="G58" s="66"/>
      <c r="H58" s="67">
        <f>H59+H68+H79+H84+H91+H96+H97+H104+H113</f>
        <v>269758.72289156629</v>
      </c>
      <c r="I58" s="16">
        <f>I59+I67+I68+I79+I84+I91+I97+I104+I113</f>
        <v>922123.5</v>
      </c>
      <c r="J58" s="16">
        <f t="shared" ref="J58:L58" si="32">J59+J67+J68+J79+J84+J91+J97+J104+J113</f>
        <v>532748.5</v>
      </c>
      <c r="K58" s="16">
        <f t="shared" si="32"/>
        <v>630808.5</v>
      </c>
      <c r="L58" s="16">
        <f t="shared" si="32"/>
        <v>782748.74096385541</v>
      </c>
      <c r="M58" s="16">
        <f>M59+M67+M68+M79+M84+M91+M97+M104+M113</f>
        <v>2968429.2409638553</v>
      </c>
      <c r="N58" s="16">
        <f>+N59+N68+N79+N84+N91+N97+N104+N113</f>
        <v>1825352.7449799194</v>
      </c>
      <c r="O58" s="16">
        <f>+O59+O68+O79+O84+O91+O97+O104+O113</f>
        <v>1246076.2148594377</v>
      </c>
      <c r="P58" s="16">
        <f>+P59+P68+P79+P84+P91+P97+P104+P113</f>
        <v>375673.66666666663</v>
      </c>
    </row>
    <row r="59" spans="1:16" s="22" customFormat="1" outlineLevel="1" x14ac:dyDescent="0.3">
      <c r="A59" s="21">
        <v>2.1</v>
      </c>
      <c r="B59" s="18" t="s">
        <v>72</v>
      </c>
      <c r="C59" s="23">
        <v>44021</v>
      </c>
      <c r="D59" s="22">
        <v>1636</v>
      </c>
      <c r="E59" s="23">
        <v>45656</v>
      </c>
      <c r="F59" s="76">
        <f t="shared" ref="F59:G59" si="33">SUM(F60:F61)</f>
        <v>0</v>
      </c>
      <c r="G59" s="76">
        <f t="shared" si="33"/>
        <v>35000</v>
      </c>
      <c r="H59" s="76">
        <f>SUM(F59:G59)</f>
        <v>35000</v>
      </c>
      <c r="I59" s="95">
        <f>I61</f>
        <v>369375</v>
      </c>
      <c r="J59" s="24"/>
      <c r="K59" s="24"/>
      <c r="L59" s="24"/>
      <c r="M59" s="24">
        <f t="shared" si="3"/>
        <v>369375</v>
      </c>
      <c r="N59" s="24">
        <f t="shared" ref="N59:P59" si="34">SUM(N60:N61)</f>
        <v>75000</v>
      </c>
      <c r="O59" s="24">
        <f t="shared" si="34"/>
        <v>75000</v>
      </c>
      <c r="P59" s="24">
        <f t="shared" si="34"/>
        <v>75000</v>
      </c>
    </row>
    <row r="60" spans="1:16" s="26" customFormat="1" hidden="1" outlineLevel="2" x14ac:dyDescent="0.3">
      <c r="A60" s="26" t="s">
        <v>74</v>
      </c>
      <c r="B60" s="26" t="s">
        <v>18</v>
      </c>
      <c r="C60" s="27">
        <v>44021</v>
      </c>
      <c r="D60" s="26">
        <v>80</v>
      </c>
      <c r="E60" s="27">
        <v>44100</v>
      </c>
      <c r="F60" s="70">
        <f t="shared" ref="F60" si="35">SUM(F61:F62)</f>
        <v>0</v>
      </c>
      <c r="G60" s="70"/>
      <c r="H60" s="70">
        <f t="shared" ref="H60:H67" si="36">SUM(F60:G60)</f>
        <v>0</v>
      </c>
      <c r="I60" s="96"/>
      <c r="J60" s="28"/>
      <c r="K60" s="28"/>
      <c r="L60" s="28"/>
      <c r="M60" s="28">
        <f t="shared" si="3"/>
        <v>0</v>
      </c>
      <c r="N60" s="28"/>
      <c r="O60" s="28"/>
      <c r="P60" s="28"/>
    </row>
    <row r="61" spans="1:16" s="26" customFormat="1" hidden="1" outlineLevel="2" x14ac:dyDescent="0.3">
      <c r="A61" s="26" t="s">
        <v>73</v>
      </c>
      <c r="B61" s="26" t="s">
        <v>19</v>
      </c>
      <c r="C61" s="27">
        <f>MIN(C62:C66)</f>
        <v>44100</v>
      </c>
      <c r="D61" s="26">
        <v>128</v>
      </c>
      <c r="E61" s="27">
        <f>MAX(E62:E66)</f>
        <v>45656</v>
      </c>
      <c r="F61" s="70">
        <f t="shared" ref="F61" si="37">SUM(F62:F63)</f>
        <v>0</v>
      </c>
      <c r="G61" s="70">
        <f t="shared" ref="G61" si="38">SUM(G62:G66)</f>
        <v>35000</v>
      </c>
      <c r="H61" s="70">
        <f t="shared" si="36"/>
        <v>35000</v>
      </c>
      <c r="I61" s="96">
        <f>SUM(I62:I66)</f>
        <v>369375</v>
      </c>
      <c r="J61" s="28"/>
      <c r="K61" s="28"/>
      <c r="L61" s="28"/>
      <c r="M61" s="28">
        <f t="shared" si="3"/>
        <v>369375</v>
      </c>
      <c r="N61" s="28">
        <f t="shared" ref="N61:P61" si="39">SUM(N62:N66)</f>
        <v>75000</v>
      </c>
      <c r="O61" s="28">
        <f t="shared" si="39"/>
        <v>75000</v>
      </c>
      <c r="P61" s="28">
        <f t="shared" si="39"/>
        <v>75000</v>
      </c>
    </row>
    <row r="62" spans="1:16" s="39" customFormat="1" hidden="1" outlineLevel="3" x14ac:dyDescent="0.3">
      <c r="A62" s="39" t="s">
        <v>77</v>
      </c>
      <c r="B62" s="39" t="s">
        <v>75</v>
      </c>
      <c r="C62" s="40">
        <v>44197</v>
      </c>
      <c r="D62" s="39">
        <f t="shared" ref="D62:D67" si="40">E62-C62+1</f>
        <v>364</v>
      </c>
      <c r="E62" s="40">
        <v>44560</v>
      </c>
      <c r="F62" s="82">
        <f t="shared" ref="F62" si="41">SUM(F63:F64)</f>
        <v>0</v>
      </c>
      <c r="G62" s="82"/>
      <c r="H62" s="82">
        <f t="shared" si="36"/>
        <v>0</v>
      </c>
      <c r="I62" s="97">
        <v>170000</v>
      </c>
      <c r="J62" s="41"/>
      <c r="K62" s="41"/>
      <c r="L62" s="41"/>
      <c r="M62" s="41">
        <f t="shared" si="3"/>
        <v>170000</v>
      </c>
      <c r="N62" s="41"/>
      <c r="O62" s="41"/>
      <c r="P62" s="41"/>
    </row>
    <row r="63" spans="1:16" s="39" customFormat="1" hidden="1" outlineLevel="3" x14ac:dyDescent="0.3">
      <c r="A63" s="39" t="s">
        <v>78</v>
      </c>
      <c r="B63" s="39" t="s">
        <v>25</v>
      </c>
      <c r="C63" s="40">
        <f>+E60</f>
        <v>44100</v>
      </c>
      <c r="D63" s="39">
        <f t="shared" si="40"/>
        <v>461</v>
      </c>
      <c r="E63" s="40">
        <v>44560</v>
      </c>
      <c r="F63" s="82">
        <f t="shared" ref="F63" si="42">SUM(F64:F65)</f>
        <v>0</v>
      </c>
      <c r="G63" s="82">
        <v>35000</v>
      </c>
      <c r="H63" s="82">
        <f t="shared" si="36"/>
        <v>35000</v>
      </c>
      <c r="I63" s="97">
        <v>75000</v>
      </c>
      <c r="J63" s="41"/>
      <c r="K63" s="41"/>
      <c r="L63" s="41"/>
      <c r="M63" s="41">
        <f t="shared" si="3"/>
        <v>75000</v>
      </c>
      <c r="N63" s="41"/>
      <c r="O63" s="41">
        <v>0</v>
      </c>
      <c r="P63" s="41"/>
    </row>
    <row r="64" spans="1:16" s="39" customFormat="1" hidden="1" outlineLevel="3" x14ac:dyDescent="0.3">
      <c r="A64" s="39" t="s">
        <v>79</v>
      </c>
      <c r="B64" s="39" t="s">
        <v>26</v>
      </c>
      <c r="C64" s="40">
        <v>44197</v>
      </c>
      <c r="D64" s="39">
        <f t="shared" si="40"/>
        <v>1460</v>
      </c>
      <c r="E64" s="40">
        <v>45656</v>
      </c>
      <c r="F64" s="82">
        <f t="shared" ref="F64" si="43">SUM(F65:F66)</f>
        <v>0</v>
      </c>
      <c r="G64" s="82"/>
      <c r="H64" s="82">
        <f t="shared" si="36"/>
        <v>0</v>
      </c>
      <c r="I64" s="97">
        <v>86875</v>
      </c>
      <c r="J64" s="41"/>
      <c r="K64" s="41"/>
      <c r="L64" s="41"/>
      <c r="M64" s="41">
        <f t="shared" si="3"/>
        <v>86875</v>
      </c>
      <c r="N64" s="41">
        <v>15000</v>
      </c>
      <c r="O64" s="41">
        <v>15000</v>
      </c>
      <c r="P64" s="41">
        <v>15000</v>
      </c>
    </row>
    <row r="65" spans="1:16" s="39" customFormat="1" hidden="1" outlineLevel="3" x14ac:dyDescent="0.3">
      <c r="A65" s="39" t="s">
        <v>80</v>
      </c>
      <c r="B65" s="39" t="s">
        <v>27</v>
      </c>
      <c r="C65" s="40">
        <v>44197</v>
      </c>
      <c r="D65" s="39">
        <f t="shared" si="40"/>
        <v>1460</v>
      </c>
      <c r="E65" s="40">
        <v>45656</v>
      </c>
      <c r="F65" s="82">
        <f t="shared" ref="F65" si="44">SUM(F66:F67)</f>
        <v>0</v>
      </c>
      <c r="G65" s="82"/>
      <c r="H65" s="82">
        <f t="shared" si="36"/>
        <v>0</v>
      </c>
      <c r="I65" s="97">
        <v>30000</v>
      </c>
      <c r="J65" s="41"/>
      <c r="K65" s="41"/>
      <c r="L65" s="41"/>
      <c r="M65" s="41">
        <f t="shared" si="3"/>
        <v>30000</v>
      </c>
      <c r="N65" s="41">
        <v>30000</v>
      </c>
      <c r="O65" s="41">
        <v>30000</v>
      </c>
      <c r="P65" s="41">
        <v>30000</v>
      </c>
    </row>
    <row r="66" spans="1:16" s="39" customFormat="1" hidden="1" outlineLevel="3" x14ac:dyDescent="0.3">
      <c r="A66" s="39" t="s">
        <v>81</v>
      </c>
      <c r="B66" s="39" t="s">
        <v>76</v>
      </c>
      <c r="C66" s="40">
        <v>44197</v>
      </c>
      <c r="D66" s="39">
        <f t="shared" si="40"/>
        <v>1460</v>
      </c>
      <c r="E66" s="40">
        <v>45656</v>
      </c>
      <c r="F66" s="82">
        <f t="shared" ref="F66" si="45">SUM(F67:F68)</f>
        <v>0</v>
      </c>
      <c r="G66" s="82"/>
      <c r="H66" s="82">
        <f t="shared" si="36"/>
        <v>0</v>
      </c>
      <c r="I66" s="97">
        <v>7500</v>
      </c>
      <c r="J66" s="41"/>
      <c r="K66" s="41"/>
      <c r="L66" s="41"/>
      <c r="M66" s="41">
        <f t="shared" si="3"/>
        <v>7500</v>
      </c>
      <c r="N66" s="41">
        <v>30000</v>
      </c>
      <c r="O66" s="41">
        <v>30000</v>
      </c>
      <c r="P66" s="41">
        <v>30000</v>
      </c>
    </row>
    <row r="67" spans="1:16" s="22" customFormat="1" outlineLevel="1" collapsed="1" x14ac:dyDescent="0.3">
      <c r="A67" s="21">
        <v>2.2000000000000002</v>
      </c>
      <c r="B67" s="100" t="s">
        <v>183</v>
      </c>
      <c r="C67" s="23">
        <v>44197</v>
      </c>
      <c r="D67" s="22">
        <f t="shared" si="40"/>
        <v>365</v>
      </c>
      <c r="E67" s="23">
        <v>44561</v>
      </c>
      <c r="F67" s="76">
        <f t="shared" ref="F67" si="46">SUM(F68:F69)</f>
        <v>0</v>
      </c>
      <c r="G67" s="76">
        <f t="shared" ref="F67:G68" si="47">+G68+G74</f>
        <v>0</v>
      </c>
      <c r="H67" s="77">
        <f t="shared" si="36"/>
        <v>0</v>
      </c>
      <c r="I67" s="24">
        <v>20000</v>
      </c>
      <c r="J67" s="24"/>
      <c r="K67" s="24"/>
      <c r="L67" s="24"/>
      <c r="M67" s="24">
        <f t="shared" si="3"/>
        <v>20000</v>
      </c>
      <c r="N67" s="24"/>
      <c r="O67" s="24"/>
      <c r="P67" s="24"/>
    </row>
    <row r="68" spans="1:16" s="22" customFormat="1" outlineLevel="1" x14ac:dyDescent="0.3">
      <c r="A68" s="21">
        <v>2.2999999999999998</v>
      </c>
      <c r="B68" s="25" t="s">
        <v>184</v>
      </c>
      <c r="C68" s="23">
        <f>MIN(C69:C77)</f>
        <v>44228</v>
      </c>
      <c r="D68" s="22">
        <f t="shared" ref="D68:D69" si="48">E68-C68+1</f>
        <v>1308</v>
      </c>
      <c r="E68" s="23">
        <f>MAX(E69:E77)</f>
        <v>45535</v>
      </c>
      <c r="F68" s="76">
        <f t="shared" si="47"/>
        <v>0</v>
      </c>
      <c r="G68" s="76">
        <f t="shared" si="47"/>
        <v>0</v>
      </c>
      <c r="H68" s="77">
        <f t="shared" ref="H68:H95" si="49">SUM(F68:G68)</f>
        <v>0</v>
      </c>
      <c r="I68" s="24"/>
      <c r="J68" s="24"/>
      <c r="K68" s="24"/>
      <c r="L68" s="24"/>
      <c r="M68" s="24">
        <f>M69</f>
        <v>100000</v>
      </c>
      <c r="N68" s="24">
        <f t="shared" ref="N68:P68" si="50">+N69+N75</f>
        <v>170000</v>
      </c>
      <c r="O68" s="24">
        <f t="shared" si="50"/>
        <v>103012.04819277109</v>
      </c>
      <c r="P68" s="24">
        <f t="shared" si="50"/>
        <v>50000</v>
      </c>
    </row>
    <row r="69" spans="1:16" s="26" customFormat="1" hidden="1" outlineLevel="2" x14ac:dyDescent="0.3">
      <c r="A69" s="26" t="s">
        <v>84</v>
      </c>
      <c r="B69" s="47" t="s">
        <v>141</v>
      </c>
      <c r="C69" s="27">
        <f>MIN(C70:C73)</f>
        <v>44621</v>
      </c>
      <c r="D69" s="26">
        <f t="shared" si="48"/>
        <v>915</v>
      </c>
      <c r="E69" s="27">
        <f>MAX(E70:E73)</f>
        <v>45535</v>
      </c>
      <c r="F69" s="70">
        <f t="shared" ref="F69:G69" si="51">SUM(F70:F71)</f>
        <v>0</v>
      </c>
      <c r="G69" s="70">
        <f t="shared" si="51"/>
        <v>0</v>
      </c>
      <c r="H69" s="71">
        <f t="shared" si="49"/>
        <v>0</v>
      </c>
      <c r="I69" s="28">
        <v>100000</v>
      </c>
      <c r="J69" s="28"/>
      <c r="K69" s="28"/>
      <c r="L69" s="28"/>
      <c r="M69" s="28">
        <f t="shared" si="3"/>
        <v>100000</v>
      </c>
      <c r="N69" s="28">
        <f t="shared" ref="N69:P69" si="52">SUM(N70:N71)</f>
        <v>120000</v>
      </c>
      <c r="O69" s="28">
        <f t="shared" si="52"/>
        <v>53012.048192771086</v>
      </c>
      <c r="P69" s="28">
        <f t="shared" si="52"/>
        <v>50000</v>
      </c>
    </row>
    <row r="70" spans="1:16" s="39" customFormat="1" hidden="1" outlineLevel="3" x14ac:dyDescent="0.3">
      <c r="A70" s="39" t="s">
        <v>162</v>
      </c>
      <c r="B70" s="39" t="s">
        <v>83</v>
      </c>
      <c r="C70" s="40">
        <v>44621</v>
      </c>
      <c r="D70" s="39">
        <v>128</v>
      </c>
      <c r="E70" s="40">
        <f>+C70+D70-1</f>
        <v>44748</v>
      </c>
      <c r="F70" s="82"/>
      <c r="G70" s="82"/>
      <c r="H70" s="83">
        <f t="shared" si="49"/>
        <v>0</v>
      </c>
      <c r="I70" s="41"/>
      <c r="J70" s="41"/>
      <c r="K70" s="41"/>
      <c r="L70" s="41"/>
      <c r="M70" s="41">
        <f t="shared" si="3"/>
        <v>0</v>
      </c>
      <c r="N70" s="41"/>
      <c r="O70" s="41"/>
      <c r="P70" s="41"/>
    </row>
    <row r="71" spans="1:16" hidden="1" outlineLevel="3" x14ac:dyDescent="0.3">
      <c r="A71" t="s">
        <v>163</v>
      </c>
      <c r="B71" t="s">
        <v>19</v>
      </c>
      <c r="C71" s="1">
        <f>MIN(C72:C74)</f>
        <v>44748</v>
      </c>
      <c r="D71">
        <f t="shared" ref="D71" si="53">E71-C71+1</f>
        <v>788</v>
      </c>
      <c r="E71" s="1">
        <f>MAX(E72:E74)</f>
        <v>45535</v>
      </c>
      <c r="F71" s="78">
        <f t="shared" ref="F71:G71" si="54">SUM(F72:F73)</f>
        <v>0</v>
      </c>
      <c r="G71" s="78">
        <f t="shared" si="54"/>
        <v>0</v>
      </c>
      <c r="H71" s="79">
        <f t="shared" si="49"/>
        <v>0</v>
      </c>
      <c r="M71" s="2">
        <f t="shared" si="3"/>
        <v>0</v>
      </c>
      <c r="N71" s="2">
        <f>SUM(N72:N74)</f>
        <v>120000</v>
      </c>
      <c r="O71" s="2">
        <f t="shared" ref="O71:P71" si="55">SUM(O72:O74)</f>
        <v>53012.048192771086</v>
      </c>
      <c r="P71" s="2">
        <f t="shared" si="55"/>
        <v>50000</v>
      </c>
    </row>
    <row r="72" spans="1:16" s="39" customFormat="1" hidden="1" outlineLevel="4" x14ac:dyDescent="0.3">
      <c r="A72" s="39" t="s">
        <v>164</v>
      </c>
      <c r="B72" s="39" t="s">
        <v>109</v>
      </c>
      <c r="C72" s="40">
        <f>+E70</f>
        <v>44748</v>
      </c>
      <c r="D72" s="39">
        <v>365</v>
      </c>
      <c r="E72" s="40">
        <f>+C72+D72-1</f>
        <v>45112</v>
      </c>
      <c r="F72" s="82"/>
      <c r="G72" s="82"/>
      <c r="H72" s="83">
        <f t="shared" si="49"/>
        <v>0</v>
      </c>
      <c r="I72" s="41"/>
      <c r="J72" s="41"/>
      <c r="K72" s="41"/>
      <c r="L72" s="41"/>
      <c r="M72" s="41">
        <f t="shared" si="3"/>
        <v>0</v>
      </c>
      <c r="N72" s="41">
        <v>120000</v>
      </c>
      <c r="O72" s="41"/>
      <c r="P72" s="41"/>
    </row>
    <row r="73" spans="1:16" s="39" customFormat="1" hidden="1" outlineLevel="4" x14ac:dyDescent="0.3">
      <c r="A73" s="39" t="s">
        <v>165</v>
      </c>
      <c r="B73" s="39" t="s">
        <v>82</v>
      </c>
      <c r="C73" s="40">
        <f>+E72</f>
        <v>45112</v>
      </c>
      <c r="D73" s="39">
        <f t="shared" ref="D73:D74" si="56">E73-C73+1</f>
        <v>57</v>
      </c>
      <c r="E73" s="40">
        <v>45168</v>
      </c>
      <c r="F73" s="82"/>
      <c r="G73" s="82"/>
      <c r="H73" s="83">
        <f t="shared" si="49"/>
        <v>0</v>
      </c>
      <c r="I73" s="41"/>
      <c r="J73" s="41"/>
      <c r="K73" s="41"/>
      <c r="L73" s="41"/>
      <c r="M73" s="41">
        <f t="shared" si="3"/>
        <v>0</v>
      </c>
      <c r="N73" s="41"/>
      <c r="O73" s="41">
        <v>3012.0481927710844</v>
      </c>
      <c r="P73" s="41"/>
    </row>
    <row r="74" spans="1:16" s="59" customFormat="1" hidden="1" outlineLevel="2" collapsed="1" x14ac:dyDescent="0.3">
      <c r="A74" s="56" t="s">
        <v>166</v>
      </c>
      <c r="B74" s="39" t="s">
        <v>142</v>
      </c>
      <c r="C74" s="57">
        <f>C73</f>
        <v>45112</v>
      </c>
      <c r="D74" s="56">
        <f t="shared" si="56"/>
        <v>424</v>
      </c>
      <c r="E74" s="57">
        <v>45535</v>
      </c>
      <c r="F74" s="84">
        <f t="shared" ref="F74:G74" si="57">SUM(F75:F76)</f>
        <v>0</v>
      </c>
      <c r="G74" s="84">
        <f t="shared" si="57"/>
        <v>0</v>
      </c>
      <c r="H74" s="85">
        <f t="shared" si="49"/>
        <v>0</v>
      </c>
      <c r="I74" s="58"/>
      <c r="J74" s="58"/>
      <c r="K74" s="58"/>
      <c r="L74" s="58"/>
      <c r="M74" s="58">
        <f t="shared" ref="M74:M125" si="58">SUM(I74:L74)</f>
        <v>0</v>
      </c>
      <c r="N74" s="58"/>
      <c r="O74" s="58">
        <v>50000</v>
      </c>
      <c r="P74" s="58">
        <v>50000</v>
      </c>
    </row>
    <row r="75" spans="1:16" s="26" customFormat="1" hidden="1" outlineLevel="2" x14ac:dyDescent="0.3">
      <c r="A75" s="26" t="s">
        <v>85</v>
      </c>
      <c r="B75" s="26" t="s">
        <v>108</v>
      </c>
      <c r="C75" s="27">
        <f>MIN(C76:C78)</f>
        <v>44228</v>
      </c>
      <c r="D75" s="26">
        <v>640</v>
      </c>
      <c r="E75" s="27">
        <f>MAX(E76:E78)</f>
        <v>45292</v>
      </c>
      <c r="F75" s="70">
        <f t="shared" ref="F75:G75" si="59">SUM(F76:F77)</f>
        <v>0</v>
      </c>
      <c r="G75" s="70">
        <f t="shared" si="59"/>
        <v>0</v>
      </c>
      <c r="H75" s="71">
        <f t="shared" si="49"/>
        <v>0</v>
      </c>
      <c r="I75" s="28">
        <f t="shared" ref="I75:L75" si="60">SUM(I76:I78)</f>
        <v>25000</v>
      </c>
      <c r="J75" s="28">
        <f t="shared" si="60"/>
        <v>25000</v>
      </c>
      <c r="K75" s="28">
        <f t="shared" si="60"/>
        <v>25000</v>
      </c>
      <c r="L75" s="28">
        <f t="shared" si="60"/>
        <v>25000</v>
      </c>
      <c r="M75" s="28">
        <f t="shared" si="58"/>
        <v>100000</v>
      </c>
      <c r="N75" s="28">
        <f t="shared" ref="N75:P75" si="61">SUM(N76:N78)</f>
        <v>50000</v>
      </c>
      <c r="O75" s="28">
        <f t="shared" si="61"/>
        <v>50000</v>
      </c>
      <c r="P75" s="28">
        <f t="shared" si="61"/>
        <v>0</v>
      </c>
    </row>
    <row r="76" spans="1:16" s="39" customFormat="1" hidden="1" outlineLevel="3" x14ac:dyDescent="0.3">
      <c r="A76" s="39" t="s">
        <v>86</v>
      </c>
      <c r="B76" s="42" t="s">
        <v>83</v>
      </c>
      <c r="C76" s="40">
        <v>44228</v>
      </c>
      <c r="D76" s="39">
        <v>128</v>
      </c>
      <c r="E76" s="40">
        <f t="shared" ref="E76" si="62">+C76+D76-1</f>
        <v>44355</v>
      </c>
      <c r="F76" s="82"/>
      <c r="G76" s="82"/>
      <c r="H76" s="83">
        <f t="shared" si="49"/>
        <v>0</v>
      </c>
      <c r="I76" s="41"/>
      <c r="J76" s="41"/>
      <c r="K76" s="41"/>
      <c r="L76" s="41"/>
      <c r="M76" s="41">
        <f t="shared" si="58"/>
        <v>0</v>
      </c>
      <c r="N76" s="41"/>
      <c r="O76" s="41"/>
      <c r="P76" s="41"/>
    </row>
    <row r="77" spans="1:16" s="39" customFormat="1" hidden="1" outlineLevel="3" x14ac:dyDescent="0.3">
      <c r="A77" s="39" t="s">
        <v>87</v>
      </c>
      <c r="B77" s="42" t="s">
        <v>19</v>
      </c>
      <c r="C77" s="40">
        <f>+E76</f>
        <v>44355</v>
      </c>
      <c r="D77" s="39">
        <f t="shared" ref="D77:D79" si="63">E77-C77+1</f>
        <v>207</v>
      </c>
      <c r="E77" s="40">
        <v>44561</v>
      </c>
      <c r="F77" s="82"/>
      <c r="G77" s="82"/>
      <c r="H77" s="83">
        <f t="shared" si="49"/>
        <v>0</v>
      </c>
      <c r="I77" s="41">
        <v>25000</v>
      </c>
      <c r="J77" s="41">
        <v>25000</v>
      </c>
      <c r="K77" s="41">
        <v>25000</v>
      </c>
      <c r="L77" s="41">
        <v>25000</v>
      </c>
      <c r="M77" s="41">
        <f t="shared" si="58"/>
        <v>100000</v>
      </c>
      <c r="N77" s="41"/>
      <c r="O77" s="41"/>
      <c r="P77" s="41"/>
    </row>
    <row r="78" spans="1:16" s="39" customFormat="1" ht="43.2" hidden="1" outlineLevel="3" x14ac:dyDescent="0.3">
      <c r="A78" s="39" t="s">
        <v>167</v>
      </c>
      <c r="B78" s="42" t="s">
        <v>143</v>
      </c>
      <c r="C78" s="40">
        <f>+E77+1</f>
        <v>44562</v>
      </c>
      <c r="D78" s="39">
        <f t="shared" si="63"/>
        <v>731</v>
      </c>
      <c r="E78" s="40">
        <v>45292</v>
      </c>
      <c r="F78" s="82"/>
      <c r="G78" s="82"/>
      <c r="H78" s="83">
        <f t="shared" si="49"/>
        <v>0</v>
      </c>
      <c r="I78" s="41"/>
      <c r="J78" s="41"/>
      <c r="K78" s="41"/>
      <c r="L78" s="41"/>
      <c r="M78" s="41">
        <f t="shared" si="58"/>
        <v>0</v>
      </c>
      <c r="N78" s="41">
        <v>50000</v>
      </c>
      <c r="O78" s="41">
        <v>50000</v>
      </c>
      <c r="P78" s="41"/>
    </row>
    <row r="79" spans="1:16" s="22" customFormat="1" outlineLevel="1" collapsed="1" x14ac:dyDescent="0.3">
      <c r="A79" s="21">
        <v>2.4</v>
      </c>
      <c r="B79" s="18" t="s">
        <v>187</v>
      </c>
      <c r="C79" s="23">
        <f>MIN(C80:C81)</f>
        <v>44228</v>
      </c>
      <c r="D79" s="22">
        <f t="shared" si="63"/>
        <v>1369</v>
      </c>
      <c r="E79" s="23">
        <f>MAX(E80:E81)</f>
        <v>45596</v>
      </c>
      <c r="F79" s="76">
        <f t="shared" ref="F79:G79" si="64">SUM(F80:F81)</f>
        <v>0</v>
      </c>
      <c r="G79" s="76">
        <f t="shared" si="64"/>
        <v>0</v>
      </c>
      <c r="H79" s="77">
        <f t="shared" si="49"/>
        <v>0</v>
      </c>
      <c r="I79" s="24">
        <f>I81</f>
        <v>78750</v>
      </c>
      <c r="J79" s="24">
        <f t="shared" ref="J79:L79" si="65">J81</f>
        <v>78750</v>
      </c>
      <c r="K79" s="24">
        <f t="shared" si="65"/>
        <v>78750</v>
      </c>
      <c r="L79" s="24">
        <f t="shared" si="65"/>
        <v>78750</v>
      </c>
      <c r="M79" s="24">
        <f>SUM(I79:L79)</f>
        <v>315000</v>
      </c>
      <c r="N79" s="24">
        <f t="shared" ref="N79:P79" si="66">SUM(N80:N81)</f>
        <v>16666.666666666668</v>
      </c>
      <c r="O79" s="24">
        <f t="shared" si="66"/>
        <v>16666.666666666668</v>
      </c>
      <c r="P79" s="24">
        <f t="shared" si="66"/>
        <v>16666.666666666668</v>
      </c>
    </row>
    <row r="80" spans="1:16" s="26" customFormat="1" hidden="1" outlineLevel="2" x14ac:dyDescent="0.3">
      <c r="A80" s="26" t="s">
        <v>100</v>
      </c>
      <c r="B80" s="26" t="s">
        <v>83</v>
      </c>
      <c r="C80" s="27">
        <v>44228</v>
      </c>
      <c r="D80" s="26">
        <v>128</v>
      </c>
      <c r="E80" s="27">
        <f t="shared" ref="E80" si="67">+C80+D80-1</f>
        <v>44355</v>
      </c>
      <c r="F80" s="70"/>
      <c r="G80" s="70"/>
      <c r="H80" s="71">
        <f t="shared" si="49"/>
        <v>0</v>
      </c>
      <c r="I80" s="28"/>
      <c r="J80" s="28"/>
      <c r="K80" s="28"/>
      <c r="L80" s="28"/>
      <c r="M80" s="28">
        <f t="shared" si="58"/>
        <v>0</v>
      </c>
      <c r="N80" s="28"/>
      <c r="O80" s="28"/>
      <c r="P80" s="28"/>
    </row>
    <row r="81" spans="1:16" s="26" customFormat="1" hidden="1" outlineLevel="2" x14ac:dyDescent="0.3">
      <c r="A81" s="26" t="s">
        <v>101</v>
      </c>
      <c r="B81" s="26" t="s">
        <v>19</v>
      </c>
      <c r="C81" s="27">
        <f>MIN(C82:C83)</f>
        <v>44355</v>
      </c>
      <c r="D81" s="26">
        <f t="shared" ref="D81" si="68">E81-C81+1</f>
        <v>1242</v>
      </c>
      <c r="E81" s="27">
        <f>MAX(E82:E83)</f>
        <v>45596</v>
      </c>
      <c r="F81" s="70">
        <f t="shared" ref="F81:G81" si="69">SUM(F82:F83)</f>
        <v>0</v>
      </c>
      <c r="G81" s="70">
        <f t="shared" si="69"/>
        <v>0</v>
      </c>
      <c r="H81" s="71">
        <f t="shared" si="49"/>
        <v>0</v>
      </c>
      <c r="I81" s="28">
        <f>SUM(I82:I83)</f>
        <v>78750</v>
      </c>
      <c r="J81" s="28">
        <f t="shared" ref="J81:L81" si="70">SUM(J82:J83)</f>
        <v>78750</v>
      </c>
      <c r="K81" s="28">
        <f t="shared" si="70"/>
        <v>78750</v>
      </c>
      <c r="L81" s="28">
        <f t="shared" si="70"/>
        <v>78750</v>
      </c>
      <c r="M81" s="28">
        <f>SUM(I81:L81)</f>
        <v>315000</v>
      </c>
      <c r="N81" s="28">
        <f t="shared" ref="N81:P81" si="71">SUM(N82:N83)</f>
        <v>16666.666666666668</v>
      </c>
      <c r="O81" s="28">
        <f t="shared" si="71"/>
        <v>16666.666666666668</v>
      </c>
      <c r="P81" s="28">
        <f t="shared" si="71"/>
        <v>16666.666666666668</v>
      </c>
    </row>
    <row r="82" spans="1:16" s="39" customFormat="1" ht="43.2" hidden="1" outlineLevel="3" x14ac:dyDescent="0.3">
      <c r="A82" s="39" t="s">
        <v>102</v>
      </c>
      <c r="B82" s="42" t="s">
        <v>105</v>
      </c>
      <c r="C82" s="40">
        <f>+E80</f>
        <v>44355</v>
      </c>
      <c r="D82" s="39">
        <f t="shared" ref="D82:D85" si="72">E82-C82+1</f>
        <v>1242</v>
      </c>
      <c r="E82" s="40">
        <v>45596</v>
      </c>
      <c r="F82" s="82"/>
      <c r="G82" s="82"/>
      <c r="H82" s="83">
        <f t="shared" si="49"/>
        <v>0</v>
      </c>
      <c r="I82" s="41">
        <v>75000</v>
      </c>
      <c r="J82" s="41">
        <v>75000</v>
      </c>
      <c r="K82" s="41">
        <v>75000</v>
      </c>
      <c r="L82" s="41">
        <v>75000</v>
      </c>
      <c r="M82" s="41">
        <f t="shared" si="58"/>
        <v>300000</v>
      </c>
      <c r="N82" s="41">
        <f>50000/3</f>
        <v>16666.666666666668</v>
      </c>
      <c r="O82" s="41">
        <f t="shared" ref="O82:P82" si="73">50000/3</f>
        <v>16666.666666666668</v>
      </c>
      <c r="P82" s="41">
        <f t="shared" si="73"/>
        <v>16666.666666666668</v>
      </c>
    </row>
    <row r="83" spans="1:16" s="39" customFormat="1" ht="28.8" hidden="1" outlineLevel="3" x14ac:dyDescent="0.3">
      <c r="A83" s="39" t="s">
        <v>103</v>
      </c>
      <c r="B83" s="42" t="s">
        <v>106</v>
      </c>
      <c r="C83" s="40">
        <v>44531</v>
      </c>
      <c r="D83" s="39">
        <f t="shared" si="72"/>
        <v>31</v>
      </c>
      <c r="E83" s="40">
        <v>44561</v>
      </c>
      <c r="F83" s="82"/>
      <c r="G83" s="82"/>
      <c r="H83" s="83">
        <f t="shared" si="49"/>
        <v>0</v>
      </c>
      <c r="I83" s="41">
        <v>3750</v>
      </c>
      <c r="J83" s="41">
        <v>3750</v>
      </c>
      <c r="K83" s="41">
        <v>3750</v>
      </c>
      <c r="L83" s="41">
        <v>3750</v>
      </c>
      <c r="M83" s="41">
        <f t="shared" si="58"/>
        <v>15000</v>
      </c>
      <c r="N83" s="41"/>
      <c r="O83" s="41"/>
      <c r="P83" s="41"/>
    </row>
    <row r="84" spans="1:16" s="22" customFormat="1" ht="28.8" outlineLevel="1" collapsed="1" x14ac:dyDescent="0.3">
      <c r="A84" s="21">
        <v>2.5</v>
      </c>
      <c r="B84" s="101" t="s">
        <v>98</v>
      </c>
      <c r="C84" s="23">
        <f>MIN(C85:C90)</f>
        <v>44012</v>
      </c>
      <c r="D84" s="22">
        <f t="shared" si="72"/>
        <v>1615</v>
      </c>
      <c r="E84" s="23">
        <f>MAX(E85:E90)</f>
        <v>45626</v>
      </c>
      <c r="F84" s="76">
        <f>F85+F90</f>
        <v>22500</v>
      </c>
      <c r="G84" s="76">
        <f>G85+G90</f>
        <v>52741</v>
      </c>
      <c r="H84" s="77">
        <f t="shared" si="49"/>
        <v>75241</v>
      </c>
      <c r="I84" s="24">
        <f>I85+I90</f>
        <v>51950.25</v>
      </c>
      <c r="J84" s="24">
        <f t="shared" ref="J84:L84" si="74">J85+J90</f>
        <v>51950.25</v>
      </c>
      <c r="K84" s="24">
        <f t="shared" si="74"/>
        <v>51950.25</v>
      </c>
      <c r="L84" s="24">
        <f t="shared" si="74"/>
        <v>51950.25</v>
      </c>
      <c r="M84" s="24">
        <f t="shared" si="58"/>
        <v>207801</v>
      </c>
      <c r="N84" s="43">
        <f t="shared" ref="N84:P84" si="75">+N85+N90</f>
        <v>177801</v>
      </c>
      <c r="O84" s="43">
        <f t="shared" si="75"/>
        <v>177801</v>
      </c>
      <c r="P84" s="43">
        <f t="shared" si="75"/>
        <v>177801</v>
      </c>
    </row>
    <row r="85" spans="1:16" s="26" customFormat="1" ht="43.2" hidden="1" outlineLevel="2" x14ac:dyDescent="0.3">
      <c r="A85" s="26" t="s">
        <v>111</v>
      </c>
      <c r="B85" s="102" t="s">
        <v>144</v>
      </c>
      <c r="C85" s="27">
        <f>MIN(C86:C87)</f>
        <v>44012</v>
      </c>
      <c r="D85" s="26">
        <f t="shared" si="72"/>
        <v>147</v>
      </c>
      <c r="E85" s="27">
        <f>MIN(E86:E87)</f>
        <v>44158</v>
      </c>
      <c r="F85" s="70">
        <v>7500</v>
      </c>
      <c r="G85" s="70">
        <f>SUM(G86:G89)</f>
        <v>37741</v>
      </c>
      <c r="H85" s="71">
        <f t="shared" si="49"/>
        <v>45241</v>
      </c>
      <c r="I85" s="28">
        <f>27575.25+7500</f>
        <v>35075.25</v>
      </c>
      <c r="J85" s="28">
        <f t="shared" ref="J85:L85" si="76">27575.25+7500</f>
        <v>35075.25</v>
      </c>
      <c r="K85" s="28">
        <f t="shared" si="76"/>
        <v>35075.25</v>
      </c>
      <c r="L85" s="28">
        <f t="shared" si="76"/>
        <v>35075.25</v>
      </c>
      <c r="M85" s="28">
        <f t="shared" si="58"/>
        <v>140301</v>
      </c>
      <c r="N85" s="28">
        <f t="shared" ref="N85:P85" si="77">SUM(N86:N87)</f>
        <v>110301</v>
      </c>
      <c r="O85" s="28">
        <f t="shared" si="77"/>
        <v>110301</v>
      </c>
      <c r="P85" s="28">
        <f t="shared" si="77"/>
        <v>110301</v>
      </c>
    </row>
    <row r="86" spans="1:16" s="39" customFormat="1" hidden="1" outlineLevel="3" x14ac:dyDescent="0.3">
      <c r="A86" s="39" t="s">
        <v>113</v>
      </c>
      <c r="B86" s="42" t="s">
        <v>83</v>
      </c>
      <c r="C86" s="40">
        <f>+$E$8</f>
        <v>44031</v>
      </c>
      <c r="D86" s="39">
        <v>128</v>
      </c>
      <c r="E86" s="40">
        <f>+C86+D86-1</f>
        <v>44158</v>
      </c>
      <c r="F86" s="82"/>
      <c r="G86" s="82"/>
      <c r="H86" s="83">
        <f t="shared" si="49"/>
        <v>0</v>
      </c>
      <c r="I86" s="41"/>
      <c r="J86" s="41"/>
      <c r="K86" s="41"/>
      <c r="L86" s="41"/>
      <c r="M86" s="41">
        <f t="shared" si="58"/>
        <v>0</v>
      </c>
      <c r="N86" s="41"/>
      <c r="O86" s="41"/>
      <c r="P86" s="41"/>
    </row>
    <row r="87" spans="1:16" hidden="1" outlineLevel="3" x14ac:dyDescent="0.3">
      <c r="A87" t="s">
        <v>114</v>
      </c>
      <c r="B87" s="103" t="s">
        <v>19</v>
      </c>
      <c r="C87" s="1">
        <f>MIN(C88:C89)</f>
        <v>44012</v>
      </c>
      <c r="D87">
        <f t="shared" ref="D87" si="78">E87-C87+1</f>
        <v>1615</v>
      </c>
      <c r="E87" s="1">
        <f>MAX(E88:E89)</f>
        <v>45626</v>
      </c>
      <c r="F87" s="78"/>
      <c r="G87" s="78"/>
      <c r="H87" s="79">
        <f t="shared" si="49"/>
        <v>0</v>
      </c>
      <c r="M87" s="2">
        <f t="shared" si="58"/>
        <v>0</v>
      </c>
      <c r="N87" s="2">
        <f t="shared" ref="N87:P87" si="79">SUM(N88:N89)</f>
        <v>110301</v>
      </c>
      <c r="O87" s="2">
        <f t="shared" si="79"/>
        <v>110301</v>
      </c>
      <c r="P87" s="2">
        <f t="shared" si="79"/>
        <v>110301</v>
      </c>
    </row>
    <row r="88" spans="1:16" s="39" customFormat="1" ht="43.2" hidden="1" outlineLevel="4" x14ac:dyDescent="0.3">
      <c r="A88" s="39" t="s">
        <v>168</v>
      </c>
      <c r="B88" s="42" t="s">
        <v>110</v>
      </c>
      <c r="C88" s="40">
        <f>+E86</f>
        <v>44158</v>
      </c>
      <c r="D88" s="39">
        <f>E88-C88+1</f>
        <v>1469</v>
      </c>
      <c r="E88" s="40">
        <v>45626</v>
      </c>
      <c r="F88" s="82"/>
      <c r="G88" s="82">
        <f>60241-30000</f>
        <v>30241</v>
      </c>
      <c r="H88" s="83">
        <f t="shared" si="49"/>
        <v>30241</v>
      </c>
      <c r="I88" s="41">
        <f>23825.25+7500</f>
        <v>31325.25</v>
      </c>
      <c r="J88" s="41">
        <f t="shared" ref="J88:L88" si="80">23825.25+7500</f>
        <v>31325.25</v>
      </c>
      <c r="K88" s="41">
        <f t="shared" si="80"/>
        <v>31325.25</v>
      </c>
      <c r="L88" s="41">
        <f t="shared" si="80"/>
        <v>31325.25</v>
      </c>
      <c r="M88" s="41">
        <f t="shared" si="58"/>
        <v>125301</v>
      </c>
      <c r="N88" s="41">
        <v>95301</v>
      </c>
      <c r="O88" s="41">
        <v>95301</v>
      </c>
      <c r="P88" s="41">
        <v>95301</v>
      </c>
    </row>
    <row r="89" spans="1:16" s="39" customFormat="1" ht="43.2" hidden="1" outlineLevel="4" x14ac:dyDescent="0.3">
      <c r="A89" s="39" t="s">
        <v>169</v>
      </c>
      <c r="B89" s="42" t="s">
        <v>145</v>
      </c>
      <c r="C89" s="40">
        <v>44012</v>
      </c>
      <c r="D89" s="39">
        <f t="shared" ref="D89" si="81">E89-C89+1</f>
        <v>1615</v>
      </c>
      <c r="E89" s="40">
        <f>+E88</f>
        <v>45626</v>
      </c>
      <c r="F89" s="82">
        <v>7500</v>
      </c>
      <c r="G89" s="82">
        <v>7500</v>
      </c>
      <c r="H89" s="83">
        <f t="shared" si="49"/>
        <v>15000</v>
      </c>
      <c r="I89" s="41">
        <v>3750</v>
      </c>
      <c r="J89" s="41">
        <v>3750</v>
      </c>
      <c r="K89" s="41">
        <v>3750</v>
      </c>
      <c r="L89" s="41">
        <v>3750</v>
      </c>
      <c r="M89" s="41">
        <f t="shared" si="58"/>
        <v>15000</v>
      </c>
      <c r="N89" s="41">
        <v>15000</v>
      </c>
      <c r="O89" s="41">
        <v>15000</v>
      </c>
      <c r="P89" s="41">
        <v>15000</v>
      </c>
    </row>
    <row r="90" spans="1:16" s="26" customFormat="1" hidden="1" outlineLevel="3" collapsed="1" x14ac:dyDescent="0.3">
      <c r="A90" s="26" t="s">
        <v>112</v>
      </c>
      <c r="B90" s="29" t="s">
        <v>104</v>
      </c>
      <c r="C90" s="27">
        <f>+C87</f>
        <v>44012</v>
      </c>
      <c r="D90" s="26">
        <f t="shared" ref="D90" si="82">E90-C90+1</f>
        <v>1615</v>
      </c>
      <c r="E90" s="27">
        <v>45626</v>
      </c>
      <c r="F90" s="70">
        <v>15000</v>
      </c>
      <c r="G90" s="70">
        <v>15000</v>
      </c>
      <c r="H90" s="71">
        <f t="shared" si="49"/>
        <v>30000</v>
      </c>
      <c r="I90" s="28">
        <v>16875</v>
      </c>
      <c r="J90" s="28">
        <v>16875</v>
      </c>
      <c r="K90" s="28">
        <v>16875</v>
      </c>
      <c r="L90" s="28">
        <v>16875</v>
      </c>
      <c r="M90" s="28">
        <f t="shared" si="58"/>
        <v>67500</v>
      </c>
      <c r="N90" s="28">
        <f t="shared" ref="N90:P90" si="83">60000+7500</f>
        <v>67500</v>
      </c>
      <c r="O90" s="28">
        <f t="shared" si="83"/>
        <v>67500</v>
      </c>
      <c r="P90" s="28">
        <f t="shared" si="83"/>
        <v>67500</v>
      </c>
    </row>
    <row r="91" spans="1:16" s="22" customFormat="1" outlineLevel="1" collapsed="1" x14ac:dyDescent="0.3">
      <c r="A91" s="21">
        <v>2.6</v>
      </c>
      <c r="B91" s="25" t="s">
        <v>155</v>
      </c>
      <c r="C91" s="23">
        <f>MIN(C92:C93)</f>
        <v>44031</v>
      </c>
      <c r="D91" s="22">
        <f t="shared" ref="D91:D93" si="84">E91-C91+1</f>
        <v>1260</v>
      </c>
      <c r="E91" s="23">
        <f>MAX(E92:E93)</f>
        <v>45290</v>
      </c>
      <c r="F91" s="76">
        <v>37590.361445783135</v>
      </c>
      <c r="G91" s="76">
        <f>G93</f>
        <v>91927.361445783143</v>
      </c>
      <c r="H91" s="77">
        <f t="shared" si="49"/>
        <v>129517.72289156629</v>
      </c>
      <c r="I91" s="24">
        <f>I93</f>
        <v>402048.25</v>
      </c>
      <c r="J91" s="24">
        <f t="shared" ref="J91:L91" si="85">J93</f>
        <v>402048.25</v>
      </c>
      <c r="K91" s="24">
        <f t="shared" si="85"/>
        <v>402048.25</v>
      </c>
      <c r="L91" s="24">
        <f t="shared" si="85"/>
        <v>402048.25</v>
      </c>
      <c r="M91" s="24">
        <f>SUM(I91:L91)</f>
        <v>1608193</v>
      </c>
      <c r="N91" s="24">
        <f t="shared" ref="N91:P91" si="86">SUM(N92:N93)</f>
        <v>813644.5</v>
      </c>
      <c r="O91" s="24">
        <f t="shared" si="86"/>
        <v>756596.5</v>
      </c>
      <c r="P91" s="24">
        <f t="shared" si="86"/>
        <v>0</v>
      </c>
    </row>
    <row r="92" spans="1:16" s="26" customFormat="1" hidden="1" outlineLevel="2" x14ac:dyDescent="0.3">
      <c r="A92" s="26" t="s">
        <v>116</v>
      </c>
      <c r="B92" s="26" t="s">
        <v>83</v>
      </c>
      <c r="C92" s="27">
        <f>+$E$8</f>
        <v>44031</v>
      </c>
      <c r="D92" s="26">
        <v>128</v>
      </c>
      <c r="E92" s="27">
        <f>+C92+D92-1</f>
        <v>44158</v>
      </c>
      <c r="F92" s="70"/>
      <c r="G92" s="70"/>
      <c r="H92" s="71">
        <f t="shared" si="49"/>
        <v>0</v>
      </c>
      <c r="I92" s="28"/>
      <c r="J92" s="28"/>
      <c r="K92" s="28"/>
      <c r="L92" s="28"/>
      <c r="M92" s="28">
        <f t="shared" si="58"/>
        <v>0</v>
      </c>
      <c r="N92" s="28"/>
      <c r="O92" s="28"/>
      <c r="P92" s="28"/>
    </row>
    <row r="93" spans="1:16" s="26" customFormat="1" hidden="1" outlineLevel="2" x14ac:dyDescent="0.3">
      <c r="A93" s="26" t="s">
        <v>117</v>
      </c>
      <c r="B93" s="26" t="s">
        <v>19</v>
      </c>
      <c r="C93" s="27">
        <f>MIN(C94:C95)</f>
        <v>44158</v>
      </c>
      <c r="D93" s="26">
        <f t="shared" si="84"/>
        <v>1133</v>
      </c>
      <c r="E93" s="61">
        <f>MAX(E94:E95)</f>
        <v>45290</v>
      </c>
      <c r="F93" s="70">
        <v>37590.361445783135</v>
      </c>
      <c r="G93" s="70">
        <f>SUM(G94:G95)</f>
        <v>91927.361445783143</v>
      </c>
      <c r="H93" s="71">
        <f>SUM(F93:G93)</f>
        <v>129517.72289156629</v>
      </c>
      <c r="I93" s="28">
        <v>402048.25</v>
      </c>
      <c r="J93" s="28">
        <v>402048.25</v>
      </c>
      <c r="K93" s="28">
        <v>402048.25</v>
      </c>
      <c r="L93" s="28">
        <v>402048.25</v>
      </c>
      <c r="M93" s="28">
        <f t="shared" si="58"/>
        <v>1608193</v>
      </c>
      <c r="N93" s="28">
        <f t="shared" ref="N93:P93" si="87">SUM(N94:N95)</f>
        <v>813644.5</v>
      </c>
      <c r="O93" s="28">
        <f t="shared" si="87"/>
        <v>756596.5</v>
      </c>
      <c r="P93" s="28">
        <f t="shared" si="87"/>
        <v>0</v>
      </c>
    </row>
    <row r="94" spans="1:16" hidden="1" outlineLevel="3" x14ac:dyDescent="0.3">
      <c r="A94" t="s">
        <v>118</v>
      </c>
      <c r="B94" t="s">
        <v>156</v>
      </c>
      <c r="C94" s="1">
        <f>+E92</f>
        <v>44158</v>
      </c>
      <c r="D94">
        <f>E94-C94+1</f>
        <v>585</v>
      </c>
      <c r="E94" s="1">
        <v>44742</v>
      </c>
      <c r="F94" s="78"/>
      <c r="G94" s="78">
        <v>54337</v>
      </c>
      <c r="H94" s="79">
        <f t="shared" si="49"/>
        <v>54337</v>
      </c>
      <c r="I94" s="2">
        <v>23750</v>
      </c>
      <c r="J94" s="2">
        <v>23750</v>
      </c>
      <c r="K94" s="2">
        <v>23750</v>
      </c>
      <c r="L94" s="2">
        <v>23750</v>
      </c>
      <c r="M94" s="2">
        <f t="shared" si="58"/>
        <v>95000</v>
      </c>
      <c r="N94" s="2">
        <v>57048</v>
      </c>
    </row>
    <row r="95" spans="1:16" hidden="1" outlineLevel="3" x14ac:dyDescent="0.3">
      <c r="A95" t="s">
        <v>119</v>
      </c>
      <c r="B95" t="s">
        <v>157</v>
      </c>
      <c r="C95" s="1">
        <f>+E92</f>
        <v>44158</v>
      </c>
      <c r="D95">
        <f>E95-C95+1</f>
        <v>1133</v>
      </c>
      <c r="E95" s="48">
        <v>45290</v>
      </c>
      <c r="F95" s="78">
        <v>37590.361445783135</v>
      </c>
      <c r="G95" s="78">
        <v>37590.361445783135</v>
      </c>
      <c r="H95" s="79">
        <f t="shared" si="49"/>
        <v>75180.722891566271</v>
      </c>
      <c r="I95" s="2">
        <v>378298.25</v>
      </c>
      <c r="J95" s="2">
        <v>378298.25</v>
      </c>
      <c r="K95" s="2">
        <v>378298.25</v>
      </c>
      <c r="L95" s="2">
        <v>378298.25</v>
      </c>
      <c r="M95" s="2">
        <f t="shared" si="58"/>
        <v>1513193</v>
      </c>
      <c r="N95" s="2">
        <f>1513193/2</f>
        <v>756596.5</v>
      </c>
      <c r="O95" s="2">
        <f>1513193/2</f>
        <v>756596.5</v>
      </c>
      <c r="P95" s="2">
        <v>0</v>
      </c>
    </row>
    <row r="96" spans="1:16" s="22" customFormat="1" outlineLevel="1" collapsed="1" x14ac:dyDescent="0.3">
      <c r="A96" s="21">
        <v>2.7</v>
      </c>
      <c r="B96" s="18" t="s">
        <v>170</v>
      </c>
      <c r="C96" s="23">
        <v>44031</v>
      </c>
      <c r="D96" s="22">
        <f t="shared" ref="D96:D97" si="88">E96-C96+1</f>
        <v>166</v>
      </c>
      <c r="E96" s="23">
        <v>44196</v>
      </c>
      <c r="F96" s="76">
        <v>0</v>
      </c>
      <c r="G96" s="76">
        <v>30000</v>
      </c>
      <c r="H96" s="77">
        <f t="shared" ref="H96:H125" si="89">SUM(F96:G96)</f>
        <v>30000</v>
      </c>
      <c r="I96" s="99" t="s">
        <v>161</v>
      </c>
      <c r="J96" s="99" t="s">
        <v>161</v>
      </c>
      <c r="K96" s="99" t="s">
        <v>161</v>
      </c>
      <c r="L96" s="99" t="s">
        <v>161</v>
      </c>
      <c r="M96" s="24">
        <f>SUM(I96:L96)</f>
        <v>0</v>
      </c>
      <c r="N96" s="24"/>
      <c r="O96" s="24"/>
      <c r="P96" s="24"/>
    </row>
    <row r="97" spans="1:17" s="22" customFormat="1" outlineLevel="1" x14ac:dyDescent="0.3">
      <c r="A97" s="21">
        <v>2.8</v>
      </c>
      <c r="B97" s="18" t="s">
        <v>185</v>
      </c>
      <c r="C97" s="23">
        <f>MIN(C98:C99)</f>
        <v>44228</v>
      </c>
      <c r="D97" s="22">
        <f t="shared" si="88"/>
        <v>1064</v>
      </c>
      <c r="E97" s="23">
        <f>MAX(E98:E99)</f>
        <v>45291</v>
      </c>
      <c r="F97" s="76">
        <v>0</v>
      </c>
      <c r="G97" s="76">
        <v>0</v>
      </c>
      <c r="H97" s="77">
        <f t="shared" si="89"/>
        <v>0</v>
      </c>
      <c r="I97" s="99">
        <v>0</v>
      </c>
      <c r="J97" s="24">
        <v>0</v>
      </c>
      <c r="K97" s="24">
        <f>K100+K101+K102</f>
        <v>98060</v>
      </c>
      <c r="L97" s="24">
        <f>L100+L101+L102</f>
        <v>70060</v>
      </c>
      <c r="M97" s="24">
        <f t="shared" si="58"/>
        <v>168120</v>
      </c>
      <c r="N97" s="24">
        <f t="shared" ref="N97" si="90">SUM(N98:N99)</f>
        <v>132240.57831325301</v>
      </c>
      <c r="O97" s="24">
        <f t="shared" ref="O97" si="91">SUM(O98:O99)</f>
        <v>60000</v>
      </c>
      <c r="P97" s="24">
        <f t="shared" ref="P97" si="92">SUM(P98:P99)</f>
        <v>0</v>
      </c>
    </row>
    <row r="98" spans="1:17" s="26" customFormat="1" hidden="1" outlineLevel="2" x14ac:dyDescent="0.3">
      <c r="A98" s="30" t="s">
        <v>127</v>
      </c>
      <c r="B98" s="26" t="s">
        <v>83</v>
      </c>
      <c r="C98" s="27">
        <v>44228</v>
      </c>
      <c r="D98" s="26">
        <v>128</v>
      </c>
      <c r="E98" s="27">
        <f t="shared" ref="E98" si="93">+C98+D98-1</f>
        <v>44355</v>
      </c>
      <c r="F98" s="70"/>
      <c r="G98" s="70"/>
      <c r="H98" s="71">
        <f t="shared" si="89"/>
        <v>0</v>
      </c>
      <c r="I98" s="28"/>
      <c r="J98" s="28"/>
      <c r="K98" s="28"/>
      <c r="L98" s="28"/>
      <c r="M98" s="28">
        <f t="shared" si="58"/>
        <v>0</v>
      </c>
      <c r="N98" s="28"/>
      <c r="O98" s="28"/>
      <c r="P98" s="28"/>
    </row>
    <row r="99" spans="1:17" s="26" customFormat="1" hidden="1" outlineLevel="2" x14ac:dyDescent="0.3">
      <c r="A99" s="30" t="s">
        <v>128</v>
      </c>
      <c r="B99" s="26" t="s">
        <v>19</v>
      </c>
      <c r="C99" s="27">
        <f>MIN(C100:C112)</f>
        <v>44355</v>
      </c>
      <c r="D99" s="26">
        <f t="shared" ref="D99" si="94">E99-C99+1</f>
        <v>937</v>
      </c>
      <c r="E99" s="27">
        <f>MAX(E100:E112)</f>
        <v>45291</v>
      </c>
      <c r="F99" s="70">
        <f t="shared" ref="F99:G99" si="95">SUM(F100:F112)</f>
        <v>0</v>
      </c>
      <c r="G99" s="70">
        <f t="shared" si="95"/>
        <v>0</v>
      </c>
      <c r="H99" s="71">
        <f t="shared" si="89"/>
        <v>0</v>
      </c>
      <c r="I99" s="28"/>
      <c r="J99" s="28"/>
      <c r="K99" s="28"/>
      <c r="L99" s="28"/>
      <c r="M99" s="28">
        <f t="shared" si="58"/>
        <v>0</v>
      </c>
      <c r="N99" s="28">
        <f t="shared" ref="N99:O99" si="96">SUM(N100:N103)</f>
        <v>132240.57831325301</v>
      </c>
      <c r="O99" s="28">
        <f t="shared" si="96"/>
        <v>60000</v>
      </c>
      <c r="P99" s="28">
        <f>SUM(P100:P112)</f>
        <v>0</v>
      </c>
    </row>
    <row r="100" spans="1:17" s="39" customFormat="1" hidden="1" outlineLevel="3" x14ac:dyDescent="0.3">
      <c r="A100" s="46" t="s">
        <v>171</v>
      </c>
      <c r="B100" s="39" t="s">
        <v>115</v>
      </c>
      <c r="C100" s="40">
        <f>+E98</f>
        <v>44355</v>
      </c>
      <c r="D100" s="39">
        <f>E100-C100+1</f>
        <v>388</v>
      </c>
      <c r="E100" s="40">
        <v>44742</v>
      </c>
      <c r="F100" s="82"/>
      <c r="G100" s="82"/>
      <c r="H100" s="83">
        <f t="shared" si="89"/>
        <v>0</v>
      </c>
      <c r="I100" s="41"/>
      <c r="J100" s="41"/>
      <c r="K100" s="41">
        <v>38012</v>
      </c>
      <c r="L100" s="41">
        <v>38012</v>
      </c>
      <c r="M100" s="41">
        <f t="shared" si="58"/>
        <v>76024</v>
      </c>
      <c r="N100" s="41">
        <v>20000</v>
      </c>
      <c r="O100" s="41"/>
      <c r="P100" s="41"/>
      <c r="Q100" s="41"/>
    </row>
    <row r="101" spans="1:17" s="39" customFormat="1" hidden="1" outlineLevel="3" x14ac:dyDescent="0.3">
      <c r="A101" s="46" t="s">
        <v>172</v>
      </c>
      <c r="B101" s="39" t="s">
        <v>146</v>
      </c>
      <c r="C101" s="40">
        <f>+C100</f>
        <v>44355</v>
      </c>
      <c r="D101" s="39">
        <f>E101-C101+1</f>
        <v>937</v>
      </c>
      <c r="E101" s="40">
        <v>45291</v>
      </c>
      <c r="F101" s="82"/>
      <c r="G101" s="82"/>
      <c r="H101" s="83">
        <f t="shared" si="89"/>
        <v>0</v>
      </c>
      <c r="I101" s="41"/>
      <c r="J101" s="41"/>
      <c r="K101" s="41">
        <v>32048</v>
      </c>
      <c r="L101" s="41">
        <f>64096/2</f>
        <v>32048</v>
      </c>
      <c r="M101" s="41">
        <f t="shared" si="58"/>
        <v>64096</v>
      </c>
      <c r="N101" s="41">
        <v>64096</v>
      </c>
      <c r="O101" s="41">
        <v>60000</v>
      </c>
      <c r="P101" s="41"/>
      <c r="Q101" s="41"/>
    </row>
    <row r="102" spans="1:17" s="39" customFormat="1" hidden="1" outlineLevel="3" x14ac:dyDescent="0.3">
      <c r="A102" s="46" t="s">
        <v>173</v>
      </c>
      <c r="B102" s="39" t="s">
        <v>120</v>
      </c>
      <c r="C102" s="40">
        <f>+C101</f>
        <v>44355</v>
      </c>
      <c r="D102" s="39">
        <f>E102-C102+1</f>
        <v>572</v>
      </c>
      <c r="E102" s="40">
        <v>44926</v>
      </c>
      <c r="F102" s="82"/>
      <c r="G102" s="82"/>
      <c r="H102" s="83">
        <f t="shared" si="89"/>
        <v>0</v>
      </c>
      <c r="I102" s="41"/>
      <c r="J102" s="41"/>
      <c r="K102" s="41">
        <v>28000</v>
      </c>
      <c r="L102" s="41"/>
      <c r="M102" s="41">
        <f t="shared" si="58"/>
        <v>28000</v>
      </c>
      <c r="N102" s="41">
        <f>40000*0.3</f>
        <v>12000</v>
      </c>
      <c r="O102" s="41"/>
      <c r="P102" s="41"/>
      <c r="Q102" s="41"/>
    </row>
    <row r="103" spans="1:17" s="39" customFormat="1" hidden="1" outlineLevel="3" x14ac:dyDescent="0.3">
      <c r="A103" s="46" t="s">
        <v>174</v>
      </c>
      <c r="B103" s="39" t="s">
        <v>126</v>
      </c>
      <c r="C103" s="40">
        <v>44562</v>
      </c>
      <c r="D103" s="39">
        <f>E103-C103+1</f>
        <v>365</v>
      </c>
      <c r="E103" s="40">
        <v>44926</v>
      </c>
      <c r="F103" s="82"/>
      <c r="G103" s="82"/>
      <c r="H103" s="83">
        <f t="shared" si="89"/>
        <v>0</v>
      </c>
      <c r="I103" s="41"/>
      <c r="J103" s="41"/>
      <c r="K103" s="41"/>
      <c r="L103" s="41"/>
      <c r="M103" s="41">
        <f t="shared" si="58"/>
        <v>0</v>
      </c>
      <c r="N103" s="50">
        <v>36144.578313253012</v>
      </c>
      <c r="O103" s="41"/>
      <c r="P103" s="41"/>
    </row>
    <row r="104" spans="1:17" s="22" customFormat="1" outlineLevel="1" collapsed="1" x14ac:dyDescent="0.3">
      <c r="A104" s="21">
        <v>2.9</v>
      </c>
      <c r="B104" s="18" t="s">
        <v>188</v>
      </c>
      <c r="C104" s="23">
        <f>MIN(C105:C106)</f>
        <v>44355</v>
      </c>
      <c r="D104" s="22">
        <v>906</v>
      </c>
      <c r="E104" s="23">
        <f>MAX(E105:E106)</f>
        <v>45260</v>
      </c>
      <c r="F104" s="86">
        <f t="shared" ref="F104:G104" si="97">SUM(F105:F106)</f>
        <v>0</v>
      </c>
      <c r="G104" s="86">
        <f t="shared" si="97"/>
        <v>0</v>
      </c>
      <c r="H104" s="87">
        <f t="shared" si="89"/>
        <v>0</v>
      </c>
      <c r="I104" s="44"/>
      <c r="J104" s="44"/>
      <c r="K104" s="44"/>
      <c r="L104" s="44">
        <f>L107+L108+L109+L112</f>
        <v>179940.24096385541</v>
      </c>
      <c r="M104" s="44">
        <f t="shared" si="58"/>
        <v>179940.24096385541</v>
      </c>
      <c r="N104" s="44">
        <f t="shared" ref="N104:P104" si="98">SUM(N105:N106)</f>
        <v>440000</v>
      </c>
      <c r="O104" s="44">
        <f t="shared" si="98"/>
        <v>57000</v>
      </c>
      <c r="P104" s="44">
        <f t="shared" si="98"/>
        <v>0</v>
      </c>
    </row>
    <row r="105" spans="1:17" s="26" customFormat="1" hidden="1" outlineLevel="2" x14ac:dyDescent="0.3">
      <c r="A105" s="30" t="s">
        <v>175</v>
      </c>
      <c r="B105" s="26" t="s">
        <v>83</v>
      </c>
      <c r="C105" s="27">
        <v>44355</v>
      </c>
      <c r="D105" s="26">
        <v>128</v>
      </c>
      <c r="E105" s="27">
        <f t="shared" ref="E105" si="99">+C105+D105-1</f>
        <v>44482</v>
      </c>
      <c r="F105" s="70"/>
      <c r="G105" s="70"/>
      <c r="H105" s="71">
        <f t="shared" si="89"/>
        <v>0</v>
      </c>
      <c r="I105" s="28"/>
      <c r="J105" s="28"/>
      <c r="K105" s="28"/>
      <c r="L105" s="28"/>
      <c r="M105" s="28">
        <f t="shared" si="58"/>
        <v>0</v>
      </c>
      <c r="N105" s="28"/>
      <c r="O105" s="28"/>
      <c r="P105" s="28"/>
    </row>
    <row r="106" spans="1:17" s="26" customFormat="1" hidden="1" outlineLevel="2" x14ac:dyDescent="0.3">
      <c r="A106" s="30" t="s">
        <v>176</v>
      </c>
      <c r="B106" s="26" t="s">
        <v>19</v>
      </c>
      <c r="C106" s="27">
        <f>MIN(C107:C111)</f>
        <v>44482</v>
      </c>
      <c r="D106" s="26">
        <f t="shared" ref="D106" si="100">E106-C106+1</f>
        <v>779</v>
      </c>
      <c r="E106" s="27">
        <f>MAX(E107:E111)</f>
        <v>45260</v>
      </c>
      <c r="F106" s="70">
        <f t="shared" ref="F106:G106" si="101">SUM(F107:F111)</f>
        <v>0</v>
      </c>
      <c r="G106" s="70">
        <f t="shared" si="101"/>
        <v>0</v>
      </c>
      <c r="H106" s="71">
        <f t="shared" si="89"/>
        <v>0</v>
      </c>
      <c r="I106" s="28"/>
      <c r="J106" s="28"/>
      <c r="K106" s="28"/>
      <c r="L106" s="28"/>
      <c r="M106" s="28">
        <f t="shared" si="58"/>
        <v>0</v>
      </c>
      <c r="N106" s="28">
        <f t="shared" ref="N106:O106" si="102">SUM(N107:N112)</f>
        <v>440000</v>
      </c>
      <c r="O106" s="28">
        <f t="shared" si="102"/>
        <v>57000</v>
      </c>
      <c r="P106" s="28">
        <f t="shared" ref="P106" si="103">SUM(P107:P111)</f>
        <v>0</v>
      </c>
    </row>
    <row r="107" spans="1:17" s="39" customFormat="1" hidden="1" outlineLevel="3" x14ac:dyDescent="0.3">
      <c r="A107" s="46" t="s">
        <v>177</v>
      </c>
      <c r="B107" s="39" t="s">
        <v>121</v>
      </c>
      <c r="C107" s="40">
        <f>+E105</f>
        <v>44482</v>
      </c>
      <c r="D107" s="39">
        <f>E107-C107+1</f>
        <v>49</v>
      </c>
      <c r="E107" s="40">
        <v>44530</v>
      </c>
      <c r="F107" s="82"/>
      <c r="G107" s="82"/>
      <c r="H107" s="83">
        <f t="shared" si="89"/>
        <v>0</v>
      </c>
      <c r="I107" s="41"/>
      <c r="J107" s="41"/>
      <c r="K107" s="41"/>
      <c r="L107" s="41">
        <v>30000</v>
      </c>
      <c r="M107" s="41">
        <f t="shared" si="58"/>
        <v>30000</v>
      </c>
      <c r="N107" s="41"/>
      <c r="O107" s="41"/>
      <c r="P107" s="41"/>
    </row>
    <row r="108" spans="1:17" s="39" customFormat="1" hidden="1" outlineLevel="3" x14ac:dyDescent="0.3">
      <c r="A108" s="46" t="s">
        <v>178</v>
      </c>
      <c r="B108" s="39" t="s">
        <v>122</v>
      </c>
      <c r="C108" s="40">
        <f>+E107</f>
        <v>44530</v>
      </c>
      <c r="D108" s="39">
        <f>E108-C108+1</f>
        <v>397</v>
      </c>
      <c r="E108" s="40">
        <v>44926</v>
      </c>
      <c r="F108" s="82"/>
      <c r="G108" s="82"/>
      <c r="H108" s="83">
        <f t="shared" si="89"/>
        <v>0</v>
      </c>
      <c r="I108" s="41"/>
      <c r="J108" s="41"/>
      <c r="K108" s="41"/>
      <c r="L108" s="41">
        <v>114880</v>
      </c>
      <c r="M108" s="41">
        <f t="shared" si="58"/>
        <v>114880</v>
      </c>
      <c r="N108" s="41">
        <v>400000</v>
      </c>
      <c r="O108" s="41"/>
      <c r="P108" s="41"/>
    </row>
    <row r="109" spans="1:17" s="39" customFormat="1" hidden="1" outlineLevel="3" x14ac:dyDescent="0.3">
      <c r="A109" s="46" t="s">
        <v>179</v>
      </c>
      <c r="B109" s="39" t="s">
        <v>123</v>
      </c>
      <c r="C109" s="40">
        <v>44501</v>
      </c>
      <c r="D109" s="39">
        <v>32</v>
      </c>
      <c r="E109" s="40">
        <f t="shared" ref="E109:E110" si="104">+C109+D109-1</f>
        <v>44532</v>
      </c>
      <c r="F109" s="82"/>
      <c r="G109" s="82"/>
      <c r="H109" s="83">
        <f t="shared" si="89"/>
        <v>0</v>
      </c>
      <c r="I109" s="41"/>
      <c r="J109" s="41"/>
      <c r="K109" s="41"/>
      <c r="L109" s="41">
        <v>15060.240963855422</v>
      </c>
      <c r="M109" s="41">
        <f t="shared" si="58"/>
        <v>15060.240963855422</v>
      </c>
      <c r="N109" s="41">
        <v>0</v>
      </c>
      <c r="O109" s="41"/>
      <c r="P109" s="41"/>
    </row>
    <row r="110" spans="1:17" s="39" customFormat="1" hidden="1" outlineLevel="3" x14ac:dyDescent="0.3">
      <c r="A110" s="46" t="s">
        <v>180</v>
      </c>
      <c r="B110" s="39" t="s">
        <v>124</v>
      </c>
      <c r="C110" s="40">
        <v>44743</v>
      </c>
      <c r="D110" s="39">
        <v>500</v>
      </c>
      <c r="E110" s="40">
        <f t="shared" si="104"/>
        <v>45242</v>
      </c>
      <c r="F110" s="82"/>
      <c r="G110" s="82"/>
      <c r="H110" s="83">
        <f t="shared" si="89"/>
        <v>0</v>
      </c>
      <c r="I110" s="41"/>
      <c r="J110" s="41"/>
      <c r="K110" s="41"/>
      <c r="L110" s="41"/>
      <c r="M110" s="41">
        <f t="shared" si="58"/>
        <v>0</v>
      </c>
      <c r="N110" s="41">
        <v>20000</v>
      </c>
      <c r="O110" s="41">
        <v>30000</v>
      </c>
      <c r="P110" s="41"/>
    </row>
    <row r="111" spans="1:17" s="39" customFormat="1" hidden="1" outlineLevel="3" x14ac:dyDescent="0.3">
      <c r="A111" s="46" t="s">
        <v>181</v>
      </c>
      <c r="B111" s="39" t="s">
        <v>125</v>
      </c>
      <c r="C111" s="40">
        <f>+E110</f>
        <v>45242</v>
      </c>
      <c r="D111" s="39">
        <f>E111-C111+1</f>
        <v>19</v>
      </c>
      <c r="E111" s="40">
        <v>45260</v>
      </c>
      <c r="F111" s="82"/>
      <c r="G111" s="82"/>
      <c r="H111" s="83">
        <f t="shared" si="89"/>
        <v>0</v>
      </c>
      <c r="I111" s="41"/>
      <c r="J111" s="41"/>
      <c r="K111" s="41"/>
      <c r="L111" s="41"/>
      <c r="M111" s="41">
        <f t="shared" si="58"/>
        <v>0</v>
      </c>
      <c r="N111" s="41"/>
      <c r="O111" s="41">
        <v>7000</v>
      </c>
      <c r="P111" s="41"/>
    </row>
    <row r="112" spans="1:17" hidden="1" outlineLevel="3" x14ac:dyDescent="0.3">
      <c r="A112" s="46" t="s">
        <v>182</v>
      </c>
      <c r="B112" s="39" t="s">
        <v>147</v>
      </c>
      <c r="C112" s="40">
        <f>E107</f>
        <v>44530</v>
      </c>
      <c r="D112" s="39">
        <f>E112-C112+1</f>
        <v>713</v>
      </c>
      <c r="E112" s="40">
        <f>E110</f>
        <v>45242</v>
      </c>
      <c r="F112" s="82"/>
      <c r="G112" s="82"/>
      <c r="H112" s="83">
        <f t="shared" si="89"/>
        <v>0</v>
      </c>
      <c r="I112" s="41"/>
      <c r="J112" s="41"/>
      <c r="K112" s="41"/>
      <c r="L112" s="41">
        <v>20000</v>
      </c>
      <c r="M112" s="41">
        <f t="shared" si="58"/>
        <v>20000</v>
      </c>
      <c r="N112" s="41">
        <v>20000</v>
      </c>
      <c r="O112" s="41">
        <v>20000</v>
      </c>
      <c r="P112" s="41"/>
    </row>
    <row r="113" spans="1:16" s="22" customFormat="1" outlineLevel="1" collapsed="1" x14ac:dyDescent="0.3">
      <c r="A113" s="98">
        <v>2.1</v>
      </c>
      <c r="B113" s="18" t="s">
        <v>99</v>
      </c>
      <c r="C113" s="23">
        <f>MIN(C114:C115)</f>
        <v>45323</v>
      </c>
      <c r="D113" s="22">
        <f t="shared" ref="D113" si="105">E113-C113+1</f>
        <v>128</v>
      </c>
      <c r="E113" s="23">
        <f>MIN(E114:E115)</f>
        <v>45450</v>
      </c>
      <c r="F113" s="86">
        <f t="shared" ref="F113:G113" si="106">SUM(F114:F115)</f>
        <v>0</v>
      </c>
      <c r="G113" s="86">
        <f t="shared" si="106"/>
        <v>0</v>
      </c>
      <c r="H113" s="87">
        <f t="shared" si="89"/>
        <v>0</v>
      </c>
      <c r="I113" s="44"/>
      <c r="J113" s="44"/>
      <c r="K113" s="44"/>
      <c r="L113" s="44"/>
      <c r="M113" s="44">
        <f t="shared" si="58"/>
        <v>0</v>
      </c>
      <c r="N113" s="44">
        <f t="shared" ref="N113" si="107">SUM(N114:N115)</f>
        <v>0</v>
      </c>
      <c r="O113" s="44">
        <f t="shared" ref="O113" si="108">SUM(O114:O115)</f>
        <v>0</v>
      </c>
      <c r="P113" s="44">
        <f t="shared" ref="P113" si="109">SUM(P114:P115)</f>
        <v>56206</v>
      </c>
    </row>
    <row r="114" spans="1:16" s="26" customFormat="1" hidden="1" outlineLevel="2" x14ac:dyDescent="0.3">
      <c r="A114" s="30" t="s">
        <v>127</v>
      </c>
      <c r="B114" s="26" t="s">
        <v>83</v>
      </c>
      <c r="C114" s="27">
        <v>45323</v>
      </c>
      <c r="D114" s="26">
        <v>128</v>
      </c>
      <c r="E114" s="27">
        <f t="shared" ref="E114" si="110">+C114+D114-1</f>
        <v>45450</v>
      </c>
      <c r="F114" s="70"/>
      <c r="G114" s="70"/>
      <c r="H114" s="71">
        <f t="shared" si="89"/>
        <v>0</v>
      </c>
      <c r="I114" s="28"/>
      <c r="J114" s="28"/>
      <c r="K114" s="28"/>
      <c r="L114" s="28"/>
      <c r="M114" s="28">
        <f t="shared" si="58"/>
        <v>0</v>
      </c>
      <c r="N114" s="28"/>
      <c r="O114" s="28"/>
      <c r="P114" s="28"/>
    </row>
    <row r="115" spans="1:16" s="45" customFormat="1" hidden="1" outlineLevel="2" x14ac:dyDescent="0.3">
      <c r="A115" s="52" t="s">
        <v>128</v>
      </c>
      <c r="B115" s="53" t="s">
        <v>19</v>
      </c>
      <c r="C115" s="54">
        <f>+E114</f>
        <v>45450</v>
      </c>
      <c r="D115" s="53">
        <f>E115-C115+1</f>
        <v>208</v>
      </c>
      <c r="E115" s="54">
        <v>45657</v>
      </c>
      <c r="F115" s="88"/>
      <c r="G115" s="88"/>
      <c r="H115" s="89">
        <f t="shared" si="89"/>
        <v>0</v>
      </c>
      <c r="I115" s="55"/>
      <c r="J115" s="55"/>
      <c r="K115" s="55"/>
      <c r="L115" s="55"/>
      <c r="M115" s="55">
        <f t="shared" si="58"/>
        <v>0</v>
      </c>
      <c r="N115" s="55"/>
      <c r="O115" s="55"/>
      <c r="P115" s="55">
        <v>56206</v>
      </c>
    </row>
    <row r="116" spans="1:16" s="14" customFormat="1" x14ac:dyDescent="0.3">
      <c r="A116" s="13">
        <v>3</v>
      </c>
      <c r="B116" s="14" t="s">
        <v>14</v>
      </c>
      <c r="C116" s="15">
        <f>MIN(C117:C125)</f>
        <v>44031</v>
      </c>
      <c r="D116" s="14">
        <f t="shared" ref="D116:D117" si="111">E116-C116+1</f>
        <v>1627</v>
      </c>
      <c r="E116" s="15">
        <f>MAX(E117:E125)</f>
        <v>45657</v>
      </c>
      <c r="F116" s="66">
        <f>+F117+F120+F123</f>
        <v>207520.5</v>
      </c>
      <c r="G116" s="66">
        <f t="shared" ref="G116" si="112">+G117+G120+G123</f>
        <v>207520.5</v>
      </c>
      <c r="H116" s="67">
        <f t="shared" si="89"/>
        <v>415041</v>
      </c>
      <c r="I116" s="16">
        <f t="shared" ref="I116:P116" si="113">+I117+I120+I123</f>
        <v>133140</v>
      </c>
      <c r="J116" s="16">
        <f t="shared" si="113"/>
        <v>133140</v>
      </c>
      <c r="K116" s="16">
        <f t="shared" si="113"/>
        <v>133140</v>
      </c>
      <c r="L116" s="16">
        <f t="shared" ref="L116" si="114">+L117+L120+L123</f>
        <v>208139</v>
      </c>
      <c r="M116" s="16">
        <f t="shared" si="58"/>
        <v>607559</v>
      </c>
      <c r="N116" s="16">
        <f t="shared" si="113"/>
        <v>592800</v>
      </c>
      <c r="O116" s="16">
        <f t="shared" si="113"/>
        <v>592800</v>
      </c>
      <c r="P116" s="16">
        <f t="shared" si="113"/>
        <v>966800</v>
      </c>
    </row>
    <row r="117" spans="1:16" s="22" customFormat="1" outlineLevel="1" x14ac:dyDescent="0.3">
      <c r="A117" s="21">
        <v>3.1</v>
      </c>
      <c r="B117" s="22" t="s">
        <v>129</v>
      </c>
      <c r="C117" s="23">
        <f>MIN(C118:C119)</f>
        <v>44031</v>
      </c>
      <c r="D117" s="22">
        <f t="shared" si="111"/>
        <v>30</v>
      </c>
      <c r="E117" s="23">
        <f>MIN(E118:E119)</f>
        <v>44060</v>
      </c>
      <c r="F117" s="76">
        <f>SUM(F118:F119)</f>
        <v>207520.5</v>
      </c>
      <c r="G117" s="76">
        <f t="shared" ref="G117" si="115">SUM(G118:G119)</f>
        <v>207520.5</v>
      </c>
      <c r="H117" s="77">
        <f t="shared" si="89"/>
        <v>415041</v>
      </c>
      <c r="I117" s="24">
        <f t="shared" ref="I117:P117" si="116">SUM(I118:I119)</f>
        <v>133140</v>
      </c>
      <c r="J117" s="24">
        <f t="shared" si="116"/>
        <v>133140</v>
      </c>
      <c r="K117" s="24">
        <f t="shared" si="116"/>
        <v>133140</v>
      </c>
      <c r="L117" s="24">
        <f t="shared" ref="L117" si="117">SUM(L118:L119)</f>
        <v>133139</v>
      </c>
      <c r="M117" s="24">
        <f t="shared" si="58"/>
        <v>532559</v>
      </c>
      <c r="N117" s="24">
        <f t="shared" si="116"/>
        <v>517800</v>
      </c>
      <c r="O117" s="24">
        <f t="shared" si="116"/>
        <v>517800</v>
      </c>
      <c r="P117" s="24">
        <f t="shared" si="116"/>
        <v>391800</v>
      </c>
    </row>
    <row r="118" spans="1:16" s="26" customFormat="1" hidden="1" outlineLevel="2" x14ac:dyDescent="0.3">
      <c r="A118" s="30" t="s">
        <v>133</v>
      </c>
      <c r="B118" s="26" t="s">
        <v>83</v>
      </c>
      <c r="C118" s="27">
        <f>+$E$8</f>
        <v>44031</v>
      </c>
      <c r="D118" s="26">
        <v>30</v>
      </c>
      <c r="E118" s="27">
        <f>+C118+D118-1</f>
        <v>44060</v>
      </c>
      <c r="F118" s="70"/>
      <c r="G118" s="70"/>
      <c r="H118" s="71">
        <f t="shared" si="89"/>
        <v>0</v>
      </c>
      <c r="I118" s="28"/>
      <c r="J118" s="28"/>
      <c r="K118" s="28"/>
      <c r="L118" s="28"/>
      <c r="M118" s="28">
        <f t="shared" si="58"/>
        <v>0</v>
      </c>
      <c r="N118" s="28"/>
      <c r="O118" s="28"/>
      <c r="P118" s="28"/>
    </row>
    <row r="119" spans="1:16" s="26" customFormat="1" hidden="1" outlineLevel="2" x14ac:dyDescent="0.3">
      <c r="A119" s="30" t="s">
        <v>134</v>
      </c>
      <c r="B119" s="26" t="s">
        <v>19</v>
      </c>
      <c r="C119" s="27">
        <f>+E118</f>
        <v>44060</v>
      </c>
      <c r="D119" s="26">
        <f>E119-C119+1</f>
        <v>1598</v>
      </c>
      <c r="E119" s="27">
        <v>45657</v>
      </c>
      <c r="F119" s="70">
        <v>207520.5</v>
      </c>
      <c r="G119" s="70">
        <v>207520.5</v>
      </c>
      <c r="H119" s="71">
        <f t="shared" si="89"/>
        <v>415041</v>
      </c>
      <c r="I119" s="28">
        <v>133140</v>
      </c>
      <c r="J119" s="28">
        <v>133140</v>
      </c>
      <c r="K119" s="28">
        <v>133140</v>
      </c>
      <c r="L119" s="28">
        <v>133139</v>
      </c>
      <c r="M119" s="28">
        <f t="shared" si="58"/>
        <v>532559</v>
      </c>
      <c r="N119" s="28">
        <v>517800</v>
      </c>
      <c r="O119" s="28">
        <v>517800</v>
      </c>
      <c r="P119" s="28">
        <v>391800</v>
      </c>
    </row>
    <row r="120" spans="1:16" s="22" customFormat="1" outlineLevel="1" collapsed="1" x14ac:dyDescent="0.3">
      <c r="A120" s="21">
        <v>3.2</v>
      </c>
      <c r="B120" s="22" t="s">
        <v>130</v>
      </c>
      <c r="C120" s="23">
        <f>MIN(C121:C122)</f>
        <v>44031</v>
      </c>
      <c r="D120" s="22">
        <f t="shared" ref="D120" si="118">E120-C120+1</f>
        <v>128</v>
      </c>
      <c r="E120" s="23">
        <f>MIN(E121:E122)</f>
        <v>44158</v>
      </c>
      <c r="F120" s="76"/>
      <c r="G120" s="76"/>
      <c r="H120" s="77">
        <f t="shared" si="89"/>
        <v>0</v>
      </c>
      <c r="I120" s="24">
        <f t="shared" ref="I120:J120" si="119">SUM(I121:I122)</f>
        <v>0</v>
      </c>
      <c r="J120" s="24">
        <f t="shared" si="119"/>
        <v>0</v>
      </c>
      <c r="K120" s="24"/>
      <c r="L120" s="24">
        <f t="shared" ref="L120" si="120">SUM(L121:L122)</f>
        <v>75000</v>
      </c>
      <c r="M120" s="24">
        <f t="shared" si="58"/>
        <v>75000</v>
      </c>
      <c r="N120" s="24">
        <f t="shared" ref="N120" si="121">SUM(N121:N122)</f>
        <v>75000</v>
      </c>
      <c r="O120" s="24">
        <f t="shared" ref="O120" si="122">SUM(O121:O122)</f>
        <v>75000</v>
      </c>
      <c r="P120" s="24">
        <f t="shared" ref="P120" si="123">SUM(P121:P122)</f>
        <v>75000</v>
      </c>
    </row>
    <row r="121" spans="1:16" s="26" customFormat="1" hidden="1" outlineLevel="2" x14ac:dyDescent="0.3">
      <c r="A121" s="30" t="s">
        <v>136</v>
      </c>
      <c r="B121" s="26" t="s">
        <v>83</v>
      </c>
      <c r="C121" s="27">
        <f>+$E$8</f>
        <v>44031</v>
      </c>
      <c r="D121" s="26">
        <v>128</v>
      </c>
      <c r="E121" s="27">
        <f>+C121+D121-1</f>
        <v>44158</v>
      </c>
      <c r="F121" s="70"/>
      <c r="G121" s="70"/>
      <c r="H121" s="71">
        <f t="shared" si="89"/>
        <v>0</v>
      </c>
      <c r="I121" s="28"/>
      <c r="J121" s="28"/>
      <c r="K121" s="28"/>
      <c r="L121" s="28"/>
      <c r="M121" s="28">
        <f t="shared" si="58"/>
        <v>0</v>
      </c>
      <c r="N121" s="28"/>
      <c r="O121" s="28"/>
      <c r="P121" s="28"/>
    </row>
    <row r="122" spans="1:16" s="26" customFormat="1" hidden="1" outlineLevel="2" x14ac:dyDescent="0.3">
      <c r="A122" s="30" t="s">
        <v>135</v>
      </c>
      <c r="B122" s="26" t="s">
        <v>19</v>
      </c>
      <c r="C122" s="27">
        <f>+E121</f>
        <v>44158</v>
      </c>
      <c r="D122" s="26">
        <f>E122-C122+1</f>
        <v>1500</v>
      </c>
      <c r="E122" s="27">
        <v>45657</v>
      </c>
      <c r="F122" s="70"/>
      <c r="G122" s="70"/>
      <c r="H122" s="71">
        <f t="shared" si="89"/>
        <v>0</v>
      </c>
      <c r="I122" s="28"/>
      <c r="J122" s="28"/>
      <c r="K122" s="28"/>
      <c r="L122" s="28">
        <v>75000</v>
      </c>
      <c r="M122" s="28">
        <f t="shared" si="58"/>
        <v>75000</v>
      </c>
      <c r="N122" s="28">
        <v>75000</v>
      </c>
      <c r="O122" s="28">
        <v>75000</v>
      </c>
      <c r="P122" s="28">
        <v>75000</v>
      </c>
    </row>
    <row r="123" spans="1:16" s="22" customFormat="1" outlineLevel="1" collapsed="1" x14ac:dyDescent="0.3">
      <c r="A123" s="21">
        <v>3.3</v>
      </c>
      <c r="B123" s="22" t="s">
        <v>131</v>
      </c>
      <c r="C123" s="23">
        <f>MIN(C124:C125)</f>
        <v>45323</v>
      </c>
      <c r="D123" s="22">
        <f t="shared" ref="D123" si="124">E123-C123+1</f>
        <v>128</v>
      </c>
      <c r="E123" s="23">
        <f>MIN(E124:E125)</f>
        <v>45450</v>
      </c>
      <c r="F123" s="76"/>
      <c r="G123" s="76"/>
      <c r="H123" s="77">
        <f t="shared" si="89"/>
        <v>0</v>
      </c>
      <c r="I123" s="24"/>
      <c r="J123" s="24"/>
      <c r="K123" s="24"/>
      <c r="L123" s="24"/>
      <c r="M123" s="24">
        <f t="shared" si="58"/>
        <v>0</v>
      </c>
      <c r="N123" s="24">
        <f t="shared" ref="N123" si="125">SUM(N124:N125)</f>
        <v>0</v>
      </c>
      <c r="O123" s="24">
        <f t="shared" ref="O123" si="126">SUM(O124:O125)</f>
        <v>0</v>
      </c>
      <c r="P123" s="24">
        <f t="shared" ref="P123" si="127">SUM(P124:P125)</f>
        <v>500000</v>
      </c>
    </row>
    <row r="124" spans="1:16" s="26" customFormat="1" hidden="1" outlineLevel="2" x14ac:dyDescent="0.3">
      <c r="A124" s="30" t="s">
        <v>137</v>
      </c>
      <c r="B124" s="26" t="s">
        <v>83</v>
      </c>
      <c r="C124" s="27">
        <v>45323</v>
      </c>
      <c r="D124" s="26">
        <v>128</v>
      </c>
      <c r="E124" s="27">
        <f t="shared" ref="E124" si="128">+C124+D124-1</f>
        <v>45450</v>
      </c>
      <c r="F124" s="70"/>
      <c r="G124" s="70"/>
      <c r="H124" s="71">
        <f t="shared" si="89"/>
        <v>0</v>
      </c>
      <c r="I124" s="28"/>
      <c r="J124" s="28"/>
      <c r="K124" s="28"/>
      <c r="L124" s="28"/>
      <c r="M124" s="28">
        <f t="shared" si="58"/>
        <v>0</v>
      </c>
      <c r="N124" s="28"/>
      <c r="O124" s="28"/>
      <c r="P124" s="28"/>
    </row>
    <row r="125" spans="1:16" s="26" customFormat="1" hidden="1" outlineLevel="2" x14ac:dyDescent="0.3">
      <c r="A125" s="30" t="s">
        <v>138</v>
      </c>
      <c r="B125" s="26" t="s">
        <v>19</v>
      </c>
      <c r="C125" s="27">
        <f>+E124</f>
        <v>45450</v>
      </c>
      <c r="D125" s="26">
        <f>E125-C125+1</f>
        <v>208</v>
      </c>
      <c r="E125" s="27">
        <v>45657</v>
      </c>
      <c r="F125" s="70"/>
      <c r="G125" s="70"/>
      <c r="H125" s="71">
        <f t="shared" si="89"/>
        <v>0</v>
      </c>
      <c r="I125" s="28"/>
      <c r="J125" s="28"/>
      <c r="K125" s="28"/>
      <c r="L125" s="28"/>
      <c r="M125" s="28">
        <f t="shared" si="58"/>
        <v>0</v>
      </c>
      <c r="N125" s="28"/>
      <c r="O125" s="28"/>
      <c r="P125" s="28">
        <v>500000</v>
      </c>
    </row>
    <row r="126" spans="1:16" x14ac:dyDescent="0.3">
      <c r="H126" s="2">
        <f>H116+H58+H7</f>
        <v>754799.72289156634</v>
      </c>
      <c r="M126" s="2">
        <f>M116+M58+M7</f>
        <v>8451020.2409638558</v>
      </c>
      <c r="N126" s="2" t="e">
        <f>N116+N58+N7</f>
        <v>#VALUE!</v>
      </c>
      <c r="O126" s="2">
        <f>O116+O58+O7</f>
        <v>5214276.2148594372</v>
      </c>
      <c r="P126" s="2">
        <f>P116+P58+P7</f>
        <v>4018973.6666666665</v>
      </c>
    </row>
  </sheetData>
  <mergeCells count="2">
    <mergeCell ref="F2:G2"/>
    <mergeCell ref="I2:L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450FA-ABCD-42E7-BCA8-187C389DC866}">
  <dimension ref="A1"/>
  <sheetViews>
    <sheetView workbookViewId="0">
      <selection activeCell="A2" sqref="A2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3DE74B35437E541A32CFB1BD85A546D" ma:contentTypeVersion="2403" ma:contentTypeDescription="A content type to manage public (operations) IDB documents" ma:contentTypeScope="" ma:versionID="ab9b6ae77e77150eb4f0444042892f5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Division_x0020_or_x0020_Unit xmlns="cdc7663a-08f0-4737-9e8c-148ce897a09c">SCL/LMK</Division_x0020_or_x0020_Unit>
    <Key_x0020_Document xmlns="cdc7663a-08f0-4737-9e8c-148ce897a09c">false</Key_x0020_Document>
    <_dlc_DocId xmlns="cdc7663a-08f0-4737-9e8c-148ce897a09c">EZSHARE-659572234-19</_dlc_DocId>
    <Document_x0020_Author xmlns="cdc7663a-08f0-4737-9e8c-148ce897a09c">Gonzalez Velosa, Carolina</Document_x0020_Author>
    <TaxCatchAll xmlns="cdc7663a-08f0-4737-9e8c-148ce897a09c">
      <Value>48</Value>
      <Value>27</Value>
      <Value>1</Value>
      <Value>357</Value>
    </TaxCatchAll>
    <Fiscal_x0020_Year_x0020_IDB xmlns="cdc7663a-08f0-4737-9e8c-148ce897a09c">2019</Fiscal_x0020_Year_x0020_IDB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</TermName>
          <TermId xmlns="http://schemas.microsoft.com/office/infopath/2007/PartnerControls">c7d386d6-75f3-4fc0-bde8-e021ccd68f5c</TermId>
        </TermInfo>
      </Terms>
    </ic46d7e087fd4a108fb86518ca413cc6>
    <Operation_x0020_Type xmlns="cdc7663a-08f0-4737-9e8c-148ce897a09c">LON</Operation_x0020_Type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CO-L1250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IS-LPO</TermName>
          <TermId xmlns="http://schemas.microsoft.com/office/infopath/2007/PartnerControls">e71f91eb-7c75-452b-8d19-3a449ce1e247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</TermName>
          <TermId xmlns="http://schemas.microsoft.com/office/infopath/2007/PartnerControls">3f908695-d5b5-49f6-941f-76876b39564f</TermId>
        </TermInfo>
      </Terms>
    </nddeef1749674d76abdbe4b239a70bc6>
    <_dlc_DocIdUrl xmlns="cdc7663a-08f0-4737-9e8c-148ce897a09c">
      <Url>https://idbg.sharepoint.com/teams/EZ-CO-LON/CO-L1250/_layouts/15/DocIdRedir.aspx?ID=EZSHARE-659572234-19</Url>
      <Description>EZSHARE-659572234-19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Economics;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E4773E9-682E-43B4-B7D9-56671B0743EB}"/>
</file>

<file path=customXml/itemProps2.xml><?xml version="1.0" encoding="utf-8"?>
<ds:datastoreItem xmlns:ds="http://schemas.openxmlformats.org/officeDocument/2006/customXml" ds:itemID="{B5E97C7C-3BAB-45B8-A04E-E955BA915C3D}"/>
</file>

<file path=customXml/itemProps3.xml><?xml version="1.0" encoding="utf-8"?>
<ds:datastoreItem xmlns:ds="http://schemas.openxmlformats.org/officeDocument/2006/customXml" ds:itemID="{704CCE25-DBC2-40F0-AA3B-E31BF7A94270}"/>
</file>

<file path=customXml/itemProps4.xml><?xml version="1.0" encoding="utf-8"?>
<ds:datastoreItem xmlns:ds="http://schemas.openxmlformats.org/officeDocument/2006/customXml" ds:itemID="{51B192CB-9116-4AEC-9FDC-7B3E8AFBAF2A}"/>
</file>

<file path=customXml/itemProps5.xml><?xml version="1.0" encoding="utf-8"?>
<ds:datastoreItem xmlns:ds="http://schemas.openxmlformats.org/officeDocument/2006/customXml" ds:itemID="{5CFBCE4F-D1F7-48F0-B580-CC625C31EDD0}"/>
</file>

<file path=customXml/itemProps6.xml><?xml version="1.0" encoding="utf-8"?>
<ds:datastoreItem xmlns:ds="http://schemas.openxmlformats.org/officeDocument/2006/customXml" ds:itemID="{4492B398-189E-4310-809F-DCFB132CD1AF}"/>
</file>

<file path=customXml/itemProps7.xml><?xml version="1.0" encoding="utf-8"?>
<ds:datastoreItem xmlns:ds="http://schemas.openxmlformats.org/officeDocument/2006/customXml" ds:itemID="{69D4BCC5-19E9-4729-B058-B15ECB5785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POA 18 meses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Ariza Donado, Natalia</dc:creator>
  <cp:keywords/>
  <cp:lastModifiedBy>Casas Rojas, Laura Ximena</cp:lastModifiedBy>
  <dcterms:created xsi:type="dcterms:W3CDTF">2019-07-03T15:02:58Z</dcterms:created>
  <dcterms:modified xsi:type="dcterms:W3CDTF">2019-10-17T16:41:53Z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357;#IS-LPO|e71f91eb-7c75-452b-8d19-3a449ce1e247</vt:lpwstr>
  </property>
  <property fmtid="{D5CDD505-2E9C-101B-9397-08002B2CF9AE}" pid="7" name="Country">
    <vt:lpwstr>27;#CO|c7d386d6-75f3-4fc0-bde8-e021ccd68f5c</vt:lpwstr>
  </property>
  <property fmtid="{D5CDD505-2E9C-101B-9397-08002B2CF9AE}" pid="8" name="_dlc_DocIdItemGuid">
    <vt:lpwstr>97661b10-7470-48d3-8f42-81827e43ce13</vt:lpwstr>
  </property>
  <property fmtid="{D5CDD505-2E9C-101B-9397-08002B2CF9AE}" pid="9" name="Fund IDB">
    <vt:lpwstr/>
  </property>
  <property fmtid="{D5CDD505-2E9C-101B-9397-08002B2CF9AE}" pid="10" name="Sector IDB">
    <vt:lpwstr>48;#IS|3f908695-d5b5-49f6-941f-76876b39564f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0x0101001A458A224826124E8B45B1D613300CFC0063DE74B35437E541A32CFB1BD85A546D</vt:lpwstr>
  </property>
</Properties>
</file>