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sas\Desktop\OPC_No objeción\"/>
    </mc:Choice>
  </mc:AlternateContent>
  <xr:revisionPtr revIDLastSave="0" documentId="13_ncr:1_{820A5D30-4B9A-4F2F-980B-89D7FE542E50}" xr6:coauthVersionLast="43" xr6:coauthVersionMax="43" xr10:uidLastSave="{00000000-0000-0000-0000-000000000000}"/>
  <bookViews>
    <workbookView xWindow="-120" yWindow="-120" windowWidth="29040" windowHeight="15225" xr2:uid="{FF489101-5DCD-492A-9061-930186FB60B4}"/>
  </bookViews>
  <sheets>
    <sheet name="PEP" sheetId="3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3" i="3" l="1"/>
  <c r="I63" i="3"/>
  <c r="H63" i="3"/>
  <c r="G63" i="3"/>
  <c r="J55" i="3"/>
  <c r="I55" i="3"/>
  <c r="H55" i="3"/>
  <c r="G55" i="3"/>
  <c r="G56" i="3"/>
  <c r="H56" i="3"/>
  <c r="K95" i="3" l="1"/>
  <c r="H122" i="3"/>
  <c r="F92" i="3"/>
  <c r="F90" i="3" s="1"/>
  <c r="D66" i="3"/>
  <c r="H107" i="3" l="1"/>
  <c r="G107" i="3"/>
  <c r="G25" i="3" l="1"/>
  <c r="F7" i="3"/>
  <c r="H62" i="3"/>
  <c r="G87" i="3"/>
  <c r="F87" i="3"/>
  <c r="E44" i="3" l="1"/>
  <c r="E37" i="3"/>
  <c r="C32" i="3"/>
  <c r="I98" i="3" l="1"/>
  <c r="K25" i="3"/>
  <c r="C25" i="3"/>
  <c r="D25" i="3" s="1"/>
  <c r="E3" i="3"/>
  <c r="C18" i="3" l="1"/>
  <c r="I56" i="3" l="1"/>
  <c r="J24" i="3" l="1"/>
  <c r="I24" i="3"/>
  <c r="H24" i="3"/>
  <c r="G24" i="3"/>
  <c r="G18" i="3" s="1"/>
  <c r="D24" i="3"/>
  <c r="K124" i="3"/>
  <c r="K123" i="3"/>
  <c r="E123" i="3"/>
  <c r="C124" i="3" s="1"/>
  <c r="D124" i="3" s="1"/>
  <c r="J122" i="3"/>
  <c r="I122" i="3"/>
  <c r="G122" i="3"/>
  <c r="F122" i="3"/>
  <c r="K121" i="3"/>
  <c r="K120" i="3"/>
  <c r="J119" i="3"/>
  <c r="I119" i="3"/>
  <c r="H119" i="3"/>
  <c r="G119" i="3"/>
  <c r="F119" i="3"/>
  <c r="G118" i="3"/>
  <c r="G116" i="3" s="1"/>
  <c r="F118" i="3"/>
  <c r="K117" i="3"/>
  <c r="J116" i="3"/>
  <c r="I116" i="3"/>
  <c r="H116" i="3"/>
  <c r="K114" i="3"/>
  <c r="K113" i="3"/>
  <c r="E113" i="3"/>
  <c r="J112" i="3"/>
  <c r="I112" i="3"/>
  <c r="H112" i="3"/>
  <c r="G112" i="3"/>
  <c r="F112" i="3"/>
  <c r="K111" i="3"/>
  <c r="C111" i="3"/>
  <c r="K110" i="3"/>
  <c r="K109" i="3"/>
  <c r="E109" i="3"/>
  <c r="E111" i="3" s="1"/>
  <c r="K108" i="3"/>
  <c r="E108" i="3"/>
  <c r="K107" i="3"/>
  <c r="C107" i="3"/>
  <c r="D107" i="3" s="1"/>
  <c r="K106" i="3"/>
  <c r="J105" i="3"/>
  <c r="J103" i="3" s="1"/>
  <c r="J98" i="3" s="1"/>
  <c r="J96" i="3" s="1"/>
  <c r="I105" i="3"/>
  <c r="I103" i="3" s="1"/>
  <c r="H105" i="3"/>
  <c r="H103" i="3" s="1"/>
  <c r="G105" i="3"/>
  <c r="G103" i="3" s="1"/>
  <c r="F105" i="3"/>
  <c r="K104" i="3"/>
  <c r="E104" i="3"/>
  <c r="C106" i="3" s="1"/>
  <c r="D106" i="3" s="1"/>
  <c r="K102" i="3"/>
  <c r="D102" i="3"/>
  <c r="H101" i="3"/>
  <c r="G101" i="3"/>
  <c r="E101" i="3"/>
  <c r="K100" i="3"/>
  <c r="K99" i="3"/>
  <c r="K97" i="3"/>
  <c r="E97" i="3"/>
  <c r="C99" i="3" s="1"/>
  <c r="I96" i="3"/>
  <c r="I94" i="3"/>
  <c r="I92" i="3" s="1"/>
  <c r="I90" i="3" s="1"/>
  <c r="H94" i="3"/>
  <c r="K93" i="3"/>
  <c r="J92" i="3"/>
  <c r="J90" i="3" s="1"/>
  <c r="G92" i="3"/>
  <c r="G90" i="3" s="1"/>
  <c r="E92" i="3"/>
  <c r="K91" i="3"/>
  <c r="J89" i="3"/>
  <c r="I89" i="3"/>
  <c r="H89" i="3"/>
  <c r="G89" i="3"/>
  <c r="K88" i="3"/>
  <c r="E88" i="3"/>
  <c r="E86" i="3" s="1"/>
  <c r="K87" i="3"/>
  <c r="J86" i="3"/>
  <c r="J84" i="3" s="1"/>
  <c r="I86" i="3"/>
  <c r="I84" i="3" s="1"/>
  <c r="H86" i="3"/>
  <c r="H84" i="3" s="1"/>
  <c r="G86" i="3"/>
  <c r="G84" i="3" s="1"/>
  <c r="F86" i="3"/>
  <c r="K85" i="3"/>
  <c r="K82" i="3"/>
  <c r="D82" i="3"/>
  <c r="J81" i="3"/>
  <c r="J80" i="3" s="1"/>
  <c r="J78" i="3" s="1"/>
  <c r="I81" i="3"/>
  <c r="I80" i="3" s="1"/>
  <c r="I78" i="3" s="1"/>
  <c r="H81" i="3"/>
  <c r="H80" i="3" s="1"/>
  <c r="H78" i="3" s="1"/>
  <c r="G80" i="3"/>
  <c r="G78" i="3" s="1"/>
  <c r="F80" i="3"/>
  <c r="E80" i="3"/>
  <c r="K79" i="3"/>
  <c r="E79" i="3"/>
  <c r="C81" i="3" s="1"/>
  <c r="K77" i="3"/>
  <c r="C77" i="3"/>
  <c r="D77" i="3" s="1"/>
  <c r="K76" i="3"/>
  <c r="K75" i="3"/>
  <c r="E75" i="3"/>
  <c r="J74" i="3"/>
  <c r="I74" i="3"/>
  <c r="H74" i="3"/>
  <c r="G74" i="3"/>
  <c r="F74" i="3"/>
  <c r="F73" i="3" s="1"/>
  <c r="K73" i="3" s="1"/>
  <c r="K72" i="3"/>
  <c r="K71" i="3"/>
  <c r="J70" i="3"/>
  <c r="J68" i="3" s="1"/>
  <c r="I70" i="3"/>
  <c r="I68" i="3" s="1"/>
  <c r="H70" i="3"/>
  <c r="H68" i="3" s="1"/>
  <c r="G70" i="3"/>
  <c r="G68" i="3" s="1"/>
  <c r="F70" i="3"/>
  <c r="K69" i="3"/>
  <c r="E69" i="3"/>
  <c r="C71" i="3" s="1"/>
  <c r="E71" i="3" s="1"/>
  <c r="K65" i="3"/>
  <c r="D65" i="3"/>
  <c r="K64" i="3"/>
  <c r="D64" i="3"/>
  <c r="K63" i="3"/>
  <c r="D63" i="3"/>
  <c r="K62" i="3"/>
  <c r="K61" i="3"/>
  <c r="D61" i="3"/>
  <c r="J60" i="3"/>
  <c r="J58" i="3" s="1"/>
  <c r="I60" i="3"/>
  <c r="I58" i="3" s="1"/>
  <c r="H60" i="3"/>
  <c r="H58" i="3" s="1"/>
  <c r="G60" i="3"/>
  <c r="G58" i="3" s="1"/>
  <c r="F60" i="3"/>
  <c r="E60" i="3"/>
  <c r="K59" i="3"/>
  <c r="J56" i="3"/>
  <c r="J54" i="3" s="1"/>
  <c r="J52" i="3" s="1"/>
  <c r="C56" i="3"/>
  <c r="E56" i="3" s="1"/>
  <c r="K55" i="3"/>
  <c r="E55" i="3"/>
  <c r="I54" i="3"/>
  <c r="I52" i="3" s="1"/>
  <c r="H54" i="3"/>
  <c r="H52" i="3" s="1"/>
  <c r="G54" i="3"/>
  <c r="G52" i="3" s="1"/>
  <c r="F54" i="3"/>
  <c r="F52" i="3" s="1"/>
  <c r="K53" i="3"/>
  <c r="K51" i="3"/>
  <c r="D51" i="3"/>
  <c r="K50" i="3"/>
  <c r="D50" i="3"/>
  <c r="K49" i="3"/>
  <c r="K48" i="3"/>
  <c r="K47" i="3"/>
  <c r="D47" i="3"/>
  <c r="K46" i="3"/>
  <c r="D46" i="3"/>
  <c r="K45" i="3"/>
  <c r="J44" i="3"/>
  <c r="J37" i="3" s="1"/>
  <c r="J35" i="3" s="1"/>
  <c r="I44" i="3"/>
  <c r="I37" i="3" s="1"/>
  <c r="I35" i="3" s="1"/>
  <c r="H44" i="3"/>
  <c r="H37" i="3" s="1"/>
  <c r="H35" i="3" s="1"/>
  <c r="G44" i="3"/>
  <c r="G37" i="3" s="1"/>
  <c r="G35" i="3" s="1"/>
  <c r="F44" i="3"/>
  <c r="F37" i="3" s="1"/>
  <c r="K43" i="3"/>
  <c r="K42" i="3"/>
  <c r="K41" i="3"/>
  <c r="K40" i="3"/>
  <c r="C40" i="3"/>
  <c r="D40" i="3" s="1"/>
  <c r="K39" i="3"/>
  <c r="K38" i="3"/>
  <c r="K36" i="3"/>
  <c r="K34" i="3"/>
  <c r="K33" i="3"/>
  <c r="E33" i="3"/>
  <c r="C34" i="3" s="1"/>
  <c r="E34" i="3" s="1"/>
  <c r="C36" i="3" s="1"/>
  <c r="J32" i="3"/>
  <c r="I32" i="3"/>
  <c r="H32" i="3"/>
  <c r="G32" i="3"/>
  <c r="F32" i="3"/>
  <c r="K31" i="3"/>
  <c r="D31" i="3"/>
  <c r="E31" i="3" s="1"/>
  <c r="K30" i="3"/>
  <c r="D30" i="3"/>
  <c r="E30" i="3" s="1"/>
  <c r="J29" i="3"/>
  <c r="J27" i="3" s="1"/>
  <c r="J26" i="3" s="1"/>
  <c r="I29" i="3"/>
  <c r="I27" i="3" s="1"/>
  <c r="I26" i="3" s="1"/>
  <c r="H29" i="3"/>
  <c r="H27" i="3" s="1"/>
  <c r="H26" i="3" s="1"/>
  <c r="G29" i="3"/>
  <c r="G27" i="3" s="1"/>
  <c r="G26" i="3" s="1"/>
  <c r="F29" i="3"/>
  <c r="F27" i="3" s="1"/>
  <c r="C29" i="3"/>
  <c r="C27" i="3" s="1"/>
  <c r="C26" i="3" s="1"/>
  <c r="K28" i="3"/>
  <c r="D28" i="3"/>
  <c r="E28" i="3" s="1"/>
  <c r="K23" i="3"/>
  <c r="D23" i="3"/>
  <c r="E23" i="3" s="1"/>
  <c r="K22" i="3"/>
  <c r="E22" i="3"/>
  <c r="K21" i="3"/>
  <c r="E21" i="3"/>
  <c r="K20" i="3"/>
  <c r="E20" i="3"/>
  <c r="K19" i="3"/>
  <c r="E19" i="3"/>
  <c r="F18" i="3"/>
  <c r="F10" i="3" s="1"/>
  <c r="F8" i="3" s="1"/>
  <c r="K17" i="3"/>
  <c r="K16" i="3"/>
  <c r="K15" i="3"/>
  <c r="K14" i="3"/>
  <c r="K13" i="3"/>
  <c r="K12" i="3"/>
  <c r="C12" i="3"/>
  <c r="K11" i="3"/>
  <c r="E11" i="3"/>
  <c r="K9" i="3"/>
  <c r="K7" i="3"/>
  <c r="K3" i="3"/>
  <c r="C4" i="3"/>
  <c r="G83" i="3" l="1"/>
  <c r="E122" i="3"/>
  <c r="G115" i="3"/>
  <c r="I67" i="3"/>
  <c r="C54" i="3"/>
  <c r="J115" i="3"/>
  <c r="H67" i="3"/>
  <c r="G67" i="3"/>
  <c r="E36" i="3"/>
  <c r="I115" i="3"/>
  <c r="E32" i="3"/>
  <c r="D32" i="3" s="1"/>
  <c r="H83" i="3"/>
  <c r="H98" i="3"/>
  <c r="H96" i="3" s="1"/>
  <c r="J67" i="3"/>
  <c r="K94" i="3"/>
  <c r="K101" i="3"/>
  <c r="D111" i="3"/>
  <c r="H18" i="3"/>
  <c r="H10" i="3" s="1"/>
  <c r="H8" i="3" s="1"/>
  <c r="H6" i="3" s="1"/>
  <c r="I18" i="3"/>
  <c r="I10" i="3" s="1"/>
  <c r="I8" i="3" s="1"/>
  <c r="I6" i="3" s="1"/>
  <c r="J18" i="3"/>
  <c r="J10" i="3" s="1"/>
  <c r="J8" i="3" s="1"/>
  <c r="J6" i="3" s="1"/>
  <c r="E54" i="3"/>
  <c r="I83" i="3"/>
  <c r="E29" i="3"/>
  <c r="D29" i="3" s="1"/>
  <c r="K56" i="3"/>
  <c r="E78" i="3"/>
  <c r="K119" i="3"/>
  <c r="K32" i="3"/>
  <c r="K44" i="3"/>
  <c r="K74" i="3"/>
  <c r="K86" i="3"/>
  <c r="J83" i="3"/>
  <c r="K89" i="3"/>
  <c r="H92" i="3"/>
  <c r="H90" i="3" s="1"/>
  <c r="K90" i="3" s="1"/>
  <c r="E105" i="3"/>
  <c r="E103" i="3" s="1"/>
  <c r="C110" i="3"/>
  <c r="D110" i="3" s="1"/>
  <c r="H115" i="3"/>
  <c r="E18" i="3"/>
  <c r="E4" i="3"/>
  <c r="C5" i="3" s="1"/>
  <c r="C59" i="3" s="1"/>
  <c r="E59" i="3" s="1"/>
  <c r="C7" i="3"/>
  <c r="K24" i="3"/>
  <c r="G10" i="3"/>
  <c r="G8" i="3" s="1"/>
  <c r="G6" i="3" s="1"/>
  <c r="D12" i="3"/>
  <c r="C13" i="3"/>
  <c r="C100" i="3"/>
  <c r="D99" i="3"/>
  <c r="K80" i="3"/>
  <c r="K27" i="3"/>
  <c r="K54" i="3"/>
  <c r="K70" i="3"/>
  <c r="F68" i="3"/>
  <c r="F67" i="3" s="1"/>
  <c r="F66" i="3" s="1"/>
  <c r="K66" i="3" s="1"/>
  <c r="C76" i="3"/>
  <c r="E74" i="3"/>
  <c r="K81" i="3"/>
  <c r="F84" i="3"/>
  <c r="K105" i="3"/>
  <c r="F103" i="3"/>
  <c r="K112" i="3"/>
  <c r="K118" i="3"/>
  <c r="F116" i="3"/>
  <c r="F35" i="3"/>
  <c r="K35" i="3" s="1"/>
  <c r="K37" i="3"/>
  <c r="K60" i="3"/>
  <c r="K58" i="3" s="1"/>
  <c r="F58" i="3"/>
  <c r="K52" i="3"/>
  <c r="C80" i="3"/>
  <c r="D81" i="3"/>
  <c r="K29" i="3"/>
  <c r="E70" i="3"/>
  <c r="C72" i="3"/>
  <c r="C114" i="3"/>
  <c r="E114" i="3" s="1"/>
  <c r="E112" i="3" s="1"/>
  <c r="K122" i="3"/>
  <c r="F26" i="3"/>
  <c r="K26" i="3" s="1"/>
  <c r="D88" i="3"/>
  <c r="C122" i="3"/>
  <c r="D122" i="3" s="1"/>
  <c r="F78" i="3"/>
  <c r="K78" i="3" s="1"/>
  <c r="G98" i="3"/>
  <c r="G96" i="3" s="1"/>
  <c r="G57" i="3" l="1"/>
  <c r="G5" i="3"/>
  <c r="D54" i="3"/>
  <c r="J57" i="3"/>
  <c r="J5" i="3" s="1"/>
  <c r="I57" i="3"/>
  <c r="I5" i="3" s="1"/>
  <c r="H57" i="3"/>
  <c r="H5" i="3" s="1"/>
  <c r="C105" i="3"/>
  <c r="C103" i="3" s="1"/>
  <c r="D103" i="3" s="1"/>
  <c r="K92" i="3"/>
  <c r="C38" i="3"/>
  <c r="E35" i="3"/>
  <c r="K8" i="3"/>
  <c r="K10" i="3"/>
  <c r="E27" i="3"/>
  <c r="D27" i="3" s="1"/>
  <c r="K18" i="3"/>
  <c r="D72" i="3"/>
  <c r="C73" i="3"/>
  <c r="D73" i="3" s="1"/>
  <c r="K116" i="3"/>
  <c r="F115" i="3"/>
  <c r="K115" i="3" s="1"/>
  <c r="F83" i="3"/>
  <c r="K83" i="3" s="1"/>
  <c r="K84" i="3"/>
  <c r="C62" i="3"/>
  <c r="E58" i="3"/>
  <c r="D13" i="3"/>
  <c r="C14" i="3"/>
  <c r="F6" i="3"/>
  <c r="K68" i="3"/>
  <c r="K67" i="3"/>
  <c r="E68" i="3"/>
  <c r="E7" i="3"/>
  <c r="D80" i="3"/>
  <c r="C78" i="3"/>
  <c r="D78" i="3" s="1"/>
  <c r="C112" i="3"/>
  <c r="D112" i="3" s="1"/>
  <c r="K103" i="3"/>
  <c r="F98" i="3"/>
  <c r="D76" i="3"/>
  <c r="C74" i="3"/>
  <c r="E98" i="3"/>
  <c r="C101" i="3"/>
  <c r="D100" i="3"/>
  <c r="D105" i="3" l="1"/>
  <c r="D38" i="3"/>
  <c r="C39" i="3"/>
  <c r="E26" i="3"/>
  <c r="D26" i="3" s="1"/>
  <c r="C70" i="3"/>
  <c r="C68" i="3" s="1"/>
  <c r="C67" i="3" s="1"/>
  <c r="C60" i="3"/>
  <c r="C58" i="3" s="1"/>
  <c r="D62" i="3"/>
  <c r="D101" i="3"/>
  <c r="C98" i="3"/>
  <c r="C96" i="3" s="1"/>
  <c r="K98" i="3"/>
  <c r="F96" i="3"/>
  <c r="F57" i="3" s="1"/>
  <c r="F5" i="3" s="1"/>
  <c r="C117" i="3"/>
  <c r="C53" i="3"/>
  <c r="C85" i="3"/>
  <c r="C9" i="3"/>
  <c r="C120" i="3"/>
  <c r="C91" i="3"/>
  <c r="E67" i="3"/>
  <c r="K6" i="3"/>
  <c r="C15" i="3"/>
  <c r="D14" i="3"/>
  <c r="E96" i="3"/>
  <c r="D68" i="3" l="1"/>
  <c r="D70" i="3"/>
  <c r="C41" i="3"/>
  <c r="D39" i="3"/>
  <c r="D67" i="3"/>
  <c r="D98" i="3"/>
  <c r="D96" i="3"/>
  <c r="E15" i="3"/>
  <c r="E10" i="3" s="1"/>
  <c r="C16" i="3"/>
  <c r="K96" i="3"/>
  <c r="E117" i="3"/>
  <c r="E91" i="3"/>
  <c r="E85" i="3"/>
  <c r="D58" i="3"/>
  <c r="E9" i="3"/>
  <c r="E120" i="3"/>
  <c r="C52" i="3"/>
  <c r="E53" i="3"/>
  <c r="E52" i="3" s="1"/>
  <c r="D52" i="3" l="1"/>
  <c r="E8" i="3"/>
  <c r="E6" i="3" s="1"/>
  <c r="C42" i="3"/>
  <c r="D41" i="3"/>
  <c r="C121" i="3"/>
  <c r="E119" i="3"/>
  <c r="E90" i="3"/>
  <c r="C93" i="3"/>
  <c r="D16" i="3"/>
  <c r="C17" i="3"/>
  <c r="C118" i="3"/>
  <c r="E116" i="3"/>
  <c r="E84" i="3"/>
  <c r="C87" i="3"/>
  <c r="K57" i="3"/>
  <c r="K5" i="3" s="1"/>
  <c r="E115" i="3" l="1"/>
  <c r="C43" i="3"/>
  <c r="D42" i="3"/>
  <c r="D17" i="3"/>
  <c r="C10" i="3"/>
  <c r="C8" i="3" s="1"/>
  <c r="D8" i="3" s="1"/>
  <c r="D118" i="3"/>
  <c r="C116" i="3"/>
  <c r="D87" i="3"/>
  <c r="C86" i="3"/>
  <c r="C94" i="3"/>
  <c r="D94" i="3" s="1"/>
  <c r="D93" i="3"/>
  <c r="E83" i="3"/>
  <c r="D121" i="3"/>
  <c r="C119" i="3"/>
  <c r="D119" i="3" s="1"/>
  <c r="C92" i="3" l="1"/>
  <c r="C90" i="3" s="1"/>
  <c r="C45" i="3"/>
  <c r="D43" i="3"/>
  <c r="C115" i="3"/>
  <c r="E57" i="3"/>
  <c r="D92" i="3"/>
  <c r="C89" i="3"/>
  <c r="D89" i="3" s="1"/>
  <c r="D86" i="3"/>
  <c r="C84" i="3"/>
  <c r="D116" i="3"/>
  <c r="D90" i="3" l="1"/>
  <c r="C95" i="3"/>
  <c r="D95" i="3" s="1"/>
  <c r="D45" i="3"/>
  <c r="C48" i="3"/>
  <c r="C83" i="3"/>
  <c r="D84" i="3"/>
  <c r="C49" i="3" l="1"/>
  <c r="D49" i="3" s="1"/>
  <c r="D48" i="3"/>
  <c r="C57" i="3"/>
  <c r="D57" i="3" s="1"/>
  <c r="D83" i="3"/>
  <c r="C44" i="3" l="1"/>
  <c r="D44" i="3" s="1"/>
  <c r="E5" i="3"/>
  <c r="D115" i="3"/>
  <c r="C37" i="3" l="1"/>
  <c r="D37" i="3" s="1"/>
  <c r="C35" i="3" l="1"/>
  <c r="C6" i="3" s="1"/>
  <c r="D6" i="3" s="1"/>
  <c r="D35" i="3" l="1"/>
</calcChain>
</file>

<file path=xl/sharedStrings.xml><?xml version="1.0" encoding="utf-8"?>
<sst xmlns="http://schemas.openxmlformats.org/spreadsheetml/2006/main" count="224" uniqueCount="185">
  <si>
    <t xml:space="preserve">Firma del contrato de Crédito </t>
  </si>
  <si>
    <t>Fecha inicio</t>
  </si>
  <si>
    <t>Duración</t>
  </si>
  <si>
    <t>Fecha fin</t>
  </si>
  <si>
    <t>1.3.1</t>
  </si>
  <si>
    <t>1.2.2.8</t>
  </si>
  <si>
    <t>1.3.1.1</t>
  </si>
  <si>
    <t>CRM</t>
  </si>
  <si>
    <t>1.3.1.2</t>
  </si>
  <si>
    <t>Costos no tecnológicos</t>
  </si>
  <si>
    <t>1.3.1.2.1</t>
  </si>
  <si>
    <t>1.3.1.2.2</t>
  </si>
  <si>
    <t>Capacitación</t>
  </si>
  <si>
    <t>Gestión del Cambio</t>
  </si>
  <si>
    <t>Gerencia del Proyecto</t>
  </si>
  <si>
    <t>Costos no tecnológicos CRM</t>
  </si>
  <si>
    <t xml:space="preserve">Sistema gerencial del Ministerio de Trabajo diseñado </t>
  </si>
  <si>
    <t>1.4.1</t>
  </si>
  <si>
    <t>Etapa precontractual</t>
  </si>
  <si>
    <t>Ejecución</t>
  </si>
  <si>
    <t>1.4.2</t>
  </si>
  <si>
    <t>Sistema gerencial del Ministerio de Trabajo implementado</t>
  </si>
  <si>
    <t>1.5.1</t>
  </si>
  <si>
    <t>1.5.2</t>
  </si>
  <si>
    <t>Servicio de Implementación</t>
  </si>
  <si>
    <t>Licenciamiento</t>
  </si>
  <si>
    <t>Soporte &amp; Mantenimiento Licenciamiento</t>
  </si>
  <si>
    <t>Infraestructura</t>
  </si>
  <si>
    <t>Base de Datos</t>
  </si>
  <si>
    <t>Conectividad</t>
  </si>
  <si>
    <t>1.5.2.1</t>
  </si>
  <si>
    <t>1.5.2.2</t>
  </si>
  <si>
    <t>1.5.2.3</t>
  </si>
  <si>
    <t>1.5.2.4</t>
  </si>
  <si>
    <t>1.5.2.5</t>
  </si>
  <si>
    <t>1.5.2.6</t>
  </si>
  <si>
    <t>1.5.2.7</t>
  </si>
  <si>
    <t>Costos no tecnólogicos</t>
  </si>
  <si>
    <t>1.5.2.7.1</t>
  </si>
  <si>
    <t>1.5.2.7.2</t>
  </si>
  <si>
    <t>1.5.2.7.3</t>
  </si>
  <si>
    <t>1.5.2.7.4</t>
  </si>
  <si>
    <t>1.5.2.7.5</t>
  </si>
  <si>
    <t>1.5.2.7.6</t>
  </si>
  <si>
    <t>1.5.2.7.7</t>
  </si>
  <si>
    <t>Puestos de trabajo y equipos de computo</t>
  </si>
  <si>
    <t>Testing</t>
  </si>
  <si>
    <t>Integrador</t>
  </si>
  <si>
    <t xml:space="preserve">Capacitación y Gestión del Cambio </t>
  </si>
  <si>
    <t>Equipo de Trabajo para puesta en marcha 5p y PMO</t>
  </si>
  <si>
    <t>Equipo CIL</t>
  </si>
  <si>
    <t>1.6.1</t>
  </si>
  <si>
    <t>1.6.2</t>
  </si>
  <si>
    <t>1.6.2.1</t>
  </si>
  <si>
    <t>1.6.2.2</t>
  </si>
  <si>
    <t>BPMN - Optimización modelo UASPE</t>
  </si>
  <si>
    <t>Gestión empresarial</t>
  </si>
  <si>
    <t>1.2.1</t>
  </si>
  <si>
    <t>1.2.2</t>
  </si>
  <si>
    <t>1.2.2.1</t>
  </si>
  <si>
    <t>1.2.2.2</t>
  </si>
  <si>
    <t>1.2.2.3</t>
  </si>
  <si>
    <t>1.2.2.4</t>
  </si>
  <si>
    <t>1.2.2.5</t>
  </si>
  <si>
    <t>1.2.2.6</t>
  </si>
  <si>
    <t>1.2.2.7</t>
  </si>
  <si>
    <t>1.2.2.8.1</t>
  </si>
  <si>
    <t>1.2.2.8.2</t>
  </si>
  <si>
    <t>1.2.2.8.3</t>
  </si>
  <si>
    <t>1.2.2.8.4</t>
  </si>
  <si>
    <t>1.2.2.8.5</t>
  </si>
  <si>
    <t>Pertinencia y calidad de la FT y ampliación y fortalecimiento
en certificación de competencias</t>
  </si>
  <si>
    <t>Portal de información sobre la FT implementado</t>
  </si>
  <si>
    <t>2.1.2</t>
  </si>
  <si>
    <t>2.1.1</t>
  </si>
  <si>
    <t>Servicio de implementación</t>
  </si>
  <si>
    <t>Soporte &amp; Mantenimiento Infraestructura</t>
  </si>
  <si>
    <t>2.1.2.1</t>
  </si>
  <si>
    <t>2.1.2.2</t>
  </si>
  <si>
    <t>2.1.2.3</t>
  </si>
  <si>
    <t>2.1.2.4</t>
  </si>
  <si>
    <t>2.1.2.5</t>
  </si>
  <si>
    <t xml:space="preserve">Lanzamiento de los estándares para la acreditación de organismos públicos de certificación de competencias laborales. </t>
  </si>
  <si>
    <t>Precontractual</t>
  </si>
  <si>
    <t>2.3.1</t>
  </si>
  <si>
    <t>2.3.2</t>
  </si>
  <si>
    <t>2.3.2.1</t>
  </si>
  <si>
    <t>2.3.2.2</t>
  </si>
  <si>
    <t>Portal Implementación</t>
  </si>
  <si>
    <t>Match</t>
  </si>
  <si>
    <t>Analítica</t>
  </si>
  <si>
    <t>Bus de Integración y BPM</t>
  </si>
  <si>
    <t>APP Implementación</t>
  </si>
  <si>
    <t>Centro de Notificaciones</t>
  </si>
  <si>
    <t xml:space="preserve">Infraestructura </t>
  </si>
  <si>
    <t>Puestos de Trabajo</t>
  </si>
  <si>
    <t>Mesa de ayuda</t>
  </si>
  <si>
    <t>Segunda fase del sistema de información  del servicio público de empleo implementado</t>
  </si>
  <si>
    <t>Herramienta para recolectar información de perfiles laborales implementada</t>
  </si>
  <si>
    <t>Informes para escalamiento de sistema de aseguramiento de calidad de la FT terminados</t>
  </si>
  <si>
    <t>2.4.1</t>
  </si>
  <si>
    <t>2.4.2</t>
  </si>
  <si>
    <t>2.4.2.1</t>
  </si>
  <si>
    <t>2.4.2.2</t>
  </si>
  <si>
    <t>Análisis de información de la herramienta de recolección</t>
  </si>
  <si>
    <t xml:space="preserve">Diseño e implementación de herramienta tecnológica de registro de normas y certificados laborales del programa. </t>
  </si>
  <si>
    <t>Lanzamiento plataforma consulta certificación de competencias y normas</t>
  </si>
  <si>
    <t>Elegibilidad</t>
  </si>
  <si>
    <t>Guia metodológica para estructurar modelos gestión del talento humano y certificación por competencias en las empresas/sectores</t>
  </si>
  <si>
    <t>Desarrollo del documento de diseño del mecanismo institucional, los estándares y las herramientas de evaluación para realizar la acreditación de los procesos de certificación de competencias laborales de entidades públicas.</t>
  </si>
  <si>
    <t>Aplicación y mejora continua de herramienta de recolección de información - salida al público pagina web - SENA y UAESPE</t>
  </si>
  <si>
    <t>2.5.1</t>
  </si>
  <si>
    <t>2.5.2</t>
  </si>
  <si>
    <t>2.5.2.1</t>
  </si>
  <si>
    <t>2.5.2.2</t>
  </si>
  <si>
    <t>Diseñar estándares de habilitación y certificación de  calidad de programas e instituciones FT</t>
  </si>
  <si>
    <t>2.6.1</t>
  </si>
  <si>
    <t>2.6.2</t>
  </si>
  <si>
    <t>2.6.2.1</t>
  </si>
  <si>
    <t>2.6.2.2</t>
  </si>
  <si>
    <t>Estructurar banco de evaluadores y pares (1) para implementar modelo de aseguramiento de la FT</t>
  </si>
  <si>
    <t>Diseño de plan piloto en regiones (Bogotá, Medellín, Cali) y sectores estratégicos (TI)</t>
  </si>
  <si>
    <t>Piloto de herramientas de evaluación/implementación de calidad</t>
  </si>
  <si>
    <t>Evento lanzamiento proceso de evaluación de calidad de la FT</t>
  </si>
  <si>
    <t xml:space="preserve">Documento de resultado de implementación piloto - resultado de la formación. </t>
  </si>
  <si>
    <t>Evento socialización resultados piloto de proceso de evaluación de calidad de la FT (nuevo sello calidad)</t>
  </si>
  <si>
    <t>Documento de costos unitarios por herramienta, nivel de honorarios de pares, esquema de tarifas de proceso de certificación de calidad y esquema de incentivos para las instituciones de FT elaborado</t>
  </si>
  <si>
    <t>2.8.1</t>
  </si>
  <si>
    <t>2.8.2</t>
  </si>
  <si>
    <t>Unidad ejecutora</t>
  </si>
  <si>
    <t>Auditoria financiera</t>
  </si>
  <si>
    <t>Monitoreo y evaluación</t>
  </si>
  <si>
    <t>Cobertura y efectividad de las políticas de empleo</t>
  </si>
  <si>
    <t>3.1.1</t>
  </si>
  <si>
    <t>3.1.2</t>
  </si>
  <si>
    <t>3.2.2</t>
  </si>
  <si>
    <t>3.2.1</t>
  </si>
  <si>
    <t>3.3.1</t>
  </si>
  <si>
    <t>3.3.2</t>
  </si>
  <si>
    <t>Sistema de información del servicio público de empleo diseñado</t>
  </si>
  <si>
    <t>Primera fase del sistema de información del servicio público de empleo implementado</t>
  </si>
  <si>
    <t>Total</t>
  </si>
  <si>
    <t>Diseño del mecanismo institucional, estándares y herramientas de evaluación para realizar la acreditación de los procesos de certificación de competencias laborales de entidades públicas.</t>
  </si>
  <si>
    <t>Piloto de proceso de acreditación de los procesos de certificación de competencias laborales</t>
  </si>
  <si>
    <t>Aplicación de herramientas de fomento a la gestión del talento humano y procesos de certificación por competencias laborales.</t>
  </si>
  <si>
    <t>Diseño, socialización e implementación de herramienta para recolectar información del perfil laboral de los partipantes</t>
  </si>
  <si>
    <t xml:space="preserve">Capacitación, lanzamiento,  y socialización de herramienta de recolección de información del perfil laboral de los participantes </t>
  </si>
  <si>
    <t>Diseñar indicadores, metodologías de medición y evaluación de resultados para aplicar en el proceso de habilitación y certificación de calidad de la FT</t>
  </si>
  <si>
    <t>Análisis de información resultados piloto</t>
  </si>
  <si>
    <t>Programa modular de certificación de competencias implementado</t>
  </si>
  <si>
    <t>Implementación y esquema de socialización del programa de modular de evaluación y certificación</t>
  </si>
  <si>
    <t>Diseño del programa modular de evaluación y certificación</t>
  </si>
  <si>
    <t>1.2.2.8.6</t>
  </si>
  <si>
    <t>1.2.2.8.7</t>
  </si>
  <si>
    <t>Diseño de campaña de divulgación</t>
  </si>
  <si>
    <t xml:space="preserve">Programa para Fortalecer Políticas de Empleo (CO-L1250)
</t>
  </si>
  <si>
    <t>2.3.1.2.3</t>
  </si>
  <si>
    <t>2.3.1.2</t>
  </si>
  <si>
    <t>2.3.1.1</t>
  </si>
  <si>
    <t>2.3.1.2.1</t>
  </si>
  <si>
    <t>2.3.1.2.2</t>
  </si>
  <si>
    <t>2.3.2.3</t>
  </si>
  <si>
    <t>2.5.2.2.1</t>
  </si>
  <si>
    <t>2.5.2.2.3</t>
  </si>
  <si>
    <t xml:space="preserve">Lineamientos para eliminar barreras de género en el acceso a programa modular de capacitación y certificación de competencias desarrollados </t>
  </si>
  <si>
    <t>2.8.2.1</t>
  </si>
  <si>
    <t>2.8.2.2</t>
  </si>
  <si>
    <t>2.8.2.3</t>
  </si>
  <si>
    <t>2.8.2.4</t>
  </si>
  <si>
    <t>2.9.1</t>
  </si>
  <si>
    <t>2.9.2</t>
  </si>
  <si>
    <t>2.9.2.1</t>
  </si>
  <si>
    <t>2.9.2.2</t>
  </si>
  <si>
    <t>2.9.2.3</t>
  </si>
  <si>
    <t>2.9.2.4</t>
  </si>
  <si>
    <t>2.9.2.5</t>
  </si>
  <si>
    <t>2.9.2.6</t>
  </si>
  <si>
    <t>2.10.1</t>
  </si>
  <si>
    <t>2.10.2</t>
  </si>
  <si>
    <t>Mecanismo institucional, estándares y herramientas de evaluación para la acreditación de procesos de certificación por competencias implementado</t>
  </si>
  <si>
    <t>Contenido con enfoque de género para portal de orientación de FT desarrollado</t>
  </si>
  <si>
    <t>Estándares e instrumentos para el aseguramiento de calidad de la FT implementados</t>
  </si>
  <si>
    <t>Modelo de atención de la red de prestadores del servicio público de empleo implementado</t>
  </si>
  <si>
    <t>Herramientas de normas y registro de certificación de competencias laborales implementadas</t>
  </si>
  <si>
    <t>Pilotos para el aseguramiento de la calidad de la oferta de FT terminados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</si>
</sst>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[$-409]d\-mmm\-yy;@"/>
    <numFmt numFmtId="165" formatCode="_(* #,##0_);_(* \(#,##0\);_(* &quot;-&quot;??_);_(@_)"/>
    <numFmt numFmtId="166" formatCode="0.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90">
    <xf numFmtId="0" fontId="0" fillId="0" borderId="0" xfId="0"/>
    <xf numFmtId="164" fontId="0" fillId="0" borderId="0" xfId="0" applyNumberFormat="1"/>
    <xf numFmtId="165" fontId="0" fillId="0" borderId="0" xfId="1" applyNumberFormat="1" applyFont="1"/>
    <xf numFmtId="0" fontId="0" fillId="0" borderId="0" xfId="1" applyNumberFormat="1" applyFont="1"/>
    <xf numFmtId="164" fontId="0" fillId="0" borderId="0" xfId="0" applyNumberFormat="1" applyFont="1"/>
    <xf numFmtId="0" fontId="0" fillId="0" borderId="0" xfId="0" applyFont="1"/>
    <xf numFmtId="0" fontId="4" fillId="0" borderId="0" xfId="0" applyFont="1"/>
    <xf numFmtId="164" fontId="4" fillId="0" borderId="0" xfId="0" applyNumberFormat="1" applyFont="1"/>
    <xf numFmtId="165" fontId="4" fillId="0" borderId="0" xfId="1" applyNumberFormat="1" applyFont="1"/>
    <xf numFmtId="0" fontId="6" fillId="0" borderId="0" xfId="0" applyFont="1"/>
    <xf numFmtId="164" fontId="6" fillId="0" borderId="0" xfId="0" applyNumberFormat="1" applyFont="1"/>
    <xf numFmtId="165" fontId="6" fillId="0" borderId="0" xfId="1" applyNumberFormat="1" applyFont="1"/>
    <xf numFmtId="0" fontId="2" fillId="2" borderId="0" xfId="2" applyFont="1" applyAlignment="1">
      <alignment horizontal="left"/>
    </xf>
    <xf numFmtId="0" fontId="2" fillId="2" borderId="0" xfId="2" applyFont="1"/>
    <xf numFmtId="164" fontId="2" fillId="2" borderId="0" xfId="2" applyNumberFormat="1" applyFont="1"/>
    <xf numFmtId="165" fontId="2" fillId="2" borderId="0" xfId="2" applyNumberFormat="1" applyFont="1"/>
    <xf numFmtId="0" fontId="1" fillId="4" borderId="0" xfId="4" applyAlignment="1">
      <alignment horizontal="left"/>
    </xf>
    <xf numFmtId="0" fontId="1" fillId="4" borderId="0" xfId="4"/>
    <xf numFmtId="164" fontId="1" fillId="4" borderId="0" xfId="4" applyNumberFormat="1"/>
    <xf numFmtId="165" fontId="1" fillId="4" borderId="0" xfId="4" applyNumberFormat="1"/>
    <xf numFmtId="0" fontId="1" fillId="4" borderId="0" xfId="4" applyFont="1" applyAlignment="1">
      <alignment horizontal="left"/>
    </xf>
    <xf numFmtId="0" fontId="1" fillId="4" borderId="0" xfId="4" applyFont="1"/>
    <xf numFmtId="164" fontId="1" fillId="4" borderId="0" xfId="4" applyNumberFormat="1" applyFont="1"/>
    <xf numFmtId="165" fontId="1" fillId="4" borderId="0" xfId="4" applyNumberFormat="1" applyFont="1"/>
    <xf numFmtId="0" fontId="0" fillId="4" borderId="0" xfId="4" applyFont="1"/>
    <xf numFmtId="0" fontId="1" fillId="3" borderId="0" xfId="3"/>
    <xf numFmtId="164" fontId="1" fillId="3" borderId="0" xfId="3" applyNumberFormat="1"/>
    <xf numFmtId="165" fontId="1" fillId="3" borderId="0" xfId="3" applyNumberFormat="1"/>
    <xf numFmtId="0" fontId="1" fillId="3" borderId="0" xfId="3" applyAlignment="1">
      <alignment wrapText="1"/>
    </xf>
    <xf numFmtId="0" fontId="1" fillId="3" borderId="0" xfId="3" applyAlignment="1">
      <alignment horizontal="left"/>
    </xf>
    <xf numFmtId="0" fontId="6" fillId="0" borderId="0" xfId="0" applyFont="1" applyAlignment="1">
      <alignment wrapText="1"/>
    </xf>
    <xf numFmtId="165" fontId="1" fillId="0" borderId="0" xfId="1" applyNumberFormat="1" applyFont="1"/>
    <xf numFmtId="165" fontId="7" fillId="0" borderId="0" xfId="1" applyNumberFormat="1" applyFont="1"/>
    <xf numFmtId="0" fontId="7" fillId="0" borderId="0" xfId="0" applyFont="1"/>
    <xf numFmtId="164" fontId="7" fillId="0" borderId="0" xfId="0" applyNumberFormat="1" applyFont="1"/>
    <xf numFmtId="0" fontId="7" fillId="3" borderId="0" xfId="3" applyFont="1"/>
    <xf numFmtId="164" fontId="7" fillId="3" borderId="0" xfId="3" applyNumberFormat="1" applyFont="1"/>
    <xf numFmtId="165" fontId="7" fillId="3" borderId="0" xfId="3" applyNumberFormat="1" applyFont="1"/>
    <xf numFmtId="0" fontId="8" fillId="0" borderId="0" xfId="0" applyFont="1"/>
    <xf numFmtId="164" fontId="8" fillId="0" borderId="0" xfId="0" applyNumberFormat="1" applyFont="1"/>
    <xf numFmtId="165" fontId="8" fillId="0" borderId="0" xfId="1" applyNumberFormat="1" applyFont="1"/>
    <xf numFmtId="0" fontId="8" fillId="0" borderId="0" xfId="0" applyFont="1" applyAlignment="1">
      <alignment wrapText="1"/>
    </xf>
    <xf numFmtId="165" fontId="0" fillId="4" borderId="0" xfId="4" applyNumberFormat="1" applyFont="1"/>
    <xf numFmtId="0" fontId="3" fillId="3" borderId="0" xfId="3" applyFont="1"/>
    <xf numFmtId="0" fontId="8" fillId="0" borderId="0" xfId="0" applyFont="1" applyAlignment="1">
      <alignment horizontal="left"/>
    </xf>
    <xf numFmtId="165" fontId="2" fillId="2" borderId="0" xfId="1" applyNumberFormat="1" applyFont="1" applyFill="1"/>
    <xf numFmtId="165" fontId="1" fillId="4" borderId="0" xfId="1" applyNumberFormat="1" applyFill="1"/>
    <xf numFmtId="165" fontId="1" fillId="3" borderId="0" xfId="1" applyNumberFormat="1" applyFill="1"/>
    <xf numFmtId="165" fontId="1" fillId="4" borderId="0" xfId="1" applyNumberFormat="1" applyFont="1" applyFill="1"/>
    <xf numFmtId="0" fontId="0" fillId="3" borderId="0" xfId="3" applyFont="1"/>
    <xf numFmtId="164" fontId="9" fillId="0" borderId="0" xfId="0" applyNumberFormat="1" applyFont="1"/>
    <xf numFmtId="165" fontId="6" fillId="0" borderId="0" xfId="0" applyNumberFormat="1" applyFont="1"/>
    <xf numFmtId="165" fontId="8" fillId="5" borderId="0" xfId="1" applyNumberFormat="1" applyFont="1" applyFill="1" applyBorder="1"/>
    <xf numFmtId="165" fontId="4" fillId="0" borderId="0" xfId="0" applyNumberFormat="1" applyFont="1"/>
    <xf numFmtId="0" fontId="9" fillId="3" borderId="0" xfId="3" applyFont="1" applyAlignment="1">
      <alignment horizontal="left"/>
    </xf>
    <xf numFmtId="0" fontId="9" fillId="3" borderId="0" xfId="3" applyFont="1"/>
    <xf numFmtId="164" fontId="9" fillId="3" borderId="0" xfId="3" applyNumberFormat="1" applyFont="1"/>
    <xf numFmtId="165" fontId="9" fillId="3" borderId="0" xfId="3" applyNumberFormat="1" applyFont="1"/>
    <xf numFmtId="165" fontId="9" fillId="3" borderId="0" xfId="1" applyNumberFormat="1" applyFont="1" applyFill="1"/>
    <xf numFmtId="0" fontId="8" fillId="0" borderId="0" xfId="0" applyFont="1" applyFill="1"/>
    <xf numFmtId="164" fontId="8" fillId="0" borderId="0" xfId="0" applyNumberFormat="1" applyFont="1" applyFill="1"/>
    <xf numFmtId="165" fontId="8" fillId="0" borderId="0" xfId="1" applyNumberFormat="1" applyFont="1" applyFill="1"/>
    <xf numFmtId="0" fontId="1" fillId="0" borderId="0" xfId="3" applyFill="1"/>
    <xf numFmtId="165" fontId="9" fillId="0" borderId="0" xfId="1" applyNumberFormat="1" applyFont="1"/>
    <xf numFmtId="3" fontId="0" fillId="0" borderId="0" xfId="0" applyNumberFormat="1"/>
    <xf numFmtId="166" fontId="0" fillId="0" borderId="0" xfId="5" applyNumberFormat="1" applyFont="1"/>
    <xf numFmtId="165" fontId="8" fillId="0" borderId="0" xfId="0" applyNumberFormat="1" applyFont="1"/>
    <xf numFmtId="0" fontId="0" fillId="0" borderId="0" xfId="0" applyFill="1"/>
    <xf numFmtId="165" fontId="0" fillId="0" borderId="0" xfId="0" applyNumberFormat="1" applyFill="1"/>
    <xf numFmtId="165" fontId="8" fillId="0" borderId="0" xfId="0" applyNumberFormat="1" applyFont="1" applyFill="1"/>
    <xf numFmtId="165" fontId="8" fillId="0" borderId="0" xfId="1" applyNumberFormat="1" applyFont="1" applyBorder="1"/>
    <xf numFmtId="165" fontId="8" fillId="0" borderId="0" xfId="1" applyNumberFormat="1" applyFont="1" applyFill="1" applyBorder="1"/>
    <xf numFmtId="164" fontId="1" fillId="6" borderId="0" xfId="3" applyNumberFormat="1" applyFill="1"/>
    <xf numFmtId="0" fontId="1" fillId="6" borderId="0" xfId="3" applyFill="1"/>
    <xf numFmtId="164" fontId="0" fillId="4" borderId="0" xfId="4" applyNumberFormat="1" applyFont="1"/>
    <xf numFmtId="166" fontId="4" fillId="0" borderId="0" xfId="5" applyNumberFormat="1" applyFont="1"/>
    <xf numFmtId="0" fontId="0" fillId="3" borderId="0" xfId="3" applyFont="1" applyAlignment="1">
      <alignment wrapText="1"/>
    </xf>
    <xf numFmtId="0" fontId="0" fillId="0" borderId="0" xfId="0" applyAlignment="1">
      <alignment wrapText="1"/>
    </xf>
    <xf numFmtId="166" fontId="6" fillId="0" borderId="0" xfId="5" applyNumberFormat="1" applyFont="1"/>
    <xf numFmtId="0" fontId="1" fillId="6" borderId="0" xfId="4" applyFont="1" applyFill="1" applyAlignment="1">
      <alignment horizontal="left"/>
    </xf>
    <xf numFmtId="0" fontId="0" fillId="6" borderId="0" xfId="4" applyFont="1" applyFill="1"/>
    <xf numFmtId="164" fontId="1" fillId="6" borderId="0" xfId="4" applyNumberFormat="1" applyFont="1" applyFill="1"/>
    <xf numFmtId="0" fontId="1" fillId="6" borderId="0" xfId="4" applyFont="1" applyFill="1"/>
    <xf numFmtId="165" fontId="1" fillId="6" borderId="0" xfId="4" applyNumberFormat="1" applyFont="1" applyFill="1"/>
    <xf numFmtId="165" fontId="1" fillId="6" borderId="0" xfId="4" applyNumberFormat="1" applyFont="1" applyFill="1" applyAlignment="1">
      <alignment horizontal="center"/>
    </xf>
    <xf numFmtId="165" fontId="1" fillId="6" borderId="0" xfId="1" applyNumberFormat="1" applyFont="1" applyFill="1"/>
    <xf numFmtId="0" fontId="8" fillId="6" borderId="0" xfId="0" applyFont="1" applyFill="1"/>
    <xf numFmtId="165" fontId="1" fillId="4" borderId="0" xfId="4" applyNumberFormat="1" applyFont="1" applyAlignment="1">
      <alignment horizontal="right"/>
    </xf>
    <xf numFmtId="2" fontId="1" fillId="4" borderId="0" xfId="4" applyNumberFormat="1" applyFont="1" applyAlignment="1">
      <alignment horizontal="left"/>
    </xf>
    <xf numFmtId="0" fontId="1" fillId="4" borderId="0" xfId="4" applyAlignment="1">
      <alignment wrapText="1"/>
    </xf>
  </cellXfs>
  <cellStyles count="6">
    <cellStyle name="40% - Accent1" xfId="3" builtinId="31"/>
    <cellStyle name="60% - Accent1" xfId="4" builtinId="32"/>
    <cellStyle name="Accent1" xfId="2" builtinId="29"/>
    <cellStyle name="Comma" xfId="1" builtinId="3"/>
    <cellStyle name="Normal" xfId="0" builtinId="0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13" Type="http://schemas.openxmlformats.org/officeDocument/2006/relationships/customXml" Target="../customXml/item7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dbg-my.sharepoint.com/personal/lcasas_iadb_org1/Documents/Desktop/Cr&#233;dito%20Empleo/POD/PODv2/Anexos%20Finales/Documentos%20SERINCO/PEP_CO-L1250%20V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"/>
      <sheetName val="Estimaciones SERINCO"/>
    </sheetNames>
    <sheetDataSet>
      <sheetData sheetId="0"/>
      <sheetData sheetId="1">
        <row r="11">
          <cell r="J11">
            <v>59160</v>
          </cell>
          <cell r="K11">
            <v>165240</v>
          </cell>
          <cell r="L11">
            <v>153000</v>
          </cell>
          <cell r="M11">
            <v>153000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404B3-CB8F-4A6B-902D-E998C15F4E48}">
  <dimension ref="A1:P124"/>
  <sheetViews>
    <sheetView tabSelected="1" zoomScale="90" zoomScaleNormal="9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B1" sqref="B1"/>
    </sheetView>
  </sheetViews>
  <sheetFormatPr defaultColWidth="8.6640625" defaultRowHeight="14.4" outlineLevelRow="5" x14ac:dyDescent="0.3"/>
  <cols>
    <col min="2" max="2" width="71.44140625" customWidth="1"/>
    <col min="3" max="3" width="12.6640625" style="1" customWidth="1"/>
    <col min="4" max="5" width="11.33203125" customWidth="1"/>
    <col min="6" max="6" width="13.109375" style="2" customWidth="1"/>
    <col min="7" max="7" width="12.44140625" style="2" bestFit="1" customWidth="1"/>
    <col min="8" max="10" width="12.6640625" style="2" customWidth="1"/>
    <col min="11" max="11" width="13.109375" customWidth="1"/>
    <col min="12" max="12" width="16.33203125" customWidth="1"/>
    <col min="13" max="13" width="21.33203125" bestFit="1" customWidth="1"/>
    <col min="14" max="14" width="21.33203125" customWidth="1"/>
    <col min="15" max="16" width="10.33203125" bestFit="1" customWidth="1"/>
  </cols>
  <sheetData>
    <row r="1" spans="1:16" s="9" customFormat="1" ht="36" x14ac:dyDescent="0.35">
      <c r="B1" s="30" t="s">
        <v>155</v>
      </c>
      <c r="C1" s="10"/>
      <c r="F1" s="11"/>
      <c r="G1" s="11"/>
      <c r="H1" s="11"/>
      <c r="I1" s="11"/>
      <c r="J1" s="11"/>
      <c r="L1" s="51"/>
      <c r="M1" s="11"/>
      <c r="N1" s="78"/>
      <c r="O1" s="51"/>
      <c r="P1" s="51"/>
    </row>
    <row r="2" spans="1:16" ht="18" x14ac:dyDescent="0.35">
      <c r="C2" s="1" t="s">
        <v>1</v>
      </c>
      <c r="D2" t="s">
        <v>2</v>
      </c>
      <c r="E2" t="s">
        <v>3</v>
      </c>
      <c r="F2" s="3">
        <v>2020</v>
      </c>
      <c r="G2" s="3">
        <v>2021</v>
      </c>
      <c r="H2" s="3">
        <v>2022</v>
      </c>
      <c r="I2" s="3">
        <v>2023</v>
      </c>
      <c r="J2" s="3">
        <v>2024</v>
      </c>
      <c r="K2" t="s">
        <v>141</v>
      </c>
      <c r="M2" s="2"/>
      <c r="N2" s="78"/>
      <c r="O2" s="51"/>
    </row>
    <row r="3" spans="1:16" s="6" customFormat="1" ht="18" x14ac:dyDescent="0.35">
      <c r="B3" s="6" t="s">
        <v>0</v>
      </c>
      <c r="C3" s="7">
        <v>43911</v>
      </c>
      <c r="D3" s="6">
        <v>1</v>
      </c>
      <c r="E3" s="7">
        <f>+C3+D3</f>
        <v>43912</v>
      </c>
      <c r="F3" s="8"/>
      <c r="G3" s="8"/>
      <c r="H3" s="8"/>
      <c r="I3" s="8"/>
      <c r="J3" s="8"/>
      <c r="K3" s="8">
        <f>SUM(F3:J3)</f>
        <v>0</v>
      </c>
      <c r="L3" s="53"/>
      <c r="N3" s="78"/>
      <c r="O3" s="53"/>
      <c r="P3"/>
    </row>
    <row r="4" spans="1:16" s="6" customFormat="1" x14ac:dyDescent="0.3">
      <c r="B4" s="6" t="s">
        <v>107</v>
      </c>
      <c r="C4" s="7">
        <f>+E3</f>
        <v>43912</v>
      </c>
      <c r="D4" s="6">
        <v>110</v>
      </c>
      <c r="E4" s="7">
        <f>+C4+D4-1</f>
        <v>44021</v>
      </c>
      <c r="F4" s="8"/>
      <c r="G4" s="8"/>
      <c r="H4" s="8"/>
      <c r="I4" s="8"/>
      <c r="J4" s="8"/>
      <c r="K4" s="8"/>
      <c r="L4" s="53"/>
      <c r="M4" s="53"/>
      <c r="O4" s="53"/>
      <c r="P4" s="75"/>
    </row>
    <row r="5" spans="1:16" s="6" customFormat="1" x14ac:dyDescent="0.3">
      <c r="B5" s="6" t="s">
        <v>19</v>
      </c>
      <c r="C5" s="7">
        <f>+E4</f>
        <v>44021</v>
      </c>
      <c r="D5" s="6">
        <v>1628</v>
      </c>
      <c r="E5" s="7">
        <f>MAX(E6:E124)</f>
        <v>45657</v>
      </c>
      <c r="F5" s="8">
        <f>+F6+F57+F115</f>
        <v>754799.72289156634</v>
      </c>
      <c r="G5" s="8">
        <f t="shared" ref="G5:J5" si="0">+G6+G57+G115</f>
        <v>8451020.4819277115</v>
      </c>
      <c r="H5" s="8">
        <f t="shared" si="0"/>
        <v>6571022.7449799199</v>
      </c>
      <c r="I5" s="8">
        <f t="shared" si="0"/>
        <v>5047583.2148594372</v>
      </c>
      <c r="J5" s="8">
        <f t="shared" si="0"/>
        <v>4175573.6666666665</v>
      </c>
      <c r="K5" s="8">
        <f>+K6+K57+K115</f>
        <v>24999999.8313253</v>
      </c>
      <c r="L5" s="53"/>
      <c r="O5" s="53"/>
      <c r="P5" s="75"/>
    </row>
    <row r="6" spans="1:16" s="13" customFormat="1" x14ac:dyDescent="0.3">
      <c r="A6" s="12">
        <v>1</v>
      </c>
      <c r="B6" s="13" t="s">
        <v>132</v>
      </c>
      <c r="C6" s="14">
        <f>MIN(C7:C56)</f>
        <v>43912</v>
      </c>
      <c r="D6" s="13">
        <f t="shared" ref="D6" si="1">E6-C6+1</f>
        <v>1745</v>
      </c>
      <c r="E6" s="14">
        <f>MAX(E7:E56)</f>
        <v>45656</v>
      </c>
      <c r="F6" s="15">
        <f>+F7+F8+F26+F32+F35+F52</f>
        <v>70000</v>
      </c>
      <c r="G6" s="15">
        <f>+G7+G8+G26+G32+G35+G52</f>
        <v>4875032</v>
      </c>
      <c r="H6" s="15">
        <f t="shared" ref="H6:J6" si="2">+H7+H8+H26+H32+H35+H52</f>
        <v>4150815</v>
      </c>
      <c r="I6" s="15">
        <f t="shared" si="2"/>
        <v>3199332</v>
      </c>
      <c r="J6" s="15">
        <f t="shared" si="2"/>
        <v>2803725</v>
      </c>
      <c r="K6" s="45">
        <f>SUM(F6:J6)</f>
        <v>15098904</v>
      </c>
    </row>
    <row r="7" spans="1:16" s="17" customFormat="1" outlineLevel="1" x14ac:dyDescent="0.3">
      <c r="A7" s="16">
        <v>1.1000000000000001</v>
      </c>
      <c r="B7" s="24" t="s">
        <v>139</v>
      </c>
      <c r="C7" s="18">
        <f>C4</f>
        <v>43912</v>
      </c>
      <c r="D7" s="17">
        <v>120</v>
      </c>
      <c r="E7" s="18">
        <f t="shared" ref="E7:E9" si="3">+C7+D7-1</f>
        <v>44031</v>
      </c>
      <c r="F7" s="19">
        <f>40000+30000</f>
        <v>70000</v>
      </c>
      <c r="G7" s="19"/>
      <c r="H7" s="19"/>
      <c r="I7" s="19"/>
      <c r="J7" s="19"/>
      <c r="K7" s="46">
        <f t="shared" ref="K7:K69" si="4">SUM(F7:J7)</f>
        <v>70000</v>
      </c>
    </row>
    <row r="8" spans="1:16" s="17" customFormat="1" outlineLevel="1" x14ac:dyDescent="0.3">
      <c r="A8" s="16">
        <v>1.2</v>
      </c>
      <c r="B8" s="24" t="s">
        <v>140</v>
      </c>
      <c r="C8" s="18">
        <f>MIN(C9:C10)</f>
        <v>44031</v>
      </c>
      <c r="D8" s="17">
        <f>E8-C8+1</f>
        <v>1626</v>
      </c>
      <c r="E8" s="18">
        <f>MAX(E9:E10)</f>
        <v>45656</v>
      </c>
      <c r="F8" s="19">
        <f>SUM(F9:F10)</f>
        <v>0</v>
      </c>
      <c r="G8" s="19">
        <f t="shared" ref="G8:J8" si="5">SUM(G9:G10)</f>
        <v>3314560</v>
      </c>
      <c r="H8" s="19">
        <f t="shared" si="5"/>
        <v>2328140</v>
      </c>
      <c r="I8" s="19">
        <f t="shared" si="5"/>
        <v>1465400</v>
      </c>
      <c r="J8" s="19">
        <f t="shared" si="5"/>
        <v>1240900</v>
      </c>
      <c r="K8" s="46">
        <f t="shared" si="4"/>
        <v>8349000</v>
      </c>
    </row>
    <row r="9" spans="1:16" s="25" customFormat="1" hidden="1" outlineLevel="2" x14ac:dyDescent="0.3">
      <c r="A9" s="25" t="s">
        <v>57</v>
      </c>
      <c r="B9" s="25" t="s">
        <v>18</v>
      </c>
      <c r="C9" s="26">
        <f>+$E$7</f>
        <v>44031</v>
      </c>
      <c r="D9" s="25">
        <v>180</v>
      </c>
      <c r="E9" s="26">
        <f t="shared" si="3"/>
        <v>44210</v>
      </c>
      <c r="F9" s="27"/>
      <c r="G9" s="27"/>
      <c r="H9" s="27"/>
      <c r="I9" s="27"/>
      <c r="J9" s="27"/>
      <c r="K9" s="47">
        <f t="shared" si="4"/>
        <v>0</v>
      </c>
    </row>
    <row r="10" spans="1:16" s="25" customFormat="1" hidden="1" outlineLevel="2" x14ac:dyDescent="0.3">
      <c r="A10" s="25" t="s">
        <v>58</v>
      </c>
      <c r="B10" s="25" t="s">
        <v>19</v>
      </c>
      <c r="C10" s="26">
        <f>MIN(C11:C18)</f>
        <v>44203</v>
      </c>
      <c r="D10" s="25">
        <v>1400</v>
      </c>
      <c r="E10" s="26">
        <f>MAX(E11:E18)</f>
        <v>45656</v>
      </c>
      <c r="F10" s="27">
        <f>SUM(F11:F18)</f>
        <v>0</v>
      </c>
      <c r="G10" s="27">
        <f t="shared" ref="G10:J10" si="6">SUM(G11:G18)</f>
        <v>3314560</v>
      </c>
      <c r="H10" s="27">
        <f t="shared" si="6"/>
        <v>2328140</v>
      </c>
      <c r="I10" s="27">
        <f t="shared" si="6"/>
        <v>1465400</v>
      </c>
      <c r="J10" s="27">
        <f t="shared" si="6"/>
        <v>1240900</v>
      </c>
      <c r="K10" s="47">
        <f t="shared" si="4"/>
        <v>8349000</v>
      </c>
    </row>
    <row r="11" spans="1:16" hidden="1" outlineLevel="3" x14ac:dyDescent="0.3">
      <c r="A11" s="33" t="s">
        <v>59</v>
      </c>
      <c r="B11" s="33" t="s">
        <v>88</v>
      </c>
      <c r="C11" s="34">
        <v>44210</v>
      </c>
      <c r="D11" s="33">
        <v>365</v>
      </c>
      <c r="E11" s="34">
        <f>+C11+D11-1</f>
        <v>44574</v>
      </c>
      <c r="F11" s="32"/>
      <c r="G11" s="32">
        <v>375000</v>
      </c>
      <c r="H11" s="32">
        <v>125000</v>
      </c>
      <c r="I11" s="32">
        <v>0</v>
      </c>
      <c r="J11" s="32">
        <v>0</v>
      </c>
      <c r="K11" s="2">
        <f t="shared" si="4"/>
        <v>500000</v>
      </c>
    </row>
    <row r="12" spans="1:16" hidden="1" outlineLevel="3" x14ac:dyDescent="0.3">
      <c r="A12" s="33" t="s">
        <v>60</v>
      </c>
      <c r="B12" s="33" t="s">
        <v>89</v>
      </c>
      <c r="C12" s="34">
        <f t="shared" ref="C12:C16" si="7">+C11</f>
        <v>44210</v>
      </c>
      <c r="D12" s="33">
        <f t="shared" ref="D12:D14" si="8">E12-C12+1</f>
        <v>1447</v>
      </c>
      <c r="E12" s="34">
        <v>45656</v>
      </c>
      <c r="F12" s="32"/>
      <c r="G12" s="32">
        <v>1375000</v>
      </c>
      <c r="H12" s="32">
        <v>345000</v>
      </c>
      <c r="I12" s="32">
        <v>220000</v>
      </c>
      <c r="J12" s="32">
        <v>220000</v>
      </c>
      <c r="K12" s="2">
        <f t="shared" si="4"/>
        <v>2160000</v>
      </c>
    </row>
    <row r="13" spans="1:16" hidden="1" outlineLevel="3" x14ac:dyDescent="0.3">
      <c r="A13" s="33" t="s">
        <v>61</v>
      </c>
      <c r="B13" s="33" t="s">
        <v>90</v>
      </c>
      <c r="C13" s="34">
        <f t="shared" si="7"/>
        <v>44210</v>
      </c>
      <c r="D13" s="33">
        <f t="shared" si="8"/>
        <v>1447</v>
      </c>
      <c r="E13" s="34">
        <v>45656</v>
      </c>
      <c r="F13" s="32"/>
      <c r="G13" s="32">
        <v>487500</v>
      </c>
      <c r="H13" s="32">
        <v>287500</v>
      </c>
      <c r="I13" s="32">
        <v>187500</v>
      </c>
      <c r="J13" s="32">
        <v>187500</v>
      </c>
      <c r="K13" s="2">
        <f t="shared" si="4"/>
        <v>1150000</v>
      </c>
      <c r="L13" s="65"/>
      <c r="M13" s="64"/>
      <c r="N13" s="64"/>
      <c r="O13" s="64"/>
      <c r="P13" s="64"/>
    </row>
    <row r="14" spans="1:16" hidden="1" outlineLevel="3" x14ac:dyDescent="0.3">
      <c r="A14" s="33" t="s">
        <v>62</v>
      </c>
      <c r="B14" s="33" t="s">
        <v>91</v>
      </c>
      <c r="C14" s="34">
        <f t="shared" si="7"/>
        <v>44210</v>
      </c>
      <c r="D14" s="33">
        <f t="shared" si="8"/>
        <v>1447</v>
      </c>
      <c r="E14" s="34">
        <v>45656</v>
      </c>
      <c r="F14" s="32"/>
      <c r="G14" s="32">
        <v>487500</v>
      </c>
      <c r="H14" s="32">
        <v>537500</v>
      </c>
      <c r="I14" s="32">
        <v>512500</v>
      </c>
      <c r="J14" s="32">
        <v>312500</v>
      </c>
      <c r="K14" s="2">
        <f t="shared" si="4"/>
        <v>1850000</v>
      </c>
      <c r="L14" s="65"/>
      <c r="M14" s="64"/>
      <c r="N14" s="64"/>
      <c r="O14" s="64"/>
      <c r="P14" s="64"/>
    </row>
    <row r="15" spans="1:16" hidden="1" outlineLevel="3" x14ac:dyDescent="0.3">
      <c r="A15" s="33" t="s">
        <v>63</v>
      </c>
      <c r="B15" s="33" t="s">
        <v>92</v>
      </c>
      <c r="C15" s="34">
        <f t="shared" si="7"/>
        <v>44210</v>
      </c>
      <c r="D15" s="33">
        <v>365</v>
      </c>
      <c r="E15" s="34">
        <f t="shared" ref="E15" si="9">+C15+D15-1</f>
        <v>44574</v>
      </c>
      <c r="F15" s="32"/>
      <c r="G15" s="32">
        <v>37500</v>
      </c>
      <c r="H15" s="32">
        <v>12500</v>
      </c>
      <c r="I15" s="32">
        <v>0</v>
      </c>
      <c r="J15" s="32">
        <v>0</v>
      </c>
      <c r="K15" s="2">
        <f t="shared" si="4"/>
        <v>50000</v>
      </c>
      <c r="L15" s="65"/>
      <c r="M15" s="64"/>
      <c r="N15" s="64"/>
    </row>
    <row r="16" spans="1:16" hidden="1" outlineLevel="3" x14ac:dyDescent="0.3">
      <c r="A16" s="33" t="s">
        <v>64</v>
      </c>
      <c r="B16" s="33" t="s">
        <v>93</v>
      </c>
      <c r="C16" s="34">
        <f t="shared" si="7"/>
        <v>44210</v>
      </c>
      <c r="D16" s="33">
        <f t="shared" ref="D16:D17" si="10">E16-C16+1</f>
        <v>1447</v>
      </c>
      <c r="E16" s="34">
        <v>45656</v>
      </c>
      <c r="F16" s="32"/>
      <c r="G16" s="32">
        <v>25000</v>
      </c>
      <c r="H16" s="32">
        <v>7200</v>
      </c>
      <c r="I16" s="32">
        <v>2200</v>
      </c>
      <c r="J16" s="32">
        <v>2200</v>
      </c>
      <c r="K16" s="2">
        <f t="shared" si="4"/>
        <v>36600</v>
      </c>
      <c r="L16" s="65"/>
      <c r="M16" s="64"/>
      <c r="N16" s="64"/>
    </row>
    <row r="17" spans="1:11" hidden="1" outlineLevel="3" x14ac:dyDescent="0.3">
      <c r="A17" s="33" t="s">
        <v>65</v>
      </c>
      <c r="B17" s="33" t="s">
        <v>94</v>
      </c>
      <c r="C17" s="34">
        <f>+C16</f>
        <v>44210</v>
      </c>
      <c r="D17" s="33">
        <f t="shared" si="10"/>
        <v>1447</v>
      </c>
      <c r="E17" s="34">
        <v>45656</v>
      </c>
      <c r="F17" s="32"/>
      <c r="G17" s="32">
        <v>171400</v>
      </c>
      <c r="H17" s="32">
        <v>171400</v>
      </c>
      <c r="I17" s="32">
        <v>171400</v>
      </c>
      <c r="J17" s="32">
        <v>171400</v>
      </c>
      <c r="K17" s="2">
        <f t="shared" si="4"/>
        <v>685600</v>
      </c>
    </row>
    <row r="18" spans="1:11" s="5" customFormat="1" hidden="1" outlineLevel="3" x14ac:dyDescent="0.3">
      <c r="A18" s="5" t="s">
        <v>5</v>
      </c>
      <c r="B18" s="5" t="s">
        <v>9</v>
      </c>
      <c r="C18" s="4">
        <f>MIN(C19:C24)</f>
        <v>44203</v>
      </c>
      <c r="D18" s="5">
        <v>1400</v>
      </c>
      <c r="E18" s="4">
        <f>MAX(E19:E23)</f>
        <v>45656</v>
      </c>
      <c r="F18" s="31">
        <f>SUM(F19:F23)</f>
        <v>0</v>
      </c>
      <c r="G18" s="31">
        <f>SUM(G19:G25)</f>
        <v>355660</v>
      </c>
      <c r="H18" s="31">
        <f t="shared" ref="H18:J18" si="11">SUM(H19:H25)</f>
        <v>842040</v>
      </c>
      <c r="I18" s="31">
        <f t="shared" si="11"/>
        <v>371800</v>
      </c>
      <c r="J18" s="31">
        <f t="shared" si="11"/>
        <v>347300</v>
      </c>
      <c r="K18" s="2">
        <f t="shared" si="4"/>
        <v>1916800</v>
      </c>
    </row>
    <row r="19" spans="1:11" hidden="1" outlineLevel="4" x14ac:dyDescent="0.3">
      <c r="A19" s="33" t="s">
        <v>66</v>
      </c>
      <c r="B19" s="33" t="s">
        <v>12</v>
      </c>
      <c r="C19" s="34">
        <v>44562</v>
      </c>
      <c r="D19" s="33">
        <v>365</v>
      </c>
      <c r="E19" s="34">
        <f>+C19+D19-1</f>
        <v>44926</v>
      </c>
      <c r="F19" s="32"/>
      <c r="G19" s="32">
        <v>0</v>
      </c>
      <c r="H19" s="32">
        <v>50000</v>
      </c>
      <c r="I19" s="32">
        <v>0</v>
      </c>
      <c r="J19" s="32">
        <v>0</v>
      </c>
      <c r="K19" s="2">
        <f t="shared" si="4"/>
        <v>50000</v>
      </c>
    </row>
    <row r="20" spans="1:11" hidden="1" outlineLevel="4" x14ac:dyDescent="0.3">
      <c r="A20" s="33" t="s">
        <v>67</v>
      </c>
      <c r="B20" s="33" t="s">
        <v>13</v>
      </c>
      <c r="C20" s="34">
        <v>44562</v>
      </c>
      <c r="D20" s="33">
        <v>365</v>
      </c>
      <c r="E20" s="34">
        <f>+C20+D20-1</f>
        <v>44926</v>
      </c>
      <c r="F20" s="32"/>
      <c r="G20" s="32">
        <v>0</v>
      </c>
      <c r="H20" s="32">
        <v>400000</v>
      </c>
      <c r="I20" s="32">
        <v>0</v>
      </c>
      <c r="J20" s="32">
        <v>0</v>
      </c>
      <c r="K20" s="2">
        <f t="shared" si="4"/>
        <v>400000</v>
      </c>
    </row>
    <row r="21" spans="1:11" hidden="1" outlineLevel="4" x14ac:dyDescent="0.3">
      <c r="A21" s="33" t="s">
        <v>68</v>
      </c>
      <c r="B21" s="33" t="s">
        <v>95</v>
      </c>
      <c r="C21" s="34">
        <v>44210</v>
      </c>
      <c r="D21" s="33">
        <v>1400</v>
      </c>
      <c r="E21" s="34">
        <f>+C21+D21-1</f>
        <v>45609</v>
      </c>
      <c r="F21" s="32"/>
      <c r="G21" s="32">
        <v>11500</v>
      </c>
      <c r="H21" s="32">
        <v>13800</v>
      </c>
      <c r="I21" s="32">
        <v>13800</v>
      </c>
      <c r="J21" s="32">
        <v>2300</v>
      </c>
      <c r="K21" s="63">
        <f t="shared" si="4"/>
        <v>41400</v>
      </c>
    </row>
    <row r="22" spans="1:11" hidden="1" outlineLevel="4" x14ac:dyDescent="0.3">
      <c r="A22" s="33" t="s">
        <v>69</v>
      </c>
      <c r="B22" s="33" t="s">
        <v>46</v>
      </c>
      <c r="C22" s="34">
        <v>44210</v>
      </c>
      <c r="D22" s="33">
        <v>1400</v>
      </c>
      <c r="E22" s="34">
        <f>+C22+D22-1</f>
        <v>45609</v>
      </c>
      <c r="F22" s="32"/>
      <c r="G22" s="32">
        <v>21000</v>
      </c>
      <c r="H22" s="32">
        <v>29000</v>
      </c>
      <c r="I22" s="32">
        <v>21000</v>
      </c>
      <c r="J22" s="32">
        <v>29000</v>
      </c>
      <c r="K22" s="63">
        <f t="shared" si="4"/>
        <v>100000</v>
      </c>
    </row>
    <row r="23" spans="1:11" hidden="1" outlineLevel="4" x14ac:dyDescent="0.3">
      <c r="A23" s="33" t="s">
        <v>70</v>
      </c>
      <c r="B23" s="33" t="s">
        <v>96</v>
      </c>
      <c r="C23" s="34">
        <v>44562</v>
      </c>
      <c r="D23" s="33">
        <f>365*3</f>
        <v>1095</v>
      </c>
      <c r="E23" s="34">
        <f>+C23+D23-1</f>
        <v>45656</v>
      </c>
      <c r="F23" s="32"/>
      <c r="G23" s="32">
        <v>0</v>
      </c>
      <c r="H23" s="32">
        <v>100000</v>
      </c>
      <c r="I23" s="32">
        <v>100000</v>
      </c>
      <c r="J23" s="32">
        <v>100000</v>
      </c>
      <c r="K23" s="63">
        <f t="shared" si="4"/>
        <v>300000</v>
      </c>
    </row>
    <row r="24" spans="1:11" hidden="1" outlineLevel="4" x14ac:dyDescent="0.3">
      <c r="A24" s="33" t="s">
        <v>152</v>
      </c>
      <c r="B24" s="33" t="s">
        <v>50</v>
      </c>
      <c r="C24" s="34">
        <v>44203</v>
      </c>
      <c r="D24" s="33">
        <f t="shared" ref="D24:D25" si="12">E24-C24+1</f>
        <v>1454</v>
      </c>
      <c r="E24" s="34">
        <v>45656</v>
      </c>
      <c r="F24" s="32"/>
      <c r="G24" s="32">
        <f>+'[1]Estimaciones SERINCO'!J11</f>
        <v>59160</v>
      </c>
      <c r="H24" s="32">
        <f>+'[1]Estimaciones SERINCO'!K11</f>
        <v>165240</v>
      </c>
      <c r="I24" s="32">
        <f>+'[1]Estimaciones SERINCO'!L11</f>
        <v>153000</v>
      </c>
      <c r="J24" s="32">
        <f>+'[1]Estimaciones SERINCO'!M11</f>
        <v>153000</v>
      </c>
      <c r="K24" s="63">
        <f t="shared" ref="K24" si="13">SUM(F24:J24)</f>
        <v>530400</v>
      </c>
    </row>
    <row r="25" spans="1:11" hidden="1" outlineLevel="4" x14ac:dyDescent="0.3">
      <c r="A25" s="33" t="s">
        <v>153</v>
      </c>
      <c r="B25" s="33" t="s">
        <v>14</v>
      </c>
      <c r="C25" s="34">
        <f>C21</f>
        <v>44210</v>
      </c>
      <c r="D25" s="33">
        <f t="shared" si="12"/>
        <v>1447</v>
      </c>
      <c r="E25" s="34">
        <v>45656</v>
      </c>
      <c r="F25" s="32"/>
      <c r="G25" s="32">
        <f>84000+180000</f>
        <v>264000</v>
      </c>
      <c r="H25" s="32">
        <v>84000</v>
      </c>
      <c r="I25" s="32">
        <v>84000</v>
      </c>
      <c r="J25" s="32">
        <v>63000</v>
      </c>
      <c r="K25" s="2">
        <f t="shared" ref="K25" si="14">SUM(F25:J25)</f>
        <v>495000</v>
      </c>
    </row>
    <row r="26" spans="1:11" s="21" customFormat="1" outlineLevel="1" collapsed="1" x14ac:dyDescent="0.3">
      <c r="A26" s="20">
        <v>1.3</v>
      </c>
      <c r="B26" s="21" t="s">
        <v>97</v>
      </c>
      <c r="C26" s="22">
        <f>MIN(C27:C31)</f>
        <v>44197</v>
      </c>
      <c r="D26" s="21">
        <f t="shared" ref="D26" si="15">E26-C26+1</f>
        <v>1460</v>
      </c>
      <c r="E26" s="22">
        <f>MAX(E27:E31)</f>
        <v>45656</v>
      </c>
      <c r="F26" s="23">
        <f>SUM(F27)</f>
        <v>0</v>
      </c>
      <c r="G26" s="23">
        <f t="shared" ref="G26:J26" si="16">SUM(G27)</f>
        <v>300000</v>
      </c>
      <c r="H26" s="23">
        <f t="shared" si="16"/>
        <v>450000</v>
      </c>
      <c r="I26" s="23">
        <f t="shared" si="16"/>
        <v>1150000</v>
      </c>
      <c r="J26" s="23">
        <f t="shared" si="16"/>
        <v>1000000</v>
      </c>
      <c r="K26" s="48">
        <f t="shared" si="4"/>
        <v>2900000</v>
      </c>
    </row>
    <row r="27" spans="1:11" s="25" customFormat="1" hidden="1" outlineLevel="2" x14ac:dyDescent="0.3">
      <c r="A27" s="25" t="s">
        <v>4</v>
      </c>
      <c r="B27" s="25" t="s">
        <v>19</v>
      </c>
      <c r="C27" s="26">
        <f>MIN(C28:C29)</f>
        <v>44197</v>
      </c>
      <c r="D27" s="25">
        <f>E27-C27+1</f>
        <v>1460</v>
      </c>
      <c r="E27" s="26">
        <f>MAX(E28:E29)</f>
        <v>45656</v>
      </c>
      <c r="F27" s="27">
        <f>SUM(F28:F29)</f>
        <v>0</v>
      </c>
      <c r="G27" s="27">
        <f t="shared" ref="G27:J27" si="17">SUM(G28:G29)</f>
        <v>300000</v>
      </c>
      <c r="H27" s="27">
        <f t="shared" si="17"/>
        <v>450000</v>
      </c>
      <c r="I27" s="27">
        <f t="shared" si="17"/>
        <v>1150000</v>
      </c>
      <c r="J27" s="27">
        <f t="shared" si="17"/>
        <v>1000000</v>
      </c>
      <c r="K27" s="47">
        <f t="shared" si="4"/>
        <v>2900000</v>
      </c>
    </row>
    <row r="28" spans="1:11" hidden="1" outlineLevel="3" x14ac:dyDescent="0.3">
      <c r="A28" s="33" t="s">
        <v>6</v>
      </c>
      <c r="B28" s="33" t="s">
        <v>7</v>
      </c>
      <c r="C28" s="34">
        <v>44197</v>
      </c>
      <c r="D28" s="33">
        <f>365*4</f>
        <v>1460</v>
      </c>
      <c r="E28" s="34">
        <f>+C28+D28-1</f>
        <v>45656</v>
      </c>
      <c r="F28" s="32"/>
      <c r="G28" s="32">
        <v>300000</v>
      </c>
      <c r="H28" s="32">
        <v>450000</v>
      </c>
      <c r="I28" s="32">
        <v>600000</v>
      </c>
      <c r="J28" s="32">
        <v>450000</v>
      </c>
      <c r="K28" s="2">
        <f t="shared" si="4"/>
        <v>1800000</v>
      </c>
    </row>
    <row r="29" spans="1:11" hidden="1" outlineLevel="3" x14ac:dyDescent="0.3">
      <c r="A29" t="s">
        <v>8</v>
      </c>
      <c r="B29" t="s">
        <v>15</v>
      </c>
      <c r="C29" s="1">
        <f>MIN(C30:C31)</f>
        <v>44927</v>
      </c>
      <c r="D29">
        <f>E29-C29+1</f>
        <v>730</v>
      </c>
      <c r="E29" s="1">
        <f>MAX(E30:E31)</f>
        <v>45656</v>
      </c>
      <c r="F29" s="2">
        <f>SUM(F30:F31)</f>
        <v>0</v>
      </c>
      <c r="G29" s="2">
        <f>SUM(G30:G31)</f>
        <v>0</v>
      </c>
      <c r="H29" s="2">
        <f>SUM(H30:H31)</f>
        <v>0</v>
      </c>
      <c r="I29" s="2">
        <f>SUM(I30:I31)</f>
        <v>550000</v>
      </c>
      <c r="J29" s="2">
        <f>SUM(J30:J31)</f>
        <v>550000</v>
      </c>
      <c r="K29" s="2">
        <f t="shared" si="4"/>
        <v>1100000</v>
      </c>
    </row>
    <row r="30" spans="1:11" hidden="1" outlineLevel="4" x14ac:dyDescent="0.3">
      <c r="A30" s="33" t="s">
        <v>10</v>
      </c>
      <c r="B30" s="33" t="s">
        <v>12</v>
      </c>
      <c r="C30" s="34">
        <v>44927</v>
      </c>
      <c r="D30" s="33">
        <f>365*2</f>
        <v>730</v>
      </c>
      <c r="E30" s="34">
        <f>+C30+D30-1</f>
        <v>45656</v>
      </c>
      <c r="F30" s="32"/>
      <c r="G30" s="32"/>
      <c r="H30" s="32"/>
      <c r="I30" s="32">
        <v>50000</v>
      </c>
      <c r="J30" s="32">
        <v>50000</v>
      </c>
      <c r="K30" s="2">
        <f t="shared" si="4"/>
        <v>100000</v>
      </c>
    </row>
    <row r="31" spans="1:11" hidden="1" outlineLevel="4" x14ac:dyDescent="0.3">
      <c r="A31" s="33" t="s">
        <v>11</v>
      </c>
      <c r="B31" s="33" t="s">
        <v>13</v>
      </c>
      <c r="C31" s="34">
        <v>44927</v>
      </c>
      <c r="D31" s="33">
        <f>365*2</f>
        <v>730</v>
      </c>
      <c r="E31" s="34">
        <f>+C31+D31-1</f>
        <v>45656</v>
      </c>
      <c r="F31" s="32"/>
      <c r="G31" s="32"/>
      <c r="H31" s="32"/>
      <c r="I31" s="32">
        <v>500000</v>
      </c>
      <c r="J31" s="32">
        <v>500000</v>
      </c>
      <c r="K31" s="2">
        <f t="shared" si="4"/>
        <v>1000000</v>
      </c>
    </row>
    <row r="32" spans="1:11" s="21" customFormat="1" outlineLevel="1" collapsed="1" x14ac:dyDescent="0.3">
      <c r="A32" s="20">
        <v>1.4</v>
      </c>
      <c r="B32" s="21" t="s">
        <v>16</v>
      </c>
      <c r="C32" s="22">
        <f>C33</f>
        <v>44208</v>
      </c>
      <c r="D32" s="73">
        <f>E32-C32+1</f>
        <v>149</v>
      </c>
      <c r="E32" s="74">
        <f>MAX(E33:E34)</f>
        <v>44356</v>
      </c>
      <c r="F32" s="23">
        <f t="shared" ref="F32" si="18">SUM(F33:F34)</f>
        <v>0</v>
      </c>
      <c r="G32" s="23">
        <f>SUM(G33:G34)</f>
        <v>50000</v>
      </c>
      <c r="H32" s="23">
        <f t="shared" ref="H32:J32" si="19">SUM(H33:H34)</f>
        <v>0</v>
      </c>
      <c r="I32" s="23">
        <f t="shared" si="19"/>
        <v>0</v>
      </c>
      <c r="J32" s="23">
        <f t="shared" si="19"/>
        <v>0</v>
      </c>
      <c r="K32" s="48">
        <f t="shared" si="4"/>
        <v>50000</v>
      </c>
    </row>
    <row r="33" spans="1:11" s="25" customFormat="1" hidden="1" outlineLevel="2" x14ac:dyDescent="0.3">
      <c r="A33" s="25" t="s">
        <v>17</v>
      </c>
      <c r="B33" s="25" t="s">
        <v>18</v>
      </c>
      <c r="C33" s="26">
        <v>44208</v>
      </c>
      <c r="D33" s="25">
        <v>60</v>
      </c>
      <c r="E33" s="26">
        <f t="shared" ref="E33:E36" si="20">+C33+D33-1</f>
        <v>44267</v>
      </c>
      <c r="F33" s="27"/>
      <c r="G33" s="27"/>
      <c r="H33" s="27"/>
      <c r="I33" s="27"/>
      <c r="J33" s="27"/>
      <c r="K33" s="47">
        <f t="shared" si="4"/>
        <v>0</v>
      </c>
    </row>
    <row r="34" spans="1:11" s="25" customFormat="1" hidden="1" outlineLevel="2" x14ac:dyDescent="0.3">
      <c r="A34" s="35" t="s">
        <v>20</v>
      </c>
      <c r="B34" s="35" t="s">
        <v>19</v>
      </c>
      <c r="C34" s="36">
        <f>+E33</f>
        <v>44267</v>
      </c>
      <c r="D34" s="35">
        <v>90</v>
      </c>
      <c r="E34" s="36">
        <f t="shared" si="20"/>
        <v>44356</v>
      </c>
      <c r="F34" s="37"/>
      <c r="G34" s="37">
        <v>50000</v>
      </c>
      <c r="H34" s="37"/>
      <c r="I34" s="37"/>
      <c r="J34" s="37"/>
      <c r="K34" s="47">
        <f t="shared" si="4"/>
        <v>50000</v>
      </c>
    </row>
    <row r="35" spans="1:11" s="21" customFormat="1" outlineLevel="1" collapsed="1" x14ac:dyDescent="0.3">
      <c r="A35" s="20">
        <v>1.5</v>
      </c>
      <c r="B35" s="21" t="s">
        <v>21</v>
      </c>
      <c r="C35" s="72">
        <f>MIN(C36:C37)</f>
        <v>44356</v>
      </c>
      <c r="D35" s="73">
        <f>E35-C35+1</f>
        <v>570</v>
      </c>
      <c r="E35" s="72">
        <f>MAX(E36:E37)</f>
        <v>44925</v>
      </c>
      <c r="F35" s="23">
        <f t="shared" ref="F35" si="21">SUM(F36:F37)</f>
        <v>0</v>
      </c>
      <c r="G35" s="23">
        <f>SUM(G36:G37)</f>
        <v>1039138</v>
      </c>
      <c r="H35" s="23">
        <f t="shared" ref="H35:J35" si="22">SUM(H36:H37)</f>
        <v>1201341</v>
      </c>
      <c r="I35" s="23">
        <f t="shared" si="22"/>
        <v>477600</v>
      </c>
      <c r="J35" s="23">
        <f t="shared" si="22"/>
        <v>437600</v>
      </c>
      <c r="K35" s="48">
        <f t="shared" si="4"/>
        <v>3155679</v>
      </c>
    </row>
    <row r="36" spans="1:11" s="25" customFormat="1" hidden="1" outlineLevel="2" x14ac:dyDescent="0.3">
      <c r="A36" s="25" t="s">
        <v>22</v>
      </c>
      <c r="B36" s="25" t="s">
        <v>18</v>
      </c>
      <c r="C36" s="26">
        <f>+E34</f>
        <v>44356</v>
      </c>
      <c r="D36" s="25">
        <v>128</v>
      </c>
      <c r="E36" s="26">
        <f t="shared" si="20"/>
        <v>44483</v>
      </c>
      <c r="F36" s="27"/>
      <c r="G36" s="27"/>
      <c r="H36" s="27"/>
      <c r="I36" s="27"/>
      <c r="J36" s="27"/>
      <c r="K36" s="47">
        <f t="shared" si="4"/>
        <v>0</v>
      </c>
    </row>
    <row r="37" spans="1:11" s="25" customFormat="1" hidden="1" outlineLevel="2" x14ac:dyDescent="0.3">
      <c r="A37" s="25" t="s">
        <v>23</v>
      </c>
      <c r="B37" s="25" t="s">
        <v>19</v>
      </c>
      <c r="C37" s="26">
        <f>MIN(C38:C45)</f>
        <v>44483</v>
      </c>
      <c r="D37" s="25">
        <f>E37-C37+1</f>
        <v>443</v>
      </c>
      <c r="E37" s="26">
        <f>MAX(E38:E39)</f>
        <v>44925</v>
      </c>
      <c r="F37" s="27">
        <f>SUM(F38:F44)</f>
        <v>0</v>
      </c>
      <c r="G37" s="27">
        <f t="shared" ref="G37:J37" si="23">SUM(G38:G44)</f>
        <v>1039138</v>
      </c>
      <c r="H37" s="27">
        <f t="shared" si="23"/>
        <v>1201341</v>
      </c>
      <c r="I37" s="27">
        <f t="shared" si="23"/>
        <v>477600</v>
      </c>
      <c r="J37" s="27">
        <f t="shared" si="23"/>
        <v>437600</v>
      </c>
      <c r="K37" s="47">
        <f t="shared" si="4"/>
        <v>3155679</v>
      </c>
    </row>
    <row r="38" spans="1:11" hidden="1" outlineLevel="3" x14ac:dyDescent="0.3">
      <c r="A38" s="33" t="s">
        <v>30</v>
      </c>
      <c r="B38" s="33" t="s">
        <v>24</v>
      </c>
      <c r="C38" s="34">
        <f>+E36</f>
        <v>44483</v>
      </c>
      <c r="D38" s="33">
        <f t="shared" ref="D38:D52" si="24">E38-C38+1</f>
        <v>78</v>
      </c>
      <c r="E38" s="34">
        <v>44560</v>
      </c>
      <c r="F38" s="32"/>
      <c r="G38" s="32">
        <v>300000</v>
      </c>
      <c r="H38" s="32">
        <v>0</v>
      </c>
      <c r="I38" s="32">
        <v>0</v>
      </c>
      <c r="J38" s="32">
        <v>0</v>
      </c>
      <c r="K38" s="2">
        <f t="shared" si="4"/>
        <v>300000</v>
      </c>
    </row>
    <row r="39" spans="1:11" hidden="1" outlineLevel="3" x14ac:dyDescent="0.3">
      <c r="A39" s="33" t="s">
        <v>31</v>
      </c>
      <c r="B39" s="33" t="s">
        <v>25</v>
      </c>
      <c r="C39" s="34">
        <f>+C38</f>
        <v>44483</v>
      </c>
      <c r="D39" s="33">
        <f t="shared" si="24"/>
        <v>443</v>
      </c>
      <c r="E39" s="34">
        <v>44925</v>
      </c>
      <c r="F39" s="32"/>
      <c r="G39" s="32">
        <v>400000</v>
      </c>
      <c r="H39" s="32">
        <v>400000</v>
      </c>
      <c r="I39" s="32">
        <v>0</v>
      </c>
      <c r="J39" s="32">
        <v>0</v>
      </c>
      <c r="K39" s="2">
        <f t="shared" si="4"/>
        <v>800000</v>
      </c>
    </row>
    <row r="40" spans="1:11" hidden="1" outlineLevel="3" x14ac:dyDescent="0.3">
      <c r="A40" s="33" t="s">
        <v>32</v>
      </c>
      <c r="B40" s="33" t="s">
        <v>26</v>
      </c>
      <c r="C40" s="34">
        <f>+E38+2</f>
        <v>44562</v>
      </c>
      <c r="D40" s="33">
        <f t="shared" si="24"/>
        <v>1095</v>
      </c>
      <c r="E40" s="34">
        <v>45656</v>
      </c>
      <c r="F40" s="32"/>
      <c r="G40" s="32">
        <v>0</v>
      </c>
      <c r="H40" s="32">
        <v>160000</v>
      </c>
      <c r="I40" s="32">
        <v>160000</v>
      </c>
      <c r="J40" s="32">
        <v>160000</v>
      </c>
      <c r="K40" s="2">
        <f t="shared" si="4"/>
        <v>480000</v>
      </c>
    </row>
    <row r="41" spans="1:11" hidden="1" outlineLevel="3" x14ac:dyDescent="0.3">
      <c r="A41" s="33" t="s">
        <v>33</v>
      </c>
      <c r="B41" s="33" t="s">
        <v>27</v>
      </c>
      <c r="C41" s="34">
        <f>+C39</f>
        <v>44483</v>
      </c>
      <c r="D41" s="33">
        <f t="shared" si="24"/>
        <v>1174</v>
      </c>
      <c r="E41" s="34">
        <v>45656</v>
      </c>
      <c r="F41" s="32"/>
      <c r="G41" s="32">
        <v>100000</v>
      </c>
      <c r="H41" s="32">
        <v>100000</v>
      </c>
      <c r="I41" s="32">
        <v>100000</v>
      </c>
      <c r="J41" s="32">
        <v>100000</v>
      </c>
      <c r="K41" s="2">
        <f t="shared" si="4"/>
        <v>400000</v>
      </c>
    </row>
    <row r="42" spans="1:11" hidden="1" outlineLevel="3" x14ac:dyDescent="0.3">
      <c r="A42" s="33" t="s">
        <v>34</v>
      </c>
      <c r="B42" s="33" t="s">
        <v>28</v>
      </c>
      <c r="C42" s="34">
        <f t="shared" ref="C42:C43" si="25">+C41</f>
        <v>44483</v>
      </c>
      <c r="D42" s="33">
        <f t="shared" si="24"/>
        <v>1174</v>
      </c>
      <c r="E42" s="34">
        <v>45656</v>
      </c>
      <c r="F42" s="32"/>
      <c r="G42" s="32">
        <v>30000</v>
      </c>
      <c r="H42" s="32">
        <v>6600</v>
      </c>
      <c r="I42" s="32">
        <v>6600</v>
      </c>
      <c r="J42" s="32">
        <v>6600</v>
      </c>
      <c r="K42" s="2">
        <f t="shared" si="4"/>
        <v>49800</v>
      </c>
    </row>
    <row r="43" spans="1:11" hidden="1" outlineLevel="3" x14ac:dyDescent="0.3">
      <c r="A43" s="33" t="s">
        <v>35</v>
      </c>
      <c r="B43" s="33" t="s">
        <v>29</v>
      </c>
      <c r="C43" s="34">
        <f t="shared" si="25"/>
        <v>44483</v>
      </c>
      <c r="D43" s="33">
        <f t="shared" si="24"/>
        <v>1174</v>
      </c>
      <c r="E43" s="34">
        <v>45656</v>
      </c>
      <c r="F43" s="32"/>
      <c r="G43" s="32">
        <v>3000</v>
      </c>
      <c r="H43" s="32">
        <v>3000</v>
      </c>
      <c r="I43" s="32">
        <v>3000</v>
      </c>
      <c r="J43" s="32">
        <v>3000</v>
      </c>
      <c r="K43" s="2">
        <f t="shared" si="4"/>
        <v>12000</v>
      </c>
    </row>
    <row r="44" spans="1:11" hidden="1" outlineLevel="3" x14ac:dyDescent="0.3">
      <c r="A44" t="s">
        <v>36</v>
      </c>
      <c r="B44" t="s">
        <v>37</v>
      </c>
      <c r="C44" s="1">
        <f>MIN(C45:C51)</f>
        <v>44483</v>
      </c>
      <c r="D44" s="38">
        <f t="shared" si="24"/>
        <v>1174</v>
      </c>
      <c r="E44" s="1">
        <f>MAX(E45:E51)</f>
        <v>45656</v>
      </c>
      <c r="F44" s="2">
        <f>SUM(F45:F51)</f>
        <v>0</v>
      </c>
      <c r="G44" s="2">
        <f t="shared" ref="G44:J44" si="26">SUM(G45:G51)</f>
        <v>206138</v>
      </c>
      <c r="H44" s="2">
        <f t="shared" si="26"/>
        <v>531741</v>
      </c>
      <c r="I44" s="2">
        <f t="shared" si="26"/>
        <v>208000</v>
      </c>
      <c r="J44" s="2">
        <f t="shared" si="26"/>
        <v>168000</v>
      </c>
      <c r="K44" s="2">
        <f t="shared" si="4"/>
        <v>1113879</v>
      </c>
    </row>
    <row r="45" spans="1:11" hidden="1" outlineLevel="4" x14ac:dyDescent="0.3">
      <c r="A45" s="38" t="s">
        <v>38</v>
      </c>
      <c r="B45" s="38" t="s">
        <v>45</v>
      </c>
      <c r="C45" s="39">
        <f>+C43</f>
        <v>44483</v>
      </c>
      <c r="D45" s="38">
        <f t="shared" si="24"/>
        <v>78</v>
      </c>
      <c r="E45" s="39">
        <v>44560</v>
      </c>
      <c r="F45" s="40"/>
      <c r="G45" s="40">
        <v>85103</v>
      </c>
      <c r="H45" s="40"/>
      <c r="I45" s="40"/>
      <c r="J45" s="40"/>
      <c r="K45" s="2">
        <f t="shared" si="4"/>
        <v>85103</v>
      </c>
    </row>
    <row r="46" spans="1:11" hidden="1" outlineLevel="4" x14ac:dyDescent="0.3">
      <c r="A46" s="38" t="s">
        <v>39</v>
      </c>
      <c r="B46" s="38" t="s">
        <v>46</v>
      </c>
      <c r="C46" s="34">
        <v>44562</v>
      </c>
      <c r="D46" s="33">
        <f t="shared" si="24"/>
        <v>364</v>
      </c>
      <c r="E46" s="34">
        <v>44925</v>
      </c>
      <c r="F46" s="40"/>
      <c r="G46" s="40">
        <v>0</v>
      </c>
      <c r="H46" s="40">
        <v>50000</v>
      </c>
      <c r="I46" s="40"/>
      <c r="J46" s="40"/>
      <c r="K46" s="2">
        <f t="shared" si="4"/>
        <v>50000</v>
      </c>
    </row>
    <row r="47" spans="1:11" hidden="1" outlineLevel="4" x14ac:dyDescent="0.3">
      <c r="A47" s="38" t="s">
        <v>40</v>
      </c>
      <c r="B47" s="38" t="s">
        <v>47</v>
      </c>
      <c r="C47" s="39">
        <v>44562</v>
      </c>
      <c r="D47" s="38">
        <f t="shared" si="24"/>
        <v>364</v>
      </c>
      <c r="E47" s="39">
        <v>44925</v>
      </c>
      <c r="F47" s="40"/>
      <c r="G47" s="40">
        <v>0</v>
      </c>
      <c r="H47" s="40">
        <v>100000</v>
      </c>
      <c r="I47" s="40"/>
      <c r="J47" s="40"/>
      <c r="K47" s="2">
        <f t="shared" si="4"/>
        <v>100000</v>
      </c>
    </row>
    <row r="48" spans="1:11" hidden="1" outlineLevel="4" x14ac:dyDescent="0.3">
      <c r="A48" s="38" t="s">
        <v>41</v>
      </c>
      <c r="B48" s="38" t="s">
        <v>48</v>
      </c>
      <c r="C48" s="39">
        <f>+C45</f>
        <v>44483</v>
      </c>
      <c r="D48" s="38">
        <f t="shared" si="24"/>
        <v>443</v>
      </c>
      <c r="E48" s="39">
        <v>44925</v>
      </c>
      <c r="F48" s="40"/>
      <c r="G48" s="40">
        <v>30000</v>
      </c>
      <c r="H48" s="40">
        <v>30001</v>
      </c>
      <c r="I48" s="40"/>
      <c r="J48" s="40"/>
      <c r="K48" s="2">
        <f t="shared" si="4"/>
        <v>60001</v>
      </c>
    </row>
    <row r="49" spans="1:15" hidden="1" outlineLevel="4" x14ac:dyDescent="0.3">
      <c r="A49" s="38" t="s">
        <v>42</v>
      </c>
      <c r="B49" s="38" t="s">
        <v>49</v>
      </c>
      <c r="C49" s="39">
        <f>+C48</f>
        <v>44483</v>
      </c>
      <c r="D49" s="38">
        <f t="shared" si="24"/>
        <v>443</v>
      </c>
      <c r="E49" s="39">
        <v>44925</v>
      </c>
      <c r="F49" s="40"/>
      <c r="G49" s="40">
        <v>31875</v>
      </c>
      <c r="H49" s="40">
        <v>76500</v>
      </c>
      <c r="I49" s="40"/>
      <c r="J49" s="40"/>
      <c r="K49" s="2">
        <f t="shared" si="4"/>
        <v>108375</v>
      </c>
      <c r="L49" s="67"/>
      <c r="M49" s="68"/>
      <c r="N49" s="68"/>
      <c r="O49" s="67"/>
    </row>
    <row r="50" spans="1:15" hidden="1" outlineLevel="4" x14ac:dyDescent="0.3">
      <c r="A50" s="38" t="s">
        <v>43</v>
      </c>
      <c r="B50" s="38" t="s">
        <v>50</v>
      </c>
      <c r="C50" s="39">
        <v>44568</v>
      </c>
      <c r="D50" s="38">
        <f t="shared" si="24"/>
        <v>1089</v>
      </c>
      <c r="E50" s="39">
        <v>45656</v>
      </c>
      <c r="F50" s="40"/>
      <c r="G50" s="40">
        <v>59160</v>
      </c>
      <c r="H50" s="40">
        <v>165240</v>
      </c>
      <c r="I50" s="40">
        <v>153000</v>
      </c>
      <c r="J50" s="40">
        <v>153000</v>
      </c>
      <c r="K50" s="2">
        <f t="shared" si="4"/>
        <v>530400</v>
      </c>
      <c r="L50" s="61"/>
      <c r="M50" s="68"/>
      <c r="N50" s="68"/>
      <c r="O50" s="67"/>
    </row>
    <row r="51" spans="1:15" hidden="1" outlineLevel="4" x14ac:dyDescent="0.3">
      <c r="A51" s="38" t="s">
        <v>44</v>
      </c>
      <c r="B51" s="38" t="s">
        <v>154</v>
      </c>
      <c r="C51" s="39">
        <v>44562</v>
      </c>
      <c r="D51" s="38">
        <f>E51-C51+1</f>
        <v>1095</v>
      </c>
      <c r="E51" s="39">
        <v>45656</v>
      </c>
      <c r="F51" s="40"/>
      <c r="G51" s="40">
        <v>0</v>
      </c>
      <c r="H51" s="40">
        <v>110000</v>
      </c>
      <c r="I51" s="40">
        <v>55000</v>
      </c>
      <c r="J51" s="40">
        <v>15000</v>
      </c>
      <c r="K51" s="2">
        <f t="shared" si="4"/>
        <v>180000</v>
      </c>
      <c r="L51" s="68"/>
      <c r="M51" s="67"/>
      <c r="N51" s="67"/>
      <c r="O51" s="67"/>
    </row>
    <row r="52" spans="1:15" s="21" customFormat="1" outlineLevel="1" collapsed="1" x14ac:dyDescent="0.3">
      <c r="A52" s="20">
        <v>1.6</v>
      </c>
      <c r="B52" s="21" t="s">
        <v>182</v>
      </c>
      <c r="C52" s="22">
        <f>MIN(C53:C54)</f>
        <v>44031</v>
      </c>
      <c r="D52" s="21">
        <f t="shared" si="24"/>
        <v>1577</v>
      </c>
      <c r="E52" s="22">
        <f>MAX(E53:E54)</f>
        <v>45607</v>
      </c>
      <c r="F52" s="23">
        <f>SUM(F53:F54)</f>
        <v>0</v>
      </c>
      <c r="G52" s="23">
        <f t="shared" ref="G52:J52" si="27">SUM(G53:G54)</f>
        <v>171334</v>
      </c>
      <c r="H52" s="23">
        <f t="shared" si="27"/>
        <v>171334</v>
      </c>
      <c r="I52" s="23">
        <f t="shared" si="27"/>
        <v>106332</v>
      </c>
      <c r="J52" s="23">
        <f t="shared" si="27"/>
        <v>125225</v>
      </c>
      <c r="K52" s="48">
        <f t="shared" si="4"/>
        <v>574225</v>
      </c>
    </row>
    <row r="53" spans="1:15" s="25" customFormat="1" hidden="1" outlineLevel="2" x14ac:dyDescent="0.3">
      <c r="A53" s="25" t="s">
        <v>51</v>
      </c>
      <c r="B53" s="25" t="s">
        <v>18</v>
      </c>
      <c r="C53" s="26">
        <f>+$E$7</f>
        <v>44031</v>
      </c>
      <c r="D53" s="25">
        <v>180</v>
      </c>
      <c r="E53" s="26">
        <f t="shared" ref="E53" si="28">+C53+D53-1</f>
        <v>44210</v>
      </c>
      <c r="F53" s="27"/>
      <c r="G53" s="27"/>
      <c r="H53" s="27"/>
      <c r="I53" s="27"/>
      <c r="J53" s="27"/>
      <c r="K53" s="47">
        <f t="shared" si="4"/>
        <v>0</v>
      </c>
    </row>
    <row r="54" spans="1:15" s="25" customFormat="1" hidden="1" outlineLevel="2" x14ac:dyDescent="0.3">
      <c r="A54" s="25" t="s">
        <v>52</v>
      </c>
      <c r="B54" s="25" t="s">
        <v>19</v>
      </c>
      <c r="C54" s="26">
        <f>MIN(C55:C56)</f>
        <v>44208</v>
      </c>
      <c r="D54" s="25">
        <f>E54-C54+1</f>
        <v>1400</v>
      </c>
      <c r="E54" s="26">
        <f>MIN(E55:E56)</f>
        <v>45607</v>
      </c>
      <c r="F54" s="27">
        <f>SUM(F55:F56)</f>
        <v>0</v>
      </c>
      <c r="G54" s="27">
        <f t="shared" ref="G54:J54" si="29">SUM(G55:G56)</f>
        <v>171334</v>
      </c>
      <c r="H54" s="27">
        <f t="shared" si="29"/>
        <v>171334</v>
      </c>
      <c r="I54" s="27">
        <f t="shared" si="29"/>
        <v>106332</v>
      </c>
      <c r="J54" s="27">
        <f t="shared" si="29"/>
        <v>125225</v>
      </c>
      <c r="K54" s="47">
        <f t="shared" si="4"/>
        <v>574225</v>
      </c>
    </row>
    <row r="55" spans="1:15" s="38" customFormat="1" hidden="1" outlineLevel="3" x14ac:dyDescent="0.3">
      <c r="A55" s="38" t="s">
        <v>53</v>
      </c>
      <c r="B55" s="38" t="s">
        <v>55</v>
      </c>
      <c r="C55" s="39">
        <v>44208</v>
      </c>
      <c r="D55" s="38">
        <v>1400</v>
      </c>
      <c r="E55" s="39">
        <f>+C55+D55-1</f>
        <v>45607</v>
      </c>
      <c r="F55" s="40"/>
      <c r="G55" s="32">
        <f>165000-26000-41666</f>
        <v>97334</v>
      </c>
      <c r="H55" s="32">
        <f>165000-26000-41666</f>
        <v>97334</v>
      </c>
      <c r="I55" s="32">
        <f>100000-26000-41660-8</f>
        <v>32332</v>
      </c>
      <c r="J55" s="32">
        <f>50225</f>
        <v>50225</v>
      </c>
      <c r="K55" s="40">
        <f t="shared" si="4"/>
        <v>277225</v>
      </c>
      <c r="L55" s="66"/>
    </row>
    <row r="56" spans="1:15" s="38" customFormat="1" hidden="1" outlineLevel="3" x14ac:dyDescent="0.3">
      <c r="A56" s="38" t="s">
        <v>54</v>
      </c>
      <c r="B56" s="38" t="s">
        <v>56</v>
      </c>
      <c r="C56" s="39">
        <f>+C55</f>
        <v>44208</v>
      </c>
      <c r="D56" s="38">
        <v>1400</v>
      </c>
      <c r="E56" s="39">
        <f>+C56+D56-1</f>
        <v>45607</v>
      </c>
      <c r="F56" s="40"/>
      <c r="G56" s="32">
        <f>100000-26000</f>
        <v>74000</v>
      </c>
      <c r="H56" s="32">
        <f>100000-26000</f>
        <v>74000</v>
      </c>
      <c r="I56" s="32">
        <f t="shared" ref="I56" si="30">100000-26000</f>
        <v>74000</v>
      </c>
      <c r="J56" s="32">
        <f>125000-50000</f>
        <v>75000</v>
      </c>
      <c r="K56" s="40">
        <f t="shared" si="4"/>
        <v>297000</v>
      </c>
    </row>
    <row r="57" spans="1:15" s="13" customFormat="1" x14ac:dyDescent="0.3">
      <c r="A57" s="12">
        <v>2</v>
      </c>
      <c r="B57" s="13" t="s">
        <v>71</v>
      </c>
      <c r="C57" s="14">
        <f>MIN(C58:C114)</f>
        <v>44012</v>
      </c>
      <c r="D57" s="13">
        <f t="shared" ref="D57:D58" si="31">E57-C57+1</f>
        <v>1645</v>
      </c>
      <c r="E57" s="14">
        <f>MAX(E58:E114)</f>
        <v>45656</v>
      </c>
      <c r="F57" s="15">
        <f>+F58+F66+F67+F78+F83+F90+F95+F96+F103+F112</f>
        <v>269758.72289156629</v>
      </c>
      <c r="G57" s="15">
        <f>+G58+G66+G67+G78+G83+G90+G95+G96+G103+G112</f>
        <v>2968429.4819277106</v>
      </c>
      <c r="H57" s="15">
        <f t="shared" ref="H57:J57" si="32">+H58+H66+H67+H78+H83+H90+H95+H96+H103+H112</f>
        <v>1827407.7449799199</v>
      </c>
      <c r="I57" s="15">
        <f t="shared" si="32"/>
        <v>1255451.2148594377</v>
      </c>
      <c r="J57" s="15">
        <f t="shared" si="32"/>
        <v>405048.66666666663</v>
      </c>
      <c r="K57" s="45">
        <f>SUM(F57:J57)</f>
        <v>6726095.831325301</v>
      </c>
    </row>
    <row r="58" spans="1:15" s="21" customFormat="1" outlineLevel="1" x14ac:dyDescent="0.3">
      <c r="A58" s="20">
        <v>2.1</v>
      </c>
      <c r="B58" s="17" t="s">
        <v>72</v>
      </c>
      <c r="C58" s="22">
        <f>MIN(C59:C60)</f>
        <v>44021</v>
      </c>
      <c r="D58" s="21">
        <f t="shared" si="31"/>
        <v>1636</v>
      </c>
      <c r="E58" s="22">
        <f>MAX(E59:E60)</f>
        <v>45656</v>
      </c>
      <c r="F58" s="23">
        <f>SUM(F59:F60)</f>
        <v>35000</v>
      </c>
      <c r="G58" s="23">
        <f t="shared" ref="G58:J58" si="33">SUM(G59:G60)</f>
        <v>369375</v>
      </c>
      <c r="H58" s="23">
        <f t="shared" si="33"/>
        <v>196875</v>
      </c>
      <c r="I58" s="23">
        <f t="shared" si="33"/>
        <v>124375</v>
      </c>
      <c r="J58" s="23">
        <f t="shared" si="33"/>
        <v>124375</v>
      </c>
      <c r="K58" s="23">
        <f>SUM(K59:K60)</f>
        <v>850000</v>
      </c>
    </row>
    <row r="59" spans="1:15" s="25" customFormat="1" hidden="1" outlineLevel="2" x14ac:dyDescent="0.3">
      <c r="A59" s="25" t="s">
        <v>74</v>
      </c>
      <c r="B59" s="25" t="s">
        <v>18</v>
      </c>
      <c r="C59" s="26">
        <f>C5</f>
        <v>44021</v>
      </c>
      <c r="D59" s="25">
        <v>80</v>
      </c>
      <c r="E59" s="26">
        <f t="shared" ref="E59" si="34">+C59+D59-1</f>
        <v>44100</v>
      </c>
      <c r="F59" s="27"/>
      <c r="G59" s="27"/>
      <c r="H59" s="27"/>
      <c r="I59" s="27"/>
      <c r="J59" s="27"/>
      <c r="K59" s="47">
        <f t="shared" si="4"/>
        <v>0</v>
      </c>
    </row>
    <row r="60" spans="1:15" s="25" customFormat="1" hidden="1" outlineLevel="2" x14ac:dyDescent="0.3">
      <c r="A60" s="25" t="s">
        <v>73</v>
      </c>
      <c r="B60" s="25" t="s">
        <v>19</v>
      </c>
      <c r="C60" s="26">
        <f>MIN(C61:C65)</f>
        <v>44100</v>
      </c>
      <c r="D60" s="25">
        <v>128</v>
      </c>
      <c r="E60" s="26">
        <f>MAX(E61:E65)</f>
        <v>45656</v>
      </c>
      <c r="F60" s="27">
        <f>SUM(F61:F65)</f>
        <v>35000</v>
      </c>
      <c r="G60" s="27">
        <f t="shared" ref="G60:J60" si="35">SUM(G61:G65)</f>
        <v>369375</v>
      </c>
      <c r="H60" s="27">
        <f t="shared" si="35"/>
        <v>196875</v>
      </c>
      <c r="I60" s="27">
        <f t="shared" si="35"/>
        <v>124375</v>
      </c>
      <c r="J60" s="27">
        <f t="shared" si="35"/>
        <v>124375</v>
      </c>
      <c r="K60" s="47">
        <f t="shared" si="4"/>
        <v>850000</v>
      </c>
    </row>
    <row r="61" spans="1:15" s="38" customFormat="1" hidden="1" outlineLevel="3" x14ac:dyDescent="0.3">
      <c r="A61" s="38" t="s">
        <v>77</v>
      </c>
      <c r="B61" s="38" t="s">
        <v>75</v>
      </c>
      <c r="C61" s="39">
        <v>44197</v>
      </c>
      <c r="D61" s="38">
        <f t="shared" ref="D61:D70" si="36">E61-C61+1</f>
        <v>364</v>
      </c>
      <c r="E61" s="39">
        <v>44560</v>
      </c>
      <c r="F61" s="71"/>
      <c r="G61" s="71">
        <v>170000</v>
      </c>
      <c r="H61" s="71"/>
      <c r="I61" s="71"/>
      <c r="J61" s="71"/>
      <c r="K61" s="40">
        <f t="shared" si="4"/>
        <v>170000</v>
      </c>
    </row>
    <row r="62" spans="1:15" s="38" customFormat="1" hidden="1" outlineLevel="3" x14ac:dyDescent="0.3">
      <c r="A62" s="38" t="s">
        <v>78</v>
      </c>
      <c r="B62" s="38" t="s">
        <v>25</v>
      </c>
      <c r="C62" s="39">
        <f>+E59</f>
        <v>44100</v>
      </c>
      <c r="D62" s="38">
        <f t="shared" si="36"/>
        <v>461</v>
      </c>
      <c r="E62" s="39">
        <v>44560</v>
      </c>
      <c r="F62" s="71">
        <v>35000</v>
      </c>
      <c r="G62" s="71">
        <v>75000</v>
      </c>
      <c r="H62" s="71">
        <f>32500+40000</f>
        <v>72500</v>
      </c>
      <c r="I62" s="71">
        <v>0</v>
      </c>
      <c r="J62" s="71"/>
      <c r="K62" s="40">
        <f t="shared" si="4"/>
        <v>182500</v>
      </c>
      <c r="L62" s="69"/>
      <c r="M62" s="59"/>
      <c r="N62" s="59"/>
      <c r="O62" s="59"/>
    </row>
    <row r="63" spans="1:15" s="38" customFormat="1" hidden="1" outlineLevel="3" x14ac:dyDescent="0.3">
      <c r="A63" s="38" t="s">
        <v>79</v>
      </c>
      <c r="B63" s="38" t="s">
        <v>26</v>
      </c>
      <c r="C63" s="39">
        <v>44197</v>
      </c>
      <c r="D63" s="38">
        <f t="shared" si="36"/>
        <v>1460</v>
      </c>
      <c r="E63" s="39">
        <v>45656</v>
      </c>
      <c r="F63" s="71"/>
      <c r="G63" s="71">
        <f>55625+31250</f>
        <v>86875</v>
      </c>
      <c r="H63" s="71">
        <f>55625+31250</f>
        <v>86875</v>
      </c>
      <c r="I63" s="71">
        <f>55625+31250</f>
        <v>86875</v>
      </c>
      <c r="J63" s="71">
        <f>55625+31250</f>
        <v>86875</v>
      </c>
      <c r="K63" s="40">
        <f t="shared" si="4"/>
        <v>347500</v>
      </c>
      <c r="L63" s="59"/>
      <c r="M63" s="59"/>
      <c r="N63" s="59"/>
      <c r="O63" s="59"/>
    </row>
    <row r="64" spans="1:15" s="38" customFormat="1" hidden="1" outlineLevel="3" x14ac:dyDescent="0.3">
      <c r="A64" s="38" t="s">
        <v>80</v>
      </c>
      <c r="B64" s="38" t="s">
        <v>27</v>
      </c>
      <c r="C64" s="39">
        <v>44197</v>
      </c>
      <c r="D64" s="38">
        <f t="shared" si="36"/>
        <v>1460</v>
      </c>
      <c r="E64" s="39">
        <v>45656</v>
      </c>
      <c r="F64" s="71"/>
      <c r="G64" s="71">
        <v>30000</v>
      </c>
      <c r="H64" s="71">
        <v>30000</v>
      </c>
      <c r="I64" s="71">
        <v>30000</v>
      </c>
      <c r="J64" s="71">
        <v>30000</v>
      </c>
      <c r="K64" s="40">
        <f t="shared" si="4"/>
        <v>120000</v>
      </c>
      <c r="L64" s="59"/>
      <c r="M64" s="59"/>
      <c r="N64" s="59"/>
      <c r="O64" s="59"/>
    </row>
    <row r="65" spans="1:11" s="38" customFormat="1" hidden="1" outlineLevel="3" x14ac:dyDescent="0.3">
      <c r="A65" s="38" t="s">
        <v>81</v>
      </c>
      <c r="B65" s="38" t="s">
        <v>76</v>
      </c>
      <c r="C65" s="39">
        <v>44197</v>
      </c>
      <c r="D65" s="38">
        <f t="shared" si="36"/>
        <v>1460</v>
      </c>
      <c r="E65" s="39">
        <v>45656</v>
      </c>
      <c r="F65" s="71"/>
      <c r="G65" s="71">
        <v>7500</v>
      </c>
      <c r="H65" s="71">
        <v>7500</v>
      </c>
      <c r="I65" s="71">
        <v>7500</v>
      </c>
      <c r="J65" s="71">
        <v>7500</v>
      </c>
      <c r="K65" s="40">
        <f t="shared" si="4"/>
        <v>30000</v>
      </c>
    </row>
    <row r="66" spans="1:11" s="86" customFormat="1" outlineLevel="1" collapsed="1" x14ac:dyDescent="0.3">
      <c r="A66" s="79">
        <v>2.2000000000000002</v>
      </c>
      <c r="B66" s="80" t="s">
        <v>180</v>
      </c>
      <c r="C66" s="81">
        <v>44197</v>
      </c>
      <c r="D66" s="82">
        <f t="shared" ref="D66" si="37">E66-C66+1</f>
        <v>365</v>
      </c>
      <c r="E66" s="81">
        <v>44561</v>
      </c>
      <c r="F66" s="83">
        <f>+F67+F73</f>
        <v>0</v>
      </c>
      <c r="G66" s="84">
        <v>20000</v>
      </c>
      <c r="H66" s="84"/>
      <c r="I66" s="84"/>
      <c r="J66" s="84"/>
      <c r="K66" s="85">
        <f>SUM(F66:J66)</f>
        <v>20000</v>
      </c>
    </row>
    <row r="67" spans="1:11" s="21" customFormat="1" outlineLevel="1" x14ac:dyDescent="0.3">
      <c r="A67" s="20">
        <v>2.2999999999999998</v>
      </c>
      <c r="B67" s="24" t="s">
        <v>179</v>
      </c>
      <c r="C67" s="22">
        <f>MIN(C68:C76)</f>
        <v>44228</v>
      </c>
      <c r="D67" s="21">
        <f t="shared" si="36"/>
        <v>1308</v>
      </c>
      <c r="E67" s="22">
        <f>MAX(E68:E76)</f>
        <v>45535</v>
      </c>
      <c r="F67" s="23">
        <f>+F68+F74</f>
        <v>0</v>
      </c>
      <c r="G67" s="23">
        <f t="shared" ref="G67:J67" si="38">+G68+G74</f>
        <v>100000</v>
      </c>
      <c r="H67" s="23">
        <f t="shared" si="38"/>
        <v>150000</v>
      </c>
      <c r="I67" s="23">
        <f t="shared" si="38"/>
        <v>63012.048192771086</v>
      </c>
      <c r="J67" s="23">
        <f t="shared" si="38"/>
        <v>30000</v>
      </c>
      <c r="K67" s="48">
        <f t="shared" si="4"/>
        <v>343012.04819277109</v>
      </c>
    </row>
    <row r="68" spans="1:11" s="25" customFormat="1" hidden="1" outlineLevel="3" x14ac:dyDescent="0.3">
      <c r="A68" s="25" t="s">
        <v>84</v>
      </c>
      <c r="B68" s="49" t="s">
        <v>142</v>
      </c>
      <c r="C68" s="26">
        <f>MIN(C69:C72)</f>
        <v>44621</v>
      </c>
      <c r="D68" s="25">
        <f t="shared" si="36"/>
        <v>915</v>
      </c>
      <c r="E68" s="26">
        <f>MAX(E69:E72)</f>
        <v>45535</v>
      </c>
      <c r="F68" s="27">
        <f>SUM(F69:F70)</f>
        <v>0</v>
      </c>
      <c r="G68" s="27">
        <f t="shared" ref="G68:J68" si="39">SUM(G69:G70)</f>
        <v>0</v>
      </c>
      <c r="H68" s="27">
        <f t="shared" si="39"/>
        <v>120000</v>
      </c>
      <c r="I68" s="27">
        <f t="shared" si="39"/>
        <v>33012.048192771086</v>
      </c>
      <c r="J68" s="27">
        <f t="shared" si="39"/>
        <v>30000</v>
      </c>
      <c r="K68" s="47">
        <f t="shared" si="4"/>
        <v>183012.04819277109</v>
      </c>
    </row>
    <row r="69" spans="1:11" s="38" customFormat="1" hidden="1" outlineLevel="4" x14ac:dyDescent="0.3">
      <c r="A69" s="38" t="s">
        <v>158</v>
      </c>
      <c r="B69" s="38" t="s">
        <v>83</v>
      </c>
      <c r="C69" s="39">
        <v>44621</v>
      </c>
      <c r="D69" s="38">
        <v>128</v>
      </c>
      <c r="E69" s="39">
        <f>+C69+D69-1</f>
        <v>44748</v>
      </c>
      <c r="F69" s="40"/>
      <c r="G69" s="40"/>
      <c r="H69" s="40"/>
      <c r="I69" s="40"/>
      <c r="J69" s="40"/>
      <c r="K69" s="40">
        <f t="shared" si="4"/>
        <v>0</v>
      </c>
    </row>
    <row r="70" spans="1:11" hidden="1" outlineLevel="4" x14ac:dyDescent="0.3">
      <c r="A70" t="s">
        <v>157</v>
      </c>
      <c r="B70" t="s">
        <v>19</v>
      </c>
      <c r="C70" s="1">
        <f>MIN(C71:C73)</f>
        <v>44748</v>
      </c>
      <c r="D70">
        <f t="shared" si="36"/>
        <v>788</v>
      </c>
      <c r="E70" s="1">
        <f>MAX(E71:E73)</f>
        <v>45535</v>
      </c>
      <c r="F70" s="2">
        <f>SUM(F71:F72)</f>
        <v>0</v>
      </c>
      <c r="G70" s="2">
        <f t="shared" ref="G70" si="40">SUM(G71:G72)</f>
        <v>0</v>
      </c>
      <c r="H70" s="2">
        <f>SUM(H71:H73)</f>
        <v>120000</v>
      </c>
      <c r="I70" s="2">
        <f t="shared" ref="I70:J70" si="41">SUM(I71:I73)</f>
        <v>33012.048192771086</v>
      </c>
      <c r="J70" s="2">
        <f t="shared" si="41"/>
        <v>30000</v>
      </c>
      <c r="K70" s="2">
        <f t="shared" ref="K70:K124" si="42">SUM(F70:J70)</f>
        <v>183012.04819277109</v>
      </c>
    </row>
    <row r="71" spans="1:11" s="38" customFormat="1" hidden="1" outlineLevel="5" x14ac:dyDescent="0.3">
      <c r="A71" s="38" t="s">
        <v>159</v>
      </c>
      <c r="B71" s="38" t="s">
        <v>109</v>
      </c>
      <c r="C71" s="39">
        <f>+E69</f>
        <v>44748</v>
      </c>
      <c r="D71" s="38">
        <v>365</v>
      </c>
      <c r="E71" s="39">
        <f>+C71+D71-1</f>
        <v>45112</v>
      </c>
      <c r="F71" s="40"/>
      <c r="G71" s="40"/>
      <c r="H71" s="40">
        <v>120000</v>
      </c>
      <c r="I71" s="40"/>
      <c r="J71" s="40"/>
      <c r="K71" s="40">
        <f t="shared" si="42"/>
        <v>120000</v>
      </c>
    </row>
    <row r="72" spans="1:11" s="38" customFormat="1" hidden="1" outlineLevel="5" x14ac:dyDescent="0.3">
      <c r="A72" s="38" t="s">
        <v>160</v>
      </c>
      <c r="B72" s="38" t="s">
        <v>82</v>
      </c>
      <c r="C72" s="39">
        <f>+E71</f>
        <v>45112</v>
      </c>
      <c r="D72" s="38">
        <f t="shared" ref="D72:D73" si="43">E72-C72+1</f>
        <v>57</v>
      </c>
      <c r="E72" s="39">
        <v>45168</v>
      </c>
      <c r="F72" s="40"/>
      <c r="G72" s="40"/>
      <c r="H72" s="40"/>
      <c r="I72" s="40">
        <v>3012.0481927710844</v>
      </c>
      <c r="J72" s="40"/>
      <c r="K72" s="40">
        <f t="shared" si="42"/>
        <v>3012.0481927710844</v>
      </c>
    </row>
    <row r="73" spans="1:11" s="62" customFormat="1" hidden="1" outlineLevel="3" collapsed="1" x14ac:dyDescent="0.3">
      <c r="A73" s="59" t="s">
        <v>156</v>
      </c>
      <c r="B73" s="38" t="s">
        <v>143</v>
      </c>
      <c r="C73" s="60">
        <f>C72</f>
        <v>45112</v>
      </c>
      <c r="D73" s="59">
        <f t="shared" si="43"/>
        <v>424</v>
      </c>
      <c r="E73" s="60">
        <v>45535</v>
      </c>
      <c r="F73" s="61">
        <f>SUM(F74:F75)</f>
        <v>0</v>
      </c>
      <c r="G73" s="61"/>
      <c r="H73" s="61"/>
      <c r="I73" s="61">
        <v>30000</v>
      </c>
      <c r="J73" s="61">
        <v>30000</v>
      </c>
      <c r="K73" s="61">
        <f t="shared" si="42"/>
        <v>60000</v>
      </c>
    </row>
    <row r="74" spans="1:11" s="25" customFormat="1" hidden="1" outlineLevel="3" x14ac:dyDescent="0.3">
      <c r="A74" s="25" t="s">
        <v>85</v>
      </c>
      <c r="B74" s="25" t="s">
        <v>108</v>
      </c>
      <c r="C74" s="26">
        <f>MIN(C75:C77)</f>
        <v>44228</v>
      </c>
      <c r="D74" s="25">
        <v>640</v>
      </c>
      <c r="E74" s="26">
        <f>MAX(E75:E77)</f>
        <v>45292</v>
      </c>
      <c r="F74" s="27">
        <f>SUM(F75:F76)</f>
        <v>0</v>
      </c>
      <c r="G74" s="27">
        <f>SUM(G75:G77)</f>
        <v>100000</v>
      </c>
      <c r="H74" s="27">
        <f t="shared" ref="H74:J74" si="44">SUM(H75:H77)</f>
        <v>30000</v>
      </c>
      <c r="I74" s="27">
        <f t="shared" si="44"/>
        <v>30000</v>
      </c>
      <c r="J74" s="27">
        <f t="shared" si="44"/>
        <v>0</v>
      </c>
      <c r="K74" s="47">
        <f t="shared" si="42"/>
        <v>160000</v>
      </c>
    </row>
    <row r="75" spans="1:11" s="38" customFormat="1" hidden="1" outlineLevel="4" x14ac:dyDescent="0.3">
      <c r="A75" s="38" t="s">
        <v>86</v>
      </c>
      <c r="B75" s="41" t="s">
        <v>83</v>
      </c>
      <c r="C75" s="39">
        <v>44228</v>
      </c>
      <c r="D75" s="38">
        <v>128</v>
      </c>
      <c r="E75" s="39">
        <f t="shared" ref="E75" si="45">+C75+D75-1</f>
        <v>44355</v>
      </c>
      <c r="F75" s="40"/>
      <c r="G75" s="40"/>
      <c r="H75" s="40"/>
      <c r="I75" s="40"/>
      <c r="J75" s="40"/>
      <c r="K75" s="40">
        <f t="shared" si="42"/>
        <v>0</v>
      </c>
    </row>
    <row r="76" spans="1:11" s="38" customFormat="1" hidden="1" outlineLevel="4" x14ac:dyDescent="0.3">
      <c r="A76" s="38" t="s">
        <v>87</v>
      </c>
      <c r="B76" s="41" t="s">
        <v>19</v>
      </c>
      <c r="C76" s="39">
        <f>+E75</f>
        <v>44355</v>
      </c>
      <c r="D76" s="38">
        <f t="shared" ref="D76:D78" si="46">E76-C76+1</f>
        <v>207</v>
      </c>
      <c r="E76" s="39">
        <v>44561</v>
      </c>
      <c r="F76" s="40"/>
      <c r="G76" s="40">
        <v>100000</v>
      </c>
      <c r="H76" s="40"/>
      <c r="I76" s="40"/>
      <c r="J76" s="40"/>
      <c r="K76" s="40">
        <f t="shared" si="42"/>
        <v>100000</v>
      </c>
    </row>
    <row r="77" spans="1:11" s="38" customFormat="1" ht="28.8" hidden="1" outlineLevel="4" x14ac:dyDescent="0.3">
      <c r="A77" s="38" t="s">
        <v>161</v>
      </c>
      <c r="B77" s="41" t="s">
        <v>144</v>
      </c>
      <c r="C77" s="39">
        <f>+E76+1</f>
        <v>44562</v>
      </c>
      <c r="D77" s="38">
        <f t="shared" si="46"/>
        <v>731</v>
      </c>
      <c r="E77" s="39">
        <v>45292</v>
      </c>
      <c r="F77" s="40"/>
      <c r="G77" s="40"/>
      <c r="H77" s="40">
        <v>30000</v>
      </c>
      <c r="I77" s="40">
        <v>30000</v>
      </c>
      <c r="J77" s="40"/>
      <c r="K77" s="40">
        <f t="shared" si="42"/>
        <v>60000</v>
      </c>
    </row>
    <row r="78" spans="1:11" s="21" customFormat="1" outlineLevel="1" collapsed="1" x14ac:dyDescent="0.3">
      <c r="A78" s="20">
        <v>2.4</v>
      </c>
      <c r="B78" s="17" t="s">
        <v>183</v>
      </c>
      <c r="C78" s="22">
        <f>MIN(C79:C80)</f>
        <v>44228</v>
      </c>
      <c r="D78" s="21">
        <f t="shared" si="46"/>
        <v>1369</v>
      </c>
      <c r="E78" s="22">
        <f>MAX(E79:E80)</f>
        <v>45596</v>
      </c>
      <c r="F78" s="23">
        <f>SUM(F79:F80)</f>
        <v>0</v>
      </c>
      <c r="G78" s="23">
        <f>SUM(G79:G80)</f>
        <v>315000</v>
      </c>
      <c r="H78" s="23">
        <f t="shared" ref="H78:J78" si="47">SUM(H79:H80)</f>
        <v>16666.666666666668</v>
      </c>
      <c r="I78" s="23">
        <f t="shared" si="47"/>
        <v>16666.666666666668</v>
      </c>
      <c r="J78" s="23">
        <f t="shared" si="47"/>
        <v>16666.666666666668</v>
      </c>
      <c r="K78" s="48">
        <f t="shared" si="42"/>
        <v>365000.00000000006</v>
      </c>
    </row>
    <row r="79" spans="1:11" s="25" customFormat="1" hidden="1" outlineLevel="3" x14ac:dyDescent="0.3">
      <c r="A79" s="25" t="s">
        <v>100</v>
      </c>
      <c r="B79" s="25" t="s">
        <v>83</v>
      </c>
      <c r="C79" s="26">
        <v>44228</v>
      </c>
      <c r="D79" s="25">
        <v>128</v>
      </c>
      <c r="E79" s="26">
        <f t="shared" ref="E79" si="48">+C79+D79-1</f>
        <v>44355</v>
      </c>
      <c r="F79" s="27"/>
      <c r="G79" s="27"/>
      <c r="H79" s="27"/>
      <c r="I79" s="27"/>
      <c r="J79" s="27"/>
      <c r="K79" s="47">
        <f t="shared" si="42"/>
        <v>0</v>
      </c>
    </row>
    <row r="80" spans="1:11" s="25" customFormat="1" hidden="1" outlineLevel="3" x14ac:dyDescent="0.3">
      <c r="A80" s="25" t="s">
        <v>101</v>
      </c>
      <c r="B80" s="25" t="s">
        <v>19</v>
      </c>
      <c r="C80" s="26">
        <f>MIN(C81:C82)</f>
        <v>44355</v>
      </c>
      <c r="D80" s="25">
        <f t="shared" ref="D80:D84" si="49">E80-C80+1</f>
        <v>1242</v>
      </c>
      <c r="E80" s="26">
        <f>MAX(E81:E82)</f>
        <v>45596</v>
      </c>
      <c r="F80" s="27">
        <f>SUM(F81:F82)</f>
        <v>0</v>
      </c>
      <c r="G80" s="27">
        <f t="shared" ref="G80:J80" si="50">SUM(G81:G82)</f>
        <v>315000</v>
      </c>
      <c r="H80" s="27">
        <f t="shared" si="50"/>
        <v>16666.666666666668</v>
      </c>
      <c r="I80" s="27">
        <f t="shared" si="50"/>
        <v>16666.666666666668</v>
      </c>
      <c r="J80" s="27">
        <f t="shared" si="50"/>
        <v>16666.666666666668</v>
      </c>
      <c r="K80" s="47">
        <f t="shared" si="42"/>
        <v>365000.00000000006</v>
      </c>
    </row>
    <row r="81" spans="1:11" s="38" customFormat="1" ht="28.8" hidden="1" outlineLevel="4" x14ac:dyDescent="0.3">
      <c r="A81" s="38" t="s">
        <v>102</v>
      </c>
      <c r="B81" s="41" t="s">
        <v>105</v>
      </c>
      <c r="C81" s="39">
        <f>+E79</f>
        <v>44355</v>
      </c>
      <c r="D81" s="38">
        <f t="shared" si="49"/>
        <v>1242</v>
      </c>
      <c r="E81" s="39">
        <v>45596</v>
      </c>
      <c r="F81" s="40"/>
      <c r="G81" s="40">
        <v>300000</v>
      </c>
      <c r="H81" s="40">
        <f>50000/3</f>
        <v>16666.666666666668</v>
      </c>
      <c r="I81" s="40">
        <f t="shared" ref="I81:J81" si="51">50000/3</f>
        <v>16666.666666666668</v>
      </c>
      <c r="J81" s="40">
        <f t="shared" si="51"/>
        <v>16666.666666666668</v>
      </c>
      <c r="K81" s="40">
        <f t="shared" si="42"/>
        <v>350000.00000000006</v>
      </c>
    </row>
    <row r="82" spans="1:11" s="38" customFormat="1" hidden="1" outlineLevel="4" x14ac:dyDescent="0.3">
      <c r="A82" s="38" t="s">
        <v>103</v>
      </c>
      <c r="B82" s="41" t="s">
        <v>106</v>
      </c>
      <c r="C82" s="39">
        <v>44531</v>
      </c>
      <c r="D82" s="38">
        <f t="shared" si="49"/>
        <v>31</v>
      </c>
      <c r="E82" s="39">
        <v>44561</v>
      </c>
      <c r="F82" s="40"/>
      <c r="G82" s="40">
        <v>15000</v>
      </c>
      <c r="H82" s="40"/>
      <c r="I82" s="40"/>
      <c r="J82" s="40"/>
      <c r="K82" s="40">
        <f t="shared" si="42"/>
        <v>15000</v>
      </c>
    </row>
    <row r="83" spans="1:11" s="21" customFormat="1" outlineLevel="1" collapsed="1" x14ac:dyDescent="0.3">
      <c r="A83" s="20">
        <v>2.5</v>
      </c>
      <c r="B83" s="89" t="s">
        <v>98</v>
      </c>
      <c r="C83" s="22">
        <f>MIN(C84:C89)</f>
        <v>44012</v>
      </c>
      <c r="D83" s="21">
        <f t="shared" si="49"/>
        <v>1615</v>
      </c>
      <c r="E83" s="22">
        <f>MAX(E84:E89)</f>
        <v>45626</v>
      </c>
      <c r="F83" s="23">
        <f>+F84+F89</f>
        <v>75241</v>
      </c>
      <c r="G83" s="23">
        <f t="shared" ref="G83:J83" si="52">+G84+G89</f>
        <v>207801</v>
      </c>
      <c r="H83" s="23">
        <f t="shared" si="52"/>
        <v>177801</v>
      </c>
      <c r="I83" s="23">
        <f t="shared" si="52"/>
        <v>177801</v>
      </c>
      <c r="J83" s="23">
        <f t="shared" si="52"/>
        <v>177801</v>
      </c>
      <c r="K83" s="48">
        <f>SUM(F83:J83)</f>
        <v>816445</v>
      </c>
    </row>
    <row r="84" spans="1:11" s="25" customFormat="1" ht="28.8" hidden="1" outlineLevel="2" x14ac:dyDescent="0.3">
      <c r="A84" s="25" t="s">
        <v>111</v>
      </c>
      <c r="B84" s="76" t="s">
        <v>145</v>
      </c>
      <c r="C84" s="26">
        <f>MIN(C85:C86)</f>
        <v>44012</v>
      </c>
      <c r="D84" s="25">
        <f t="shared" si="49"/>
        <v>147</v>
      </c>
      <c r="E84" s="26">
        <f>MIN(E85:E86)</f>
        <v>44158</v>
      </c>
      <c r="F84" s="27">
        <f>SUM(F85:F86)</f>
        <v>45241</v>
      </c>
      <c r="G84" s="27">
        <f t="shared" ref="G84:J84" si="53">SUM(G85:G86)</f>
        <v>140301</v>
      </c>
      <c r="H84" s="27">
        <f t="shared" si="53"/>
        <v>110301</v>
      </c>
      <c r="I84" s="27">
        <f t="shared" si="53"/>
        <v>110301</v>
      </c>
      <c r="J84" s="27">
        <f t="shared" si="53"/>
        <v>110301</v>
      </c>
      <c r="K84" s="47">
        <f t="shared" si="42"/>
        <v>516445</v>
      </c>
    </row>
    <row r="85" spans="1:11" s="38" customFormat="1" hidden="1" outlineLevel="3" x14ac:dyDescent="0.3">
      <c r="A85" s="38" t="s">
        <v>113</v>
      </c>
      <c r="B85" s="41" t="s">
        <v>83</v>
      </c>
      <c r="C85" s="39">
        <f>+$E$7</f>
        <v>44031</v>
      </c>
      <c r="D85" s="38">
        <v>128</v>
      </c>
      <c r="E85" s="39">
        <f>+C85+D85-1</f>
        <v>44158</v>
      </c>
      <c r="F85" s="40"/>
      <c r="G85" s="40"/>
      <c r="H85" s="40"/>
      <c r="I85" s="40"/>
      <c r="J85" s="40"/>
      <c r="K85" s="40">
        <f t="shared" si="42"/>
        <v>0</v>
      </c>
    </row>
    <row r="86" spans="1:11" hidden="1" outlineLevel="3" x14ac:dyDescent="0.3">
      <c r="A86" t="s">
        <v>114</v>
      </c>
      <c r="B86" s="77" t="s">
        <v>19</v>
      </c>
      <c r="C86" s="1">
        <f>MIN(C87:C88)</f>
        <v>44012</v>
      </c>
      <c r="D86">
        <f t="shared" ref="D86" si="54">E86-C86+1</f>
        <v>1615</v>
      </c>
      <c r="E86" s="1">
        <f>MAX(E87:E88)</f>
        <v>45626</v>
      </c>
      <c r="F86" s="2">
        <f>SUM(F87:F88)</f>
        <v>45241</v>
      </c>
      <c r="G86" s="2">
        <f t="shared" ref="G86:J86" si="55">SUM(G87:G88)</f>
        <v>140301</v>
      </c>
      <c r="H86" s="2">
        <f t="shared" si="55"/>
        <v>110301</v>
      </c>
      <c r="I86" s="2">
        <f t="shared" si="55"/>
        <v>110301</v>
      </c>
      <c r="J86" s="2">
        <f t="shared" si="55"/>
        <v>110301</v>
      </c>
      <c r="K86" s="2">
        <f t="shared" si="42"/>
        <v>516445</v>
      </c>
    </row>
    <row r="87" spans="1:11" s="38" customFormat="1" ht="28.8" hidden="1" outlineLevel="4" x14ac:dyDescent="0.3">
      <c r="A87" s="38" t="s">
        <v>162</v>
      </c>
      <c r="B87" s="41" t="s">
        <v>110</v>
      </c>
      <c r="C87" s="39">
        <f>+E85</f>
        <v>44158</v>
      </c>
      <c r="D87" s="38">
        <f>E87-C87+1</f>
        <v>1469</v>
      </c>
      <c r="E87" s="39">
        <v>45626</v>
      </c>
      <c r="F87" s="40">
        <f>60241-30000</f>
        <v>30241</v>
      </c>
      <c r="G87" s="40">
        <f>95301+30000</f>
        <v>125301</v>
      </c>
      <c r="H87" s="40">
        <v>95301</v>
      </c>
      <c r="I87" s="40">
        <v>95301</v>
      </c>
      <c r="J87" s="40">
        <v>95301</v>
      </c>
      <c r="K87" s="40">
        <f t="shared" si="42"/>
        <v>441445</v>
      </c>
    </row>
    <row r="88" spans="1:11" s="38" customFormat="1" ht="31.2" hidden="1" customHeight="1" outlineLevel="4" x14ac:dyDescent="0.3">
      <c r="A88" s="38" t="s">
        <v>163</v>
      </c>
      <c r="B88" s="41" t="s">
        <v>146</v>
      </c>
      <c r="C88" s="39">
        <v>44012</v>
      </c>
      <c r="D88" s="38">
        <f t="shared" ref="D88:D92" si="56">E88-C88+1</f>
        <v>1615</v>
      </c>
      <c r="E88" s="39">
        <f>+E87</f>
        <v>45626</v>
      </c>
      <c r="F88" s="40">
        <v>15000</v>
      </c>
      <c r="G88" s="40">
        <v>15000</v>
      </c>
      <c r="H88" s="40">
        <v>15000</v>
      </c>
      <c r="I88" s="40">
        <v>15000</v>
      </c>
      <c r="J88" s="40">
        <v>15000</v>
      </c>
      <c r="K88" s="40">
        <f t="shared" si="42"/>
        <v>75000</v>
      </c>
    </row>
    <row r="89" spans="1:11" s="25" customFormat="1" hidden="1" outlineLevel="3" collapsed="1" x14ac:dyDescent="0.3">
      <c r="A89" s="25" t="s">
        <v>112</v>
      </c>
      <c r="B89" s="28" t="s">
        <v>104</v>
      </c>
      <c r="C89" s="26">
        <f>+C86</f>
        <v>44012</v>
      </c>
      <c r="D89" s="25">
        <f t="shared" si="56"/>
        <v>1615</v>
      </c>
      <c r="E89" s="26">
        <v>45626</v>
      </c>
      <c r="F89" s="27">
        <v>30000</v>
      </c>
      <c r="G89" s="27">
        <f>60000+7500</f>
        <v>67500</v>
      </c>
      <c r="H89" s="27">
        <f t="shared" ref="H89:J89" si="57">60000+7500</f>
        <v>67500</v>
      </c>
      <c r="I89" s="27">
        <f t="shared" si="57"/>
        <v>67500</v>
      </c>
      <c r="J89" s="27">
        <f t="shared" si="57"/>
        <v>67500</v>
      </c>
      <c r="K89" s="47">
        <f t="shared" si="42"/>
        <v>300000</v>
      </c>
    </row>
    <row r="90" spans="1:11" s="21" customFormat="1" outlineLevel="1" collapsed="1" x14ac:dyDescent="0.3">
      <c r="A90" s="20">
        <v>2.6</v>
      </c>
      <c r="B90" s="24" t="s">
        <v>149</v>
      </c>
      <c r="C90" s="22">
        <f>MIN(C91:C92)</f>
        <v>44031</v>
      </c>
      <c r="D90" s="21">
        <f t="shared" si="56"/>
        <v>1260</v>
      </c>
      <c r="E90" s="22">
        <f>MAX(E91:E92)</f>
        <v>45290</v>
      </c>
      <c r="F90" s="23">
        <f>SUM(F91:F92)</f>
        <v>129517.72289156627</v>
      </c>
      <c r="G90" s="23">
        <f t="shared" ref="G90:J90" si="58">SUM(G91:G92)</f>
        <v>1608193</v>
      </c>
      <c r="H90" s="23">
        <f t="shared" si="58"/>
        <v>813644.5</v>
      </c>
      <c r="I90" s="23">
        <f t="shared" si="58"/>
        <v>756596.5</v>
      </c>
      <c r="J90" s="23">
        <f t="shared" si="58"/>
        <v>0</v>
      </c>
      <c r="K90" s="48">
        <f>SUM(F90:J90)</f>
        <v>3307951.7228915663</v>
      </c>
    </row>
    <row r="91" spans="1:11" s="25" customFormat="1" hidden="1" outlineLevel="2" x14ac:dyDescent="0.3">
      <c r="A91" s="25" t="s">
        <v>116</v>
      </c>
      <c r="B91" s="25" t="s">
        <v>83</v>
      </c>
      <c r="C91" s="26">
        <f>+$E$7</f>
        <v>44031</v>
      </c>
      <c r="D91" s="25">
        <v>128</v>
      </c>
      <c r="E91" s="26">
        <f>+C91+D91-1</f>
        <v>44158</v>
      </c>
      <c r="F91" s="27"/>
      <c r="G91" s="27"/>
      <c r="H91" s="27"/>
      <c r="I91" s="27"/>
      <c r="J91" s="27"/>
      <c r="K91" s="47">
        <f t="shared" si="42"/>
        <v>0</v>
      </c>
    </row>
    <row r="92" spans="1:11" s="25" customFormat="1" hidden="1" outlineLevel="2" x14ac:dyDescent="0.3">
      <c r="A92" s="25" t="s">
        <v>117</v>
      </c>
      <c r="B92" s="25" t="s">
        <v>19</v>
      </c>
      <c r="C92" s="26">
        <f>MIN(C93:C94)</f>
        <v>44158</v>
      </c>
      <c r="D92" s="25">
        <f t="shared" si="56"/>
        <v>1133</v>
      </c>
      <c r="E92" s="26">
        <f>+MAX(E93:E94)</f>
        <v>45290</v>
      </c>
      <c r="F92" s="27">
        <f>SUM(F93:F94)</f>
        <v>129517.72289156627</v>
      </c>
      <c r="G92" s="27">
        <f t="shared" ref="G92:J92" si="59">SUM(G93:G94)</f>
        <v>1608193</v>
      </c>
      <c r="H92" s="27">
        <f t="shared" si="59"/>
        <v>813644.5</v>
      </c>
      <c r="I92" s="27">
        <f t="shared" si="59"/>
        <v>756596.5</v>
      </c>
      <c r="J92" s="27">
        <f t="shared" si="59"/>
        <v>0</v>
      </c>
      <c r="K92" s="47">
        <f t="shared" si="42"/>
        <v>3307951.7228915663</v>
      </c>
    </row>
    <row r="93" spans="1:11" hidden="1" outlineLevel="3" x14ac:dyDescent="0.3">
      <c r="A93" t="s">
        <v>118</v>
      </c>
      <c r="B93" t="s">
        <v>151</v>
      </c>
      <c r="C93" s="1">
        <f>+E91</f>
        <v>44158</v>
      </c>
      <c r="D93">
        <f>E93-C93+1</f>
        <v>585</v>
      </c>
      <c r="E93" s="1">
        <v>44742</v>
      </c>
      <c r="F93" s="2">
        <v>54337</v>
      </c>
      <c r="G93" s="2">
        <v>95000</v>
      </c>
      <c r="H93" s="2">
        <v>57048</v>
      </c>
      <c r="K93" s="2">
        <f t="shared" si="42"/>
        <v>206385</v>
      </c>
    </row>
    <row r="94" spans="1:11" hidden="1" outlineLevel="3" x14ac:dyDescent="0.3">
      <c r="A94" t="s">
        <v>119</v>
      </c>
      <c r="B94" t="s">
        <v>150</v>
      </c>
      <c r="C94" s="1">
        <f>+C93</f>
        <v>44158</v>
      </c>
      <c r="D94">
        <f>E94-C94+1</f>
        <v>1133</v>
      </c>
      <c r="E94" s="50">
        <v>45290</v>
      </c>
      <c r="F94" s="2">
        <v>75180.722891566271</v>
      </c>
      <c r="G94" s="2">
        <v>1513193</v>
      </c>
      <c r="H94" s="2">
        <f>1513193/2</f>
        <v>756596.5</v>
      </c>
      <c r="I94" s="2">
        <f>1513193/2</f>
        <v>756596.5</v>
      </c>
      <c r="J94" s="2">
        <v>0</v>
      </c>
      <c r="K94" s="2">
        <f t="shared" si="42"/>
        <v>3101566.7228915663</v>
      </c>
    </row>
    <row r="95" spans="1:11" s="21" customFormat="1" outlineLevel="1" collapsed="1" x14ac:dyDescent="0.3">
      <c r="A95" s="20">
        <v>2.7</v>
      </c>
      <c r="B95" s="17" t="s">
        <v>164</v>
      </c>
      <c r="C95" s="22">
        <f>C90</f>
        <v>44031</v>
      </c>
      <c r="D95" s="21">
        <f t="shared" ref="D95" si="60">E95-C95+1</f>
        <v>166</v>
      </c>
      <c r="E95" s="22">
        <v>44196</v>
      </c>
      <c r="F95" s="87">
        <v>30000</v>
      </c>
      <c r="G95" s="23"/>
      <c r="H95" s="87"/>
      <c r="I95" s="87"/>
      <c r="J95" s="87"/>
      <c r="K95" s="48">
        <f>SUM(F95:J95)</f>
        <v>30000</v>
      </c>
    </row>
    <row r="96" spans="1:11" s="21" customFormat="1" outlineLevel="1" x14ac:dyDescent="0.3">
      <c r="A96" s="20">
        <v>2.8</v>
      </c>
      <c r="B96" s="17" t="s">
        <v>181</v>
      </c>
      <c r="C96" s="22">
        <f>MIN(C97:C98)</f>
        <v>44228</v>
      </c>
      <c r="D96" s="21">
        <f t="shared" ref="D96" si="61">E96-C96+1</f>
        <v>1064</v>
      </c>
      <c r="E96" s="22">
        <f>MAX(E97:E98)</f>
        <v>45291</v>
      </c>
      <c r="F96" s="23">
        <f>SUM(F97:F98)</f>
        <v>0</v>
      </c>
      <c r="G96" s="23">
        <f t="shared" ref="G96:J96" si="62">SUM(G97:G98)</f>
        <v>168120</v>
      </c>
      <c r="H96" s="23">
        <f t="shared" si="62"/>
        <v>132240.57831325301</v>
      </c>
      <c r="I96" s="23">
        <f t="shared" si="62"/>
        <v>60000</v>
      </c>
      <c r="J96" s="23">
        <f t="shared" si="62"/>
        <v>0</v>
      </c>
      <c r="K96" s="48">
        <f t="shared" si="42"/>
        <v>360360.57831325301</v>
      </c>
    </row>
    <row r="97" spans="1:11" s="25" customFormat="1" hidden="1" outlineLevel="2" x14ac:dyDescent="0.3">
      <c r="A97" s="29" t="s">
        <v>127</v>
      </c>
      <c r="B97" s="25" t="s">
        <v>83</v>
      </c>
      <c r="C97" s="26">
        <v>44228</v>
      </c>
      <c r="D97" s="25">
        <v>128</v>
      </c>
      <c r="E97" s="26">
        <f t="shared" ref="E97" si="63">+C97+D97-1</f>
        <v>44355</v>
      </c>
      <c r="F97" s="27"/>
      <c r="G97" s="27"/>
      <c r="H97" s="27"/>
      <c r="I97" s="27"/>
      <c r="J97" s="27"/>
      <c r="K97" s="47">
        <f t="shared" si="42"/>
        <v>0</v>
      </c>
    </row>
    <row r="98" spans="1:11" s="25" customFormat="1" hidden="1" outlineLevel="2" x14ac:dyDescent="0.3">
      <c r="A98" s="29" t="s">
        <v>128</v>
      </c>
      <c r="B98" s="25" t="s">
        <v>19</v>
      </c>
      <c r="C98" s="26">
        <f>MIN(C99:C111)</f>
        <v>44355</v>
      </c>
      <c r="D98" s="25">
        <f t="shared" ref="D98" si="64">E98-C98+1</f>
        <v>937</v>
      </c>
      <c r="E98" s="26">
        <f>MAX(E99:E111)</f>
        <v>45291</v>
      </c>
      <c r="F98" s="27">
        <f>SUM(F99:F111)</f>
        <v>0</v>
      </c>
      <c r="G98" s="27">
        <f>SUM(G99:G102)</f>
        <v>168120</v>
      </c>
      <c r="H98" s="27">
        <f t="shared" ref="H98:I98" si="65">SUM(H99:H102)</f>
        <v>132240.57831325301</v>
      </c>
      <c r="I98" s="27">
        <f t="shared" si="65"/>
        <v>60000</v>
      </c>
      <c r="J98" s="27">
        <f>SUM(J99:J111)</f>
        <v>0</v>
      </c>
      <c r="K98" s="47">
        <f t="shared" si="42"/>
        <v>360360.57831325301</v>
      </c>
    </row>
    <row r="99" spans="1:11" s="38" customFormat="1" hidden="1" outlineLevel="3" x14ac:dyDescent="0.3">
      <c r="A99" s="44" t="s">
        <v>165</v>
      </c>
      <c r="B99" s="38" t="s">
        <v>115</v>
      </c>
      <c r="C99" s="39">
        <f>+E97</f>
        <v>44355</v>
      </c>
      <c r="D99" s="38">
        <f>E99-C99+1</f>
        <v>388</v>
      </c>
      <c r="E99" s="39">
        <v>44742</v>
      </c>
      <c r="F99" s="40"/>
      <c r="G99" s="40">
        <v>76024</v>
      </c>
      <c r="H99" s="40">
        <v>20000</v>
      </c>
      <c r="I99" s="40"/>
      <c r="J99" s="40"/>
      <c r="K99" s="40">
        <f t="shared" si="42"/>
        <v>96024</v>
      </c>
    </row>
    <row r="100" spans="1:11" s="38" customFormat="1" hidden="1" outlineLevel="3" x14ac:dyDescent="0.3">
      <c r="A100" s="44" t="s">
        <v>166</v>
      </c>
      <c r="B100" s="38" t="s">
        <v>147</v>
      </c>
      <c r="C100" s="39">
        <f>+C99</f>
        <v>44355</v>
      </c>
      <c r="D100" s="38">
        <f>E100-C100+1</f>
        <v>937</v>
      </c>
      <c r="E100" s="39">
        <v>45291</v>
      </c>
      <c r="F100" s="40"/>
      <c r="G100" s="40">
        <v>64096</v>
      </c>
      <c r="H100" s="40">
        <v>64096</v>
      </c>
      <c r="I100" s="40">
        <v>60000</v>
      </c>
      <c r="J100" s="40"/>
      <c r="K100" s="40">
        <f t="shared" si="42"/>
        <v>188192</v>
      </c>
    </row>
    <row r="101" spans="1:11" s="38" customFormat="1" hidden="1" outlineLevel="3" x14ac:dyDescent="0.3">
      <c r="A101" s="44" t="s">
        <v>167</v>
      </c>
      <c r="B101" s="38" t="s">
        <v>120</v>
      </c>
      <c r="C101" s="39">
        <f>+C100</f>
        <v>44355</v>
      </c>
      <c r="D101" s="38">
        <f>E101-C101+1</f>
        <v>388</v>
      </c>
      <c r="E101" s="39">
        <f>+E99</f>
        <v>44742</v>
      </c>
      <c r="F101" s="40"/>
      <c r="G101" s="40">
        <f>40000*0.7</f>
        <v>28000</v>
      </c>
      <c r="H101" s="70">
        <f>40000*0.3</f>
        <v>12000</v>
      </c>
      <c r="I101" s="40"/>
      <c r="J101" s="40"/>
      <c r="K101" s="40">
        <f t="shared" si="42"/>
        <v>40000</v>
      </c>
    </row>
    <row r="102" spans="1:11" s="38" customFormat="1" hidden="1" outlineLevel="3" x14ac:dyDescent="0.3">
      <c r="A102" s="44" t="s">
        <v>168</v>
      </c>
      <c r="B102" s="38" t="s">
        <v>126</v>
      </c>
      <c r="C102" s="39">
        <v>44562</v>
      </c>
      <c r="D102" s="38">
        <f>E102-C102+1</f>
        <v>365</v>
      </c>
      <c r="E102" s="39">
        <v>44926</v>
      </c>
      <c r="F102" s="40"/>
      <c r="G102" s="40"/>
      <c r="H102" s="52">
        <v>36144.578313253012</v>
      </c>
      <c r="I102" s="40"/>
      <c r="J102" s="40"/>
      <c r="K102" s="40">
        <f t="shared" si="42"/>
        <v>36144.578313253012</v>
      </c>
    </row>
    <row r="103" spans="1:11" s="21" customFormat="1" outlineLevel="1" collapsed="1" x14ac:dyDescent="0.3">
      <c r="A103" s="20">
        <v>2.9</v>
      </c>
      <c r="B103" s="17" t="s">
        <v>184</v>
      </c>
      <c r="C103" s="22">
        <f>MIN(C104:C105)</f>
        <v>44355</v>
      </c>
      <c r="D103" s="21">
        <f t="shared" ref="D103" si="66">E103-C103+1</f>
        <v>906</v>
      </c>
      <c r="E103" s="22">
        <f>MAX(E104:E105)</f>
        <v>45260</v>
      </c>
      <c r="F103" s="42">
        <f>SUM(F104:F105)</f>
        <v>0</v>
      </c>
      <c r="G103" s="42">
        <f t="shared" ref="G103:J103" si="67">SUM(G104:G105)</f>
        <v>179940.48192771082</v>
      </c>
      <c r="H103" s="42">
        <f t="shared" si="67"/>
        <v>340180</v>
      </c>
      <c r="I103" s="42">
        <f t="shared" si="67"/>
        <v>57000</v>
      </c>
      <c r="J103" s="42">
        <f t="shared" si="67"/>
        <v>0</v>
      </c>
      <c r="K103" s="48">
        <f t="shared" si="42"/>
        <v>577120.48192771082</v>
      </c>
    </row>
    <row r="104" spans="1:11" s="25" customFormat="1" hidden="1" outlineLevel="2" x14ac:dyDescent="0.3">
      <c r="A104" s="29" t="s">
        <v>169</v>
      </c>
      <c r="B104" s="25" t="s">
        <v>83</v>
      </c>
      <c r="C104" s="26">
        <v>44355</v>
      </c>
      <c r="D104" s="25">
        <v>128</v>
      </c>
      <c r="E104" s="26">
        <f t="shared" ref="E104" si="68">+C104+D104-1</f>
        <v>44482</v>
      </c>
      <c r="F104" s="27"/>
      <c r="G104" s="27"/>
      <c r="H104" s="27"/>
      <c r="I104" s="27"/>
      <c r="J104" s="27"/>
      <c r="K104" s="47">
        <f t="shared" si="42"/>
        <v>0</v>
      </c>
    </row>
    <row r="105" spans="1:11" s="25" customFormat="1" hidden="1" outlineLevel="2" x14ac:dyDescent="0.3">
      <c r="A105" s="29" t="s">
        <v>170</v>
      </c>
      <c r="B105" s="25" t="s">
        <v>19</v>
      </c>
      <c r="C105" s="26">
        <f>MIN(C106:C111)</f>
        <v>44482</v>
      </c>
      <c r="D105" s="25">
        <f t="shared" ref="D105" si="69">E105-C105+1</f>
        <v>779</v>
      </c>
      <c r="E105" s="26">
        <f>MAX(E106:E111)</f>
        <v>45260</v>
      </c>
      <c r="F105" s="27">
        <f>SUM(F106:F110)</f>
        <v>0</v>
      </c>
      <c r="G105" s="27">
        <f>SUM(G106:G111)</f>
        <v>179940.48192771082</v>
      </c>
      <c r="H105" s="27">
        <f t="shared" ref="H105:I105" si="70">SUM(H106:H111)</f>
        <v>340180</v>
      </c>
      <c r="I105" s="27">
        <f t="shared" si="70"/>
        <v>57000</v>
      </c>
      <c r="J105" s="27">
        <f t="shared" ref="J105" si="71">SUM(J106:J110)</f>
        <v>0</v>
      </c>
      <c r="K105" s="47">
        <f t="shared" si="42"/>
        <v>577120.48192771082</v>
      </c>
    </row>
    <row r="106" spans="1:11" s="38" customFormat="1" hidden="1" outlineLevel="3" x14ac:dyDescent="0.3">
      <c r="A106" s="44" t="s">
        <v>171</v>
      </c>
      <c r="B106" s="38" t="s">
        <v>121</v>
      </c>
      <c r="C106" s="39">
        <f>+E104</f>
        <v>44482</v>
      </c>
      <c r="D106" s="38">
        <f>E106-C106+1</f>
        <v>49</v>
      </c>
      <c r="E106" s="39">
        <v>44530</v>
      </c>
      <c r="F106" s="40"/>
      <c r="G106" s="40">
        <v>30000</v>
      </c>
      <c r="H106" s="40"/>
      <c r="I106" s="40"/>
      <c r="J106" s="40"/>
      <c r="K106" s="40">
        <f t="shared" si="42"/>
        <v>30000</v>
      </c>
    </row>
    <row r="107" spans="1:11" s="38" customFormat="1" hidden="1" outlineLevel="3" x14ac:dyDescent="0.3">
      <c r="A107" s="44" t="s">
        <v>172</v>
      </c>
      <c r="B107" s="38" t="s">
        <v>122</v>
      </c>
      <c r="C107" s="39">
        <f>+E106</f>
        <v>44530</v>
      </c>
      <c r="D107" s="38">
        <f>E107-C107+1</f>
        <v>397</v>
      </c>
      <c r="E107" s="39">
        <v>44926</v>
      </c>
      <c r="F107" s="40"/>
      <c r="G107" s="40">
        <f>15060.2409638554+99820</f>
        <v>114880.24096385539</v>
      </c>
      <c r="H107" s="40">
        <f>400000-99820</f>
        <v>300180</v>
      </c>
      <c r="I107" s="40"/>
      <c r="J107" s="40"/>
      <c r="K107" s="40">
        <f t="shared" si="42"/>
        <v>415060.24096385541</v>
      </c>
    </row>
    <row r="108" spans="1:11" s="38" customFormat="1" hidden="1" outlineLevel="3" x14ac:dyDescent="0.3">
      <c r="A108" s="44" t="s">
        <v>173</v>
      </c>
      <c r="B108" s="38" t="s">
        <v>123</v>
      </c>
      <c r="C108" s="39">
        <v>44501</v>
      </c>
      <c r="D108" s="38">
        <v>32</v>
      </c>
      <c r="E108" s="39">
        <f t="shared" ref="E108:E109" si="72">+C108+D108-1</f>
        <v>44532</v>
      </c>
      <c r="F108" s="40"/>
      <c r="G108" s="40">
        <v>15060.240963855422</v>
      </c>
      <c r="H108" s="40">
        <v>0</v>
      </c>
      <c r="I108" s="40"/>
      <c r="J108" s="40"/>
      <c r="K108" s="40">
        <f t="shared" si="42"/>
        <v>15060.240963855422</v>
      </c>
    </row>
    <row r="109" spans="1:11" s="38" customFormat="1" hidden="1" outlineLevel="3" x14ac:dyDescent="0.3">
      <c r="A109" s="44" t="s">
        <v>174</v>
      </c>
      <c r="B109" s="38" t="s">
        <v>124</v>
      </c>
      <c r="C109" s="39">
        <v>44743</v>
      </c>
      <c r="D109" s="38">
        <v>500</v>
      </c>
      <c r="E109" s="39">
        <f t="shared" si="72"/>
        <v>45242</v>
      </c>
      <c r="F109" s="40"/>
      <c r="G109" s="40">
        <v>0</v>
      </c>
      <c r="H109" s="40">
        <v>20000</v>
      </c>
      <c r="I109" s="40">
        <v>30000</v>
      </c>
      <c r="J109" s="40"/>
      <c r="K109" s="40">
        <f t="shared" si="42"/>
        <v>50000</v>
      </c>
    </row>
    <row r="110" spans="1:11" s="38" customFormat="1" hidden="1" outlineLevel="3" x14ac:dyDescent="0.3">
      <c r="A110" s="44" t="s">
        <v>175</v>
      </c>
      <c r="B110" s="38" t="s">
        <v>125</v>
      </c>
      <c r="C110" s="39">
        <f>+E109</f>
        <v>45242</v>
      </c>
      <c r="D110" s="38">
        <f>E110-C110+1</f>
        <v>19</v>
      </c>
      <c r="E110" s="39">
        <v>45260</v>
      </c>
      <c r="F110" s="40"/>
      <c r="G110" s="40">
        <v>0</v>
      </c>
      <c r="H110" s="40"/>
      <c r="I110" s="40">
        <v>7000</v>
      </c>
      <c r="J110" s="40"/>
      <c r="K110" s="40">
        <f t="shared" si="42"/>
        <v>7000</v>
      </c>
    </row>
    <row r="111" spans="1:11" hidden="1" outlineLevel="3" x14ac:dyDescent="0.3">
      <c r="A111" s="44" t="s">
        <v>176</v>
      </c>
      <c r="B111" s="38" t="s">
        <v>148</v>
      </c>
      <c r="C111" s="39">
        <f>E106</f>
        <v>44530</v>
      </c>
      <c r="D111" s="38">
        <f>E111-C111+1</f>
        <v>713</v>
      </c>
      <c r="E111" s="39">
        <f>E109</f>
        <v>45242</v>
      </c>
      <c r="F111" s="40"/>
      <c r="G111" s="40">
        <v>20000</v>
      </c>
      <c r="H111" s="40">
        <v>20000</v>
      </c>
      <c r="I111" s="40">
        <v>20000</v>
      </c>
      <c r="J111" s="40"/>
      <c r="K111" s="40">
        <f>SUM(F111:J111)</f>
        <v>60000</v>
      </c>
    </row>
    <row r="112" spans="1:11" s="21" customFormat="1" outlineLevel="1" collapsed="1" x14ac:dyDescent="0.3">
      <c r="A112" s="88">
        <v>2.1</v>
      </c>
      <c r="B112" s="17" t="s">
        <v>99</v>
      </c>
      <c r="C112" s="22">
        <f>MIN(C113:C114)</f>
        <v>45323</v>
      </c>
      <c r="D112" s="21">
        <f t="shared" ref="D112" si="73">E112-C112+1</f>
        <v>259</v>
      </c>
      <c r="E112" s="22">
        <f>MAX(E113:E114)</f>
        <v>45581</v>
      </c>
      <c r="F112" s="42">
        <f>SUM(F113:F114)</f>
        <v>0</v>
      </c>
      <c r="G112" s="42">
        <f t="shared" ref="G112:J112" si="74">SUM(G113:G114)</f>
        <v>0</v>
      </c>
      <c r="H112" s="42">
        <f t="shared" si="74"/>
        <v>0</v>
      </c>
      <c r="I112" s="42">
        <f t="shared" si="74"/>
        <v>0</v>
      </c>
      <c r="J112" s="42">
        <f t="shared" si="74"/>
        <v>56206</v>
      </c>
      <c r="K112" s="48">
        <f t="shared" si="42"/>
        <v>56206</v>
      </c>
    </row>
    <row r="113" spans="1:11" s="25" customFormat="1" hidden="1" outlineLevel="2" x14ac:dyDescent="0.3">
      <c r="A113" s="29" t="s">
        <v>177</v>
      </c>
      <c r="B113" s="25" t="s">
        <v>83</v>
      </c>
      <c r="C113" s="26">
        <v>45323</v>
      </c>
      <c r="D113" s="25">
        <v>80</v>
      </c>
      <c r="E113" s="26">
        <f t="shared" ref="E113:E114" si="75">+C113+D113-1</f>
        <v>45402</v>
      </c>
      <c r="F113" s="27"/>
      <c r="G113" s="27"/>
      <c r="H113" s="27"/>
      <c r="I113" s="27"/>
      <c r="J113" s="27"/>
      <c r="K113" s="47">
        <f t="shared" si="42"/>
        <v>0</v>
      </c>
    </row>
    <row r="114" spans="1:11" s="43" customFormat="1" hidden="1" outlineLevel="2" x14ac:dyDescent="0.3">
      <c r="A114" s="54" t="s">
        <v>178</v>
      </c>
      <c r="B114" s="55" t="s">
        <v>19</v>
      </c>
      <c r="C114" s="56">
        <f>+E113</f>
        <v>45402</v>
      </c>
      <c r="D114" s="55">
        <v>180</v>
      </c>
      <c r="E114" s="26">
        <f t="shared" si="75"/>
        <v>45581</v>
      </c>
      <c r="F114" s="57"/>
      <c r="G114" s="57"/>
      <c r="H114" s="57"/>
      <c r="I114" s="57"/>
      <c r="J114" s="57">
        <v>56206</v>
      </c>
      <c r="K114" s="58">
        <f t="shared" si="42"/>
        <v>56206</v>
      </c>
    </row>
    <row r="115" spans="1:11" s="13" customFormat="1" x14ac:dyDescent="0.3">
      <c r="A115" s="12">
        <v>3</v>
      </c>
      <c r="B115" s="13" t="s">
        <v>14</v>
      </c>
      <c r="C115" s="14">
        <f>MIN(C116:C124)</f>
        <v>44031</v>
      </c>
      <c r="D115" s="13">
        <f t="shared" ref="D115:D116" si="76">E115-C115+1</f>
        <v>1627</v>
      </c>
      <c r="E115" s="14">
        <f>MAX(E116:E124)</f>
        <v>45657</v>
      </c>
      <c r="F115" s="15">
        <f>+F116+F119+F122</f>
        <v>415041</v>
      </c>
      <c r="G115" s="15">
        <f t="shared" ref="G115:J115" si="77">+G116+G119+G122</f>
        <v>607559</v>
      </c>
      <c r="H115" s="15">
        <f t="shared" si="77"/>
        <v>592800</v>
      </c>
      <c r="I115" s="15">
        <f t="shared" si="77"/>
        <v>592800</v>
      </c>
      <c r="J115" s="15">
        <f t="shared" si="77"/>
        <v>966800</v>
      </c>
      <c r="K115" s="45">
        <f t="shared" si="42"/>
        <v>3175000</v>
      </c>
    </row>
    <row r="116" spans="1:11" s="21" customFormat="1" outlineLevel="1" x14ac:dyDescent="0.3">
      <c r="A116" s="20">
        <v>3.1</v>
      </c>
      <c r="B116" s="21" t="s">
        <v>129</v>
      </c>
      <c r="C116" s="22">
        <f>MIN(C117:C118)</f>
        <v>44031</v>
      </c>
      <c r="D116" s="21">
        <f t="shared" si="76"/>
        <v>30</v>
      </c>
      <c r="E116" s="22">
        <f>MIN(E117:E118)</f>
        <v>44060</v>
      </c>
      <c r="F116" s="23">
        <f>SUM(F117:F118)</f>
        <v>415041</v>
      </c>
      <c r="G116" s="23">
        <f t="shared" ref="G116:J116" si="78">SUM(G117:G118)</f>
        <v>532559</v>
      </c>
      <c r="H116" s="23">
        <f t="shared" si="78"/>
        <v>517800</v>
      </c>
      <c r="I116" s="23">
        <f t="shared" si="78"/>
        <v>517800</v>
      </c>
      <c r="J116" s="23">
        <f t="shared" si="78"/>
        <v>391800</v>
      </c>
      <c r="K116" s="48">
        <f t="shared" si="42"/>
        <v>2375000</v>
      </c>
    </row>
    <row r="117" spans="1:11" s="25" customFormat="1" hidden="1" outlineLevel="2" x14ac:dyDescent="0.3">
      <c r="A117" s="29" t="s">
        <v>133</v>
      </c>
      <c r="B117" s="25" t="s">
        <v>83</v>
      </c>
      <c r="C117" s="26">
        <f>+$E$7</f>
        <v>44031</v>
      </c>
      <c r="D117" s="25">
        <v>30</v>
      </c>
      <c r="E117" s="26">
        <f>+C117+D117-1</f>
        <v>44060</v>
      </c>
      <c r="F117" s="27"/>
      <c r="G117" s="27"/>
      <c r="H117" s="27"/>
      <c r="I117" s="27"/>
      <c r="J117" s="27"/>
      <c r="K117" s="47">
        <f t="shared" si="42"/>
        <v>0</v>
      </c>
    </row>
    <row r="118" spans="1:11" s="25" customFormat="1" hidden="1" outlineLevel="2" x14ac:dyDescent="0.3">
      <c r="A118" s="29" t="s">
        <v>134</v>
      </c>
      <c r="B118" s="25" t="s">
        <v>19</v>
      </c>
      <c r="C118" s="26">
        <f>+E117</f>
        <v>44060</v>
      </c>
      <c r="D118" s="25">
        <f>E118-C118+1</f>
        <v>1598</v>
      </c>
      <c r="E118" s="26">
        <v>45657</v>
      </c>
      <c r="F118" s="27">
        <f>414800+241</f>
        <v>415041</v>
      </c>
      <c r="G118" s="27">
        <f>532800-241</f>
        <v>532559</v>
      </c>
      <c r="H118" s="27">
        <v>517800</v>
      </c>
      <c r="I118" s="27">
        <v>517800</v>
      </c>
      <c r="J118" s="27">
        <v>391800</v>
      </c>
      <c r="K118" s="47">
        <f t="shared" si="42"/>
        <v>2375000</v>
      </c>
    </row>
    <row r="119" spans="1:11" s="21" customFormat="1" outlineLevel="1" collapsed="1" x14ac:dyDescent="0.3">
      <c r="A119" s="20">
        <v>3.2</v>
      </c>
      <c r="B119" s="21" t="s">
        <v>130</v>
      </c>
      <c r="C119" s="22">
        <f>MIN(C120:C121)</f>
        <v>44031</v>
      </c>
      <c r="D119" s="21">
        <f t="shared" ref="D119" si="79">E119-C119+1</f>
        <v>128</v>
      </c>
      <c r="E119" s="22">
        <f>MIN(E120:E121)</f>
        <v>44158</v>
      </c>
      <c r="F119" s="23">
        <f>SUM(F120:F121)</f>
        <v>0</v>
      </c>
      <c r="G119" s="23">
        <f t="shared" ref="G119:J119" si="80">SUM(G120:G121)</f>
        <v>75000</v>
      </c>
      <c r="H119" s="23">
        <f t="shared" si="80"/>
        <v>75000</v>
      </c>
      <c r="I119" s="23">
        <f t="shared" si="80"/>
        <v>75000</v>
      </c>
      <c r="J119" s="23">
        <f t="shared" si="80"/>
        <v>75000</v>
      </c>
      <c r="K119" s="48">
        <f t="shared" si="42"/>
        <v>300000</v>
      </c>
    </row>
    <row r="120" spans="1:11" s="25" customFormat="1" hidden="1" outlineLevel="2" x14ac:dyDescent="0.3">
      <c r="A120" s="29" t="s">
        <v>136</v>
      </c>
      <c r="B120" s="25" t="s">
        <v>83</v>
      </c>
      <c r="C120" s="26">
        <f>+$E$7</f>
        <v>44031</v>
      </c>
      <c r="D120" s="25">
        <v>128</v>
      </c>
      <c r="E120" s="26">
        <f>+C120+D120-1</f>
        <v>44158</v>
      </c>
      <c r="F120" s="27"/>
      <c r="G120" s="27"/>
      <c r="H120" s="27"/>
      <c r="I120" s="27"/>
      <c r="J120" s="27"/>
      <c r="K120" s="47">
        <f t="shared" si="42"/>
        <v>0</v>
      </c>
    </row>
    <row r="121" spans="1:11" s="25" customFormat="1" hidden="1" outlineLevel="2" x14ac:dyDescent="0.3">
      <c r="A121" s="29" t="s">
        <v>135</v>
      </c>
      <c r="B121" s="25" t="s">
        <v>19</v>
      </c>
      <c r="C121" s="26">
        <f>+E120</f>
        <v>44158</v>
      </c>
      <c r="D121" s="25">
        <f>E121-C121+1</f>
        <v>1500</v>
      </c>
      <c r="E121" s="26">
        <v>45657</v>
      </c>
      <c r="F121" s="27"/>
      <c r="G121" s="27">
        <v>75000</v>
      </c>
      <c r="H121" s="27">
        <v>75000</v>
      </c>
      <c r="I121" s="27">
        <v>75000</v>
      </c>
      <c r="J121" s="27">
        <v>75000</v>
      </c>
      <c r="K121" s="47">
        <f t="shared" si="42"/>
        <v>300000</v>
      </c>
    </row>
    <row r="122" spans="1:11" s="21" customFormat="1" outlineLevel="1" collapsed="1" x14ac:dyDescent="0.3">
      <c r="A122" s="20">
        <v>3.3</v>
      </c>
      <c r="B122" s="21" t="s">
        <v>131</v>
      </c>
      <c r="C122" s="22">
        <f>MIN(C123:C124)</f>
        <v>45323</v>
      </c>
      <c r="D122" s="21">
        <f t="shared" ref="D122" si="81">E122-C122+1</f>
        <v>128</v>
      </c>
      <c r="E122" s="22">
        <f>MIN(E123:E124)</f>
        <v>45450</v>
      </c>
      <c r="F122" s="23">
        <f>SUM(F123:F124)</f>
        <v>0</v>
      </c>
      <c r="G122" s="23">
        <f t="shared" ref="G122:J122" si="82">SUM(G123:G124)</f>
        <v>0</v>
      </c>
      <c r="H122" s="23">
        <f>SUM(H123:H124)</f>
        <v>0</v>
      </c>
      <c r="I122" s="23">
        <f t="shared" si="82"/>
        <v>0</v>
      </c>
      <c r="J122" s="23">
        <f t="shared" si="82"/>
        <v>500000</v>
      </c>
      <c r="K122" s="48">
        <f t="shared" si="42"/>
        <v>500000</v>
      </c>
    </row>
    <row r="123" spans="1:11" s="25" customFormat="1" hidden="1" outlineLevel="2" x14ac:dyDescent="0.3">
      <c r="A123" s="29" t="s">
        <v>137</v>
      </c>
      <c r="B123" s="25" t="s">
        <v>83</v>
      </c>
      <c r="C123" s="26">
        <v>45323</v>
      </c>
      <c r="D123" s="25">
        <v>128</v>
      </c>
      <c r="E123" s="26">
        <f t="shared" ref="E123" si="83">+C123+D123-1</f>
        <v>45450</v>
      </c>
      <c r="F123" s="27"/>
      <c r="G123" s="27"/>
      <c r="H123" s="27"/>
      <c r="I123" s="27"/>
      <c r="J123" s="27"/>
      <c r="K123" s="47">
        <f t="shared" si="42"/>
        <v>0</v>
      </c>
    </row>
    <row r="124" spans="1:11" s="25" customFormat="1" hidden="1" outlineLevel="2" x14ac:dyDescent="0.3">
      <c r="A124" s="29" t="s">
        <v>138</v>
      </c>
      <c r="B124" s="25" t="s">
        <v>19</v>
      </c>
      <c r="C124" s="26">
        <f>+E123</f>
        <v>45450</v>
      </c>
      <c r="D124" s="25">
        <f>E124-C124+1</f>
        <v>208</v>
      </c>
      <c r="E124" s="26">
        <v>45657</v>
      </c>
      <c r="F124" s="27"/>
      <c r="G124" s="27"/>
      <c r="H124" s="27"/>
      <c r="I124" s="27"/>
      <c r="J124" s="27">
        <v>500000</v>
      </c>
      <c r="K124" s="47">
        <f t="shared" si="42"/>
        <v>500000</v>
      </c>
    </row>
  </sheetData>
  <phoneticPr fontId="10" type="noConversion"/>
  <pageMargins left="0.7" right="0.7" top="0.75" bottom="0.75" header="0.3" footer="0.3"/>
  <pageSetup orientation="portrait" r:id="rId1"/>
  <ignoredErrors>
    <ignoredError sqref="K95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3DE74B35437E541A32CFB1BD85A546D" ma:contentTypeVersion="2403" ma:contentTypeDescription="A content type to manage public (operations) IDB documents" ma:contentTypeScope="" ma:versionID="ab9b6ae77e77150eb4f0444042892f5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Division_x0020_or_x0020_Unit xmlns="cdc7663a-08f0-4737-9e8c-148ce897a09c">SCL/LMK</Division_x0020_or_x0020_Unit>
    <Key_x0020_Document xmlns="cdc7663a-08f0-4737-9e8c-148ce897a09c">false</Key_x0020_Document>
    <_dlc_DocId xmlns="cdc7663a-08f0-4737-9e8c-148ce897a09c">EZSHARE-659572234-21</_dlc_DocId>
    <Document_x0020_Author xmlns="cdc7663a-08f0-4737-9e8c-148ce897a09c">Gonzalez Velosa, Carolina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</TermName>
          <TermId xmlns="http://schemas.microsoft.com/office/infopath/2007/PartnerControls">c7d386d6-75f3-4fc0-bde8-e021ccd68f5c</TermId>
        </TermInfo>
      </Terms>
    </ic46d7e087fd4a108fb86518ca413cc6>
    <TaxCatchAll xmlns="cdc7663a-08f0-4737-9e8c-148ce897a09c">
      <Value>48</Value>
      <Value>27</Value>
      <Value>1</Value>
      <Value>357</Value>
    </TaxCatchAll>
    <Fiscal_x0020_Year_x0020_IDB xmlns="cdc7663a-08f0-4737-9e8c-148ce897a09c">2019</Fiscal_x0020_Year_x0020_IDB>
    <Operation_x0020_Type xmlns="cdc7663a-08f0-4737-9e8c-148ce897a09c">LON</Operation_x0020_Type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CO-L1250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IS-LPO</TermName>
          <TermId xmlns="http://schemas.microsoft.com/office/infopath/2007/PartnerControls">e71f91eb-7c75-452b-8d19-3a449ce1e247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IS</TermName>
          <TermId xmlns="http://schemas.microsoft.com/office/infopath/2007/PartnerControls">3f908695-d5b5-49f6-941f-76876b39564f</TermId>
        </TermInfo>
      </Terms>
    </nddeef1749674d76abdbe4b239a70bc6>
    <_dlc_DocIdUrl xmlns="cdc7663a-08f0-4737-9e8c-148ce897a09c">
      <Url>https://idbg.sharepoint.com/teams/EZ-CO-LON/CO-L1250/_layouts/15/DocIdRedir.aspx?ID=EZSHARE-659572234-21</Url>
      <Description>EZSHARE-659572234-21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true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Labor and Economics;</Webtopic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898930E8-0EA3-4309-8749-B7C73377DB8D}"/>
</file>

<file path=customXml/itemProps2.xml><?xml version="1.0" encoding="utf-8"?>
<ds:datastoreItem xmlns:ds="http://schemas.openxmlformats.org/officeDocument/2006/customXml" ds:itemID="{E10003BA-B73B-4A35-A71E-43E883C25DD5}"/>
</file>

<file path=customXml/itemProps3.xml><?xml version="1.0" encoding="utf-8"?>
<ds:datastoreItem xmlns:ds="http://schemas.openxmlformats.org/officeDocument/2006/customXml" ds:itemID="{722D3669-B30C-4CB7-998B-520B2515668F}"/>
</file>

<file path=customXml/itemProps4.xml><?xml version="1.0" encoding="utf-8"?>
<ds:datastoreItem xmlns:ds="http://schemas.openxmlformats.org/officeDocument/2006/customXml" ds:itemID="{EB1A4BCB-4920-4792-900A-E341882D3FA0}"/>
</file>

<file path=customXml/itemProps5.xml><?xml version="1.0" encoding="utf-8"?>
<ds:datastoreItem xmlns:ds="http://schemas.openxmlformats.org/officeDocument/2006/customXml" ds:itemID="{F75CCF64-E220-4F45-B896-C4BC9A659657}"/>
</file>

<file path=customXml/itemProps6.xml><?xml version="1.0" encoding="utf-8"?>
<ds:datastoreItem xmlns:ds="http://schemas.openxmlformats.org/officeDocument/2006/customXml" ds:itemID="{048A065D-4B81-4493-A9BF-8197A1693789}"/>
</file>

<file path=customXml/itemProps7.xml><?xml version="1.0" encoding="utf-8"?>
<ds:datastoreItem xmlns:ds="http://schemas.openxmlformats.org/officeDocument/2006/customXml" ds:itemID="{676E9C4E-1C03-43FE-A3DC-C34CB1528E6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Ariza Donado, Natalia</dc:creator>
  <cp:keywords/>
  <cp:lastModifiedBy>Casas Rojas, Laura Ximena</cp:lastModifiedBy>
  <dcterms:created xsi:type="dcterms:W3CDTF">2019-07-03T15:02:58Z</dcterms:created>
  <dcterms:modified xsi:type="dcterms:W3CDTF">2019-10-17T17:06:23Z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357;#IS-LPO|e71f91eb-7c75-452b-8d19-3a449ce1e247</vt:lpwstr>
  </property>
  <property fmtid="{D5CDD505-2E9C-101B-9397-08002B2CF9AE}" pid="7" name="Country">
    <vt:lpwstr>27;#CO|c7d386d6-75f3-4fc0-bde8-e021ccd68f5c</vt:lpwstr>
  </property>
  <property fmtid="{D5CDD505-2E9C-101B-9397-08002B2CF9AE}" pid="8" name="_dlc_DocIdItemGuid">
    <vt:lpwstr>2d6bfb00-e401-43c5-9f11-57d0f2a29b89</vt:lpwstr>
  </property>
  <property fmtid="{D5CDD505-2E9C-101B-9397-08002B2CF9AE}" pid="9" name="Fund IDB">
    <vt:lpwstr/>
  </property>
  <property fmtid="{D5CDD505-2E9C-101B-9397-08002B2CF9AE}" pid="10" name="Sector IDB">
    <vt:lpwstr>48;#IS|3f908695-d5b5-49f6-941f-76876b39564f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0x0101001A458A224826124E8B45B1D613300CFC0063DE74B35437E541A32CFB1BD85A546D</vt:lpwstr>
  </property>
</Properties>
</file>