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2.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xl/externalLinks/externalLink2.xml" ContentType="application/vnd.openxmlformats-officedocument.spreadsheetml.externalLink+xml"/>
  <Override PartName="/xl/comments1.xml" ContentType="application/vnd.openxmlformats-officedocument.spreadsheetml.comments+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9555" yWindow="-120" windowWidth="10170" windowHeight="11640" activeTab="1"/>
  </bookViews>
  <sheets>
    <sheet name="Modelo D-1 - detalle de pagos" sheetId="5" r:id="rId1"/>
    <sheet name="Plan de adquisiciones" sheetId="1" r:id="rId2"/>
    <sheet name="FOMIN Budget" sheetId="4" r:id="rId3"/>
  </sheets>
  <externalReferences>
    <externalReference r:id="rId4"/>
    <externalReference r:id="rId5"/>
  </externalReferences>
  <definedNames>
    <definedName name="_xlnm._FilterDatabase" localSheetId="0" hidden="1">'Modelo D-1 - detalle de pagos'!$A$13:$P$13</definedName>
    <definedName name="DAIB" localSheetId="2">'[1]Contraparte en Especie'!$D$39</definedName>
    <definedName name="DAIB">#REF!</definedName>
    <definedName name="DAIB_FRINGE" localSheetId="2">[1]Instrucciones!$F$114</definedName>
    <definedName name="DAIB_FRINGE">#REF!</definedName>
    <definedName name="DAIB_LABOR" localSheetId="2">[1]Instrucciones!$C$114</definedName>
    <definedName name="DAIB_LABOR">#REF!</definedName>
    <definedName name="DAIB_OVERH" localSheetId="2">[1]Instrucciones!$C$115</definedName>
    <definedName name="DAIB_OVERH">#REF!</definedName>
    <definedName name="DAIM" localSheetId="2">'[1]Contraparte en Especie'!$H$39</definedName>
    <definedName name="DAIM">#REF!</definedName>
    <definedName name="DAIM_FRINGE" localSheetId="2">[1]Instrucciones!$F$108</definedName>
    <definedName name="DAIM_FRINGE">#REF!</definedName>
    <definedName name="DAIM_OVERH" localSheetId="2">[1]Instrucciones!$F$109</definedName>
    <definedName name="DAIM_OVERH">#REF!</definedName>
    <definedName name="DIPE">#REF!</definedName>
    <definedName name="DIPL">#REF!</definedName>
    <definedName name="DIRECT_LABOR" localSheetId="2">'[1]Contraparte en Especie'!$I$27</definedName>
    <definedName name="DIRECT_LABOR">#REF!</definedName>
    <definedName name="DNPE">#REF!</definedName>
    <definedName name="DNPL">#REF!</definedName>
    <definedName name="GROSS_MARGIN" localSheetId="2">[1]Instrucciones!$F$103</definedName>
    <definedName name="GROSS_MARGIN">#REF!</definedName>
    <definedName name="GROSS_PRICE" localSheetId="2">[1]Instrucciones!$F$62</definedName>
    <definedName name="GROSS_PRICE">#REF!</definedName>
    <definedName name="ICA" localSheetId="2">'[1]Contraparte en Especie'!$F$39</definedName>
    <definedName name="ICA">#REF!</definedName>
    <definedName name="LABOR" localSheetId="2">[1]Instrucciones!$F$95</definedName>
    <definedName name="LABOR">#REF!</definedName>
    <definedName name="NET_PRICE">#REF!</definedName>
    <definedName name="ODCS" localSheetId="2">[1]Instrucciones!$F$97</definedName>
    <definedName name="ODCS">#REF!</definedName>
    <definedName name="_xlnm.Print_Area" localSheetId="2">'FOMIN Budget'!$A$4:$J$50</definedName>
    <definedName name="_xlnm.Print_Area" localSheetId="0">'Modelo D-1 - detalle de pagos'!$A$1:$N$174</definedName>
    <definedName name="_xlnm.Print_Area" localSheetId="1">'Plan de adquisiciones'!$B$4:$P$70</definedName>
    <definedName name="_xlnm.Print_Titles" localSheetId="0">'Modelo D-1 - detalle de pagos'!$1:$13</definedName>
    <definedName name="_xlnm.Print_Titles" localSheetId="1">'Plan de adquisiciones'!$10:$11</definedName>
    <definedName name="REVENUE" localSheetId="2">[1]Instrucciones!$F$101</definedName>
    <definedName name="REVENUE">#REF!</definedName>
    <definedName name="TC" localSheetId="2">'[1]Contraparte en Especie'!$W$3</definedName>
    <definedName name="TC">#REF!</definedName>
    <definedName name="TOTAL_C1" localSheetId="2">'[1]C. Pr-Com'!$F$59</definedName>
    <definedName name="TOTAL_C1">#REF!</definedName>
    <definedName name="TOTAL_C2" localSheetId="2">'[1]C. Pr-Com'!$F$116</definedName>
    <definedName name="TOTAL_C2">#REF!</definedName>
    <definedName name="TOTAL_C3" localSheetId="2">'[1]C. Pr-Com'!$F$173</definedName>
    <definedName name="TOTAL_C3">#REF!</definedName>
    <definedName name="TOTAL_C4" localSheetId="2">'[1]C. Pr-Com'!#REF!</definedName>
    <definedName name="TOTAL_C4">#REF!</definedName>
    <definedName name="TOTAL_C5" localSheetId="2">'[1]C. Pr-Com'!#REF!</definedName>
    <definedName name="TOTAL_C5">#REF!</definedName>
    <definedName name="TOTAL_COST" localSheetId="2">[1]Instrucciones!$F$99</definedName>
    <definedName name="TOTAL_COST">#REF!</definedName>
    <definedName name="VAT">#REF!</definedName>
    <definedName name="VIPE">#REF!</definedName>
    <definedName name="VIPL">#REF!</definedName>
    <definedName name="VNPE">#REF!</definedName>
    <definedName name="VNPL">#REF!</definedName>
  </definedNames>
  <calcPr calcId="145621"/>
</workbook>
</file>

<file path=xl/calcChain.xml><?xml version="1.0" encoding="utf-8"?>
<calcChain xmlns="http://schemas.openxmlformats.org/spreadsheetml/2006/main">
  <c r="G13" i="4" l="1"/>
  <c r="M160" i="5" l="1"/>
  <c r="N160" i="5"/>
  <c r="K160" i="5"/>
  <c r="J160" i="5"/>
  <c r="I160" i="5"/>
  <c r="A160" i="5"/>
  <c r="K159" i="5"/>
  <c r="M159" i="5"/>
  <c r="N159" i="5"/>
  <c r="J159" i="5"/>
  <c r="I159" i="5"/>
  <c r="A159" i="5"/>
  <c r="K158" i="5"/>
  <c r="M158" i="5"/>
  <c r="N158" i="5"/>
  <c r="J158" i="5"/>
  <c r="I158" i="5"/>
  <c r="A158" i="5"/>
  <c r="K157" i="5"/>
  <c r="I157" i="5"/>
  <c r="J157" i="5"/>
  <c r="A157" i="5"/>
  <c r="M156" i="5"/>
  <c r="N156" i="5"/>
  <c r="K156" i="5"/>
  <c r="J156" i="5"/>
  <c r="I156" i="5"/>
  <c r="A156" i="5"/>
  <c r="K155" i="5"/>
  <c r="M155" i="5"/>
  <c r="N155" i="5"/>
  <c r="J155" i="5"/>
  <c r="I155" i="5"/>
  <c r="A155" i="5"/>
  <c r="B164" i="5"/>
  <c r="A164" i="5"/>
  <c r="N162" i="5"/>
  <c r="M162" i="5"/>
  <c r="L162" i="5"/>
  <c r="I162" i="5"/>
  <c r="A162" i="5"/>
  <c r="A154" i="5"/>
  <c r="A153" i="5"/>
  <c r="A152" i="5"/>
  <c r="A151" i="5"/>
  <c r="A150" i="5"/>
  <c r="A149" i="5"/>
  <c r="A148" i="5"/>
  <c r="J147" i="5"/>
  <c r="J149" i="5"/>
  <c r="A147" i="5"/>
  <c r="J146" i="5"/>
  <c r="J148" i="5"/>
  <c r="A146" i="5"/>
  <c r="A145" i="5"/>
  <c r="A144" i="5"/>
  <c r="A143" i="5"/>
  <c r="A142" i="5"/>
  <c r="A141" i="5"/>
  <c r="A140" i="5"/>
  <c r="M139" i="5"/>
  <c r="K139" i="5"/>
  <c r="I139" i="5"/>
  <c r="A139" i="5"/>
  <c r="K138" i="5"/>
  <c r="K140" i="5"/>
  <c r="A138" i="5"/>
  <c r="M137" i="5"/>
  <c r="L137" i="5"/>
  <c r="I137" i="5"/>
  <c r="N137" i="5"/>
  <c r="A137" i="5"/>
  <c r="M136" i="5"/>
  <c r="K136" i="5"/>
  <c r="I136" i="5"/>
  <c r="L136" i="5"/>
  <c r="N136" i="5"/>
  <c r="A136" i="5"/>
  <c r="M135" i="5"/>
  <c r="L135" i="5"/>
  <c r="I135" i="5"/>
  <c r="N135" i="5"/>
  <c r="A135" i="5"/>
  <c r="M134" i="5"/>
  <c r="L134" i="5"/>
  <c r="N134" i="5"/>
  <c r="I134" i="5"/>
  <c r="A134" i="5"/>
  <c r="M133" i="5"/>
  <c r="I133" i="5"/>
  <c r="L133" i="5"/>
  <c r="N133" i="5"/>
  <c r="A133" i="5"/>
  <c r="M132" i="5"/>
  <c r="I132" i="5"/>
  <c r="L132" i="5"/>
  <c r="A132" i="5"/>
  <c r="M131" i="5"/>
  <c r="L131" i="5"/>
  <c r="I131" i="5"/>
  <c r="N131" i="5"/>
  <c r="A131" i="5"/>
  <c r="M130" i="5"/>
  <c r="L130" i="5"/>
  <c r="N130" i="5"/>
  <c r="I130" i="5"/>
  <c r="A130" i="5"/>
  <c r="M129" i="5"/>
  <c r="I129" i="5"/>
  <c r="L129" i="5"/>
  <c r="N129" i="5"/>
  <c r="A129" i="5"/>
  <c r="M128" i="5"/>
  <c r="I128" i="5"/>
  <c r="L128" i="5"/>
  <c r="A128" i="5"/>
  <c r="M127" i="5"/>
  <c r="L127" i="5"/>
  <c r="I127" i="5"/>
  <c r="N127" i="5"/>
  <c r="A127" i="5"/>
  <c r="M126" i="5"/>
  <c r="L126" i="5"/>
  <c r="N126" i="5"/>
  <c r="I126" i="5"/>
  <c r="A126" i="5"/>
  <c r="M125" i="5"/>
  <c r="I125" i="5"/>
  <c r="L125" i="5"/>
  <c r="N125" i="5"/>
  <c r="A125" i="5"/>
  <c r="M124" i="5"/>
  <c r="I124" i="5"/>
  <c r="L124" i="5"/>
  <c r="A124" i="5"/>
  <c r="B123" i="5"/>
  <c r="A123" i="5"/>
  <c r="J122" i="5"/>
  <c r="B122" i="5"/>
  <c r="A122" i="5"/>
  <c r="N120" i="5"/>
  <c r="M120" i="5"/>
  <c r="L120" i="5"/>
  <c r="K120" i="5"/>
  <c r="A120" i="5"/>
  <c r="N119" i="5"/>
  <c r="N122" i="5"/>
  <c r="M119" i="5"/>
  <c r="M122" i="5"/>
  <c r="L119" i="5"/>
  <c r="L122" i="5"/>
  <c r="K119" i="5"/>
  <c r="K122" i="5"/>
  <c r="A119" i="5"/>
  <c r="A118" i="5"/>
  <c r="B117" i="5"/>
  <c r="A117" i="5"/>
  <c r="J116" i="5"/>
  <c r="B116" i="5"/>
  <c r="A116" i="5"/>
  <c r="N114" i="5"/>
  <c r="M114" i="5"/>
  <c r="L114" i="5"/>
  <c r="K114" i="5"/>
  <c r="A114" i="5"/>
  <c r="N113" i="5"/>
  <c r="N116" i="5"/>
  <c r="M113" i="5"/>
  <c r="L113" i="5"/>
  <c r="L116" i="5"/>
  <c r="K113" i="5"/>
  <c r="A113" i="5"/>
  <c r="N112" i="5"/>
  <c r="L112" i="5"/>
  <c r="K112" i="5"/>
  <c r="K116" i="5"/>
  <c r="A112" i="5"/>
  <c r="B111" i="5"/>
  <c r="A111" i="5"/>
  <c r="J110" i="5"/>
  <c r="B110" i="5"/>
  <c r="A110" i="5"/>
  <c r="N108" i="5"/>
  <c r="M108" i="5"/>
  <c r="L108" i="5"/>
  <c r="K108" i="5"/>
  <c r="A108" i="5"/>
  <c r="N107" i="5"/>
  <c r="N110" i="5"/>
  <c r="M107" i="5"/>
  <c r="L107" i="5"/>
  <c r="L110" i="5"/>
  <c r="K107" i="5"/>
  <c r="A107" i="5"/>
  <c r="N106" i="5"/>
  <c r="L106" i="5"/>
  <c r="K106" i="5"/>
  <c r="K110" i="5"/>
  <c r="A106" i="5"/>
  <c r="B105" i="5"/>
  <c r="A105" i="5"/>
  <c r="J104" i="5"/>
  <c r="B104" i="5"/>
  <c r="A104" i="5"/>
  <c r="N102" i="5"/>
  <c r="M102" i="5"/>
  <c r="L102" i="5"/>
  <c r="K102" i="5"/>
  <c r="M100" i="5"/>
  <c r="L100" i="5"/>
  <c r="N100" i="5"/>
  <c r="M98" i="5"/>
  <c r="L98" i="5"/>
  <c r="N98" i="5"/>
  <c r="M97" i="5"/>
  <c r="L97" i="5"/>
  <c r="N96" i="5"/>
  <c r="M96" i="5"/>
  <c r="L96" i="5"/>
  <c r="M94" i="5"/>
  <c r="L94" i="5"/>
  <c r="N94" i="5"/>
  <c r="M93" i="5"/>
  <c r="L93" i="5"/>
  <c r="N93" i="5"/>
  <c r="N92" i="5"/>
  <c r="M92" i="5"/>
  <c r="L92" i="5"/>
  <c r="M91" i="5"/>
  <c r="L91" i="5"/>
  <c r="M90" i="5"/>
  <c r="L90" i="5"/>
  <c r="N90" i="5"/>
  <c r="K90" i="5"/>
  <c r="M89" i="5"/>
  <c r="L89" i="5"/>
  <c r="N89" i="5"/>
  <c r="L88" i="5"/>
  <c r="K88" i="5"/>
  <c r="M88" i="5"/>
  <c r="J88" i="5"/>
  <c r="I88" i="5"/>
  <c r="N88" i="5"/>
  <c r="N87" i="5"/>
  <c r="M87" i="5"/>
  <c r="L87" i="5"/>
  <c r="M85" i="5"/>
  <c r="L85" i="5"/>
  <c r="N85" i="5"/>
  <c r="M84" i="5"/>
  <c r="L84" i="5"/>
  <c r="N84" i="5"/>
  <c r="N83" i="5"/>
  <c r="M83" i="5"/>
  <c r="L83" i="5"/>
  <c r="N82" i="5"/>
  <c r="M82" i="5"/>
  <c r="L82" i="5"/>
  <c r="M80" i="5"/>
  <c r="K80" i="5"/>
  <c r="J80" i="5"/>
  <c r="I80" i="5"/>
  <c r="N78" i="5"/>
  <c r="M78" i="5"/>
  <c r="L78" i="5"/>
  <c r="N77" i="5"/>
  <c r="M77" i="5"/>
  <c r="L77" i="5"/>
  <c r="M76" i="5"/>
  <c r="L76" i="5"/>
  <c r="N76" i="5"/>
  <c r="M75" i="5"/>
  <c r="L75" i="5"/>
  <c r="N75" i="5"/>
  <c r="N74" i="5"/>
  <c r="M74" i="5"/>
  <c r="L74" i="5"/>
  <c r="N73" i="5"/>
  <c r="M73" i="5"/>
  <c r="L73" i="5"/>
  <c r="M72" i="5"/>
  <c r="L72" i="5"/>
  <c r="N72" i="5"/>
  <c r="M71" i="5"/>
  <c r="L71" i="5"/>
  <c r="N71" i="5"/>
  <c r="N69" i="5"/>
  <c r="M69" i="5"/>
  <c r="L69" i="5"/>
  <c r="N68" i="5"/>
  <c r="M68" i="5"/>
  <c r="L68" i="5"/>
  <c r="K68" i="5"/>
  <c r="N67" i="5"/>
  <c r="M67" i="5"/>
  <c r="L67" i="5"/>
  <c r="M66" i="5"/>
  <c r="L66" i="5"/>
  <c r="N66" i="5"/>
  <c r="L65" i="5"/>
  <c r="K65" i="5"/>
  <c r="M65" i="5"/>
  <c r="M64" i="5"/>
  <c r="L64" i="5"/>
  <c r="N64" i="5"/>
  <c r="N62" i="5"/>
  <c r="M62" i="5"/>
  <c r="L62" i="5"/>
  <c r="N61" i="5"/>
  <c r="M61" i="5"/>
  <c r="L61" i="5"/>
  <c r="K61" i="5"/>
  <c r="L60" i="5"/>
  <c r="K60" i="5"/>
  <c r="M60" i="5"/>
  <c r="N60" i="5"/>
  <c r="M58" i="5"/>
  <c r="N58" i="5"/>
  <c r="L58" i="5"/>
  <c r="K58" i="5"/>
  <c r="M57" i="5"/>
  <c r="N57" i="5"/>
  <c r="L57" i="5"/>
  <c r="K57" i="5"/>
  <c r="M56" i="5"/>
  <c r="N56" i="5"/>
  <c r="L56" i="5"/>
  <c r="N54" i="5"/>
  <c r="M54" i="5"/>
  <c r="I54" i="5"/>
  <c r="L53" i="5"/>
  <c r="K53" i="5"/>
  <c r="M53" i="5"/>
  <c r="L51" i="5"/>
  <c r="K51" i="5"/>
  <c r="M51" i="5"/>
  <c r="L49" i="5"/>
  <c r="K49" i="5"/>
  <c r="M49" i="5"/>
  <c r="L48" i="5"/>
  <c r="K48" i="5"/>
  <c r="M48" i="5"/>
  <c r="L46" i="5"/>
  <c r="K46" i="5"/>
  <c r="M46" i="5"/>
  <c r="L44" i="5"/>
  <c r="K44" i="5"/>
  <c r="M44" i="5"/>
  <c r="L43" i="5"/>
  <c r="K43" i="5"/>
  <c r="M43" i="5"/>
  <c r="L42" i="5"/>
  <c r="K42" i="5"/>
  <c r="M42" i="5"/>
  <c r="L41" i="5"/>
  <c r="K41" i="5"/>
  <c r="M41" i="5"/>
  <c r="I41" i="5"/>
  <c r="M40" i="5"/>
  <c r="L40" i="5"/>
  <c r="N40" i="5"/>
  <c r="K40" i="5"/>
  <c r="M39" i="5"/>
  <c r="L39" i="5"/>
  <c r="N39" i="5"/>
  <c r="K39" i="5"/>
  <c r="M38" i="5"/>
  <c r="L38" i="5"/>
  <c r="N38" i="5"/>
  <c r="K38" i="5"/>
  <c r="M37" i="5"/>
  <c r="L37" i="5"/>
  <c r="N37" i="5"/>
  <c r="K37" i="5"/>
  <c r="M35" i="5"/>
  <c r="L35" i="5"/>
  <c r="N35" i="5"/>
  <c r="K35" i="5"/>
  <c r="M34" i="5"/>
  <c r="L34" i="5"/>
  <c r="N34" i="5"/>
  <c r="K34" i="5"/>
  <c r="M33" i="5"/>
  <c r="L33" i="5"/>
  <c r="N33" i="5"/>
  <c r="K33" i="5"/>
  <c r="M32" i="5"/>
  <c r="L32" i="5"/>
  <c r="N32" i="5"/>
  <c r="K32" i="5"/>
  <c r="M31" i="5"/>
  <c r="L31" i="5"/>
  <c r="N31" i="5"/>
  <c r="K31" i="5"/>
  <c r="M30" i="5"/>
  <c r="L30" i="5"/>
  <c r="N30" i="5"/>
  <c r="K30" i="5"/>
  <c r="M28" i="5"/>
  <c r="L28" i="5"/>
  <c r="N28" i="5"/>
  <c r="K28" i="5"/>
  <c r="K104" i="5"/>
  <c r="B27" i="5"/>
  <c r="A27" i="5"/>
  <c r="L25" i="5"/>
  <c r="K25" i="5"/>
  <c r="J25" i="5"/>
  <c r="B25" i="5"/>
  <c r="A25" i="5"/>
  <c r="M23" i="5"/>
  <c r="N23" i="5"/>
  <c r="L23" i="5"/>
  <c r="K23" i="5"/>
  <c r="M22" i="5"/>
  <c r="N22" i="5"/>
  <c r="L22" i="5"/>
  <c r="K22" i="5"/>
  <c r="M21" i="5"/>
  <c r="N21" i="5"/>
  <c r="L21" i="5"/>
  <c r="K21" i="5"/>
  <c r="M20" i="5"/>
  <c r="N20" i="5"/>
  <c r="L20" i="5"/>
  <c r="K20" i="5"/>
  <c r="B19" i="5"/>
  <c r="A19" i="5"/>
  <c r="L18" i="5"/>
  <c r="K18" i="5"/>
  <c r="J18" i="5"/>
  <c r="B18" i="5"/>
  <c r="A18" i="5"/>
  <c r="L16" i="5"/>
  <c r="K16" i="5"/>
  <c r="M16" i="5"/>
  <c r="N16" i="5"/>
  <c r="L15" i="5"/>
  <c r="K15" i="5"/>
  <c r="M15" i="5"/>
  <c r="B14" i="5"/>
  <c r="M13" i="5"/>
  <c r="L13" i="5"/>
  <c r="K13" i="5"/>
  <c r="J13" i="5"/>
  <c r="C6" i="5"/>
  <c r="C5" i="5"/>
  <c r="N97" i="5"/>
  <c r="N91" i="5"/>
  <c r="M104" i="5"/>
  <c r="M157" i="5"/>
  <c r="N157" i="5"/>
  <c r="N25" i="5"/>
  <c r="N43" i="5"/>
  <c r="N46" i="5"/>
  <c r="N49" i="5"/>
  <c r="N53" i="5"/>
  <c r="J151" i="5"/>
  <c r="M18" i="5"/>
  <c r="N15" i="5"/>
  <c r="N18" i="5"/>
  <c r="I140" i="5"/>
  <c r="M140" i="5"/>
  <c r="K142" i="5"/>
  <c r="L139" i="5"/>
  <c r="N139" i="5"/>
  <c r="N41" i="5"/>
  <c r="N42" i="5"/>
  <c r="N44" i="5"/>
  <c r="N48" i="5"/>
  <c r="N51" i="5"/>
  <c r="N65" i="5"/>
  <c r="J150" i="5"/>
  <c r="M25" i="5"/>
  <c r="L104" i="5"/>
  <c r="M106" i="5"/>
  <c r="M110" i="5"/>
  <c r="M112" i="5"/>
  <c r="M116" i="5"/>
  <c r="M138" i="5"/>
  <c r="K141" i="5"/>
  <c r="L80" i="5"/>
  <c r="N80" i="5"/>
  <c r="N124" i="5"/>
  <c r="N128" i="5"/>
  <c r="N132" i="5"/>
  <c r="I138" i="5"/>
  <c r="N104" i="5"/>
  <c r="I141" i="5"/>
  <c r="K143" i="5"/>
  <c r="M141" i="5"/>
  <c r="J152" i="5"/>
  <c r="K144" i="5"/>
  <c r="I142" i="5"/>
  <c r="M142" i="5"/>
  <c r="L138" i="5"/>
  <c r="N138" i="5"/>
  <c r="L140" i="5"/>
  <c r="N140" i="5"/>
  <c r="J153" i="5"/>
  <c r="M144" i="5"/>
  <c r="N144" i="5"/>
  <c r="I144" i="5"/>
  <c r="K146" i="5"/>
  <c r="K145" i="5"/>
  <c r="I143" i="5"/>
  <c r="M143" i="5"/>
  <c r="L141" i="5"/>
  <c r="J154" i="5"/>
  <c r="L142" i="5"/>
  <c r="N142" i="5"/>
  <c r="M146" i="5"/>
  <c r="N146" i="5"/>
  <c r="K148" i="5"/>
  <c r="I146" i="5"/>
  <c r="J164" i="5"/>
  <c r="J166" i="5"/>
  <c r="N141" i="5"/>
  <c r="N143" i="5"/>
  <c r="L143" i="5"/>
  <c r="L164" i="5"/>
  <c r="L166" i="5"/>
  <c r="I145" i="5"/>
  <c r="M145" i="5"/>
  <c r="K147" i="5"/>
  <c r="M147" i="5"/>
  <c r="N147" i="5"/>
  <c r="I147" i="5"/>
  <c r="K149" i="5"/>
  <c r="M148" i="5"/>
  <c r="N148" i="5"/>
  <c r="I148" i="5"/>
  <c r="M149" i="5"/>
  <c r="N149" i="5"/>
  <c r="K150" i="5"/>
  <c r="I149" i="5"/>
  <c r="M150" i="5"/>
  <c r="N150" i="5"/>
  <c r="K151" i="5"/>
  <c r="I150" i="5"/>
  <c r="M151" i="5"/>
  <c r="N151" i="5"/>
  <c r="K152" i="5"/>
  <c r="I151" i="5"/>
  <c r="M152" i="5"/>
  <c r="N152" i="5"/>
  <c r="K153" i="5"/>
  <c r="I152" i="5"/>
  <c r="M153" i="5"/>
  <c r="N153" i="5"/>
  <c r="K154" i="5"/>
  <c r="I153" i="5"/>
  <c r="M154" i="5"/>
  <c r="K164" i="5"/>
  <c r="K166" i="5"/>
  <c r="I154" i="5"/>
  <c r="N154" i="5"/>
  <c r="N164" i="5"/>
  <c r="N166" i="5"/>
  <c r="M164" i="5"/>
  <c r="M166" i="5"/>
  <c r="E31" i="1"/>
  <c r="F19" i="4"/>
  <c r="D19" i="4"/>
  <c r="E19" i="4" s="1"/>
  <c r="E27" i="1"/>
  <c r="E23" i="1"/>
  <c r="I39" i="4"/>
  <c r="I41" i="4"/>
  <c r="E41" i="4" s="1"/>
  <c r="I42" i="4"/>
  <c r="E42" i="4" s="1"/>
  <c r="H63" i="1" s="1"/>
  <c r="I36" i="4"/>
  <c r="I34" i="4"/>
  <c r="I35" i="4"/>
  <c r="I37" i="4" s="1"/>
  <c r="I12" i="4"/>
  <c r="H12" i="4" s="1"/>
  <c r="I19" i="1" s="1"/>
  <c r="I14" i="4"/>
  <c r="I15" i="4"/>
  <c r="I8" i="4"/>
  <c r="H8" i="4" s="1"/>
  <c r="I14" i="1" s="1"/>
  <c r="I9" i="4"/>
  <c r="I10" i="4" s="1"/>
  <c r="E24" i="1"/>
  <c r="E37" i="1"/>
  <c r="I13" i="4"/>
  <c r="I18" i="4"/>
  <c r="E18" i="4" s="1"/>
  <c r="I20" i="4"/>
  <c r="I21" i="4"/>
  <c r="I24" i="4"/>
  <c r="H24" i="4" s="1"/>
  <c r="I25" i="4"/>
  <c r="E25" i="4" s="1"/>
  <c r="I26" i="4"/>
  <c r="I29" i="4"/>
  <c r="H29" i="4" s="1"/>
  <c r="I30" i="4"/>
  <c r="E30" i="4" s="1"/>
  <c r="I31" i="4"/>
  <c r="E31" i="4" s="1"/>
  <c r="I40" i="4"/>
  <c r="I43" i="4"/>
  <c r="D46" i="4"/>
  <c r="I46" i="4" s="1"/>
  <c r="H46" i="4" s="1"/>
  <c r="I47" i="4"/>
  <c r="H47" i="4" s="1"/>
  <c r="D32" i="4"/>
  <c r="D10" i="4"/>
  <c r="D16" i="4"/>
  <c r="D27" i="4"/>
  <c r="D37" i="4"/>
  <c r="D44" i="4"/>
  <c r="F27" i="4"/>
  <c r="F32" i="4"/>
  <c r="F37" i="4"/>
  <c r="F44" i="4"/>
  <c r="F10" i="4"/>
  <c r="F48" i="4" s="1"/>
  <c r="F16" i="4"/>
  <c r="G32" i="4"/>
  <c r="G16" i="4"/>
  <c r="G10" i="4"/>
  <c r="G22" i="4"/>
  <c r="H22" i="4" s="1"/>
  <c r="G27" i="4"/>
  <c r="G37" i="4"/>
  <c r="G44" i="4"/>
  <c r="H20" i="4"/>
  <c r="E20" i="4"/>
  <c r="J37" i="1"/>
  <c r="J31" i="1"/>
  <c r="J27" i="1"/>
  <c r="J25" i="1"/>
  <c r="J26" i="1"/>
  <c r="J39" i="1"/>
  <c r="J23" i="1"/>
  <c r="L23" i="1"/>
  <c r="J32" i="1"/>
  <c r="K28" i="1"/>
  <c r="K29" i="1"/>
  <c r="K30" i="1"/>
  <c r="K31" i="1"/>
  <c r="K27" i="1"/>
  <c r="K23" i="1"/>
  <c r="K32" i="1"/>
  <c r="K37" i="1"/>
  <c r="J33" i="1"/>
  <c r="K25" i="1"/>
  <c r="K26" i="1"/>
  <c r="K40" i="1"/>
  <c r="K39" i="1"/>
  <c r="K38" i="1"/>
  <c r="J38" i="1"/>
  <c r="K24" i="1"/>
  <c r="J24" i="1"/>
  <c r="E38" i="1"/>
  <c r="K20" i="1"/>
  <c r="K61" i="1"/>
  <c r="K48" i="1"/>
  <c r="K49" i="1"/>
  <c r="E36" i="4"/>
  <c r="H53" i="1"/>
  <c r="J61" i="1"/>
  <c r="J60" i="1"/>
  <c r="J48" i="1"/>
  <c r="J49" i="1"/>
  <c r="J16" i="1"/>
  <c r="K60" i="1"/>
  <c r="K50" i="1"/>
  <c r="K45" i="1"/>
  <c r="K44" i="1"/>
  <c r="K43" i="1"/>
  <c r="J50" i="1"/>
  <c r="J45" i="1"/>
  <c r="J44" i="1"/>
  <c r="J43" i="1"/>
  <c r="J30" i="1"/>
  <c r="J29" i="1"/>
  <c r="J28" i="1"/>
  <c r="E26" i="4"/>
  <c r="H14" i="4"/>
  <c r="I21" i="1"/>
  <c r="E14" i="4"/>
  <c r="H21" i="1"/>
  <c r="E41" i="1"/>
  <c r="E46" i="1"/>
  <c r="H40" i="4"/>
  <c r="E40" i="4"/>
  <c r="M23" i="1"/>
  <c r="E8" i="4"/>
  <c r="H14" i="1"/>
  <c r="E35" i="4"/>
  <c r="H57" i="1"/>
  <c r="E43" i="4"/>
  <c r="H21" i="4"/>
  <c r="E15" i="4"/>
  <c r="H22" i="1"/>
  <c r="E9" i="4"/>
  <c r="H15" i="1" s="1"/>
  <c r="E39" i="4"/>
  <c r="H59" i="1"/>
  <c r="J59" i="1" s="1"/>
  <c r="H15" i="4"/>
  <c r="I22" i="1"/>
  <c r="E34" i="4"/>
  <c r="H55" i="1"/>
  <c r="E47" i="4"/>
  <c r="H43" i="4"/>
  <c r="H39" i="4"/>
  <c r="I59" i="1" s="1"/>
  <c r="K59" i="1" s="1"/>
  <c r="H34" i="4"/>
  <c r="I55" i="1"/>
  <c r="E21" i="1"/>
  <c r="K21" i="1"/>
  <c r="E57" i="1"/>
  <c r="J57" i="1" s="1"/>
  <c r="E53" i="1"/>
  <c r="H8" i="1"/>
  <c r="E62" i="1"/>
  <c r="J62" i="1"/>
  <c r="F22" i="4"/>
  <c r="I19" i="4"/>
  <c r="H19" i="4" s="1"/>
  <c r="I22" i="4"/>
  <c r="E21" i="4"/>
  <c r="H26" i="4"/>
  <c r="H35" i="4"/>
  <c r="I57" i="1" s="1"/>
  <c r="H36" i="4"/>
  <c r="I53" i="1"/>
  <c r="K53" i="1" s="1"/>
  <c r="H9" i="4"/>
  <c r="I15" i="1" s="1"/>
  <c r="I27" i="4"/>
  <c r="E22" i="1"/>
  <c r="K22" i="1" s="1"/>
  <c r="E55" i="1"/>
  <c r="E51" i="1" s="1"/>
  <c r="E59" i="1"/>
  <c r="D22" i="4"/>
  <c r="E22" i="4" s="1"/>
  <c r="D48" i="4"/>
  <c r="J53" i="1"/>
  <c r="K55" i="1"/>
  <c r="E10" i="4" l="1"/>
  <c r="H10" i="4"/>
  <c r="K62" i="1"/>
  <c r="E37" i="4"/>
  <c r="H37" i="4"/>
  <c r="J55" i="1"/>
  <c r="K57" i="1"/>
  <c r="E15" i="1"/>
  <c r="K15" i="1" s="1"/>
  <c r="I44" i="4"/>
  <c r="E44" i="4" s="1"/>
  <c r="H42" i="4"/>
  <c r="I63" i="1" s="1"/>
  <c r="H18" i="4"/>
  <c r="E12" i="4"/>
  <c r="E24" i="4"/>
  <c r="E19" i="1"/>
  <c r="H41" i="4"/>
  <c r="I62" i="1" s="1"/>
  <c r="E46" i="4"/>
  <c r="H31" i="4"/>
  <c r="H25" i="4"/>
  <c r="E63" i="1"/>
  <c r="J63" i="1" s="1"/>
  <c r="E14" i="1"/>
  <c r="H30" i="4"/>
  <c r="I32" i="4"/>
  <c r="I16" i="4"/>
  <c r="E16" i="4" s="1"/>
  <c r="E27" i="4"/>
  <c r="H27" i="4"/>
  <c r="G48" i="4"/>
  <c r="E13" i="4"/>
  <c r="H20" i="1" s="1"/>
  <c r="H13" i="4"/>
  <c r="I20" i="1" s="1"/>
  <c r="E17" i="1" l="1"/>
  <c r="K19" i="1"/>
  <c r="J74" i="1"/>
  <c r="K14" i="1"/>
  <c r="O8" i="1"/>
  <c r="Q8" i="1" s="1"/>
  <c r="E12" i="1"/>
  <c r="E58" i="1"/>
  <c r="K63" i="1"/>
  <c r="H44" i="4"/>
  <c r="E32" i="4"/>
  <c r="H32" i="4"/>
  <c r="I48" i="4"/>
  <c r="J44" i="4" s="1"/>
  <c r="H16" i="4"/>
  <c r="G50" i="4"/>
  <c r="K74" i="1" l="1"/>
  <c r="N74" i="1" s="1"/>
  <c r="E64" i="1"/>
  <c r="J75" i="1"/>
  <c r="J76" i="1" s="1"/>
  <c r="J77" i="1" s="1"/>
  <c r="J37" i="4"/>
  <c r="G49" i="4"/>
  <c r="J16" i="4"/>
  <c r="J32" i="4"/>
  <c r="J22" i="4"/>
  <c r="F49" i="4"/>
  <c r="I49" i="4"/>
  <c r="J27" i="4"/>
  <c r="D49" i="4"/>
  <c r="J10" i="4"/>
  <c r="N75" i="1" l="1"/>
</calcChain>
</file>

<file path=xl/comments1.xml><?xml version="1.0" encoding="utf-8"?>
<comments xmlns="http://schemas.openxmlformats.org/spreadsheetml/2006/main">
  <authors>
    <author>Gloria Coronel</author>
    <author>Leticia González Vallejo</author>
    <author>Test</author>
  </authors>
  <commentList>
    <comment ref="D2" authorId="0">
      <text>
        <r>
          <rPr>
            <b/>
            <sz val="8"/>
            <color indexed="81"/>
            <rFont val="Tahoma"/>
            <family val="2"/>
          </rPr>
          <t>Gloria Coronel:</t>
        </r>
        <r>
          <rPr>
            <sz val="8"/>
            <color indexed="81"/>
            <rFont val="Tahoma"/>
            <family val="2"/>
          </rPr>
          <t xml:space="preserve">
Se recomienda presentar gastos con cierre a un mes contable, ie.  Gastos de xxx al 31 de marzo yyyy.</t>
        </r>
      </text>
    </comment>
    <comment ref="B12" authorId="1">
      <text>
        <r>
          <rPr>
            <sz val="8"/>
            <color indexed="81"/>
            <rFont val="Tahoma"/>
            <family val="2"/>
          </rPr>
          <t xml:space="preserve">
En este Apartado utilice las categorías que se encuentran en el Anexo de su Contrato y valide posteriormente que sean las mismas que encontrará en el Informe LMS 1 que pueden obtener del EXTRANET del BID. </t>
        </r>
      </text>
    </comment>
    <comment ref="A13" authorId="0">
      <text>
        <r>
          <rPr>
            <b/>
            <sz val="8"/>
            <color indexed="81"/>
            <rFont val="Tahoma"/>
            <family val="2"/>
          </rPr>
          <t>Gloria Coronel:</t>
        </r>
        <r>
          <rPr>
            <sz val="8"/>
            <color indexed="81"/>
            <rFont val="Tahoma"/>
            <family val="2"/>
          </rPr>
          <t xml:space="preserve">
Esto debe conciliar con lo indicado en informe LMS 1 del BID.  Este informe lo pueden acceder a traves del EXTRANET. </t>
        </r>
      </text>
    </comment>
    <comment ref="D13" authorId="0">
      <text>
        <r>
          <rPr>
            <sz val="8"/>
            <color indexed="81"/>
            <rFont val="Tahoma"/>
            <family val="2"/>
          </rPr>
          <t xml:space="preserve">
Recuerde preparar una hoja o subtotal por país de los proveedores.
</t>
        </r>
      </text>
    </comment>
    <comment ref="E13" authorId="0">
      <text>
        <r>
          <rPr>
            <b/>
            <sz val="10"/>
            <color indexed="81"/>
            <rFont val="Tahoma"/>
            <family val="2"/>
          </rPr>
          <t>Gloria Coronel:</t>
        </r>
        <r>
          <rPr>
            <sz val="10"/>
            <color indexed="81"/>
            <rFont val="Tahoma"/>
            <family val="2"/>
          </rPr>
          <t xml:space="preserve">
El No de referencia puede ser el no de la carta de no objección o en el caso de consultorías (indiv. o firmas), el código PRISM.</t>
        </r>
      </text>
    </comment>
    <comment ref="F13" authorId="0">
      <text>
        <r>
          <rPr>
            <b/>
            <sz val="10"/>
            <color indexed="81"/>
            <rFont val="Tahoma"/>
            <family val="2"/>
          </rPr>
          <t>Gloria Coronel:</t>
        </r>
        <r>
          <rPr>
            <sz val="10"/>
            <color indexed="81"/>
            <rFont val="Tahoma"/>
            <family val="2"/>
          </rPr>
          <t xml:space="preserve">
El No de referencia puede ser el no de la carta de no objección o en el caso de consultorías (indiv. o firmas), el código PRISM.</t>
        </r>
      </text>
    </comment>
    <comment ref="H13" authorId="1">
      <text>
        <r>
          <rPr>
            <sz val="8"/>
            <color indexed="81"/>
            <rFont val="Tahoma"/>
            <family val="2"/>
          </rPr>
          <t xml:space="preserve">
Si si operación esta aprobada en moneda extranjera y los pagos de la operación se realizan en moneda nacional o una moneda diferente a la aprobada,  el tipo de cambio de MXN/USD lo pueden obtener a traves del EXTRANET del  BID.  Si no tiene acceso, este lo pueden solicitar al sector financiero de la representación.
</t>
        </r>
      </text>
    </comment>
    <comment ref="J13" authorId="2">
      <text>
        <r>
          <rPr>
            <sz val="9"/>
            <color indexed="81"/>
            <rFont val="Tahoma"/>
            <family val="2"/>
          </rPr>
          <t>Revisar quien finalmente pagará este gasto y asignar a él</t>
        </r>
        <r>
          <rPr>
            <b/>
            <sz val="9"/>
            <color indexed="81"/>
            <rFont val="Tahoma"/>
            <family val="2"/>
          </rPr>
          <t xml:space="preserve">
</t>
        </r>
        <r>
          <rPr>
            <sz val="9"/>
            <color indexed="81"/>
            <rFont val="Tahoma"/>
            <family val="2"/>
          </rPr>
          <t xml:space="preserve">
</t>
        </r>
      </text>
    </comment>
  </commentList>
</comments>
</file>

<file path=xl/sharedStrings.xml><?xml version="1.0" encoding="utf-8"?>
<sst xmlns="http://schemas.openxmlformats.org/spreadsheetml/2006/main" count="703" uniqueCount="358">
  <si>
    <t>Fuente de Financiamiento y porcentaje</t>
  </si>
  <si>
    <t>Local / Otro %</t>
  </si>
  <si>
    <t>Comentarios</t>
  </si>
  <si>
    <t xml:space="preserve"> </t>
  </si>
  <si>
    <t>Monto límite para revisión ex post de adquisiciones:</t>
  </si>
  <si>
    <t>Costo estimado de la Adquisición         (US$)</t>
  </si>
  <si>
    <t>Período del Plan:</t>
  </si>
  <si>
    <t xml:space="preserve">Fecha estimada del Anuncio de Adquisición o del Inicio de la contratación </t>
  </si>
  <si>
    <t>Bienes y servicios (monto en U$S):_______</t>
  </si>
  <si>
    <t>Consultorias (monto en U$S):_________</t>
  </si>
  <si>
    <t>Total</t>
  </si>
  <si>
    <t>BID/MIF %</t>
  </si>
  <si>
    <t>Ref. POA</t>
  </si>
  <si>
    <t xml:space="preserve">Servicios diferentes a consultoría  </t>
  </si>
  <si>
    <t>Unidad Ejecutora</t>
  </si>
  <si>
    <r>
      <rPr>
        <b/>
        <vertAlign val="superscript"/>
        <sz val="10"/>
        <rFont val="Calibri"/>
        <family val="2"/>
        <scheme val="minor"/>
      </rPr>
      <t>(2)</t>
    </r>
    <r>
      <rPr>
        <sz val="10"/>
        <rFont val="Calibri"/>
        <family val="2"/>
        <scheme val="minor"/>
      </rPr>
      <t xml:space="preserve"> </t>
    </r>
    <r>
      <rPr>
        <b/>
        <u/>
        <sz val="10"/>
        <rFont val="Calibri"/>
        <family val="2"/>
        <scheme val="minor"/>
      </rPr>
      <t>Bienes y Obras</t>
    </r>
    <r>
      <rPr>
        <sz val="10"/>
        <rFont val="Calibri"/>
        <family val="2"/>
        <scheme val="minor"/>
      </rPr>
      <t xml:space="preserve">:  </t>
    </r>
    <r>
      <rPr>
        <b/>
        <sz val="10"/>
        <rFont val="Calibri"/>
        <family val="2"/>
        <scheme val="minor"/>
      </rPr>
      <t>LP</t>
    </r>
    <r>
      <rPr>
        <sz val="10"/>
        <rFont val="Calibri"/>
        <family val="2"/>
        <scheme val="minor"/>
      </rPr>
      <t xml:space="preserve">: Licitación Pública;  </t>
    </r>
    <r>
      <rPr>
        <b/>
        <sz val="10"/>
        <rFont val="Calibri"/>
        <family val="2"/>
        <scheme val="minor"/>
      </rPr>
      <t>CP</t>
    </r>
    <r>
      <rPr>
        <sz val="10"/>
        <rFont val="Calibri"/>
        <family val="2"/>
        <scheme val="minor"/>
      </rPr>
      <t xml:space="preserve">: Comparación de Precios;  </t>
    </r>
    <r>
      <rPr>
        <b/>
        <sz val="10"/>
        <rFont val="Calibri"/>
        <family val="2"/>
        <scheme val="minor"/>
      </rPr>
      <t>CD</t>
    </r>
    <r>
      <rPr>
        <sz val="10"/>
        <rFont val="Calibri"/>
        <family val="2"/>
        <scheme val="minor"/>
      </rPr>
      <t xml:space="preserve">: Contratación Directa.    </t>
    </r>
  </si>
  <si>
    <r>
      <t>(2)</t>
    </r>
    <r>
      <rPr>
        <sz val="10"/>
        <rFont val="Calibri"/>
        <family val="2"/>
        <scheme val="minor"/>
      </rPr>
      <t xml:space="preserve"> </t>
    </r>
    <r>
      <rPr>
        <b/>
        <u/>
        <sz val="10"/>
        <rFont val="Calibri"/>
        <family val="2"/>
        <scheme val="minor"/>
      </rPr>
      <t>Firmas de consultoria</t>
    </r>
    <r>
      <rPr>
        <sz val="10"/>
        <rFont val="Calibri"/>
        <family val="2"/>
        <scheme val="minor"/>
      </rPr>
      <t>:  SCC: Selección Basada en la Calificación de los Consultores; SBCC: Selección Basada en Calidad y Costo; SBMC: Selección Basada en el Menor Costo; SBPF: Selección Basada en Presupuesto Fijo. SD: Selección Directa; SBC: Selección Basada en Calidad</t>
    </r>
  </si>
  <si>
    <r>
      <t>(4)</t>
    </r>
    <r>
      <rPr>
        <sz val="10"/>
        <rFont val="Calibri"/>
        <family val="2"/>
        <scheme val="minor"/>
      </rPr>
      <t xml:space="preserve">  </t>
    </r>
    <r>
      <rPr>
        <b/>
        <u/>
        <sz val="10"/>
        <rFont val="Calibri"/>
        <family val="2"/>
        <scheme val="minor"/>
      </rPr>
      <t>Revisión técnica</t>
    </r>
    <r>
      <rPr>
        <sz val="10"/>
        <rFont val="Calibri"/>
        <family val="2"/>
        <scheme val="minor"/>
      </rPr>
      <t>: Esta columna será utilizada por el JEP para definir aquellas adquisiciones que considere "críticas" o "complejas" que requieran la revisión ex ante de los términos de referencia, especificaciones técnicas, informes, productos, u otros.</t>
    </r>
  </si>
  <si>
    <t xml:space="preserve">Banco Interamericano de Desarrollo </t>
  </si>
  <si>
    <t>VPC/FMP</t>
  </si>
  <si>
    <t>PLAN DE ADQUISICIONES  DE COOPERACIONES TECNICAS NO REEMBOLSABLES</t>
  </si>
  <si>
    <t>Nº Item</t>
  </si>
  <si>
    <t>Descripción de las adquisiciones 
(1)</t>
  </si>
  <si>
    <t>Método de Adquisición 
(2)</t>
  </si>
  <si>
    <t>Revisión técnica del JEP
(4)</t>
  </si>
  <si>
    <t>Revisión  de adquisiciones 
(Ex-ante o 
Ex-Post) 
(3)</t>
  </si>
  <si>
    <r>
      <rPr>
        <b/>
        <vertAlign val="superscript"/>
        <sz val="10"/>
        <rFont val="Calibri"/>
        <family val="2"/>
        <scheme val="minor"/>
      </rPr>
      <t>(1)</t>
    </r>
    <r>
      <rPr>
        <sz val="10"/>
        <rFont val="Calibri"/>
        <family val="2"/>
        <scheme val="minor"/>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</si>
  <si>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0"/>
        <rFont val="Calibri"/>
        <family val="2"/>
        <scheme val="minor"/>
      </rPr>
      <t xml:space="preserve">(2) </t>
    </r>
    <r>
      <rPr>
        <b/>
        <u/>
        <sz val="10"/>
        <rFont val="Calibri"/>
        <family val="2"/>
        <scheme val="minor"/>
      </rPr>
      <t>Consultores Individuales</t>
    </r>
    <r>
      <rPr>
        <sz val="10"/>
        <rFont val="Calibri"/>
        <family val="2"/>
        <scheme val="minor"/>
      </rPr>
      <t xml:space="preserve">: </t>
    </r>
    <r>
      <rPr>
        <b/>
        <sz val="10"/>
        <rFont val="Calibri"/>
        <family val="2"/>
        <scheme val="minor"/>
      </rPr>
      <t>CCIN</t>
    </r>
    <r>
      <rPr>
        <sz val="10"/>
        <rFont val="Calibri"/>
        <family val="2"/>
        <scheme val="minor"/>
      </rPr>
      <t xml:space="preserve">: Selección basada en la Comparación de Calificaciones Consultor Individual ; SD: Selección Directa. </t>
    </r>
  </si>
  <si>
    <r>
      <t>(3)</t>
    </r>
    <r>
      <rPr>
        <sz val="10"/>
        <rFont val="Calibri"/>
        <family val="2"/>
        <scheme val="minor"/>
      </rPr>
      <t xml:space="preserve"> </t>
    </r>
    <r>
      <rPr>
        <b/>
        <u/>
        <sz val="10"/>
        <rFont val="Calibri"/>
        <family val="2"/>
        <scheme val="minor"/>
      </rPr>
      <t xml:space="preserve"> Revisión ex-ante/ ex-post</t>
    </r>
    <r>
      <rPr>
        <sz val="10"/>
        <rFont val="Calibri"/>
        <family val="2"/>
        <scheme val="minor"/>
      </rPr>
      <t>. En general, dependiendo de la capacidad institucional y el nivel de riesgo asociados a las adquisiciones la modalidad estándar es revisión ex-post. Para procesos críticos o complejos podrá establecerse la revisión ex-ante.</t>
    </r>
  </si>
  <si>
    <t>País: México</t>
  </si>
  <si>
    <t>Número del Proyecto: ATN/ME-14042-ME</t>
  </si>
  <si>
    <t>BANAMEX</t>
  </si>
  <si>
    <t>Proyecto de Sostenibilidad para PyMEs: Sensibilidad, Asesoramiento y Financiacion.</t>
  </si>
  <si>
    <t>Componente 1: Definición del mercado previsto para financiamiento de la eficiencia energética de las PYME</t>
  </si>
  <si>
    <t>Componente 2: Desarrollo del producto Eco-Crédito</t>
  </si>
  <si>
    <t>Componente 3: Sensibilización y capacitación de las PYME en materia de eficiencia energética</t>
  </si>
  <si>
    <t>Componente 4: Fortalecimiento de la capacidad del personal Banamex</t>
  </si>
  <si>
    <t>Componente 5: Desarrollo de un programa de proveedores con socios estratégicos</t>
  </si>
  <si>
    <t xml:space="preserve">Componente 6: Gestión del conocimiento y estrategia de difusión </t>
  </si>
  <si>
    <t>Ley Local: en los casos que el financiamiento es 100% con recursos de la contrapartida.</t>
  </si>
  <si>
    <t>CI: Consultor Individual (usualmente seleccionados en base a por lo menos tres candidatos)</t>
  </si>
  <si>
    <t>SD: Selección directa</t>
  </si>
  <si>
    <t>SCC: Selección basada en calificaciones de consult.</t>
  </si>
  <si>
    <t>SBMC: Selección basada en el menor costo</t>
  </si>
  <si>
    <t>SBPF: Selección basada en presupuesto fijo</t>
  </si>
  <si>
    <t>SBC: Selección basada en calidad</t>
  </si>
  <si>
    <t>SBCC: Selección basado en calidad y costo</t>
  </si>
  <si>
    <t>Método de selección</t>
  </si>
  <si>
    <t>CAE: Contratación a través de Agencia Especializada</t>
  </si>
  <si>
    <t>AD: Administración Directa</t>
  </si>
  <si>
    <t>CD: Compra directa</t>
  </si>
  <si>
    <t>CP: Comparación de precios</t>
  </si>
  <si>
    <t>LP: Licitación privada nacional</t>
  </si>
  <si>
    <t>LIL: Licitación Internacional Limitada</t>
  </si>
  <si>
    <t>LPI: Licitación Pública Internacional</t>
  </si>
  <si>
    <t>LPN: Licitación Pública Nacional</t>
  </si>
  <si>
    <t>Método de adquisición</t>
  </si>
  <si>
    <t>Cantitad y Costo Unitario</t>
  </si>
  <si>
    <t>Descripción</t>
  </si>
  <si>
    <t>Bienes, Consultorías, o Servicios (No Consultoría)</t>
  </si>
  <si>
    <t>Modalidad de Actividad</t>
  </si>
  <si>
    <t>Describa el objeto del contrato (haga referencia a los ítems del presupuesto)</t>
  </si>
  <si>
    <t>Descripción Contrato</t>
  </si>
  <si>
    <t>Percentages FOMIN and counterparty:</t>
  </si>
  <si>
    <t>TOTAL</t>
  </si>
  <si>
    <t>Agenda Account</t>
  </si>
  <si>
    <t>Impact Evaluation (5%) of MIF funding</t>
  </si>
  <si>
    <t>Sub-Total Global</t>
  </si>
  <si>
    <t>Sub-Total Administration</t>
  </si>
  <si>
    <t>Contingencies (2%) of MIF funding</t>
  </si>
  <si>
    <t>Final Evaluation and surveys</t>
  </si>
  <si>
    <t>Auditing and ex-post review of procurement</t>
  </si>
  <si>
    <t>Project Assistant</t>
  </si>
  <si>
    <t>Project Coordinator</t>
  </si>
  <si>
    <t>PROJECT ADMINISTRATION</t>
  </si>
  <si>
    <t>Total Component 6</t>
  </si>
  <si>
    <t>FOMIN</t>
  </si>
  <si>
    <t>Activity 6.3 - Participation in international events</t>
  </si>
  <si>
    <t>Consultant</t>
  </si>
  <si>
    <t>Activity 6.2 - How-to guide</t>
  </si>
  <si>
    <t>Activity 6.1 - Infographic</t>
  </si>
  <si>
    <t>Component 6: Knowledge Management and Dissemination Strategy</t>
  </si>
  <si>
    <t>Total Component 5</t>
  </si>
  <si>
    <t>Explaining vendors how the credit flow process will work</t>
  </si>
  <si>
    <t>Banamex</t>
  </si>
  <si>
    <t>Activity 5.3 - Training of credit flow</t>
  </si>
  <si>
    <t>Agreeing and teaching on Nafin requirement like energy savings calculator and disposal programm</t>
  </si>
  <si>
    <t>Establishing contract's terms and conditions with vendors</t>
  </si>
  <si>
    <t>Activity 5.1 - Negotiation of vendor agreements</t>
  </si>
  <si>
    <t>Component 5: Develop vendor program with strategic partners</t>
  </si>
  <si>
    <t>Total Component 4</t>
  </si>
  <si>
    <t>In person trainining for Banamex SME's executives</t>
  </si>
  <si>
    <t>On-line trainining for Banamex SME's executives</t>
  </si>
  <si>
    <t>Customizing TEC on line training for Banamex PYME executives</t>
  </si>
  <si>
    <t>Component 4: Capacity building for Banamex staff</t>
  </si>
  <si>
    <t>Total Component 3</t>
  </si>
  <si>
    <t>Organizing 3 conferences in DF, Guadalajara and Monterrey</t>
  </si>
  <si>
    <r>
      <t>Banamex develops commecial campaign and marketing materials:</t>
    </r>
    <r>
      <rPr>
        <b/>
        <sz val="9"/>
        <rFont val="Arial"/>
        <family val="2"/>
      </rPr>
      <t xml:space="preserve"> flyers and marketing materials</t>
    </r>
  </si>
  <si>
    <t>Organizing workshops and events at distributor's point of sale to enhance product sell</t>
  </si>
  <si>
    <t>Leverage on TEC on line training tool to provide training to SME</t>
  </si>
  <si>
    <t>Component 3: Awareness Raising and training for SMEs on EE</t>
  </si>
  <si>
    <t>Total Component 2</t>
  </si>
  <si>
    <t xml:space="preserve">Analyzing credit risk behavior along with prescreening campaign </t>
  </si>
  <si>
    <t>Creating process flow chart and training vendors on this new scheme</t>
  </si>
  <si>
    <t>Establishing mechanisms to create internal operating process</t>
  </si>
  <si>
    <t>Create a Product Program containing all specifications and details applicable to EcoCredito</t>
  </si>
  <si>
    <t>Component 2: EcoCredito Product Development</t>
  </si>
  <si>
    <t>Total Component 1</t>
  </si>
  <si>
    <t>Overlapping market segmentation+results GiZ study</t>
  </si>
  <si>
    <t>Activity 1.2 - Definition of target market</t>
  </si>
  <si>
    <t>Determining customers suitable for Energy Efficience matters</t>
  </si>
  <si>
    <t>Activity 1.1 - Segmentation of SME loan portfolio</t>
  </si>
  <si>
    <t>Component 1: Defining the target Market for SME energy efficiencylending</t>
  </si>
  <si>
    <t>Efectivo</t>
  </si>
  <si>
    <t xml:space="preserve">% Counterparty </t>
  </si>
  <si>
    <t>BNMX In-kind</t>
  </si>
  <si>
    <t>BNMX Cash</t>
  </si>
  <si>
    <t>% FOMIN</t>
  </si>
  <si>
    <t>Cost Description</t>
  </si>
  <si>
    <t>Provider</t>
  </si>
  <si>
    <t>Budget ME-M1088</t>
  </si>
  <si>
    <t>Consultorias de firmas</t>
  </si>
  <si>
    <t>Segmentación de la cartera de créditos a PYME</t>
  </si>
  <si>
    <t>LOCALES</t>
  </si>
  <si>
    <t>Definición del mercado objetivo</t>
  </si>
  <si>
    <t>Definición de una nueva plantilla para solicitudes de crédito con parámetros de uso de energía</t>
  </si>
  <si>
    <t>Ex-ante</t>
  </si>
  <si>
    <t>SCC</t>
  </si>
  <si>
    <t>Establecimiento de los procesos operativos internos de Ecocrédito</t>
  </si>
  <si>
    <t>Desarrollo de la estrategia comercial de Ecocrédito</t>
  </si>
  <si>
    <t>Capacitación on-line a clientes de PYME</t>
  </si>
  <si>
    <t>SD</t>
  </si>
  <si>
    <t>CP</t>
  </si>
  <si>
    <t>El memo de donantes ya establece que será desarrollado por personal de Banamex</t>
  </si>
  <si>
    <t>El memo de donantes ya establece que será desarrollado por personal de Banamex previamente capacitados (ítem 4.5)</t>
  </si>
  <si>
    <t>Consultorias individuales</t>
  </si>
  <si>
    <t>Infografía</t>
  </si>
  <si>
    <t>Participación en eventos internacionales</t>
  </si>
  <si>
    <t>Coordinador de proyecto</t>
  </si>
  <si>
    <t>Asistente de proyecto</t>
  </si>
  <si>
    <t>CCIN</t>
  </si>
  <si>
    <t>Auditoría y revisiones Ex-post</t>
  </si>
  <si>
    <t>Evaluación final y encuestas</t>
  </si>
  <si>
    <t>Ex-post</t>
  </si>
  <si>
    <t>Adquisición crítica</t>
  </si>
  <si>
    <t>Definición del programa de producto</t>
  </si>
  <si>
    <t>Establecimiento de los procesos operativos externos de Ecocrédito (por ej. diagrama de flujo con el vendedor)</t>
  </si>
  <si>
    <t>Diseño y negociación del contrato con proveedores</t>
  </si>
  <si>
    <t>Contratación agencia de mercadotecnia. Campaña comercial BANAMEX (clientes PYME)</t>
  </si>
  <si>
    <t>Capacitación en conceptos de eficiencia energética (on-line y en persona)</t>
  </si>
  <si>
    <t>Entrenamiento del equipo de ventas comercial en ciudades donde las conferencias son impartidas</t>
  </si>
  <si>
    <t>Entrenamiento de entrenadores para Vendor Program</t>
  </si>
  <si>
    <t>Entrenamiento en el flujo de crédito</t>
  </si>
  <si>
    <t>Capacitación a proveedores/vendedores en concepto de eficiencia enegética</t>
  </si>
  <si>
    <t>Elaboración de guía How-To</t>
  </si>
  <si>
    <t>Apertura y administración Fideicomiso</t>
  </si>
  <si>
    <t>Preparado por: Guillermo Aguilar</t>
  </si>
  <si>
    <t>Contratación de una agencia de mercacotecnia para desarrollar la estrategia de publicidad de conferencias, imagen, marca</t>
  </si>
  <si>
    <t>Desarrollo de la herramienta de medición (Calculadora energética)</t>
  </si>
  <si>
    <t>Presencia en eventos de trascendencia internacional, patrocionios y participación en impartición de conferencias en foros de eficiencia energética, PyMEs y Emprendedores.</t>
  </si>
  <si>
    <t>Participación en eventos nacionales/Foros/Patrocinios</t>
  </si>
  <si>
    <t>Activity 3.1 - Development of a measurement tool (Calculator of energy consumption)</t>
  </si>
  <si>
    <t>Activity 4.1 - Training on energy efficiency concepts (on-line)</t>
  </si>
  <si>
    <t>Activity 4.2 - Training for commercial campaign in cities where the workshops will be held</t>
  </si>
  <si>
    <t>Activity 4.3 - Training the trainers for Vendor Program</t>
  </si>
  <si>
    <t>Activity 5.2 - Training to Vendors/Distributors on energy efficiency concepts</t>
  </si>
  <si>
    <t>Desarrollo Talleres / Conferencias</t>
  </si>
  <si>
    <t>Contratación de Speakers/Consultores expertos para impartición de Talleres/Conferencias</t>
  </si>
  <si>
    <t>Desarrollo de materiales para los talleres y conferencias</t>
  </si>
  <si>
    <t>Desarrollo de esquema de concientización masiva.</t>
  </si>
  <si>
    <t>Desarrollo de materiales para la concientización masiva (Producción de videos, flyers, publicidad para los materiales, sistema de medición de impacto de medio masivo).</t>
  </si>
  <si>
    <t>Sedes y Coffee Break conferencias/talleres</t>
  </si>
  <si>
    <t>Varias empresas consultoras por Región con contratos mejores a US$30,000.</t>
  </si>
  <si>
    <t>Auditoría energética para muestra significativa de clientes que tomaron medidas tras atender a capacitación.</t>
  </si>
  <si>
    <t>Auditoría energética para muestra significativa de clientes capacitados.</t>
  </si>
  <si>
    <t>Desarrollo de material de publicidad, libretas, pendones, etc. Podrían ser varios proveedores.</t>
  </si>
  <si>
    <t>Varias sedes y hoteles para los eventos</t>
  </si>
  <si>
    <t>BID</t>
  </si>
  <si>
    <t xml:space="preserve">Producción video educativo </t>
  </si>
  <si>
    <t>Desarrollo de materiales publicitatios (flyers, infografías, etc)</t>
  </si>
  <si>
    <t>Desarrollo de contenido video y guión</t>
  </si>
  <si>
    <t>Activity 2.1 - Definition of product program</t>
  </si>
  <si>
    <t xml:space="preserve">Activity 2.2 - Establishing EcoCredito internal operating processes </t>
  </si>
  <si>
    <t>Activity 2.3 - Establishing EcoCredito operating processes external i.e. flowchart with Vendor.</t>
  </si>
  <si>
    <t>Activity 2.4 - Developing EcoCredito commercial strategy</t>
  </si>
  <si>
    <t>Se podría pasar a otro componente en un futuro</t>
  </si>
  <si>
    <t>El memo de donantes ya establece que será desarrollado por el ITESM, pero se están evaluando otros posibles proveedores.</t>
  </si>
  <si>
    <t>SD/SCC</t>
  </si>
  <si>
    <t>El memo de donantes ya establece que será desarrollado por el ITESM. Mismo punto que arriba</t>
  </si>
  <si>
    <t>El memo de donantes ya establece que será desarrollado por Edufin, programa de Banamex destinado a capacitación financiera. Se pensó que Edufin palomeara el diseño de cursos pero pudiera no tener expertise (speakers adecuados) para dar la capacitación. Se estará evaluando</t>
  </si>
  <si>
    <t>Desarrollo y ejecución estratégia de medios en los que se masificará el crédito</t>
  </si>
  <si>
    <t>Se le asignará un presupuesto a la agencia de medios PyME para realizar la campaña de masificación en donde se dará a conocer la oferta diseñada a través de los diferentes canales que tocan al target del producto de crédito.</t>
  </si>
  <si>
    <t>3.2.1</t>
  </si>
  <si>
    <t>3.2.2</t>
  </si>
  <si>
    <t>3.2.3</t>
  </si>
  <si>
    <t>3.2.4</t>
  </si>
  <si>
    <t>3.2.4.1</t>
  </si>
  <si>
    <t>3.2.4.2</t>
  </si>
  <si>
    <t>3.2.4.3</t>
  </si>
  <si>
    <t>3.2.4.4</t>
  </si>
  <si>
    <t>3.2.4.5</t>
  </si>
  <si>
    <t>3.2.5</t>
  </si>
  <si>
    <t>Activity 3.2 - Development of conferences and workshops</t>
  </si>
  <si>
    <t>Activity 3.3 - Presence in national forums and sponsorship</t>
  </si>
  <si>
    <t>Activity 3.4 - Marketing agency. Banamex marketing campaign (SME clients)</t>
  </si>
  <si>
    <t>Pago a agencia para producción de video que tenga contenido que sirva de capacitación y recomendaciones generales para PYMEs</t>
  </si>
  <si>
    <t>Estudio previo a distribución y seguimiento de impacto de estrategia de masificación</t>
  </si>
  <si>
    <t>Fecha: Marzo 2015</t>
  </si>
  <si>
    <t>Se realizó un estudio de los clientes PYME Banamex en donde a través de algunas segmentaciones en la cartera se logró identificar a algunos clientes potenciales, principalmente a aquellos que se encuentran en campaña de crédito lo que los hace mejores candidatos para recibir financiamiento.</t>
  </si>
  <si>
    <t xml:space="preserve">Se realizó una segmentación de clientes para identificar a aquellas PYMES potenciales para ser incluidas en el programa de crédito de eficiencia energética. El análisis se dividió en dos perfiles de PYMES: Persona Física con Actividad Empresarial y Persona Moral. En el caso del perfil PFAE: Saldos de Capacitación entre $45,000 y $300,000. Líneas de Crédito Menores a 300,00 . En el caso del perfil PM: - Saldos de Capacitación entre $115,000 y $380,000.  Líneas de crédito menores a 290,000 (Importe de servicios). </t>
  </si>
  <si>
    <t>Se desarrolló un flujo operativo para el Crédito Negocio Sustentable Banamex, el flujo es muy similar al ya existente del Crédito Negocios Banamex por lo que no requería capacitación a la fuerza de ventas al respecto</t>
  </si>
  <si>
    <t>El diagrama del flujo del ejecutivo de cuenta con el vendedor se desarrolló acompañado de una capacitación a la fuerza de ventas en donde se definió la relación que se pretendía establecer con consultores y distribuidores para la promoción y difusión del crédito.</t>
  </si>
  <si>
    <t>La estrategía comercial del Crédito Negocio Sustentable Banamex también estuvo acompañada de una capacitación a la fuerza de ventas en donde se les informaron las ventajas, beneficios y argumentos de ventas para el producto y para la detección de clientes con potencial de reducción de costos en energía.</t>
  </si>
  <si>
    <t>En desarrollo</t>
  </si>
  <si>
    <t>Desarrollo de calculadora energética para MRV y sensibilización de usuarios al hacer uso de la misma, en donde se buscara guiar de manera general al cliente con el objetivo de presentarle su potencial de ahorro en costos de energía.</t>
  </si>
  <si>
    <t>Se desarrollo un concepto y una estrategia interna para la promoción del financiamiento.</t>
  </si>
  <si>
    <t>El video se utilizara como parte de la sensibilización en el tema de eficiencia energética y reducción de costos energéticos para PYMEs</t>
  </si>
  <si>
    <t>Los materiales publicitarios serviran como apoyo para la promoción del producto financiero y también como apoyo de la capacitación y sensibilización de las PYMES y Ejecutivos de Cuenta Banamex</t>
  </si>
  <si>
    <t>El estudio servirá como medición y verificación del funcionamiento de la publicidad del producto financiero y también de la sensibilización e interes que se encuentre en las PYMES de México.</t>
  </si>
  <si>
    <t xml:space="preserve">  MODELO D: DETALLE  DE  PAGOS  EFECTUADOS </t>
  </si>
  <si>
    <t>MODELO   D - 1</t>
  </si>
  <si>
    <t>Periodo que cubre la solicitud:</t>
  </si>
  <si>
    <t xml:space="preserve"> 27/03/14</t>
  </si>
  <si>
    <t xml:space="preserve"> hasta</t>
  </si>
  <si>
    <t>Nombre del Organismo Ejecutor:</t>
  </si>
  <si>
    <t>Nº del Contrato de Préstamo o Convenio de Cooperación Técnica:</t>
  </si>
  <si>
    <t>Método de selección de la muestra:</t>
  </si>
  <si>
    <t>Indicar el método de selección que utilizó el auditor para seleccionar su muestra de revisión</t>
  </si>
  <si>
    <t>Categoría de inversión (COI)</t>
  </si>
  <si>
    <t>PAGO EN MONEDA NACIONAL</t>
  </si>
  <si>
    <t># DE COI 
 (LMS1)</t>
  </si>
  <si>
    <t>NOMBRE DEL PROVEEDOR O  DEL  CONSULTOR</t>
  </si>
  <si>
    <t>CONCEPTO DEL PAGO</t>
  </si>
  <si>
    <t>Pais de Origen</t>
  </si>
  <si>
    <t>No. de Referencia/ Registro BID</t>
  </si>
  <si>
    <t>No. de Poliza/ Registro Contable</t>
  </si>
  <si>
    <t>FECHA DE PAGO</t>
  </si>
  <si>
    <t>TIPO  DE CAMBIO</t>
  </si>
  <si>
    <t>TOTAL FACTURA PAGADA</t>
  </si>
  <si>
    <t>TOTAL  DISTRIBUCION BID + APORTE LOCAL
USD</t>
  </si>
  <si>
    <t>Segmentación de la Cartera de crédito PyME</t>
  </si>
  <si>
    <t>En Especie</t>
  </si>
  <si>
    <t>MX</t>
  </si>
  <si>
    <t>ingresar arriba de esta línea</t>
  </si>
  <si>
    <t xml:space="preserve">TOTAL:  </t>
  </si>
  <si>
    <t>Establecimiento procesos operativos internos Eco-crédito</t>
  </si>
  <si>
    <t>Establecimiento procesos operativos externos Eco-crédito</t>
  </si>
  <si>
    <t>Desarrollo de estrategia comercial de Eco-crédito</t>
  </si>
  <si>
    <t>Sustentablemente A.C.</t>
  </si>
  <si>
    <t>Contratación Consultor Ponencia Taller</t>
  </si>
  <si>
    <t>MEA4638</t>
  </si>
  <si>
    <t>Climate &amp; Biodiversity Experts S.C.</t>
  </si>
  <si>
    <t>MEA4643</t>
  </si>
  <si>
    <t>Courtyard Marriott Toluca</t>
  </si>
  <si>
    <t>Contratación de Hotel para Taller</t>
  </si>
  <si>
    <t>Courtyard Marriott SLP</t>
  </si>
  <si>
    <t>Circus Marketing</t>
  </si>
  <si>
    <t>Contratación Agencia Marketing</t>
  </si>
  <si>
    <t>MEA4761</t>
  </si>
  <si>
    <t>Ingenieria Sustentable y Soluciones Tecnológicas SOLTEC SA de CV</t>
  </si>
  <si>
    <t>MEA4647</t>
  </si>
  <si>
    <t>Holiday Inn León</t>
  </si>
  <si>
    <t>Holiday Inn Querétaro</t>
  </si>
  <si>
    <t>Patrocinio Evento</t>
  </si>
  <si>
    <t>Pago Patrocinio Evento CMIC</t>
  </si>
  <si>
    <t>Contratación de Hotel para Taller Ejecutivos</t>
  </si>
  <si>
    <t>Contratación Agencia para Desarrollo de stand y materiales patrocinio</t>
  </si>
  <si>
    <t>Green Power</t>
  </si>
  <si>
    <t>Pago Patrocinio Evento MIREC WEEK</t>
  </si>
  <si>
    <t>Grupo Seras</t>
  </si>
  <si>
    <t>Desarrollo Plataforma en línea anticipo</t>
  </si>
  <si>
    <t>MEA4762</t>
  </si>
  <si>
    <t>Fiesta Americana Aguascalientes</t>
  </si>
  <si>
    <t>Pago de Concepto Creativo</t>
  </si>
  <si>
    <t>Concepto de Iguala de material promocional</t>
  </si>
  <si>
    <t>Ranver</t>
  </si>
  <si>
    <t xml:space="preserve">Estacionamiento Pensión </t>
  </si>
  <si>
    <t>Producción Lona Expo Veracruz</t>
  </si>
  <si>
    <t>Contratación Material Evento PyME</t>
  </si>
  <si>
    <t>Hoteles y Villas Posadas Guadalajara</t>
  </si>
  <si>
    <t>Contratación de Hotel para Taller con Clientes</t>
  </si>
  <si>
    <t>Ecochoice México</t>
  </si>
  <si>
    <t>Pago Evento Eficiencia Energética</t>
  </si>
  <si>
    <t>Servicio de Hospedaje y/o Alimentación</t>
  </si>
  <si>
    <t>Climate &amp; Biodiversity Experts</t>
  </si>
  <si>
    <t>Diagnóstico y análisis energético</t>
  </si>
  <si>
    <t>Evento PyME 3 de septiembre</t>
  </si>
  <si>
    <t>Rossana Conte Galvan</t>
  </si>
  <si>
    <t>Expo Laguna Sustentable Torreón</t>
  </si>
  <si>
    <t>Contratación creación de flyers</t>
  </si>
  <si>
    <t>Contratación para desarrollo de Stand Expo Pymes Ciudad de México</t>
  </si>
  <si>
    <t>Estacionamiento Pensión Mensual</t>
  </si>
  <si>
    <t>Instituto de Estudios y Capacitación Genesis</t>
  </si>
  <si>
    <t>Renta de espacio para exposición en Expo Laguna</t>
  </si>
  <si>
    <t>EnergÍas Renovables ERESA del Desierto</t>
  </si>
  <si>
    <t>Stand de exhibición</t>
  </si>
  <si>
    <t>Hotel Montebello Torreón</t>
  </si>
  <si>
    <t>Renta de habitación Expo Laguna Sustentable</t>
  </si>
  <si>
    <t xml:space="preserve">Concepto de publicidad (flyers) </t>
  </si>
  <si>
    <t>Imelda Becerra Flores</t>
  </si>
  <si>
    <t>Montaje Stand  Expo Congreso de Energía Solar y Eficiencia Energ{etica</t>
  </si>
  <si>
    <t>Promotora Punta Nizuc</t>
  </si>
  <si>
    <t>Sede para taller de eficiencia energética</t>
  </si>
  <si>
    <t>Asociación Mexicana de Empresas de Eficiencia Energética</t>
  </si>
  <si>
    <t>Concepto de pago de ponencia Expo Laguna Torreón</t>
  </si>
  <si>
    <t>Comercializadora Tecnoahorros</t>
  </si>
  <si>
    <t>Seminario eficiencia energética Nizuc-Banamex</t>
  </si>
  <si>
    <t>Fibra Hotelera SC</t>
  </si>
  <si>
    <t>CANAFEM</t>
  </si>
  <si>
    <t>Participación en Congreso Nacional de Ecología</t>
  </si>
  <si>
    <t>Climate &amp; Biodiversity</t>
  </si>
  <si>
    <t>Conferencia Guadalajara</t>
  </si>
  <si>
    <t>Desarrollo y mantenimiento de herramienta</t>
  </si>
  <si>
    <t>Starcom Worldwilde S.A. de C.V.</t>
  </si>
  <si>
    <t>Pago de campaña Pymes Sustentables</t>
  </si>
  <si>
    <t>MARIANA VIESCA GARCIA DE ALBA</t>
  </si>
  <si>
    <t>Pago Nomina (1a Junio)</t>
  </si>
  <si>
    <t>Pago Nomina (2a Junio)</t>
  </si>
  <si>
    <t>Pago Nomina (1a Julio)</t>
  </si>
  <si>
    <t>Pago Nomina (2a Julio)</t>
  </si>
  <si>
    <t>Pago Nomina (1a Agosto)</t>
  </si>
  <si>
    <t>Pago Nomina (2a Agosto)</t>
  </si>
  <si>
    <t>Pago Nomina (1a Septiembre)</t>
  </si>
  <si>
    <t>Pago Nomina (2a Septiembre)</t>
  </si>
  <si>
    <t>Pago Nomina (1a Octubre)</t>
  </si>
  <si>
    <t>Pago Nomina (2a Octubre)</t>
  </si>
  <si>
    <t>Pago Nomina (1a Noviembre)</t>
  </si>
  <si>
    <t>Pago Nomina (2a Noviembre)</t>
  </si>
  <si>
    <t>Pago Nomina (1a Diciembre)</t>
  </si>
  <si>
    <t>Pago Nomina (2a Diciembre)</t>
  </si>
  <si>
    <t>Pago Nomina (1a Enero)</t>
  </si>
  <si>
    <t>Pago Nomina (2a Enero)</t>
  </si>
  <si>
    <t>Pago Nomina (1a Febrero)</t>
  </si>
  <si>
    <t>Pago Nomina (2a Febrero)</t>
  </si>
  <si>
    <t>Pago Nomina (1a Marzo)</t>
  </si>
  <si>
    <t>Pago Nomina (2a Marzo)</t>
  </si>
  <si>
    <t>Pago Nomina (1a Abril)</t>
  </si>
  <si>
    <t>Pago Nomina (2a Abril)</t>
  </si>
  <si>
    <t>Pago Nomina (1a Mayo)</t>
  </si>
  <si>
    <t>Pago Nomina (2a Mayo)</t>
  </si>
  <si>
    <t>ALEJANDRA GALÁN DOMÍNGUEZ</t>
  </si>
  <si>
    <t>GRAN TOTAL</t>
  </si>
  <si>
    <t>________________________________________________</t>
  </si>
  <si>
    <t>PREPARADO POR:</t>
  </si>
  <si>
    <t>Mariana Viesca García de Alba</t>
  </si>
  <si>
    <t>Firma(s) Autorizada(s)</t>
  </si>
  <si>
    <t>Nombre(s) y Cargo(s)</t>
  </si>
  <si>
    <t>Fecha</t>
  </si>
  <si>
    <t>Nota:  Para informes largos, pueden dividir impresion con corte de pagina para cada categoria de inversion y el resumen de cada categoria  debe venir firmada.</t>
  </si>
  <si>
    <t>Pago Nomina (2a Sept)</t>
  </si>
  <si>
    <t>Pago Nomina (2a Oct)</t>
  </si>
  <si>
    <t>Pago Nomina (1a Oct)</t>
  </si>
  <si>
    <t>Pago Nomina (1a Nov)</t>
  </si>
  <si>
    <t>Pago Nomina (2a Nov)</t>
  </si>
  <si>
    <t>Pago Nomina (1a Dic)</t>
  </si>
  <si>
    <t>Pago Nomina (2a Dic)</t>
  </si>
  <si>
    <t>Pago Nomina (1a Ene)</t>
  </si>
  <si>
    <t>Pago Nomina (2a Ene)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</si>
</sst>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_(* \(#,##0.00\);_(* &quot;-&quot;??_);_(@_)"/>
    <numFmt numFmtId="164" formatCode="_-* #,##0.00_-;\-* #,##0.00_-;_-* &quot;-&quot;??_-;_-@_-"/>
    <numFmt numFmtId="165" formatCode="_ * #,##0_ ;_ * \-#,##0_ ;_ * &quot;-&quot;??_ ;_ @_ "/>
    <numFmt numFmtId="166" formatCode="0.0%"/>
    <numFmt numFmtId="167" formatCode="_ * #,##0.0_ ;_ * \-#,##0.0_ ;_ * &quot;-&quot;??_ ;_ @_ "/>
    <numFmt numFmtId="168" formatCode="0.0000000%"/>
    <numFmt numFmtId="169" formatCode="_-* #,##0_-;\-* #,##0_-;_-* &quot;-&quot;??_-;_-@_-"/>
    <numFmt numFmtId="170" formatCode="_(* #,##0_);_(* \(#,##0\);_(* &quot;-&quot;??_);_(@_)"/>
    <numFmt numFmtId="171" formatCode="#,##0.0000_);[Red]\(#,##0.0000\)"/>
    <numFmt numFmtId="172" formatCode="_(* #,##0.0_);_(* \(#,##0.0\);_(* &quot;-&quot;??_);_(@_)"/>
  </numFmts>
  <fonts count="40" x14ac:knownFonts="1">
    <font>
      <sz val="10"/>
      <name val="Arial"/>
    </font>
    <font>
      <sz val="8"/>
      <name val="Arial"/>
      <family val="2"/>
    </font>
    <font>
      <sz val="10"/>
      <name val="Arial"/>
      <family val="2"/>
    </font>
    <font>
      <vertAlign val="superscript"/>
      <sz val="10"/>
      <name val="Calibri"/>
      <family val="2"/>
      <scheme val="minor"/>
    </font>
    <font>
      <sz val="10"/>
      <name val="Calibri"/>
      <family val="2"/>
      <scheme val="minor"/>
    </font>
    <font>
      <b/>
      <sz val="11"/>
      <name val="Calibri"/>
      <family val="2"/>
      <scheme val="minor"/>
    </font>
    <font>
      <sz val="11"/>
      <name val="Calibri"/>
      <family val="2"/>
      <scheme val="minor"/>
    </font>
    <font>
      <sz val="11"/>
      <name val="Arial"/>
      <family val="2"/>
    </font>
    <font>
      <b/>
      <sz val="10"/>
      <name val="Calibri"/>
      <family val="2"/>
      <scheme val="minor"/>
    </font>
    <font>
      <b/>
      <vertAlign val="superscript"/>
      <sz val="10"/>
      <name val="Calibri"/>
      <family val="2"/>
      <scheme val="minor"/>
    </font>
    <font>
      <b/>
      <u/>
      <sz val="10"/>
      <name val="Calibri"/>
      <family val="2"/>
      <scheme val="minor"/>
    </font>
    <font>
      <b/>
      <sz val="11"/>
      <color theme="3" tint="0.59999389629810485"/>
      <name val="Calibri"/>
      <family val="2"/>
      <scheme val="minor"/>
    </font>
    <font>
      <sz val="11"/>
      <color theme="3" tint="0.59999389629810485"/>
      <name val="Calibri"/>
      <family val="2"/>
      <scheme val="minor"/>
    </font>
    <font>
      <b/>
      <sz val="12"/>
      <name val="Calibri"/>
      <family val="2"/>
      <scheme val="minor"/>
    </font>
    <font>
      <sz val="12"/>
      <name val="Calibri"/>
      <family val="2"/>
      <scheme val="minor"/>
    </font>
    <font>
      <sz val="9"/>
      <name val="Arial"/>
      <family val="2"/>
    </font>
    <font>
      <b/>
      <sz val="9"/>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name val="Arial"/>
      <family val="2"/>
    </font>
    <font>
      <sz val="10"/>
      <name val="Arial Narrow"/>
      <family val="2"/>
    </font>
    <font>
      <sz val="12"/>
      <name val="Arial"/>
      <family val="2"/>
    </font>
    <font>
      <b/>
      <sz val="10"/>
      <name val="Arial Narrow"/>
      <family val="2"/>
    </font>
    <font>
      <b/>
      <sz val="10"/>
      <color indexed="8"/>
      <name val="Arial Narrow"/>
      <family val="2"/>
    </font>
    <font>
      <b/>
      <sz val="10"/>
      <color rgb="FFFF0000"/>
      <name val="Arial Narrow"/>
      <family val="2"/>
    </font>
    <font>
      <b/>
      <sz val="10"/>
      <color rgb="FF0088EE"/>
      <name val="Arial Narrow"/>
      <family val="2"/>
    </font>
    <font>
      <sz val="10"/>
      <color indexed="12"/>
      <name val="Arial Narrow"/>
      <family val="2"/>
    </font>
    <font>
      <b/>
      <sz val="10"/>
      <color indexed="12"/>
      <name val="Arial Narrow"/>
      <family val="2"/>
    </font>
    <font>
      <sz val="10"/>
      <color rgb="FFFF0000"/>
      <name val="Arial Narrow"/>
      <family val="2"/>
    </font>
    <font>
      <i/>
      <sz val="10"/>
      <color indexed="8"/>
      <name val="Arial Narrow"/>
      <family val="2"/>
    </font>
    <font>
      <u/>
      <sz val="10"/>
      <name val="Arial Narrow"/>
      <family val="2"/>
    </font>
    <font>
      <sz val="10"/>
      <color indexed="10"/>
      <name val="Arial Narrow"/>
      <family val="2"/>
    </font>
    <font>
      <b/>
      <sz val="8"/>
      <color indexed="81"/>
      <name val="Tahoma"/>
      <family val="2"/>
    </font>
    <font>
      <sz val="8"/>
      <color indexed="81"/>
      <name val="Tahoma"/>
      <family val="2"/>
    </font>
    <font>
      <b/>
      <sz val="10"/>
      <color indexed="81"/>
      <name val="Tahoma"/>
      <family val="2"/>
    </font>
    <font>
      <sz val="10"/>
      <color indexed="81"/>
      <name val="Tahoma"/>
      <family val="2"/>
    </font>
    <font>
      <sz val="9"/>
      <color indexed="81"/>
      <name val="Tahoma"/>
      <family val="2"/>
    </font>
    <font>
      <b/>
      <sz val="9"/>
      <color indexed="81"/>
      <name val="Tahoma"/>
      <family val="2"/>
    </font>
  </fonts>
  <fills count="21">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indexed="42"/>
        <bgColor indexed="64"/>
      </patternFill>
    </fill>
    <fill>
      <patternFill patternType="solid">
        <fgColor theme="0" tint="-0.249977111117893"/>
        <bgColor indexed="64"/>
      </patternFill>
    </fill>
    <fill>
      <patternFill patternType="solid">
        <fgColor indexed="22"/>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indexed="9"/>
      </patternFill>
    </fill>
    <fill>
      <patternFill patternType="solid">
        <fgColor rgb="FFFFFF99"/>
        <bgColor indexed="64"/>
      </patternFill>
    </fill>
    <fill>
      <patternFill patternType="solid">
        <fgColor rgb="FFBAF4F3"/>
        <bgColor indexed="64"/>
      </patternFill>
    </fill>
    <fill>
      <patternFill patternType="solid">
        <fgColor rgb="FFBAF4F3"/>
        <bgColor indexed="9"/>
      </patternFill>
    </fill>
    <fill>
      <patternFill patternType="solid">
        <fgColor rgb="FFBAF4F3"/>
      </patternFill>
    </fill>
    <fill>
      <patternFill patternType="gray0625"/>
    </fill>
    <fill>
      <patternFill patternType="gray0625">
        <bgColor rgb="FFFFFF99"/>
      </patternFill>
    </fill>
    <fill>
      <patternFill patternType="solid">
        <fgColor theme="7" tint="0.39997558519241921"/>
        <bgColor indexed="64"/>
      </patternFill>
    </fill>
    <fill>
      <patternFill patternType="solid">
        <fgColor rgb="FF66FF33"/>
        <bgColor indexed="64"/>
      </patternFill>
    </fill>
  </fills>
  <borders count="4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
      <left/>
      <right/>
      <top style="thin">
        <color auto="1"/>
      </top>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medium">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medium">
        <color auto="1"/>
      </top>
      <bottom style="thin">
        <color auto="1"/>
      </bottom>
      <diagonal/>
    </border>
    <border>
      <left/>
      <right style="thin">
        <color auto="1"/>
      </right>
      <top/>
      <bottom/>
      <diagonal/>
    </border>
    <border>
      <left style="thin">
        <color auto="1"/>
      </left>
      <right/>
      <top/>
      <bottom/>
      <diagonal/>
    </border>
  </borders>
  <cellStyleXfs count="17">
    <xf numFmtId="0" fontId="0"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164" fontId="19" fillId="0" borderId="0" applyFont="0" applyFill="0" applyBorder="0" applyAlignment="0" applyProtection="0"/>
    <xf numFmtId="9" fontId="21" fillId="0" borderId="0" applyFont="0" applyFill="0" applyBorder="0" applyAlignment="0" applyProtection="0"/>
    <xf numFmtId="43" fontId="2" fillId="0" borderId="0" applyFont="0" applyFill="0" applyBorder="0" applyAlignment="0" applyProtection="0"/>
    <xf numFmtId="0" fontId="23" fillId="12" borderId="0"/>
    <xf numFmtId="0" fontId="2" fillId="0" borderId="0"/>
  </cellStyleXfs>
  <cellXfs count="448">
    <xf numFmtId="0" fontId="0" fillId="0" borderId="0" xfId="0"/>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horizontal="center"/>
    </xf>
    <xf numFmtId="0" fontId="1" fillId="0" borderId="0" xfId="0" applyFont="1" applyAlignment="1">
      <alignment horizontal="center"/>
    </xf>
    <xf numFmtId="0" fontId="1" fillId="0" borderId="0" xfId="0" applyFont="1"/>
    <xf numFmtId="0" fontId="2" fillId="0" borderId="0" xfId="0" applyFont="1"/>
    <xf numFmtId="0" fontId="7" fillId="0" borderId="0" xfId="0" applyFont="1"/>
    <xf numFmtId="0" fontId="5" fillId="0" borderId="20" xfId="0" applyFont="1" applyFill="1" applyBorder="1" applyAlignment="1">
      <alignment horizontal="left"/>
    </xf>
    <xf numFmtId="0" fontId="5" fillId="0" borderId="0" xfId="0" applyFont="1" applyFill="1" applyBorder="1" applyAlignment="1">
      <alignment horizontal="left"/>
    </xf>
    <xf numFmtId="0" fontId="5" fillId="0" borderId="0" xfId="0" applyFont="1" applyBorder="1"/>
    <xf numFmtId="0" fontId="5" fillId="0" borderId="0" xfId="0" applyFont="1" applyBorder="1" applyAlignment="1"/>
    <xf numFmtId="0" fontId="6" fillId="0" borderId="0" xfId="0" applyFont="1" applyBorder="1"/>
    <xf numFmtId="0" fontId="6" fillId="0" borderId="21" xfId="0" applyFont="1" applyBorder="1"/>
    <xf numFmtId="0" fontId="6" fillId="0" borderId="22" xfId="0" applyFont="1" applyBorder="1"/>
    <xf numFmtId="0" fontId="6" fillId="0" borderId="5" xfId="0" applyFont="1" applyBorder="1"/>
    <xf numFmtId="0" fontId="6" fillId="0" borderId="23" xfId="0" applyFont="1" applyBorder="1"/>
    <xf numFmtId="0" fontId="6" fillId="0" borderId="27" xfId="0" applyFont="1" applyBorder="1"/>
    <xf numFmtId="0" fontId="7" fillId="0" borderId="0" xfId="0" applyFont="1" applyAlignment="1">
      <alignment horizontal="center"/>
    </xf>
    <xf numFmtId="0" fontId="4" fillId="0" borderId="0" xfId="0" applyFont="1"/>
    <xf numFmtId="0" fontId="8" fillId="2" borderId="3" xfId="0" applyFont="1" applyFill="1" applyBorder="1" applyAlignment="1">
      <alignment horizontal="center" vertical="center" wrapText="1"/>
    </xf>
    <xf numFmtId="0" fontId="15" fillId="0" borderId="0" xfId="1" applyFont="1" applyBorder="1"/>
    <xf numFmtId="0" fontId="15" fillId="3" borderId="0" xfId="1" applyFont="1" applyFill="1" applyBorder="1"/>
    <xf numFmtId="165" fontId="15" fillId="0" borderId="0" xfId="2" applyNumberFormat="1" applyFont="1" applyBorder="1" applyAlignment="1">
      <alignment horizontal="center"/>
    </xf>
    <xf numFmtId="165" fontId="15" fillId="0" borderId="0" xfId="2" applyNumberFormat="1" applyFont="1" applyBorder="1"/>
    <xf numFmtId="0" fontId="15" fillId="0" borderId="0" xfId="1" applyFont="1" applyBorder="1" applyAlignment="1">
      <alignment vertical="top" wrapText="1"/>
    </xf>
    <xf numFmtId="165" fontId="15" fillId="3" borderId="0" xfId="2" applyNumberFormat="1" applyFont="1" applyFill="1" applyBorder="1" applyAlignment="1">
      <alignment horizontal="center"/>
    </xf>
    <xf numFmtId="165" fontId="15" fillId="3" borderId="0" xfId="2" applyNumberFormat="1" applyFont="1" applyFill="1" applyBorder="1"/>
    <xf numFmtId="0" fontId="15" fillId="3" borderId="0" xfId="1" applyFont="1" applyFill="1" applyBorder="1" applyAlignment="1">
      <alignment vertical="top" wrapText="1"/>
    </xf>
    <xf numFmtId="0" fontId="15" fillId="3" borderId="0" xfId="1" applyFont="1" applyFill="1" applyBorder="1" applyAlignment="1">
      <alignment horizontal="center"/>
    </xf>
    <xf numFmtId="165" fontId="15" fillId="0" borderId="1" xfId="2" applyNumberFormat="1" applyFont="1" applyBorder="1" applyAlignment="1">
      <alignment horizontal="center" vertical="center" wrapText="1"/>
    </xf>
    <xf numFmtId="0" fontId="15" fillId="0" borderId="35" xfId="1" applyFont="1" applyBorder="1" applyAlignment="1">
      <alignment horizontal="left"/>
    </xf>
    <xf numFmtId="0" fontId="15" fillId="0" borderId="36" xfId="1" applyFont="1" applyBorder="1" applyAlignment="1">
      <alignment horizontal="left"/>
    </xf>
    <xf numFmtId="0" fontId="15" fillId="0" borderId="37" xfId="1" applyFont="1" applyBorder="1" applyAlignment="1">
      <alignment horizontal="left"/>
    </xf>
    <xf numFmtId="0" fontId="15" fillId="0" borderId="15" xfId="1" applyFont="1" applyBorder="1" applyAlignment="1">
      <alignment horizontal="left"/>
    </xf>
    <xf numFmtId="0" fontId="15" fillId="0" borderId="32" xfId="1" applyFont="1" applyBorder="1" applyAlignment="1">
      <alignment horizontal="left"/>
    </xf>
    <xf numFmtId="0" fontId="15" fillId="0" borderId="14" xfId="1" applyFont="1" applyBorder="1" applyAlignment="1">
      <alignment horizontal="left"/>
    </xf>
    <xf numFmtId="0" fontId="15" fillId="0" borderId="24" xfId="1" applyFont="1" applyBorder="1" applyAlignment="1">
      <alignment horizontal="left"/>
    </xf>
    <xf numFmtId="0" fontId="15" fillId="0" borderId="38" xfId="1" applyFont="1" applyBorder="1" applyAlignment="1">
      <alignment horizontal="left"/>
    </xf>
    <xf numFmtId="0" fontId="15" fillId="0" borderId="25" xfId="1" applyFont="1" applyBorder="1" applyAlignment="1">
      <alignment horizontal="left"/>
    </xf>
    <xf numFmtId="0" fontId="15" fillId="0" borderId="17" xfId="1" applyFont="1" applyBorder="1" applyAlignment="1">
      <alignment horizontal="left"/>
    </xf>
    <xf numFmtId="0" fontId="15" fillId="0" borderId="39" xfId="1" applyFont="1" applyBorder="1" applyAlignment="1">
      <alignment horizontal="left"/>
    </xf>
    <xf numFmtId="0" fontId="15" fillId="0" borderId="16" xfId="1" applyFont="1" applyBorder="1" applyAlignment="1">
      <alignment horizontal="left"/>
    </xf>
    <xf numFmtId="0" fontId="16" fillId="3" borderId="0" xfId="1" applyFont="1" applyFill="1" applyBorder="1" applyAlignment="1">
      <alignment horizontal="center"/>
    </xf>
    <xf numFmtId="0" fontId="16" fillId="4" borderId="31" xfId="1" applyFont="1" applyFill="1" applyBorder="1" applyAlignment="1">
      <alignment horizontal="left"/>
    </xf>
    <xf numFmtId="0" fontId="16" fillId="4" borderId="10" xfId="1" applyFont="1" applyFill="1" applyBorder="1" applyAlignment="1">
      <alignment horizontal="left"/>
    </xf>
    <xf numFmtId="0" fontId="16" fillId="4" borderId="26" xfId="1" applyFont="1" applyFill="1" applyBorder="1" applyAlignment="1">
      <alignment horizontal="left"/>
    </xf>
    <xf numFmtId="165" fontId="15" fillId="0" borderId="0" xfId="2" applyNumberFormat="1" applyFont="1" applyBorder="1" applyAlignment="1"/>
    <xf numFmtId="0" fontId="15" fillId="3" borderId="0" xfId="1" applyFont="1" applyFill="1" applyBorder="1" applyAlignment="1">
      <alignment horizontal="center" vertical="center"/>
    </xf>
    <xf numFmtId="0" fontId="15" fillId="0" borderId="35" xfId="1" applyFont="1" applyBorder="1" applyAlignment="1">
      <alignment horizontal="left" vertical="center"/>
    </xf>
    <xf numFmtId="0" fontId="15" fillId="0" borderId="36" xfId="1" applyFont="1" applyBorder="1" applyAlignment="1">
      <alignment horizontal="left" vertical="center"/>
    </xf>
    <xf numFmtId="0" fontId="15" fillId="0" borderId="37" xfId="1" applyFont="1" applyBorder="1" applyAlignment="1">
      <alignment horizontal="left" vertical="center"/>
    </xf>
    <xf numFmtId="0" fontId="15" fillId="0" borderId="24" xfId="1" applyFont="1" applyBorder="1" applyAlignment="1">
      <alignment horizontal="left" vertical="center"/>
    </xf>
    <xf numFmtId="0" fontId="15" fillId="0" borderId="38" xfId="1" applyFont="1" applyBorder="1" applyAlignment="1">
      <alignment horizontal="left" vertical="center"/>
    </xf>
    <xf numFmtId="0" fontId="15" fillId="0" borderId="25" xfId="1" applyFont="1" applyBorder="1" applyAlignment="1">
      <alignment horizontal="left" vertical="center"/>
    </xf>
    <xf numFmtId="0" fontId="15" fillId="0" borderId="40" xfId="1" applyFont="1" applyBorder="1" applyAlignment="1">
      <alignment horizontal="left" vertical="center"/>
    </xf>
    <xf numFmtId="0" fontId="15" fillId="0" borderId="41" xfId="1" applyFont="1" applyBorder="1" applyAlignment="1">
      <alignment horizontal="left" vertical="center"/>
    </xf>
    <xf numFmtId="0" fontId="15" fillId="0" borderId="42" xfId="1" applyFont="1" applyBorder="1" applyAlignment="1">
      <alignment horizontal="left" vertical="center"/>
    </xf>
    <xf numFmtId="0" fontId="16" fillId="3" borderId="0" xfId="1" applyFont="1" applyFill="1" applyBorder="1" applyAlignment="1">
      <alignment horizontal="center" vertical="center"/>
    </xf>
    <xf numFmtId="0" fontId="16" fillId="4" borderId="31" xfId="1" applyFont="1" applyFill="1" applyBorder="1" applyAlignment="1">
      <alignment horizontal="left" vertical="center"/>
    </xf>
    <xf numFmtId="0" fontId="16" fillId="4" borderId="10" xfId="1" applyFont="1" applyFill="1" applyBorder="1" applyAlignment="1">
      <alignment horizontal="left" vertical="center"/>
    </xf>
    <xf numFmtId="0" fontId="16" fillId="4" borderId="26" xfId="1" applyFont="1" applyFill="1" applyBorder="1" applyAlignment="1">
      <alignment horizontal="left" vertical="center"/>
    </xf>
    <xf numFmtId="9" fontId="15" fillId="3" borderId="0" xfId="3" applyFont="1" applyFill="1" applyBorder="1" applyAlignment="1">
      <alignment horizontal="center"/>
    </xf>
    <xf numFmtId="0" fontId="15" fillId="0" borderId="0" xfId="1" applyFont="1" applyBorder="1" applyAlignment="1">
      <alignment vertical="center"/>
    </xf>
    <xf numFmtId="0" fontId="15" fillId="3" borderId="0" xfId="1" applyFont="1" applyFill="1" applyBorder="1" applyAlignment="1">
      <alignment vertical="center"/>
    </xf>
    <xf numFmtId="166" fontId="15" fillId="3" borderId="0" xfId="3" applyNumberFormat="1" applyFont="1" applyFill="1" applyBorder="1" applyAlignment="1">
      <alignment horizontal="center" vertical="center"/>
    </xf>
    <xf numFmtId="165" fontId="15" fillId="3" borderId="0" xfId="2" applyNumberFormat="1" applyFont="1" applyFill="1" applyBorder="1" applyAlignment="1">
      <alignment horizontal="center" vertical="center"/>
    </xf>
    <xf numFmtId="167" fontId="15" fillId="3" borderId="0" xfId="2" applyNumberFormat="1" applyFont="1" applyFill="1" applyBorder="1" applyAlignment="1">
      <alignment horizontal="center"/>
    </xf>
    <xf numFmtId="165" fontId="15" fillId="3" borderId="0" xfId="2" applyNumberFormat="1" applyFont="1" applyFill="1" applyBorder="1" applyAlignment="1">
      <alignment vertical="center"/>
    </xf>
    <xf numFmtId="1" fontId="15" fillId="3" borderId="0" xfId="1" applyNumberFormat="1" applyFont="1" applyFill="1" applyBorder="1" applyAlignment="1">
      <alignment vertical="center" wrapText="1"/>
    </xf>
    <xf numFmtId="1" fontId="15" fillId="3" borderId="0" xfId="1" applyNumberFormat="1" applyFont="1" applyFill="1" applyBorder="1" applyAlignment="1">
      <alignment horizontal="left" vertical="center" wrapText="1"/>
    </xf>
    <xf numFmtId="9" fontId="15" fillId="3" borderId="0" xfId="3" applyFont="1" applyFill="1" applyBorder="1" applyAlignment="1">
      <alignment horizontal="center" vertical="center"/>
    </xf>
    <xf numFmtId="167" fontId="15" fillId="3" borderId="0" xfId="2" applyNumberFormat="1" applyFont="1" applyFill="1" applyBorder="1" applyAlignment="1">
      <alignment horizontal="center" vertical="center"/>
    </xf>
    <xf numFmtId="9" fontId="16" fillId="5" borderId="1" xfId="3" applyFont="1" applyFill="1" applyBorder="1" applyAlignment="1">
      <alignment horizontal="center" vertical="center" wrapText="1"/>
    </xf>
    <xf numFmtId="168" fontId="16" fillId="5" borderId="1" xfId="3" applyNumberFormat="1" applyFont="1" applyFill="1" applyBorder="1" applyAlignment="1">
      <alignment horizontal="center" vertical="center" wrapText="1"/>
    </xf>
    <xf numFmtId="9" fontId="16" fillId="5" borderId="1" xfId="3" applyNumberFormat="1" applyFont="1" applyFill="1" applyBorder="1" applyAlignment="1">
      <alignment horizontal="center"/>
    </xf>
    <xf numFmtId="165" fontId="15" fillId="5" borderId="1" xfId="2" applyNumberFormat="1" applyFont="1" applyFill="1" applyBorder="1" applyAlignment="1">
      <alignment vertical="center" wrapText="1"/>
    </xf>
    <xf numFmtId="0" fontId="15" fillId="5" borderId="1" xfId="1" applyFont="1" applyFill="1" applyBorder="1" applyAlignment="1">
      <alignment horizontal="justify" vertical="center" wrapText="1"/>
    </xf>
    <xf numFmtId="0" fontId="16" fillId="5" borderId="1" xfId="1" applyFont="1" applyFill="1" applyBorder="1" applyAlignment="1">
      <alignment horizontal="right" vertical="top" wrapText="1"/>
    </xf>
    <xf numFmtId="165" fontId="16" fillId="5" borderId="1" xfId="2" applyNumberFormat="1" applyFont="1" applyFill="1" applyBorder="1" applyAlignment="1">
      <alignment horizontal="center" vertical="center" wrapText="1"/>
    </xf>
    <xf numFmtId="0" fontId="16" fillId="5" borderId="1" xfId="1" applyFont="1" applyFill="1" applyBorder="1" applyAlignment="1">
      <alignment vertical="top" wrapText="1"/>
    </xf>
    <xf numFmtId="166" fontId="15" fillId="3" borderId="0" xfId="3" applyNumberFormat="1" applyFont="1" applyFill="1" applyBorder="1" applyAlignment="1">
      <alignment horizontal="center" vertical="center" wrapText="1"/>
    </xf>
    <xf numFmtId="9" fontId="15" fillId="0" borderId="1" xfId="3" applyFont="1" applyBorder="1" applyAlignment="1">
      <alignment horizontal="center" vertical="center" wrapText="1"/>
    </xf>
    <xf numFmtId="165" fontId="15" fillId="0" borderId="1" xfId="2" applyNumberFormat="1" applyFont="1" applyBorder="1" applyAlignment="1">
      <alignment vertical="center" wrapText="1"/>
    </xf>
    <xf numFmtId="0" fontId="15" fillId="0" borderId="1" xfId="1" applyFont="1" applyBorder="1" applyAlignment="1">
      <alignment horizontal="justify" vertical="center" wrapText="1"/>
    </xf>
    <xf numFmtId="0" fontId="15" fillId="0" borderId="1" xfId="1" applyFont="1" applyBorder="1" applyAlignment="1">
      <alignment horizontal="left" vertical="center" wrapText="1"/>
    </xf>
    <xf numFmtId="165" fontId="15" fillId="5" borderId="1" xfId="2" applyNumberFormat="1" applyFont="1" applyFill="1" applyBorder="1" applyAlignment="1">
      <alignment horizontal="center" vertical="center" wrapText="1"/>
    </xf>
    <xf numFmtId="0" fontId="16" fillId="6" borderId="1" xfId="1" applyFont="1" applyFill="1" applyBorder="1" applyAlignment="1">
      <alignment horizontal="left" vertical="top" wrapText="1"/>
    </xf>
    <xf numFmtId="166" fontId="15" fillId="3" borderId="1" xfId="3" applyNumberFormat="1" applyFont="1" applyFill="1" applyBorder="1" applyAlignment="1">
      <alignment horizontal="center" vertical="center" wrapText="1"/>
    </xf>
    <xf numFmtId="165" fontId="16" fillId="0" borderId="1" xfId="2" applyNumberFormat="1" applyFont="1" applyBorder="1" applyAlignment="1">
      <alignment horizontal="center" vertical="center" wrapText="1"/>
    </xf>
    <xf numFmtId="9" fontId="16" fillId="0" borderId="1" xfId="3" applyFont="1" applyBorder="1" applyAlignment="1">
      <alignment horizontal="center" vertical="center" wrapText="1"/>
    </xf>
    <xf numFmtId="0" fontId="16" fillId="0" borderId="1" xfId="1" applyFont="1" applyBorder="1" applyAlignment="1">
      <alignment horizontal="left" vertical="top" wrapText="1"/>
    </xf>
    <xf numFmtId="3" fontId="15" fillId="0" borderId="1" xfId="1" applyNumberFormat="1" applyFont="1" applyBorder="1" applyAlignment="1">
      <alignment horizontal="justify" vertical="center" wrapText="1"/>
    </xf>
    <xf numFmtId="165" fontId="16" fillId="0" borderId="1" xfId="2" applyNumberFormat="1" applyFont="1" applyBorder="1" applyAlignment="1">
      <alignment vertical="center" wrapText="1"/>
    </xf>
    <xf numFmtId="0" fontId="16" fillId="0" borderId="1" xfId="1" applyFont="1" applyBorder="1" applyAlignment="1">
      <alignment horizontal="justify" vertical="center" wrapText="1"/>
    </xf>
    <xf numFmtId="0" fontId="16" fillId="0" borderId="1" xfId="1" applyFont="1" applyBorder="1" applyAlignment="1">
      <alignment horizontal="left" wrapText="1"/>
    </xf>
    <xf numFmtId="0" fontId="16" fillId="6" borderId="1" xfId="1" applyFont="1" applyFill="1" applyBorder="1" applyAlignment="1">
      <alignment vertical="top" wrapText="1"/>
    </xf>
    <xf numFmtId="165" fontId="15" fillId="0" borderId="1" xfId="2" applyNumberFormat="1" applyFont="1" applyFill="1" applyBorder="1" applyAlignment="1">
      <alignment horizontal="center" vertical="center" wrapText="1"/>
    </xf>
    <xf numFmtId="9" fontId="15" fillId="0" borderId="1" xfId="3" applyFont="1" applyBorder="1" applyAlignment="1">
      <alignment vertical="center" wrapText="1"/>
    </xf>
    <xf numFmtId="3" fontId="15" fillId="5" borderId="1" xfId="1" applyNumberFormat="1" applyFont="1" applyFill="1" applyBorder="1" applyAlignment="1">
      <alignment horizontal="center"/>
    </xf>
    <xf numFmtId="166" fontId="15" fillId="5" borderId="1" xfId="3" applyNumberFormat="1" applyFont="1" applyFill="1" applyBorder="1" applyAlignment="1">
      <alignment horizontal="center" vertical="center" wrapText="1"/>
    </xf>
    <xf numFmtId="9" fontId="15" fillId="5" borderId="1" xfId="3" applyNumberFormat="1" applyFont="1" applyFill="1" applyBorder="1" applyAlignment="1">
      <alignment horizontal="center" vertical="center" wrapText="1"/>
    </xf>
    <xf numFmtId="0" fontId="15" fillId="3" borderId="0" xfId="1" applyFont="1" applyFill="1"/>
    <xf numFmtId="0" fontId="5" fillId="7" borderId="25" xfId="0" applyFont="1" applyFill="1" applyBorder="1"/>
    <xf numFmtId="0" fontId="5" fillId="7" borderId="30" xfId="0" applyFont="1" applyFill="1" applyBorder="1"/>
    <xf numFmtId="0" fontId="6" fillId="7" borderId="1" xfId="0" applyFont="1" applyFill="1" applyBorder="1"/>
    <xf numFmtId="0" fontId="6" fillId="7" borderId="24" xfId="0" applyFont="1" applyFill="1" applyBorder="1"/>
    <xf numFmtId="0" fontId="6" fillId="7" borderId="1" xfId="0" applyFont="1" applyFill="1" applyBorder="1" applyAlignment="1">
      <alignment horizontal="center"/>
    </xf>
    <xf numFmtId="0" fontId="5" fillId="2" borderId="25" xfId="0" applyFont="1" applyFill="1" applyBorder="1"/>
    <xf numFmtId="0" fontId="5" fillId="2" borderId="30" xfId="0" applyFont="1" applyFill="1" applyBorder="1"/>
    <xf numFmtId="0" fontId="5" fillId="2" borderId="1" xfId="0" applyFont="1" applyFill="1" applyBorder="1"/>
    <xf numFmtId="0" fontId="6" fillId="2" borderId="1" xfId="0" applyFont="1" applyFill="1" applyBorder="1"/>
    <xf numFmtId="0" fontId="6" fillId="2" borderId="24" xfId="0" applyFont="1" applyFill="1" applyBorder="1"/>
    <xf numFmtId="0" fontId="6" fillId="2" borderId="1" xfId="0" applyFont="1" applyFill="1" applyBorder="1" applyAlignment="1">
      <alignment horizontal="center"/>
    </xf>
    <xf numFmtId="0" fontId="6" fillId="2" borderId="25" xfId="0" applyFont="1" applyFill="1" applyBorder="1"/>
    <xf numFmtId="0" fontId="6" fillId="2" borderId="30" xfId="0" applyFont="1" applyFill="1" applyBorder="1"/>
    <xf numFmtId="3" fontId="6" fillId="2" borderId="1" xfId="0" applyNumberFormat="1" applyFont="1" applyFill="1" applyBorder="1" applyAlignment="1">
      <alignment horizontal="center"/>
    </xf>
    <xf numFmtId="0" fontId="6" fillId="7" borderId="25" xfId="0" applyFont="1" applyFill="1" applyBorder="1"/>
    <xf numFmtId="0" fontId="6" fillId="7" borderId="30" xfId="0" applyFont="1" applyFill="1" applyBorder="1"/>
    <xf numFmtId="0" fontId="6" fillId="0" borderId="25" xfId="0" applyFont="1" applyBorder="1" applyAlignment="1">
      <alignment horizontal="center" vertical="center"/>
    </xf>
    <xf numFmtId="0" fontId="6" fillId="0" borderId="1" xfId="0" applyFont="1" applyBorder="1" applyAlignment="1">
      <alignment horizontal="center" vertical="center"/>
    </xf>
    <xf numFmtId="3" fontId="6" fillId="0" borderId="1" xfId="0" applyNumberFormat="1" applyFont="1" applyBorder="1" applyAlignment="1">
      <alignment horizontal="center" vertical="center"/>
    </xf>
    <xf numFmtId="9" fontId="6"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6" fillId="0" borderId="24" xfId="0" applyFont="1" applyBorder="1" applyAlignment="1">
      <alignment horizontal="center" vertical="center"/>
    </xf>
    <xf numFmtId="0" fontId="6" fillId="0" borderId="1" xfId="0" applyFont="1" applyFill="1" applyBorder="1" applyAlignment="1">
      <alignment horizontal="center" vertical="center"/>
    </xf>
    <xf numFmtId="0" fontId="5" fillId="0" borderId="25" xfId="0" applyFont="1" applyBorder="1" applyAlignment="1">
      <alignment horizontal="center" vertical="center"/>
    </xf>
    <xf numFmtId="0" fontId="5" fillId="0" borderId="30" xfId="0" applyFont="1" applyBorder="1" applyAlignment="1">
      <alignment horizontal="center" vertical="center"/>
    </xf>
    <xf numFmtId="0" fontId="6" fillId="0" borderId="0" xfId="0" applyFont="1" applyBorder="1" applyAlignment="1">
      <alignment horizontal="center" vertical="center"/>
    </xf>
    <xf numFmtId="0" fontId="6" fillId="0" borderId="1" xfId="0" applyFont="1" applyFill="1" applyBorder="1" applyAlignment="1">
      <alignment horizontal="center" vertical="center" wrapText="1"/>
    </xf>
    <xf numFmtId="0" fontId="6" fillId="0" borderId="30" xfId="0" applyFont="1" applyBorder="1" applyAlignment="1">
      <alignment horizontal="center" vertical="center"/>
    </xf>
    <xf numFmtId="3" fontId="6" fillId="0" borderId="7" xfId="0" applyNumberFormat="1" applyFont="1" applyBorder="1"/>
    <xf numFmtId="3" fontId="6" fillId="0" borderId="0" xfId="0" applyNumberFormat="1" applyFont="1" applyBorder="1"/>
    <xf numFmtId="3" fontId="0" fillId="0" borderId="0" xfId="0" applyNumberFormat="1"/>
    <xf numFmtId="3" fontId="5" fillId="7" borderId="1" xfId="0" applyNumberFormat="1" applyFont="1" applyFill="1" applyBorder="1" applyAlignment="1">
      <alignment horizontal="center"/>
    </xf>
    <xf numFmtId="0" fontId="15" fillId="0" borderId="1" xfId="1" applyFont="1" applyFill="1" applyBorder="1" applyAlignment="1">
      <alignment horizontal="left" vertical="center" wrapText="1"/>
    </xf>
    <xf numFmtId="0" fontId="13" fillId="7" borderId="1" xfId="0" applyFont="1" applyFill="1" applyBorder="1" applyAlignment="1">
      <alignment wrapText="1"/>
    </xf>
    <xf numFmtId="0" fontId="13" fillId="7" borderId="1" xfId="0" applyFont="1" applyFill="1" applyBorder="1"/>
    <xf numFmtId="0" fontId="5" fillId="0" borderId="25" xfId="0" applyFont="1" applyFill="1" applyBorder="1" applyAlignment="1">
      <alignment horizontal="center" vertical="center"/>
    </xf>
    <xf numFmtId="3" fontId="1" fillId="0" borderId="0" xfId="0" applyNumberFormat="1" applyFont="1"/>
    <xf numFmtId="3" fontId="6" fillId="0" borderId="1" xfId="0" applyNumberFormat="1" applyFont="1" applyFill="1" applyBorder="1" applyAlignment="1">
      <alignment horizontal="center" vertical="center"/>
    </xf>
    <xf numFmtId="169" fontId="0" fillId="0" borderId="0" xfId="12" applyNumberFormat="1" applyFont="1"/>
    <xf numFmtId="169" fontId="4" fillId="0" borderId="0" xfId="12" applyNumberFormat="1" applyFont="1"/>
    <xf numFmtId="169" fontId="7" fillId="0" borderId="0" xfId="12" applyNumberFormat="1" applyFont="1"/>
    <xf numFmtId="169" fontId="5" fillId="0" borderId="0" xfId="12" applyNumberFormat="1" applyFont="1" applyBorder="1"/>
    <xf numFmtId="169" fontId="6" fillId="0" borderId="5" xfId="12" applyNumberFormat="1" applyFont="1" applyBorder="1"/>
    <xf numFmtId="169" fontId="8" fillId="2" borderId="3" xfId="12" applyNumberFormat="1" applyFont="1" applyFill="1" applyBorder="1" applyAlignment="1">
      <alignment horizontal="center" vertical="center" wrapText="1"/>
    </xf>
    <xf numFmtId="169" fontId="8" fillId="2" borderId="4" xfId="12" applyNumberFormat="1" applyFont="1" applyFill="1" applyBorder="1" applyAlignment="1">
      <alignment horizontal="center" vertical="center" wrapText="1"/>
    </xf>
    <xf numFmtId="169" fontId="6" fillId="7" borderId="1" xfId="12" applyNumberFormat="1" applyFont="1" applyFill="1" applyBorder="1"/>
    <xf numFmtId="169" fontId="6" fillId="7" borderId="1" xfId="12" applyNumberFormat="1" applyFont="1" applyFill="1" applyBorder="1" applyAlignment="1">
      <alignment horizontal="center"/>
    </xf>
    <xf numFmtId="169" fontId="6" fillId="2" borderId="1" xfId="12" applyNumberFormat="1" applyFont="1" applyFill="1" applyBorder="1" applyAlignment="1">
      <alignment horizontal="center"/>
    </xf>
    <xf numFmtId="169" fontId="7" fillId="0" borderId="0" xfId="12" applyNumberFormat="1" applyFont="1" applyAlignment="1">
      <alignment horizontal="center"/>
    </xf>
    <xf numFmtId="169" fontId="1" fillId="0" borderId="0" xfId="12" applyNumberFormat="1" applyFont="1"/>
    <xf numFmtId="169" fontId="1" fillId="0" borderId="0" xfId="0" applyNumberFormat="1" applyFont="1"/>
    <xf numFmtId="169" fontId="20" fillId="9" borderId="1" xfId="12" applyNumberFormat="1" applyFont="1" applyFill="1" applyBorder="1" applyAlignment="1">
      <alignment horizontal="center"/>
    </xf>
    <xf numFmtId="169" fontId="6" fillId="10" borderId="1" xfId="12" applyNumberFormat="1" applyFont="1" applyFill="1" applyBorder="1" applyAlignment="1">
      <alignment horizontal="center" vertical="center"/>
    </xf>
    <xf numFmtId="169" fontId="1" fillId="10" borderId="0" xfId="12" applyNumberFormat="1" applyFont="1" applyFill="1"/>
    <xf numFmtId="169" fontId="6" fillId="8" borderId="1" xfId="12" applyNumberFormat="1" applyFont="1" applyFill="1" applyBorder="1" applyAlignment="1">
      <alignment horizontal="center" vertical="center"/>
    </xf>
    <xf numFmtId="9" fontId="5" fillId="7" borderId="1" xfId="13" applyFont="1" applyFill="1" applyBorder="1" applyAlignment="1">
      <alignment horizontal="center"/>
    </xf>
    <xf numFmtId="0" fontId="5" fillId="0" borderId="30" xfId="0" applyFont="1" applyFill="1" applyBorder="1" applyAlignment="1">
      <alignment horizontal="center" vertical="center"/>
    </xf>
    <xf numFmtId="169" fontId="6" fillId="0" borderId="1" xfId="12" applyNumberFormat="1" applyFont="1" applyFill="1" applyBorder="1" applyAlignment="1">
      <alignment horizontal="center" vertical="center"/>
    </xf>
    <xf numFmtId="0" fontId="5" fillId="11" borderId="25" xfId="0" applyFont="1" applyFill="1" applyBorder="1" applyAlignment="1">
      <alignment horizontal="center" vertical="center"/>
    </xf>
    <xf numFmtId="0" fontId="5" fillId="11" borderId="30" xfId="0" applyFont="1" applyFill="1" applyBorder="1" applyAlignment="1">
      <alignment horizontal="center" vertical="center"/>
    </xf>
    <xf numFmtId="0" fontId="6" fillId="11" borderId="1" xfId="0" applyFont="1" applyFill="1" applyBorder="1" applyAlignment="1">
      <alignment horizontal="center" vertical="center" wrapText="1"/>
    </xf>
    <xf numFmtId="3" fontId="6" fillId="11" borderId="1" xfId="0" applyNumberFormat="1" applyFont="1" applyFill="1" applyBorder="1" applyAlignment="1">
      <alignment horizontal="center" vertical="center"/>
    </xf>
    <xf numFmtId="0" fontId="6" fillId="11" borderId="1" xfId="0" applyFont="1" applyFill="1" applyBorder="1" applyAlignment="1">
      <alignment horizontal="center" vertical="center"/>
    </xf>
    <xf numFmtId="9" fontId="6" fillId="11" borderId="1" xfId="0" applyNumberFormat="1" applyFont="1" applyFill="1" applyBorder="1" applyAlignment="1">
      <alignment horizontal="center" vertical="center"/>
    </xf>
    <xf numFmtId="169" fontId="6" fillId="11" borderId="1" xfId="12" applyNumberFormat="1" applyFont="1" applyFill="1" applyBorder="1" applyAlignment="1">
      <alignment horizontal="center" vertical="center"/>
    </xf>
    <xf numFmtId="9" fontId="6" fillId="3" borderId="1" xfId="0" applyNumberFormat="1" applyFont="1" applyFill="1" applyBorder="1" applyAlignment="1">
      <alignment horizontal="center" vertical="center"/>
    </xf>
    <xf numFmtId="165" fontId="15" fillId="3" borderId="0" xfId="1" applyNumberFormat="1" applyFont="1" applyFill="1" applyBorder="1" applyAlignment="1">
      <alignment vertical="center"/>
    </xf>
    <xf numFmtId="0" fontId="5" fillId="3" borderId="25"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3" fontId="6" fillId="3" borderId="1" xfId="0" applyNumberFormat="1" applyFont="1" applyFill="1" applyBorder="1" applyAlignment="1">
      <alignment horizontal="center" vertical="center"/>
    </xf>
    <xf numFmtId="169" fontId="6" fillId="3" borderId="1" xfId="12" applyNumberFormat="1" applyFont="1" applyFill="1" applyBorder="1" applyAlignment="1">
      <alignment horizontal="center" vertical="center"/>
    </xf>
    <xf numFmtId="0" fontId="6" fillId="3" borderId="24" xfId="0" applyFont="1" applyFill="1" applyBorder="1" applyAlignment="1">
      <alignment horizontal="center" vertical="center"/>
    </xf>
    <xf numFmtId="0" fontId="5" fillId="0" borderId="1" xfId="0" applyFont="1" applyFill="1" applyBorder="1" applyAlignment="1">
      <alignment horizontal="center" vertical="center" wrapText="1"/>
    </xf>
    <xf numFmtId="169" fontId="6" fillId="0" borderId="1" xfId="12" applyNumberFormat="1" applyFont="1" applyBorder="1" applyAlignment="1">
      <alignment horizontal="center" vertical="center"/>
    </xf>
    <xf numFmtId="3"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9" fontId="5" fillId="0" borderId="1" xfId="0" applyNumberFormat="1" applyFont="1" applyBorder="1" applyAlignment="1">
      <alignment horizontal="center" vertical="center"/>
    </xf>
    <xf numFmtId="15" fontId="6" fillId="0" borderId="1" xfId="0" applyNumberFormat="1" applyFont="1" applyBorder="1" applyAlignment="1">
      <alignment horizontal="center" vertical="center" wrapText="1"/>
    </xf>
    <xf numFmtId="0" fontId="6" fillId="0" borderId="24" xfId="0" applyFont="1" applyBorder="1" applyAlignment="1">
      <alignment horizontal="center" vertical="center" wrapText="1"/>
    </xf>
    <xf numFmtId="15" fontId="6" fillId="0" borderId="1" xfId="0" applyNumberFormat="1" applyFont="1" applyFill="1" applyBorder="1" applyAlignment="1">
      <alignment horizontal="center" vertical="center"/>
    </xf>
    <xf numFmtId="15" fontId="6" fillId="0" borderId="1" xfId="0" applyNumberFormat="1" applyFont="1" applyBorder="1" applyAlignment="1">
      <alignment horizontal="center" vertical="center"/>
    </xf>
    <xf numFmtId="170" fontId="22" fillId="12" borderId="32" xfId="14" applyNumberFormat="1" applyFont="1" applyFill="1" applyBorder="1"/>
    <xf numFmtId="0" fontId="22" fillId="12" borderId="6" xfId="15" applyNumberFormat="1" applyFont="1" applyBorder="1"/>
    <xf numFmtId="0" fontId="24" fillId="12" borderId="6" xfId="15" applyNumberFormat="1" applyFont="1" applyBorder="1" applyAlignment="1">
      <alignment horizontal="left" vertical="center"/>
    </xf>
    <xf numFmtId="0" fontId="22" fillId="12" borderId="6" xfId="15" applyNumberFormat="1" applyFont="1" applyBorder="1" applyAlignment="1">
      <alignment horizontal="centerContinuous" vertical="center"/>
    </xf>
    <xf numFmtId="0" fontId="22" fillId="12" borderId="6" xfId="15" applyNumberFormat="1" applyFont="1" applyBorder="1" applyAlignment="1">
      <alignment horizontal="centerContinuous" vertical="center" wrapText="1"/>
    </xf>
    <xf numFmtId="15" fontId="22" fillId="12" borderId="6" xfId="15" applyNumberFormat="1" applyFont="1" applyBorder="1" applyAlignment="1">
      <alignment horizontal="centerContinuous" vertical="center"/>
    </xf>
    <xf numFmtId="171" fontId="22" fillId="12" borderId="6" xfId="14" applyNumberFormat="1" applyFont="1" applyFill="1" applyBorder="1" applyAlignment="1">
      <alignment horizontal="centerContinuous" vertical="center"/>
    </xf>
    <xf numFmtId="40" fontId="22" fillId="13" borderId="6" xfId="14" applyNumberFormat="1" applyFont="1" applyFill="1" applyBorder="1" applyAlignment="1">
      <alignment horizontal="centerContinuous" vertical="center"/>
    </xf>
    <xf numFmtId="40" fontId="22" fillId="12" borderId="6" xfId="14" applyNumberFormat="1" applyFont="1" applyFill="1" applyBorder="1"/>
    <xf numFmtId="40" fontId="24" fillId="12" borderId="6" xfId="14" applyNumberFormat="1" applyFont="1" applyFill="1" applyBorder="1"/>
    <xf numFmtId="40" fontId="22" fillId="12" borderId="28" xfId="14" applyNumberFormat="1" applyFont="1" applyFill="1" applyBorder="1"/>
    <xf numFmtId="0" fontId="22" fillId="12" borderId="0" xfId="15" applyNumberFormat="1" applyFont="1"/>
    <xf numFmtId="170" fontId="25" fillId="12" borderId="44" xfId="14" applyNumberFormat="1" applyFont="1" applyFill="1" applyBorder="1" applyAlignment="1">
      <alignment horizontal="center"/>
    </xf>
    <xf numFmtId="0" fontId="24" fillId="12" borderId="0" xfId="15" applyNumberFormat="1" applyFont="1" applyBorder="1" applyAlignment="1">
      <alignment horizontal="centerContinuous"/>
    </xf>
    <xf numFmtId="0" fontId="24" fillId="12" borderId="0" xfId="15" applyNumberFormat="1" applyFont="1" applyBorder="1" applyAlignment="1">
      <alignment horizontal="left" wrapText="1"/>
    </xf>
    <xf numFmtId="0" fontId="24" fillId="12" borderId="0" xfId="15" applyNumberFormat="1" applyFont="1" applyBorder="1" applyAlignment="1">
      <alignment horizontal="right"/>
    </xf>
    <xf numFmtId="0" fontId="26" fillId="0" borderId="0" xfId="16" applyFont="1" applyBorder="1" applyAlignment="1"/>
    <xf numFmtId="0" fontId="24" fillId="12" borderId="0" xfId="15" applyNumberFormat="1" applyFont="1" applyBorder="1" applyAlignment="1">
      <alignment horizontal="center"/>
    </xf>
    <xf numFmtId="14" fontId="27" fillId="12" borderId="0" xfId="14" applyNumberFormat="1" applyFont="1" applyFill="1" applyBorder="1" applyAlignment="1"/>
    <xf numFmtId="171" fontId="24" fillId="12" borderId="0" xfId="14" applyNumberFormat="1" applyFont="1" applyFill="1" applyBorder="1" applyAlignment="1"/>
    <xf numFmtId="0" fontId="24" fillId="12" borderId="0" xfId="14" applyNumberFormat="1" applyFont="1" applyFill="1" applyBorder="1" applyAlignment="1"/>
    <xf numFmtId="0" fontId="24" fillId="13" borderId="0" xfId="14" applyNumberFormat="1" applyFont="1" applyFill="1" applyBorder="1" applyAlignment="1"/>
    <xf numFmtId="0" fontId="24" fillId="12" borderId="43" xfId="15" applyNumberFormat="1" applyFont="1" applyBorder="1" applyAlignment="1"/>
    <xf numFmtId="0" fontId="24" fillId="12" borderId="0" xfId="15" applyNumberFormat="1" applyFont="1"/>
    <xf numFmtId="15" fontId="24" fillId="12" borderId="0" xfId="15" applyNumberFormat="1" applyFont="1" applyBorder="1" applyAlignment="1">
      <alignment horizontal="centerContinuous"/>
    </xf>
    <xf numFmtId="40" fontId="24" fillId="12" borderId="0" xfId="14" applyNumberFormat="1" applyFont="1" applyFill="1" applyBorder="1" applyAlignment="1">
      <alignment horizontal="centerContinuous"/>
    </xf>
    <xf numFmtId="171" fontId="24" fillId="12" borderId="0" xfId="14" applyNumberFormat="1" applyFont="1" applyFill="1" applyBorder="1" applyAlignment="1">
      <alignment horizontal="centerContinuous"/>
    </xf>
    <xf numFmtId="40" fontId="24" fillId="13" borderId="0" xfId="14" applyNumberFormat="1" applyFont="1" applyFill="1" applyBorder="1" applyAlignment="1">
      <alignment horizontal="centerContinuous"/>
    </xf>
    <xf numFmtId="0" fontId="24" fillId="12" borderId="43" xfId="15" applyNumberFormat="1" applyFont="1" applyBorder="1"/>
    <xf numFmtId="0" fontId="22" fillId="12" borderId="0" xfId="15" applyNumberFormat="1" applyFont="1" applyBorder="1" applyAlignment="1">
      <alignment horizontal="centerContinuous"/>
    </xf>
    <xf numFmtId="0" fontId="22" fillId="12" borderId="0" xfId="15" applyNumberFormat="1" applyFont="1" applyBorder="1" applyAlignment="1">
      <alignment horizontal="left" wrapText="1"/>
    </xf>
    <xf numFmtId="0" fontId="22" fillId="12" borderId="0" xfId="15" applyNumberFormat="1" applyFont="1" applyBorder="1" applyAlignment="1">
      <alignment horizontal="centerContinuous" wrapText="1"/>
    </xf>
    <xf numFmtId="15" fontId="22" fillId="12" borderId="0" xfId="15" applyNumberFormat="1" applyFont="1" applyBorder="1" applyAlignment="1">
      <alignment horizontal="centerContinuous"/>
    </xf>
    <xf numFmtId="171" fontId="22" fillId="12" borderId="0" xfId="14" applyNumberFormat="1" applyFont="1" applyFill="1" applyBorder="1" applyAlignment="1">
      <alignment horizontal="centerContinuous"/>
    </xf>
    <xf numFmtId="40" fontId="22" fillId="13" borderId="0" xfId="14" applyNumberFormat="1" applyFont="1" applyFill="1" applyBorder="1" applyAlignment="1">
      <alignment horizontal="centerContinuous"/>
    </xf>
    <xf numFmtId="40" fontId="22" fillId="12" borderId="0" xfId="14" applyNumberFormat="1" applyFont="1" applyFill="1" applyBorder="1" applyAlignment="1">
      <alignment horizontal="centerContinuous"/>
    </xf>
    <xf numFmtId="40" fontId="22" fillId="12" borderId="43" xfId="14" applyNumberFormat="1" applyFont="1" applyFill="1" applyBorder="1" applyAlignment="1">
      <alignment horizontal="centerContinuous"/>
    </xf>
    <xf numFmtId="0" fontId="28" fillId="12" borderId="0" xfId="15" applyNumberFormat="1" applyFont="1" applyBorder="1" applyAlignment="1">
      <alignment horizontal="left"/>
    </xf>
    <xf numFmtId="170" fontId="25" fillId="12" borderId="44" xfId="14" applyNumberFormat="1" applyFont="1" applyFill="1" applyBorder="1" applyAlignment="1"/>
    <xf numFmtId="0" fontId="29" fillId="12" borderId="0" xfId="15" applyNumberFormat="1" applyFont="1" applyBorder="1" applyAlignment="1">
      <alignment horizontal="left"/>
    </xf>
    <xf numFmtId="0" fontId="30" fillId="12" borderId="0" xfId="15" applyNumberFormat="1" applyFont="1" applyBorder="1" applyAlignment="1">
      <alignment horizontal="left"/>
    </xf>
    <xf numFmtId="170" fontId="26" fillId="12" borderId="44" xfId="14" applyNumberFormat="1" applyFont="1" applyFill="1" applyBorder="1" applyAlignment="1"/>
    <xf numFmtId="170" fontId="22" fillId="12" borderId="39" xfId="14" applyNumberFormat="1" applyFont="1" applyFill="1" applyBorder="1" applyAlignment="1">
      <alignment horizontal="center"/>
    </xf>
    <xf numFmtId="0" fontId="22" fillId="12" borderId="5" xfId="15" applyNumberFormat="1" applyFont="1" applyBorder="1"/>
    <xf numFmtId="0" fontId="22" fillId="12" borderId="5" xfId="15" applyNumberFormat="1" applyFont="1" applyBorder="1" applyAlignment="1">
      <alignment horizontal="left" wrapText="1"/>
    </xf>
    <xf numFmtId="0" fontId="22" fillId="12" borderId="5" xfId="15" applyNumberFormat="1" applyFont="1" applyBorder="1" applyAlignment="1">
      <alignment wrapText="1"/>
    </xf>
    <xf numFmtId="15" fontId="22" fillId="12" borderId="5" xfId="15" applyNumberFormat="1" applyFont="1" applyBorder="1"/>
    <xf numFmtId="171" fontId="22" fillId="12" borderId="5" xfId="14" applyNumberFormat="1" applyFont="1" applyFill="1" applyBorder="1"/>
    <xf numFmtId="40" fontId="22" fillId="13" borderId="5" xfId="14" applyNumberFormat="1" applyFont="1" applyFill="1" applyBorder="1"/>
    <xf numFmtId="40" fontId="22" fillId="12" borderId="5" xfId="14" applyNumberFormat="1" applyFont="1" applyFill="1" applyBorder="1"/>
    <xf numFmtId="40" fontId="22" fillId="12" borderId="29" xfId="14" applyNumberFormat="1" applyFont="1" applyFill="1" applyBorder="1"/>
    <xf numFmtId="170" fontId="24" fillId="14" borderId="38" xfId="14" applyNumberFormat="1" applyFont="1" applyFill="1" applyBorder="1" applyAlignment="1">
      <alignment horizontal="centerContinuous" vertical="center"/>
    </xf>
    <xf numFmtId="0" fontId="22" fillId="15" borderId="1" xfId="16" applyNumberFormat="1" applyFont="1" applyFill="1" applyBorder="1" applyAlignment="1">
      <alignment horizontal="centerContinuous" vertical="center"/>
    </xf>
    <xf numFmtId="0" fontId="22" fillId="16" borderId="1" xfId="15" applyNumberFormat="1" applyFont="1" applyFill="1" applyBorder="1" applyAlignment="1">
      <alignment horizontal="left" wrapText="1"/>
    </xf>
    <xf numFmtId="0" fontId="24" fillId="14" borderId="3" xfId="16" applyFont="1" applyFill="1" applyBorder="1" applyAlignment="1">
      <alignment horizontal="center" vertical="center" wrapText="1"/>
    </xf>
    <xf numFmtId="0" fontId="22" fillId="16" borderId="1" xfId="15" applyNumberFormat="1" applyFont="1" applyFill="1" applyBorder="1" applyAlignment="1">
      <alignment horizontal="center" wrapText="1"/>
    </xf>
    <xf numFmtId="0" fontId="24" fillId="16" borderId="1" xfId="15" applyNumberFormat="1" applyFont="1" applyFill="1" applyBorder="1" applyAlignment="1">
      <alignment horizontal="centerContinuous" wrapText="1"/>
    </xf>
    <xf numFmtId="15" fontId="24" fillId="16" borderId="1" xfId="15" applyNumberFormat="1" applyFont="1" applyFill="1" applyBorder="1" applyAlignment="1">
      <alignment horizontal="centerContinuous"/>
    </xf>
    <xf numFmtId="171" fontId="22" fillId="16" borderId="1" xfId="14" applyNumberFormat="1" applyFont="1" applyFill="1" applyBorder="1" applyAlignment="1">
      <alignment horizontal="center"/>
    </xf>
    <xf numFmtId="40" fontId="22" fillId="13" borderId="1" xfId="14" applyNumberFormat="1" applyFont="1" applyFill="1" applyBorder="1" applyAlignment="1">
      <alignment horizontal="centerContinuous"/>
    </xf>
    <xf numFmtId="40" fontId="22" fillId="16" borderId="1" xfId="14" applyNumberFormat="1" applyFont="1" applyFill="1" applyBorder="1" applyAlignment="1">
      <alignment horizontal="center"/>
    </xf>
    <xf numFmtId="170" fontId="24" fillId="15" borderId="1" xfId="14" applyNumberFormat="1" applyFont="1" applyFill="1" applyBorder="1" applyAlignment="1">
      <alignment horizontal="center" vertical="center" wrapText="1"/>
    </xf>
    <xf numFmtId="0" fontId="24" fillId="14" borderId="3" xfId="16" applyFont="1" applyFill="1" applyBorder="1" applyAlignment="1">
      <alignment horizontal="left" vertical="center" wrapText="1"/>
    </xf>
    <xf numFmtId="171" fontId="24" fillId="14" borderId="3" xfId="14" applyNumberFormat="1" applyFont="1" applyFill="1" applyBorder="1" applyAlignment="1">
      <alignment horizontal="center" vertical="center" wrapText="1"/>
    </xf>
    <xf numFmtId="43" fontId="24" fillId="14" borderId="3" xfId="14" applyFont="1" applyFill="1" applyBorder="1" applyAlignment="1">
      <alignment horizontal="center" vertical="center" wrapText="1"/>
    </xf>
    <xf numFmtId="43" fontId="24" fillId="13" borderId="3" xfId="14" applyFont="1" applyFill="1" applyBorder="1" applyAlignment="1">
      <alignment horizontal="center" vertical="center" wrapText="1"/>
    </xf>
    <xf numFmtId="170" fontId="29" fillId="12" borderId="1" xfId="14" applyNumberFormat="1" applyFont="1" applyFill="1" applyBorder="1" applyAlignment="1">
      <alignment horizontal="center" vertical="center" wrapText="1"/>
    </xf>
    <xf numFmtId="4" fontId="29" fillId="12" borderId="1" xfId="15" applyNumberFormat="1" applyFont="1" applyBorder="1" applyAlignment="1">
      <alignment horizontal="left" vertical="center"/>
    </xf>
    <xf numFmtId="40" fontId="22" fillId="17" borderId="1" xfId="14" applyNumberFormat="1" applyFont="1" applyFill="1" applyBorder="1" applyAlignment="1">
      <alignment horizontal="left"/>
    </xf>
    <xf numFmtId="40" fontId="22" fillId="17" borderId="1" xfId="14" applyNumberFormat="1" applyFont="1" applyFill="1" applyBorder="1"/>
    <xf numFmtId="171" fontId="22" fillId="17" borderId="1" xfId="14" applyNumberFormat="1" applyFont="1" applyFill="1" applyBorder="1"/>
    <xf numFmtId="43" fontId="22" fillId="17" borderId="1" xfId="14" applyFont="1" applyFill="1" applyBorder="1"/>
    <xf numFmtId="43" fontId="22" fillId="18" borderId="1" xfId="14" applyFont="1" applyFill="1" applyBorder="1"/>
    <xf numFmtId="172" fontId="29" fillId="12" borderId="1" xfId="14" applyNumberFormat="1" applyFont="1" applyFill="1" applyBorder="1" applyAlignment="1">
      <alignment horizontal="center" wrapText="1"/>
    </xf>
    <xf numFmtId="0" fontId="22" fillId="12" borderId="1" xfId="15" applyNumberFormat="1" applyFont="1" applyBorder="1"/>
    <xf numFmtId="0" fontId="22" fillId="12" borderId="1" xfId="15" applyNumberFormat="1" applyFont="1" applyBorder="1" applyAlignment="1">
      <alignment horizontal="left" wrapText="1"/>
    </xf>
    <xf numFmtId="0" fontId="22" fillId="12" borderId="1" xfId="15" applyNumberFormat="1" applyFont="1" applyBorder="1" applyAlignment="1">
      <alignment wrapText="1"/>
    </xf>
    <xf numFmtId="0" fontId="30" fillId="12" borderId="1" xfId="15" applyNumberFormat="1" applyFont="1" applyBorder="1" applyAlignment="1">
      <alignment wrapText="1"/>
    </xf>
    <xf numFmtId="15" fontId="30" fillId="12" borderId="1" xfId="15" applyNumberFormat="1" applyFont="1" applyBorder="1"/>
    <xf numFmtId="171" fontId="22" fillId="12" borderId="1" xfId="14" applyNumberFormat="1" applyFont="1" applyFill="1" applyBorder="1"/>
    <xf numFmtId="43" fontId="22" fillId="12" borderId="1" xfId="14" applyFont="1" applyFill="1" applyBorder="1"/>
    <xf numFmtId="43" fontId="30" fillId="13" borderId="0" xfId="14" applyFont="1" applyFill="1"/>
    <xf numFmtId="43" fontId="28" fillId="13" borderId="1" xfId="14" applyFont="1" applyFill="1" applyBorder="1" applyAlignment="1">
      <alignment horizontal="right"/>
    </xf>
    <xf numFmtId="43" fontId="28" fillId="0" borderId="1" xfId="14" applyFont="1" applyFill="1" applyBorder="1" applyAlignment="1">
      <alignment horizontal="right"/>
    </xf>
    <xf numFmtId="15" fontId="22" fillId="12" borderId="1" xfId="15" applyNumberFormat="1" applyFont="1" applyBorder="1"/>
    <xf numFmtId="43" fontId="22" fillId="13" borderId="1" xfId="14" applyFont="1" applyFill="1" applyBorder="1"/>
    <xf numFmtId="170" fontId="31" fillId="13" borderId="38" xfId="14" applyNumberFormat="1" applyFont="1" applyFill="1" applyBorder="1" applyAlignment="1">
      <alignment vertical="top"/>
    </xf>
    <xf numFmtId="0" fontId="22" fillId="13" borderId="1" xfId="15" applyNumberFormat="1" applyFont="1" applyFill="1" applyBorder="1"/>
    <xf numFmtId="0" fontId="22" fillId="13" borderId="1" xfId="15" applyNumberFormat="1" applyFont="1" applyFill="1" applyBorder="1" applyAlignment="1">
      <alignment horizontal="left"/>
    </xf>
    <xf numFmtId="0" fontId="22" fillId="13" borderId="1" xfId="15" applyNumberFormat="1" applyFont="1" applyFill="1" applyBorder="1" applyAlignment="1">
      <alignment wrapText="1"/>
    </xf>
    <xf numFmtId="15" fontId="22" fillId="13" borderId="1" xfId="15" applyNumberFormat="1" applyFont="1" applyFill="1" applyBorder="1"/>
    <xf numFmtId="171" fontId="22" fillId="13" borderId="1" xfId="14" applyNumberFormat="1" applyFont="1" applyFill="1" applyBorder="1"/>
    <xf numFmtId="0" fontId="22" fillId="3" borderId="0" xfId="15" applyNumberFormat="1" applyFont="1" applyFill="1"/>
    <xf numFmtId="170" fontId="29" fillId="11" borderId="1" xfId="14" applyNumberFormat="1" applyFont="1" applyFill="1" applyBorder="1" applyAlignment="1">
      <alignment horizontal="center" vertical="center" wrapText="1"/>
    </xf>
    <xf numFmtId="4" fontId="29" fillId="11" borderId="1" xfId="15" applyNumberFormat="1" applyFont="1" applyFill="1" applyBorder="1" applyAlignment="1">
      <alignment horizontal="right" vertical="center"/>
    </xf>
    <xf numFmtId="4" fontId="29" fillId="11" borderId="1" xfId="15" applyNumberFormat="1" applyFont="1" applyFill="1" applyBorder="1" applyAlignment="1">
      <alignment horizontal="left" vertical="center"/>
    </xf>
    <xf numFmtId="0" fontId="24" fillId="11" borderId="1" xfId="15" applyNumberFormat="1" applyFont="1" applyFill="1" applyBorder="1" applyAlignment="1">
      <alignment vertical="center" wrapText="1"/>
    </xf>
    <xf numFmtId="15" fontId="24" fillId="11" borderId="1" xfId="15" applyNumberFormat="1" applyFont="1" applyFill="1" applyBorder="1" applyAlignment="1">
      <alignment horizontal="right" vertical="center"/>
    </xf>
    <xf numFmtId="171" fontId="24" fillId="11" borderId="1" xfId="14" applyNumberFormat="1" applyFont="1" applyFill="1" applyBorder="1" applyAlignment="1">
      <alignment horizontal="right" vertical="center"/>
    </xf>
    <xf numFmtId="43" fontId="24" fillId="11" borderId="1" xfId="14" applyFont="1" applyFill="1" applyBorder="1" applyAlignment="1">
      <alignment horizontal="right" vertical="center"/>
    </xf>
    <xf numFmtId="43" fontId="29" fillId="13" borderId="1" xfId="14" applyFont="1" applyFill="1" applyBorder="1" applyAlignment="1">
      <alignment horizontal="right" vertical="center"/>
    </xf>
    <xf numFmtId="43" fontId="29" fillId="11" borderId="1" xfId="14" applyFont="1" applyFill="1" applyBorder="1" applyAlignment="1">
      <alignment horizontal="right" vertical="center"/>
    </xf>
    <xf numFmtId="0" fontId="22" fillId="12" borderId="0" xfId="15" applyNumberFormat="1" applyFont="1" applyAlignment="1">
      <alignment vertical="center"/>
    </xf>
    <xf numFmtId="172" fontId="29" fillId="12" borderId="1" xfId="14" applyNumberFormat="1" applyFont="1" applyFill="1" applyBorder="1" applyAlignment="1">
      <alignment horizontal="right" vertical="center" wrapText="1"/>
    </xf>
    <xf numFmtId="4" fontId="29" fillId="3" borderId="1" xfId="15" applyNumberFormat="1" applyFont="1" applyFill="1" applyBorder="1" applyAlignment="1">
      <alignment horizontal="left" vertical="center"/>
    </xf>
    <xf numFmtId="172" fontId="29" fillId="12" borderId="1" xfId="14" applyNumberFormat="1" applyFont="1" applyFill="1" applyBorder="1" applyAlignment="1">
      <alignment horizontal="right" wrapText="1"/>
    </xf>
    <xf numFmtId="170" fontId="29" fillId="11" borderId="1" xfId="14" applyNumberFormat="1" applyFont="1" applyFill="1" applyBorder="1" applyAlignment="1">
      <alignment horizontal="right" vertical="center" wrapText="1"/>
    </xf>
    <xf numFmtId="170" fontId="29" fillId="3" borderId="1" xfId="14" applyNumberFormat="1" applyFont="1" applyFill="1" applyBorder="1" applyAlignment="1">
      <alignment horizontal="right" vertical="center" wrapText="1"/>
    </xf>
    <xf numFmtId="4" fontId="29" fillId="3" borderId="1" xfId="15" applyNumberFormat="1" applyFont="1" applyFill="1" applyBorder="1" applyAlignment="1">
      <alignment horizontal="right" vertical="center"/>
    </xf>
    <xf numFmtId="15" fontId="24" fillId="3" borderId="1" xfId="15" applyNumberFormat="1" applyFont="1" applyFill="1" applyBorder="1" applyAlignment="1">
      <alignment horizontal="right" vertical="center"/>
    </xf>
    <xf numFmtId="171" fontId="24" fillId="3" borderId="1" xfId="14" applyNumberFormat="1" applyFont="1" applyFill="1" applyBorder="1" applyAlignment="1">
      <alignment horizontal="right" vertical="center"/>
    </xf>
    <xf numFmtId="43" fontId="24" fillId="3" borderId="1" xfId="14" applyFont="1" applyFill="1" applyBorder="1" applyAlignment="1">
      <alignment horizontal="right" vertical="center"/>
    </xf>
    <xf numFmtId="43" fontId="29" fillId="3" borderId="1" xfId="14" applyFont="1" applyFill="1" applyBorder="1" applyAlignment="1">
      <alignment horizontal="right" vertical="center"/>
    </xf>
    <xf numFmtId="0" fontId="22" fillId="3" borderId="0" xfId="15" applyNumberFormat="1" applyFont="1" applyFill="1" applyAlignment="1">
      <alignment vertical="center"/>
    </xf>
    <xf numFmtId="170" fontId="29" fillId="12" borderId="1" xfId="14" applyNumberFormat="1" applyFont="1" applyFill="1" applyBorder="1" applyAlignment="1">
      <alignment horizontal="left" vertical="center" wrapText="1"/>
    </xf>
    <xf numFmtId="0" fontId="22" fillId="12" borderId="1" xfId="15" applyNumberFormat="1" applyFont="1" applyBorder="1" applyAlignment="1">
      <alignment horizontal="left"/>
    </xf>
    <xf numFmtId="43" fontId="22" fillId="19" borderId="1" xfId="14" applyFont="1" applyFill="1" applyBorder="1"/>
    <xf numFmtId="43" fontId="28" fillId="3" borderId="1" xfId="14" applyFont="1" applyFill="1" applyBorder="1" applyAlignment="1">
      <alignment horizontal="right"/>
    </xf>
    <xf numFmtId="170" fontId="29" fillId="12" borderId="1" xfId="14" applyNumberFormat="1" applyFont="1" applyFill="1" applyBorder="1" applyAlignment="1">
      <alignment horizontal="right" wrapText="1"/>
    </xf>
    <xf numFmtId="43" fontId="22" fillId="20" borderId="1" xfId="14" applyFont="1" applyFill="1" applyBorder="1"/>
    <xf numFmtId="0" fontId="22" fillId="0" borderId="1" xfId="15" applyNumberFormat="1" applyFont="1" applyFill="1" applyBorder="1" applyAlignment="1">
      <alignment wrapText="1"/>
    </xf>
    <xf numFmtId="0" fontId="22" fillId="0" borderId="1" xfId="15" applyNumberFormat="1" applyFont="1" applyFill="1" applyBorder="1" applyAlignment="1">
      <alignment horizontal="left"/>
    </xf>
    <xf numFmtId="0" fontId="22" fillId="0" borderId="1" xfId="15" applyNumberFormat="1" applyFont="1" applyFill="1" applyBorder="1"/>
    <xf numFmtId="0" fontId="22" fillId="3" borderId="1" xfId="15" applyNumberFormat="1" applyFont="1" applyFill="1" applyBorder="1" applyAlignment="1">
      <alignment wrapText="1"/>
    </xf>
    <xf numFmtId="15" fontId="22" fillId="3" borderId="1" xfId="15" applyNumberFormat="1" applyFont="1" applyFill="1" applyBorder="1"/>
    <xf numFmtId="171" fontId="22" fillId="3" borderId="1" xfId="14" applyNumberFormat="1" applyFont="1" applyFill="1" applyBorder="1"/>
    <xf numFmtId="170" fontId="29" fillId="3" borderId="1" xfId="14" applyNumberFormat="1" applyFont="1" applyFill="1" applyBorder="1" applyAlignment="1">
      <alignment horizontal="right" wrapText="1"/>
    </xf>
    <xf numFmtId="43" fontId="22" fillId="3" borderId="1" xfId="14" applyFont="1" applyFill="1" applyBorder="1"/>
    <xf numFmtId="172" fontId="29" fillId="3" borderId="1" xfId="14" applyNumberFormat="1" applyFont="1" applyFill="1" applyBorder="1" applyAlignment="1">
      <alignment horizontal="right" wrapText="1"/>
    </xf>
    <xf numFmtId="0" fontId="22" fillId="3" borderId="1" xfId="15" applyNumberFormat="1" applyFont="1" applyFill="1" applyBorder="1" applyAlignment="1">
      <alignment horizontal="left"/>
    </xf>
    <xf numFmtId="0" fontId="22" fillId="3" borderId="1" xfId="15" applyNumberFormat="1" applyFont="1" applyFill="1" applyBorder="1"/>
    <xf numFmtId="171" fontId="22" fillId="0" borderId="1" xfId="14" applyNumberFormat="1" applyFont="1" applyFill="1" applyBorder="1"/>
    <xf numFmtId="15" fontId="22" fillId="0" borderId="1" xfId="15" applyNumberFormat="1" applyFont="1" applyFill="1" applyBorder="1"/>
    <xf numFmtId="170" fontId="29" fillId="8" borderId="1" xfId="14" applyNumberFormat="1" applyFont="1" applyFill="1" applyBorder="1" applyAlignment="1">
      <alignment horizontal="right" wrapText="1"/>
    </xf>
    <xf numFmtId="43" fontId="22" fillId="0" borderId="1" xfId="14" applyFont="1" applyFill="1" applyBorder="1"/>
    <xf numFmtId="170" fontId="22" fillId="12" borderId="0" xfId="14" applyNumberFormat="1" applyFont="1" applyFill="1" applyAlignment="1">
      <alignment horizontal="center"/>
    </xf>
    <xf numFmtId="0" fontId="22" fillId="0" borderId="0" xfId="15" applyNumberFormat="1" applyFont="1" applyFill="1"/>
    <xf numFmtId="0" fontId="22" fillId="0" borderId="0" xfId="15" applyNumberFormat="1" applyFont="1" applyFill="1" applyAlignment="1">
      <alignment horizontal="left" wrapText="1"/>
    </xf>
    <xf numFmtId="0" fontId="22" fillId="0" borderId="0" xfId="15" applyNumberFormat="1" applyFont="1" applyFill="1" applyAlignment="1">
      <alignment wrapText="1"/>
    </xf>
    <xf numFmtId="15" fontId="22" fillId="0" borderId="0" xfId="15" applyNumberFormat="1" applyFont="1" applyFill="1"/>
    <xf numFmtId="171" fontId="22" fillId="0" borderId="0" xfId="14" applyNumberFormat="1" applyFont="1" applyFill="1"/>
    <xf numFmtId="40" fontId="22" fillId="13" borderId="0" xfId="14" applyNumberFormat="1" applyFont="1" applyFill="1"/>
    <xf numFmtId="40" fontId="22" fillId="12" borderId="0" xfId="14" applyNumberFormat="1" applyFont="1" applyFill="1"/>
    <xf numFmtId="0" fontId="22" fillId="0" borderId="1" xfId="15" applyNumberFormat="1" applyFont="1" applyFill="1" applyBorder="1" applyAlignment="1">
      <alignment horizontal="left" wrapText="1"/>
    </xf>
    <xf numFmtId="172" fontId="29" fillId="0" borderId="1" xfId="14" applyNumberFormat="1" applyFont="1" applyFill="1" applyBorder="1" applyAlignment="1">
      <alignment horizontal="right" wrapText="1"/>
    </xf>
    <xf numFmtId="0" fontId="22" fillId="3" borderId="1" xfId="15" applyNumberFormat="1" applyFont="1" applyFill="1" applyBorder="1" applyAlignment="1">
      <alignment horizontal="left" wrapText="1"/>
    </xf>
    <xf numFmtId="170" fontId="29" fillId="0" borderId="1" xfId="14" applyNumberFormat="1" applyFont="1" applyFill="1" applyBorder="1" applyAlignment="1">
      <alignment horizontal="right" wrapText="1"/>
    </xf>
    <xf numFmtId="170" fontId="29" fillId="0" borderId="38" xfId="14" applyNumberFormat="1" applyFont="1" applyFill="1" applyBorder="1" applyAlignment="1">
      <alignment horizontal="right" vertical="center" wrapText="1"/>
    </xf>
    <xf numFmtId="4" fontId="29" fillId="0" borderId="1" xfId="15" applyNumberFormat="1" applyFont="1" applyFill="1" applyBorder="1" applyAlignment="1">
      <alignment horizontal="right" vertical="center"/>
    </xf>
    <xf numFmtId="4" fontId="29" fillId="0" borderId="1" xfId="15" applyNumberFormat="1" applyFont="1" applyFill="1" applyBorder="1" applyAlignment="1">
      <alignment horizontal="left" vertical="center"/>
    </xf>
    <xf numFmtId="15" fontId="24" fillId="0" borderId="1" xfId="15" applyNumberFormat="1" applyFont="1" applyFill="1" applyBorder="1" applyAlignment="1">
      <alignment horizontal="right" vertical="center"/>
    </xf>
    <xf numFmtId="171" fontId="24" fillId="0" borderId="1" xfId="14" applyNumberFormat="1" applyFont="1" applyFill="1" applyBorder="1" applyAlignment="1">
      <alignment horizontal="right" vertical="center"/>
    </xf>
    <xf numFmtId="43" fontId="24" fillId="0" borderId="1" xfId="14" applyFont="1" applyFill="1" applyBorder="1" applyAlignment="1">
      <alignment horizontal="right" vertical="center"/>
    </xf>
    <xf numFmtId="43" fontId="29" fillId="0" borderId="1" xfId="14" applyFont="1" applyFill="1" applyBorder="1" applyAlignment="1">
      <alignment horizontal="right" vertical="center"/>
    </xf>
    <xf numFmtId="43" fontId="24" fillId="0" borderId="1" xfId="14" applyFont="1" applyFill="1" applyBorder="1"/>
    <xf numFmtId="43" fontId="24" fillId="0" borderId="1" xfId="14" applyFont="1" applyFill="1" applyBorder="1" applyAlignment="1">
      <alignment horizontal="right"/>
    </xf>
    <xf numFmtId="4" fontId="29" fillId="11" borderId="1" xfId="15" applyNumberFormat="1" applyFont="1" applyFill="1" applyBorder="1" applyAlignment="1">
      <alignment horizontal="right" vertical="center" wrapText="1"/>
    </xf>
    <xf numFmtId="4" fontId="29" fillId="11" borderId="1" xfId="15" applyNumberFormat="1" applyFont="1" applyFill="1" applyBorder="1" applyAlignment="1">
      <alignment horizontal="left" vertical="center" wrapText="1"/>
    </xf>
    <xf numFmtId="171" fontId="29" fillId="11" borderId="1" xfId="15" applyNumberFormat="1" applyFont="1" applyFill="1" applyBorder="1" applyAlignment="1">
      <alignment horizontal="right" vertical="center" wrapText="1"/>
    </xf>
    <xf numFmtId="4" fontId="29" fillId="13" borderId="1" xfId="15" applyNumberFormat="1" applyFont="1" applyFill="1" applyBorder="1" applyAlignment="1">
      <alignment horizontal="right" vertical="center" wrapText="1"/>
    </xf>
    <xf numFmtId="170" fontId="29" fillId="5" borderId="44" xfId="14" applyNumberFormat="1" applyFont="1" applyFill="1" applyBorder="1" applyAlignment="1">
      <alignment horizontal="right" vertical="center" wrapText="1"/>
    </xf>
    <xf numFmtId="4" fontId="29" fillId="5" borderId="0" xfId="15" applyNumberFormat="1" applyFont="1" applyFill="1" applyBorder="1" applyAlignment="1">
      <alignment horizontal="right" vertical="center" wrapText="1"/>
    </xf>
    <xf numFmtId="4" fontId="29" fillId="5" borderId="0" xfId="15" applyNumberFormat="1" applyFont="1" applyFill="1" applyBorder="1" applyAlignment="1">
      <alignment horizontal="left" vertical="center" wrapText="1"/>
    </xf>
    <xf numFmtId="4" fontId="29" fillId="5" borderId="1" xfId="15" applyNumberFormat="1" applyFont="1" applyFill="1" applyBorder="1" applyAlignment="1">
      <alignment horizontal="right" vertical="center" wrapText="1"/>
    </xf>
    <xf numFmtId="171" fontId="29" fillId="5" borderId="1" xfId="15" applyNumberFormat="1" applyFont="1" applyFill="1" applyBorder="1" applyAlignment="1">
      <alignment horizontal="right" vertical="center" wrapText="1"/>
    </xf>
    <xf numFmtId="170" fontId="22" fillId="12" borderId="44" xfId="14" applyNumberFormat="1" applyFont="1" applyFill="1" applyBorder="1" applyAlignment="1">
      <alignment horizontal="center"/>
    </xf>
    <xf numFmtId="0" fontId="22" fillId="12" borderId="0" xfId="15" applyNumberFormat="1" applyFont="1" applyBorder="1"/>
    <xf numFmtId="0" fontId="22" fillId="12" borderId="0" xfId="15" applyNumberFormat="1" applyFont="1" applyBorder="1" applyAlignment="1">
      <alignment wrapText="1"/>
    </xf>
    <xf numFmtId="15" fontId="24" fillId="12" borderId="1" xfId="15" applyNumberFormat="1" applyFont="1" applyBorder="1" applyAlignment="1">
      <alignment horizontal="right"/>
    </xf>
    <xf numFmtId="171" fontId="24" fillId="6" borderId="1" xfId="14" applyNumberFormat="1" applyFont="1" applyFill="1" applyBorder="1" applyAlignment="1">
      <alignment horizontal="right"/>
    </xf>
    <xf numFmtId="43" fontId="24" fillId="12" borderId="1" xfId="14" applyFont="1" applyFill="1" applyBorder="1" applyAlignment="1">
      <alignment horizontal="right"/>
    </xf>
    <xf numFmtId="43" fontId="29" fillId="13" borderId="1" xfId="14" applyFont="1" applyFill="1" applyBorder="1" applyAlignment="1">
      <alignment horizontal="right"/>
    </xf>
    <xf numFmtId="43" fontId="29" fillId="12" borderId="1" xfId="14" applyFont="1" applyFill="1" applyBorder="1" applyAlignment="1">
      <alignment horizontal="right"/>
    </xf>
    <xf numFmtId="15" fontId="22" fillId="12" borderId="0" xfId="15" applyNumberFormat="1" applyFont="1" applyBorder="1"/>
    <xf numFmtId="171" fontId="22" fillId="12" borderId="0" xfId="14" applyNumberFormat="1" applyFont="1" applyFill="1" applyBorder="1"/>
    <xf numFmtId="43" fontId="22" fillId="12" borderId="0" xfId="14" applyFont="1" applyFill="1" applyBorder="1"/>
    <xf numFmtId="43" fontId="22" fillId="13" borderId="0" xfId="14" applyFont="1" applyFill="1" applyBorder="1"/>
    <xf numFmtId="43" fontId="22" fillId="12" borderId="43" xfId="14" applyFont="1" applyFill="1" applyBorder="1"/>
    <xf numFmtId="40" fontId="22" fillId="13" borderId="0" xfId="14" applyNumberFormat="1" applyFont="1" applyFill="1" applyBorder="1"/>
    <xf numFmtId="40" fontId="22" fillId="12" borderId="0" xfId="14" applyNumberFormat="1" applyFont="1" applyFill="1" applyBorder="1"/>
    <xf numFmtId="40" fontId="22" fillId="12" borderId="43" xfId="14" applyNumberFormat="1" applyFont="1" applyFill="1" applyBorder="1"/>
    <xf numFmtId="170" fontId="22" fillId="12" borderId="0" xfId="14" applyNumberFormat="1" applyFont="1" applyFill="1" applyBorder="1" applyAlignment="1">
      <alignment horizontal="center"/>
    </xf>
    <xf numFmtId="15" fontId="32" fillId="12" borderId="0" xfId="15" applyNumberFormat="1" applyFont="1" applyBorder="1"/>
    <xf numFmtId="170" fontId="22" fillId="12" borderId="44" xfId="14" applyNumberFormat="1" applyFont="1" applyFill="1" applyBorder="1" applyAlignment="1">
      <alignment horizontal="left"/>
    </xf>
    <xf numFmtId="0" fontId="22" fillId="0" borderId="6" xfId="16" applyFont="1" applyBorder="1" applyAlignment="1">
      <alignment horizontal="left"/>
    </xf>
    <xf numFmtId="0" fontId="22" fillId="0" borderId="6" xfId="16" applyFont="1" applyBorder="1" applyAlignment="1">
      <alignment horizontal="center"/>
    </xf>
    <xf numFmtId="0" fontId="22" fillId="0" borderId="0" xfId="16" applyFont="1" applyBorder="1" applyAlignment="1">
      <alignment horizontal="left"/>
    </xf>
    <xf numFmtId="171" fontId="22" fillId="12" borderId="0" xfId="14" applyNumberFormat="1" applyFont="1" applyFill="1"/>
    <xf numFmtId="0" fontId="22" fillId="13" borderId="6" xfId="16" applyFont="1" applyFill="1" applyBorder="1" applyAlignment="1">
      <alignment horizontal="left"/>
    </xf>
    <xf numFmtId="170" fontId="33" fillId="12" borderId="44" xfId="14" applyNumberFormat="1" applyFont="1" applyFill="1" applyBorder="1" applyAlignment="1">
      <alignment horizontal="left"/>
    </xf>
    <xf numFmtId="40" fontId="22" fillId="13" borderId="0" xfId="14" applyNumberFormat="1" applyFont="1" applyFill="1" applyBorder="1" applyAlignment="1">
      <alignment horizontal="center"/>
    </xf>
    <xf numFmtId="0" fontId="22" fillId="12" borderId="0" xfId="15" applyNumberFormat="1" applyFont="1" applyAlignment="1">
      <alignment horizontal="left" wrapText="1"/>
    </xf>
    <xf numFmtId="0" fontId="22" fillId="12" borderId="0" xfId="15" applyNumberFormat="1" applyFont="1" applyAlignment="1">
      <alignment wrapText="1"/>
    </xf>
    <xf numFmtId="15" fontId="22" fillId="12" borderId="0" xfId="15" applyNumberFormat="1" applyFont="1"/>
    <xf numFmtId="171" fontId="24" fillId="8" borderId="1" xfId="14" applyNumberFormat="1" applyFont="1" applyFill="1" applyBorder="1" applyAlignment="1">
      <alignment horizontal="right" vertical="center"/>
    </xf>
    <xf numFmtId="0" fontId="15" fillId="0" borderId="1" xfId="1" applyFont="1" applyFill="1" applyBorder="1" applyAlignment="1">
      <alignment horizontal="justify" vertical="center" wrapText="1"/>
    </xf>
    <xf numFmtId="165" fontId="15" fillId="0" borderId="1" xfId="2" applyNumberFormat="1" applyFont="1" applyFill="1" applyBorder="1" applyAlignment="1">
      <alignment vertical="center" wrapText="1"/>
    </xf>
    <xf numFmtId="9" fontId="15" fillId="0" borderId="1" xfId="3" applyFont="1" applyFill="1" applyBorder="1" applyAlignment="1">
      <alignment horizontal="center" vertical="center" wrapText="1"/>
    </xf>
    <xf numFmtId="4" fontId="15" fillId="0" borderId="1" xfId="1" applyNumberFormat="1" applyFont="1" applyFill="1" applyBorder="1" applyAlignment="1">
      <alignment horizontal="left" vertical="center" wrapText="1"/>
    </xf>
    <xf numFmtId="0" fontId="15" fillId="0" borderId="0" xfId="1" applyFont="1" applyFill="1" applyBorder="1" applyAlignment="1">
      <alignment vertical="center"/>
    </xf>
    <xf numFmtId="0" fontId="25" fillId="12" borderId="44" xfId="15" applyNumberFormat="1" applyFont="1" applyBorder="1" applyAlignment="1">
      <alignment horizontal="left" vertical="top"/>
    </xf>
    <xf numFmtId="0" fontId="25" fillId="12" borderId="0" xfId="15" applyNumberFormat="1" applyFont="1" applyBorder="1" applyAlignment="1">
      <alignment horizontal="left" vertical="top"/>
    </xf>
    <xf numFmtId="0" fontId="5" fillId="0" borderId="32" xfId="0" applyFont="1" applyBorder="1" applyAlignment="1">
      <alignment horizontal="left" wrapText="1"/>
    </xf>
    <xf numFmtId="0" fontId="6" fillId="0" borderId="6" xfId="0" applyFont="1" applyBorder="1" applyAlignment="1">
      <alignment wrapText="1"/>
    </xf>
    <xf numFmtId="0" fontId="6" fillId="0" borderId="19" xfId="0" applyFont="1" applyBorder="1" applyAlignment="1">
      <alignment wrapText="1"/>
    </xf>
    <xf numFmtId="0" fontId="5" fillId="0" borderId="2" xfId="0" applyFont="1" applyBorder="1" applyAlignment="1">
      <alignment horizontal="left"/>
    </xf>
    <xf numFmtId="0" fontId="6" fillId="0" borderId="2" xfId="0" applyFont="1" applyBorder="1" applyAlignment="1">
      <alignment horizontal="left"/>
    </xf>
    <xf numFmtId="0" fontId="6" fillId="0" borderId="17" xfId="0" applyFont="1" applyBorder="1" applyAlignment="1">
      <alignment horizontal="left"/>
    </xf>
    <xf numFmtId="0" fontId="13" fillId="2" borderId="11" xfId="0" applyFont="1" applyFill="1" applyBorder="1" applyAlignment="1">
      <alignment horizontal="center"/>
    </xf>
    <xf numFmtId="0" fontId="13" fillId="2" borderId="12" xfId="0" applyFont="1" applyFill="1" applyBorder="1" applyAlignment="1">
      <alignment horizontal="center"/>
    </xf>
    <xf numFmtId="0" fontId="14" fillId="2" borderId="12" xfId="0" applyFont="1" applyFill="1" applyBorder="1" applyAlignment="1">
      <alignment horizontal="center"/>
    </xf>
    <xf numFmtId="0" fontId="13" fillId="2" borderId="13" xfId="0" applyFont="1" applyFill="1" applyBorder="1" applyAlignment="1">
      <alignment horizontal="center"/>
    </xf>
    <xf numFmtId="0" fontId="3" fillId="0" borderId="20" xfId="0" applyFont="1" applyBorder="1" applyAlignment="1">
      <alignment horizontal="left" vertical="top" wrapText="1"/>
    </xf>
    <xf numFmtId="0" fontId="3" fillId="0" borderId="0" xfId="0" applyFont="1" applyBorder="1" applyAlignment="1">
      <alignment horizontal="left" vertical="top" wrapText="1"/>
    </xf>
    <xf numFmtId="0" fontId="3" fillId="0" borderId="21" xfId="0" applyFont="1" applyBorder="1" applyAlignment="1">
      <alignment horizontal="left" vertical="top" wrapText="1"/>
    </xf>
    <xf numFmtId="0" fontId="5" fillId="0" borderId="26" xfId="0" applyFont="1" applyBorder="1" applyAlignment="1">
      <alignment horizontal="center"/>
    </xf>
    <xf numFmtId="0" fontId="5" fillId="0" borderId="10" xfId="0" applyFont="1" applyBorder="1" applyAlignment="1">
      <alignment horizontal="center"/>
    </xf>
    <xf numFmtId="0" fontId="6" fillId="0" borderId="9" xfId="0" applyFont="1" applyBorder="1" applyAlignment="1">
      <alignment horizontal="center"/>
    </xf>
    <xf numFmtId="0" fontId="5" fillId="0" borderId="8" xfId="0" applyFont="1" applyBorder="1" applyAlignment="1"/>
    <xf numFmtId="0" fontId="6" fillId="0" borderId="10" xfId="0" applyFont="1" applyBorder="1" applyAlignment="1"/>
    <xf numFmtId="0" fontId="6" fillId="0" borderId="9" xfId="0" applyFont="1" applyBorder="1" applyAlignment="1"/>
    <xf numFmtId="0" fontId="5" fillId="0" borderId="10" xfId="0" applyFont="1" applyBorder="1" applyAlignment="1"/>
    <xf numFmtId="0" fontId="5" fillId="0" borderId="16" xfId="0" applyFont="1" applyBorder="1" applyAlignment="1">
      <alignment horizontal="left"/>
    </xf>
    <xf numFmtId="0" fontId="5" fillId="0" borderId="29" xfId="0" applyFont="1" applyBorder="1" applyAlignment="1">
      <alignment horizontal="left"/>
    </xf>
    <xf numFmtId="0" fontId="5" fillId="0" borderId="14" xfId="0" applyFont="1" applyBorder="1" applyAlignment="1">
      <alignment horizontal="left"/>
    </xf>
    <xf numFmtId="0" fontId="5" fillId="0" borderId="28" xfId="0" applyFont="1" applyBorder="1" applyAlignment="1">
      <alignment horizontal="left"/>
    </xf>
    <xf numFmtId="0" fontId="6" fillId="0" borderId="3" xfId="0" applyFont="1" applyBorder="1" applyAlignment="1"/>
    <xf numFmtId="0" fontId="11" fillId="2" borderId="18" xfId="0" applyFont="1" applyFill="1" applyBorder="1" applyAlignment="1"/>
    <xf numFmtId="0" fontId="11" fillId="2" borderId="6" xfId="0" applyFont="1" applyFill="1" applyBorder="1" applyAlignment="1"/>
    <xf numFmtId="0" fontId="12" fillId="2" borderId="6" xfId="0" applyFont="1" applyFill="1" applyBorder="1" applyAlignment="1"/>
    <xf numFmtId="0" fontId="12" fillId="2" borderId="19" xfId="0" applyFont="1" applyFill="1" applyBorder="1" applyAlignment="1"/>
    <xf numFmtId="0" fontId="8"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3" fillId="0" borderId="26" xfId="0" applyFont="1" applyBorder="1" applyAlignment="1">
      <alignment horizontal="left" wrapText="1"/>
    </xf>
    <xf numFmtId="0" fontId="3" fillId="0" borderId="10" xfId="0" applyFont="1" applyBorder="1" applyAlignment="1">
      <alignment horizontal="left" wrapText="1"/>
    </xf>
    <xf numFmtId="0" fontId="4" fillId="0" borderId="10" xfId="0" applyFont="1" applyBorder="1" applyAlignment="1">
      <alignment horizontal="left" wrapText="1"/>
    </xf>
    <xf numFmtId="0" fontId="4" fillId="0" borderId="31" xfId="0" applyFont="1" applyBorder="1" applyAlignment="1">
      <alignment horizontal="left" wrapText="1"/>
    </xf>
    <xf numFmtId="0" fontId="3" fillId="0" borderId="26" xfId="0" applyFont="1" applyBorder="1" applyAlignment="1">
      <alignment horizontal="left" vertical="top" wrapText="1"/>
    </xf>
    <xf numFmtId="0" fontId="3" fillId="0" borderId="10" xfId="0" applyFont="1" applyBorder="1" applyAlignment="1">
      <alignment horizontal="left" vertical="top" wrapText="1"/>
    </xf>
    <xf numFmtId="0" fontId="3" fillId="0" borderId="31" xfId="0" applyFont="1" applyBorder="1" applyAlignment="1">
      <alignment horizontal="left" vertical="top" wrapText="1"/>
    </xf>
    <xf numFmtId="0" fontId="10" fillId="0" borderId="26" xfId="0" applyFont="1" applyBorder="1" applyAlignment="1">
      <alignment horizontal="left" vertical="top" wrapText="1"/>
    </xf>
    <xf numFmtId="0" fontId="10" fillId="0" borderId="10" xfId="0" applyFont="1" applyBorder="1" applyAlignment="1">
      <alignment horizontal="left" vertical="top" wrapText="1"/>
    </xf>
    <xf numFmtId="0" fontId="4" fillId="0" borderId="10" xfId="0" applyFont="1" applyBorder="1" applyAlignment="1">
      <alignment horizontal="left" vertical="top" wrapText="1"/>
    </xf>
    <xf numFmtId="0" fontId="4" fillId="0" borderId="31" xfId="0" applyFont="1" applyBorder="1" applyAlignment="1">
      <alignment horizontal="left" vertical="top" wrapText="1"/>
    </xf>
    <xf numFmtId="0" fontId="8" fillId="2" borderId="2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3" fillId="0" borderId="20" xfId="0" applyFont="1" applyBorder="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21" xfId="0" applyFont="1" applyBorder="1" applyAlignment="1">
      <alignment horizontal="left" vertical="center" wrapText="1"/>
    </xf>
    <xf numFmtId="0" fontId="8" fillId="2" borderId="14" xfId="0" applyFont="1" applyFill="1" applyBorder="1" applyAlignment="1">
      <alignment horizontal="center" vertical="center" wrapText="1"/>
    </xf>
    <xf numFmtId="0" fontId="8" fillId="2" borderId="16" xfId="0" applyFont="1" applyFill="1" applyBorder="1" applyAlignment="1">
      <alignment horizontal="center" vertical="center" wrapText="1"/>
    </xf>
    <xf numFmtId="165" fontId="16" fillId="4" borderId="1" xfId="2" applyNumberFormat="1" applyFont="1" applyFill="1" applyBorder="1" applyAlignment="1">
      <alignment horizontal="center" vertical="center" wrapText="1"/>
    </xf>
    <xf numFmtId="0" fontId="16" fillId="4" borderId="28" xfId="1" applyFont="1" applyFill="1" applyBorder="1" applyAlignment="1">
      <alignment horizontal="center" vertical="center" wrapText="1"/>
    </xf>
    <xf numFmtId="0" fontId="16" fillId="4" borderId="43" xfId="1" applyFont="1" applyFill="1" applyBorder="1" applyAlignment="1">
      <alignment horizontal="center" vertical="center" wrapText="1"/>
    </xf>
    <xf numFmtId="0" fontId="16" fillId="4" borderId="29" xfId="1" applyFont="1" applyFill="1" applyBorder="1" applyAlignment="1">
      <alignment horizontal="center" vertical="center" wrapText="1"/>
    </xf>
    <xf numFmtId="0" fontId="16" fillId="4" borderId="3" xfId="1" applyFont="1" applyFill="1" applyBorder="1" applyAlignment="1">
      <alignment horizontal="center" vertical="center" wrapText="1"/>
    </xf>
    <xf numFmtId="0" fontId="16" fillId="4" borderId="4" xfId="1" applyFont="1" applyFill="1" applyBorder="1" applyAlignment="1">
      <alignment horizontal="center" vertical="center" wrapText="1"/>
    </xf>
    <xf numFmtId="0" fontId="16" fillId="4" borderId="2" xfId="1" applyFont="1" applyFill="1" applyBorder="1" applyAlignment="1">
      <alignment horizontal="center" vertical="center" wrapText="1"/>
    </xf>
    <xf numFmtId="0" fontId="16" fillId="4" borderId="1" xfId="1" applyFont="1" applyFill="1" applyBorder="1" applyAlignment="1">
      <alignment horizontal="center" vertical="center" wrapText="1"/>
    </xf>
  </cellXfs>
  <cellStyles count="17">
    <cellStyle name="Comma" xfId="12" builtinId="3"/>
    <cellStyle name="Comma 2" xfId="2"/>
    <cellStyle name="Followed Hyperlink" xfId="5" builtinId="9" hidden="1"/>
    <cellStyle name="Followed Hyperlink" xfId="7" builtinId="9" hidden="1"/>
    <cellStyle name="Followed Hyperlink" xfId="9" builtinId="9" hidden="1"/>
    <cellStyle name="Followed Hyperlink" xfId="11" builtinId="9" hidden="1"/>
    <cellStyle name="Hyperlink" xfId="4" builtinId="8" hidden="1"/>
    <cellStyle name="Hyperlink" xfId="6" builtinId="8" hidden="1"/>
    <cellStyle name="Hyperlink" xfId="8" builtinId="8" hidden="1"/>
    <cellStyle name="Hyperlink" xfId="10" builtinId="8" hidden="1"/>
    <cellStyle name="Millares 2" xfId="14"/>
    <cellStyle name="Normal" xfId="0" builtinId="0"/>
    <cellStyle name="Normal 2" xfId="1"/>
    <cellStyle name="Normal 3" xfId="16"/>
    <cellStyle name="Normal_MODELO D" xfId="15"/>
    <cellStyle name="Percent" xfId="13"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 Id="rId14" Type="http://schemas.openxmlformats.org/officeDocument/2006/relationships/customXml" Target="../customXml/item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FERTZ~1/AppData/Local/Temp/EcoMicro_por_actividades_27Aug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ERICKAROD/AppData/Local/Microsoft/Windows/Temporary%20Internet%20Files/Content.Outlook/ER8D1K83/14042%20PRIMERA%20JUSTIFICACI&#211;N%20DESEMBOLSO%202%20V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sheetName val="A. InternalBudget"/>
      <sheetName val="Hoja1"/>
      <sheetName val="B. Pr-Act"/>
      <sheetName val="C. Pr-Com"/>
      <sheetName val="D. PR-Sum"/>
      <sheetName val="Responsabilidades"/>
      <sheetName val="Contraparte en Especie"/>
      <sheetName val="FOMIN Budget"/>
      <sheetName val="FOMIN Work Plan"/>
      <sheetName val="EcoMicro_por_actividades_27Aug1"/>
    </sheetNames>
    <sheetDataSet>
      <sheetData sheetId="0" refreshError="1"/>
      <sheetData sheetId="1" refreshError="1"/>
      <sheetData sheetId="2" refreshError="1"/>
      <sheetData sheetId="3" refreshError="1"/>
      <sheetData sheetId="4" refreshError="1">
        <row r="59">
          <cell r="F59">
            <v>298499.08038020047</v>
          </cell>
        </row>
        <row r="116">
          <cell r="F116">
            <v>63329.777918781721</v>
          </cell>
        </row>
        <row r="173">
          <cell r="F173">
            <v>68497.764709499621</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e Instrucciones "/>
      <sheetName val="Modelo A-1 Sol  Anticipo  "/>
      <sheetName val="Modelo B -Sol pag 2"/>
      <sheetName val="Modelo D-1 - detalle de pagos"/>
      <sheetName val="Modelo E - Resumen"/>
      <sheetName val="Hoja2"/>
      <sheetName val="Hoja1"/>
    </sheetNames>
    <sheetDataSet>
      <sheetData sheetId="0">
        <row r="6">
          <cell r="C6" t="str">
            <v>ATN/ME-14042-ME</v>
          </cell>
        </row>
        <row r="13">
          <cell r="C13" t="str">
            <v>Banco Nacional de México</v>
          </cell>
        </row>
        <row r="14">
          <cell r="C14" t="str">
            <v>USD</v>
          </cell>
        </row>
        <row r="15">
          <cell r="C15" t="str">
            <v>MXP</v>
          </cell>
        </row>
      </sheetData>
      <sheetData sheetId="1"/>
      <sheetData sheetId="2">
        <row r="6">
          <cell r="C6">
            <v>1</v>
          </cell>
          <cell r="E6" t="str">
            <v>DEFINICIÓN DEL MERCADO</v>
          </cell>
        </row>
        <row r="7">
          <cell r="C7">
            <v>2</v>
          </cell>
          <cell r="E7" t="str">
            <v>DESARROLLO DE PRODUCTO ECOCREDITO</v>
          </cell>
        </row>
        <row r="8">
          <cell r="C8">
            <v>3</v>
          </cell>
          <cell r="E8" t="str">
            <v>SENSIBILIZACIÓN Y CAPACITACIÓN DE LA PYME</v>
          </cell>
        </row>
        <row r="9">
          <cell r="C9">
            <v>4</v>
          </cell>
          <cell r="E9" t="str">
            <v>FORTALECIMIENTO DE LA CAPACIDAD DEL PERSONAL</v>
          </cell>
        </row>
        <row r="10">
          <cell r="C10">
            <v>5</v>
          </cell>
          <cell r="E10" t="str">
            <v>DESARROLLO DE PROGRAMA DE PROVEEDORES</v>
          </cell>
        </row>
        <row r="11">
          <cell r="C11">
            <v>6</v>
          </cell>
          <cell r="E11" t="str">
            <v>GESTION DEL CONOCIMIENTO Y DIFUSION</v>
          </cell>
        </row>
        <row r="12">
          <cell r="C12">
            <v>7</v>
          </cell>
          <cell r="E12" t="str">
            <v>ORGANISMO EJECUTOR/ADMINISTRATIVO</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P174"/>
  <sheetViews>
    <sheetView topLeftCell="A13" zoomScale="80" zoomScaleNormal="80" zoomScaleSheetLayoutView="57" zoomScalePageLayoutView="60" workbookViewId="0">
      <pane xSplit="2" ySplit="1" topLeftCell="D19" activePane="bottomRight" state="frozen"/>
      <selection activeCell="A13" sqref="A13"/>
      <selection pane="topRight" activeCell="C13" sqref="C13"/>
      <selection pane="bottomLeft" activeCell="A14" sqref="A14"/>
      <selection pane="bottomRight" activeCell="A28" sqref="A28:N100"/>
    </sheetView>
  </sheetViews>
  <sheetFormatPr defaultColWidth="14.7109375" defaultRowHeight="12.75" outlineLevelRow="2" outlineLevelCol="1" x14ac:dyDescent="0.2"/>
  <cols>
    <col min="1" max="1" width="8.140625" style="320" customWidth="1"/>
    <col min="2" max="2" width="47.85546875" style="196" customWidth="1"/>
    <col min="3" max="3" width="40.5703125" style="376" customWidth="1"/>
    <col min="4" max="4" width="8.85546875" style="196" customWidth="1" outlineLevel="1"/>
    <col min="5" max="5" width="11" style="377" customWidth="1"/>
    <col min="6" max="6" width="12.140625" style="377" customWidth="1"/>
    <col min="7" max="7" width="14.5703125" style="378" customWidth="1"/>
    <col min="8" max="8" width="14.85546875" style="372" customWidth="1"/>
    <col min="9" max="9" width="17" style="378" customWidth="1"/>
    <col min="10" max="10" width="21.28515625" style="326" customWidth="1"/>
    <col min="11" max="11" width="21.42578125" style="326" customWidth="1"/>
    <col min="12" max="12" width="16.28515625" style="327" customWidth="1"/>
    <col min="13" max="13" width="16.140625" style="327" customWidth="1"/>
    <col min="14" max="14" width="16.42578125" style="327" customWidth="1"/>
    <col min="15" max="16384" width="14.7109375" style="196"/>
  </cols>
  <sheetData>
    <row r="1" spans="1:14" x14ac:dyDescent="0.2">
      <c r="A1" s="185"/>
      <c r="B1" s="186"/>
      <c r="C1" s="187" t="s">
        <v>219</v>
      </c>
      <c r="D1" s="188"/>
      <c r="E1" s="189"/>
      <c r="F1" s="189"/>
      <c r="G1" s="190"/>
      <c r="H1" s="191"/>
      <c r="I1" s="190"/>
      <c r="J1" s="192"/>
      <c r="K1" s="192"/>
      <c r="L1" s="193"/>
      <c r="M1" s="194" t="s">
        <v>220</v>
      </c>
      <c r="N1" s="195"/>
    </row>
    <row r="2" spans="1:14" s="208" customFormat="1" x14ac:dyDescent="0.2">
      <c r="A2" s="197"/>
      <c r="B2" s="198"/>
      <c r="C2" s="199"/>
      <c r="D2" s="200" t="s">
        <v>221</v>
      </c>
      <c r="E2" s="201" t="s">
        <v>222</v>
      </c>
      <c r="F2" s="202" t="s">
        <v>223</v>
      </c>
      <c r="G2" s="203">
        <v>42314</v>
      </c>
      <c r="H2" s="204"/>
      <c r="I2" s="205"/>
      <c r="J2" s="206"/>
      <c r="K2" s="206"/>
      <c r="L2" s="205"/>
      <c r="M2" s="205"/>
      <c r="N2" s="207"/>
    </row>
    <row r="3" spans="1:14" s="208" customFormat="1" x14ac:dyDescent="0.2">
      <c r="A3" s="197"/>
      <c r="B3" s="198"/>
      <c r="C3" s="199"/>
      <c r="D3" s="200"/>
      <c r="E3" s="201"/>
      <c r="F3" s="209"/>
      <c r="G3" s="210"/>
      <c r="H3" s="211"/>
      <c r="I3" s="210"/>
      <c r="J3" s="212"/>
      <c r="K3" s="212"/>
      <c r="L3" s="210"/>
      <c r="M3" s="210"/>
      <c r="N3" s="213"/>
    </row>
    <row r="4" spans="1:14" x14ac:dyDescent="0.2">
      <c r="A4" s="197"/>
      <c r="B4" s="214"/>
      <c r="C4" s="215"/>
      <c r="D4" s="214"/>
      <c r="E4" s="216"/>
      <c r="F4" s="216"/>
      <c r="G4" s="217"/>
      <c r="H4" s="218"/>
      <c r="I4" s="217"/>
      <c r="J4" s="219"/>
      <c r="K4" s="219"/>
      <c r="L4" s="220"/>
      <c r="M4" s="220"/>
      <c r="N4" s="221"/>
    </row>
    <row r="5" spans="1:14" x14ac:dyDescent="0.2">
      <c r="A5" s="385" t="s">
        <v>224</v>
      </c>
      <c r="B5" s="386"/>
      <c r="C5" s="222" t="str">
        <f>+'[2]Datos e Instrucciones '!C13</f>
        <v>Banco Nacional de México</v>
      </c>
      <c r="D5" s="214"/>
      <c r="E5" s="216"/>
      <c r="F5" s="216"/>
      <c r="G5" s="217"/>
      <c r="H5" s="218"/>
      <c r="I5" s="217"/>
      <c r="J5" s="219"/>
      <c r="K5" s="219"/>
      <c r="L5" s="220"/>
      <c r="M5" s="220"/>
      <c r="N5" s="221"/>
    </row>
    <row r="6" spans="1:14" x14ac:dyDescent="0.2">
      <c r="A6" s="223" t="s">
        <v>225</v>
      </c>
      <c r="B6" s="214"/>
      <c r="C6" s="222" t="str">
        <f>+'[2]Datos e Instrucciones '!C6</f>
        <v>ATN/ME-14042-ME</v>
      </c>
      <c r="D6" s="214"/>
      <c r="E6" s="216"/>
      <c r="F6" s="216"/>
      <c r="G6" s="217"/>
      <c r="H6" s="218"/>
      <c r="I6" s="217"/>
      <c r="J6" s="219"/>
      <c r="K6" s="219"/>
      <c r="L6" s="220"/>
      <c r="M6" s="220"/>
      <c r="N6" s="221"/>
    </row>
    <row r="7" spans="1:14" x14ac:dyDescent="0.2">
      <c r="A7" s="223"/>
      <c r="B7" s="222"/>
      <c r="C7" s="224"/>
      <c r="D7" s="214"/>
      <c r="E7" s="216"/>
      <c r="F7" s="216"/>
      <c r="G7" s="217"/>
      <c r="H7" s="218"/>
      <c r="I7" s="217"/>
      <c r="J7" s="219"/>
      <c r="K7" s="219"/>
      <c r="L7" s="220"/>
      <c r="M7" s="220"/>
      <c r="N7" s="221"/>
    </row>
    <row r="8" spans="1:14" x14ac:dyDescent="0.2">
      <c r="A8" s="223" t="s">
        <v>226</v>
      </c>
      <c r="B8" s="222"/>
      <c r="C8" s="225" t="s">
        <v>227</v>
      </c>
      <c r="D8" s="214"/>
      <c r="E8" s="216"/>
      <c r="F8" s="216"/>
      <c r="G8" s="217"/>
      <c r="H8" s="218"/>
      <c r="I8" s="217"/>
      <c r="J8" s="219"/>
      <c r="K8" s="219"/>
      <c r="L8" s="220"/>
      <c r="M8" s="220"/>
      <c r="N8" s="221"/>
    </row>
    <row r="9" spans="1:14" x14ac:dyDescent="0.2">
      <c r="A9" s="223"/>
      <c r="B9" s="222"/>
      <c r="C9" s="224"/>
      <c r="D9" s="214"/>
      <c r="E9" s="216"/>
      <c r="F9" s="216"/>
      <c r="G9" s="217"/>
      <c r="H9" s="218"/>
      <c r="I9" s="217"/>
      <c r="J9" s="219"/>
      <c r="K9" s="219"/>
      <c r="L9" s="220"/>
      <c r="M9" s="220"/>
      <c r="N9" s="221"/>
    </row>
    <row r="10" spans="1:14" x14ac:dyDescent="0.2">
      <c r="A10" s="226"/>
      <c r="B10" s="222"/>
      <c r="C10" s="224"/>
      <c r="D10" s="214"/>
      <c r="E10" s="216"/>
      <c r="F10" s="216"/>
      <c r="G10" s="217"/>
      <c r="H10" s="218"/>
      <c r="I10" s="217"/>
      <c r="J10" s="219"/>
      <c r="K10" s="219"/>
      <c r="L10" s="220"/>
      <c r="M10" s="220"/>
      <c r="N10" s="221"/>
    </row>
    <row r="11" spans="1:14" ht="13.5" customHeight="1" x14ac:dyDescent="0.2">
      <c r="A11" s="227"/>
      <c r="B11" s="228"/>
      <c r="C11" s="229"/>
      <c r="D11" s="228"/>
      <c r="E11" s="230"/>
      <c r="F11" s="230"/>
      <c r="G11" s="231"/>
      <c r="H11" s="232"/>
      <c r="I11" s="231"/>
      <c r="J11" s="233"/>
      <c r="K11" s="233"/>
      <c r="L11" s="234"/>
      <c r="M11" s="234"/>
      <c r="N11" s="235"/>
    </row>
    <row r="12" spans="1:14" ht="9" customHeight="1" x14ac:dyDescent="0.2">
      <c r="A12" s="236" t="s">
        <v>228</v>
      </c>
      <c r="B12" s="237"/>
      <c r="C12" s="238"/>
      <c r="D12" s="239"/>
      <c r="E12" s="240"/>
      <c r="F12" s="241" t="s">
        <v>229</v>
      </c>
      <c r="G12" s="242"/>
      <c r="H12" s="243"/>
      <c r="I12" s="242"/>
      <c r="J12" s="244"/>
      <c r="K12" s="244"/>
      <c r="L12" s="245"/>
      <c r="M12" s="245"/>
      <c r="N12" s="245"/>
    </row>
    <row r="13" spans="1:14" ht="81" customHeight="1" x14ac:dyDescent="0.2">
      <c r="A13" s="246" t="s">
        <v>230</v>
      </c>
      <c r="B13" s="239" t="s">
        <v>231</v>
      </c>
      <c r="C13" s="247" t="s">
        <v>232</v>
      </c>
      <c r="D13" s="239" t="s">
        <v>233</v>
      </c>
      <c r="E13" s="239" t="s">
        <v>234</v>
      </c>
      <c r="F13" s="239" t="s">
        <v>235</v>
      </c>
      <c r="G13" s="239" t="s">
        <v>236</v>
      </c>
      <c r="H13" s="248" t="s">
        <v>237</v>
      </c>
      <c r="I13" s="249" t="s">
        <v>238</v>
      </c>
      <c r="J13" s="250" t="str">
        <f>+CONCATENATE("PORCION FINANCIADO POR EL BID EN:  
",+'[2]Datos e Instrucciones '!C15)</f>
        <v>PORCION FINANCIADO POR EL BID EN:  
MXP</v>
      </c>
      <c r="K13" s="250" t="str">
        <f>+CONCATENATE("PORCION APORTE LOCAL  EN:
",+'[2]Datos e Instrucciones '!C15)</f>
        <v>PORCION APORTE LOCAL  EN:
MXP</v>
      </c>
      <c r="L13" s="249" t="str">
        <f>+CONCATENATE("EQUIVALENTE FINANCIADO BID
",+'[2]Datos e Instrucciones '!C14)</f>
        <v>EQUIVALENTE FINANCIADO BID
USD</v>
      </c>
      <c r="M13" s="249" t="str">
        <f>+CONCATENATE("EQUIVALENTE APORTE LOCAL
",+'[2]Datos e Instrucciones '!C14)</f>
        <v>EQUIVALENTE APORTE LOCAL
USD</v>
      </c>
      <c r="N13" s="249" t="s">
        <v>239</v>
      </c>
    </row>
    <row r="14" spans="1:14" ht="21.75" customHeight="1" x14ac:dyDescent="0.2">
      <c r="A14" s="251">
        <v>1</v>
      </c>
      <c r="B14" s="252" t="str">
        <f>+'[2]Modelo B -Sol pag 2'!$E$6</f>
        <v>DEFINICIÓN DEL MERCADO</v>
      </c>
      <c r="C14" s="253"/>
      <c r="D14" s="254"/>
      <c r="E14" s="254"/>
      <c r="F14" s="254"/>
      <c r="G14" s="254"/>
      <c r="H14" s="255"/>
      <c r="I14" s="256"/>
      <c r="J14" s="257"/>
      <c r="K14" s="257"/>
      <c r="L14" s="256"/>
      <c r="M14" s="256"/>
      <c r="N14" s="256"/>
    </row>
    <row r="15" spans="1:14" ht="18.75" customHeight="1" x14ac:dyDescent="0.2">
      <c r="A15" s="258">
        <v>1.1000000000000001</v>
      </c>
      <c r="B15" s="259" t="s">
        <v>240</v>
      </c>
      <c r="C15" s="260" t="s">
        <v>241</v>
      </c>
      <c r="D15" s="259" t="s">
        <v>242</v>
      </c>
      <c r="E15" s="261"/>
      <c r="F15" s="262"/>
      <c r="G15" s="263"/>
      <c r="H15" s="264">
        <v>13.61</v>
      </c>
      <c r="I15" s="265">
        <v>408300</v>
      </c>
      <c r="J15" s="266"/>
      <c r="K15" s="267">
        <f>+I15-J15</f>
        <v>408300</v>
      </c>
      <c r="L15" s="268">
        <f>IF(I15&gt;0,ROUND(+J15/$H15,2),0)</f>
        <v>0</v>
      </c>
      <c r="M15" s="268">
        <f>IF(K15&gt;0,ROUND(+K15/$H15,2),0)</f>
        <v>30000</v>
      </c>
      <c r="N15" s="268">
        <f>IF(H15&gt;0,IF(ROUND(I15/$H$15,2)&lt;&gt;(+L15+M15),"REV DISTRB",(L15+M15)),0)</f>
        <v>30000</v>
      </c>
    </row>
    <row r="16" spans="1:14" ht="18.75" customHeight="1" x14ac:dyDescent="0.2">
      <c r="A16" s="258">
        <v>1.2</v>
      </c>
      <c r="B16" s="259" t="s">
        <v>124</v>
      </c>
      <c r="C16" s="260" t="s">
        <v>241</v>
      </c>
      <c r="D16" s="259" t="s">
        <v>242</v>
      </c>
      <c r="E16" s="261"/>
      <c r="F16" s="261"/>
      <c r="G16" s="269"/>
      <c r="H16" s="264">
        <v>13.61</v>
      </c>
      <c r="I16" s="265">
        <v>408300</v>
      </c>
      <c r="J16" s="270"/>
      <c r="K16" s="267">
        <f>+I16-J16</f>
        <v>408300</v>
      </c>
      <c r="L16" s="268">
        <f>IF(I16&gt;0,ROUND(+J16/$H16,2),0)</f>
        <v>0</v>
      </c>
      <c r="M16" s="268">
        <f>IF(K16&gt;0,ROUND(+K16/$H16,2),0)</f>
        <v>30000</v>
      </c>
      <c r="N16" s="268">
        <f>IF(H16&gt;0,IF(ROUND(I16/$H$15,2)&lt;&gt;(+L16+M16),"REV DISTRB",(L16+M16)),0)</f>
        <v>30000</v>
      </c>
    </row>
    <row r="17" spans="1:14" s="277" customFormat="1" ht="12" customHeight="1" x14ac:dyDescent="0.2">
      <c r="A17" s="271" t="s">
        <v>243</v>
      </c>
      <c r="B17" s="272"/>
      <c r="C17" s="273"/>
      <c r="D17" s="272"/>
      <c r="E17" s="274"/>
      <c r="F17" s="274"/>
      <c r="G17" s="275"/>
      <c r="H17" s="276"/>
      <c r="I17" s="270"/>
      <c r="J17" s="270"/>
      <c r="K17" s="270"/>
      <c r="L17" s="270"/>
      <c r="M17" s="270"/>
      <c r="N17" s="270"/>
    </row>
    <row r="18" spans="1:14" s="287" customFormat="1" ht="30" customHeight="1" x14ac:dyDescent="0.2">
      <c r="A18" s="278">
        <f>+'[2]Modelo B -Sol pag 2'!$C$6</f>
        <v>1</v>
      </c>
      <c r="B18" s="279" t="str">
        <f>+CONCATENATE("TOTAL ", +'[2]Modelo B -Sol pag 2'!$E$6)</f>
        <v>TOTAL DEFINICIÓN DEL MERCADO</v>
      </c>
      <c r="C18" s="280"/>
      <c r="D18" s="279"/>
      <c r="E18" s="279"/>
      <c r="F18" s="281"/>
      <c r="G18" s="282" t="s">
        <v>244</v>
      </c>
      <c r="H18" s="283"/>
      <c r="I18" s="284"/>
      <c r="J18" s="285">
        <f>SUM(J14:J17)</f>
        <v>0</v>
      </c>
      <c r="K18" s="285">
        <f>SUM(K14:K17)</f>
        <v>816600</v>
      </c>
      <c r="L18" s="286">
        <f>SUM(L14:L17)</f>
        <v>0</v>
      </c>
      <c r="M18" s="286">
        <f>SUM(M14:M17)</f>
        <v>60000</v>
      </c>
      <c r="N18" s="286">
        <f>SUM(N14:N17)</f>
        <v>60000</v>
      </c>
    </row>
    <row r="19" spans="1:14" ht="18.75" customHeight="1" x14ac:dyDescent="0.2">
      <c r="A19" s="288">
        <f>+'[2]Modelo B -Sol pag 2'!$C$7</f>
        <v>2</v>
      </c>
      <c r="B19" s="289" t="str">
        <f>+'[2]Modelo B -Sol pag 2'!$E$7</f>
        <v>DESARROLLO DE PRODUCTO ECOCREDITO</v>
      </c>
      <c r="C19" s="253"/>
      <c r="D19" s="254"/>
      <c r="E19" s="254"/>
      <c r="F19" s="254"/>
      <c r="G19" s="254"/>
      <c r="H19" s="255"/>
      <c r="I19" s="256"/>
      <c r="J19" s="257"/>
      <c r="K19" s="257"/>
      <c r="L19" s="256"/>
      <c r="M19" s="256"/>
      <c r="N19" s="256"/>
    </row>
    <row r="20" spans="1:14" ht="18.75" customHeight="1" x14ac:dyDescent="0.2">
      <c r="A20" s="290">
        <v>2.1</v>
      </c>
      <c r="B20" s="259" t="s">
        <v>145</v>
      </c>
      <c r="C20" s="260" t="s">
        <v>241</v>
      </c>
      <c r="D20" s="259" t="s">
        <v>242</v>
      </c>
      <c r="E20" s="261"/>
      <c r="F20" s="261"/>
      <c r="G20" s="269"/>
      <c r="H20" s="264">
        <v>13.61</v>
      </c>
      <c r="I20" s="265">
        <v>136100</v>
      </c>
      <c r="J20" s="270"/>
      <c r="K20" s="267">
        <f>+I20-J20</f>
        <v>136100</v>
      </c>
      <c r="L20" s="268">
        <f>IF(I20&gt;0,ROUND(+J20/$H20,2),0)</f>
        <v>0</v>
      </c>
      <c r="M20" s="268">
        <f>IF(K20&gt;0,ROUND(+K20/$H20,2),0)</f>
        <v>10000</v>
      </c>
      <c r="N20" s="268">
        <f>IF(H20&gt;0,IF(ROUND(I20/$H$15,2)&lt;&gt;(+L20+M20),"REV DISTRB",(L20+M20)),0)</f>
        <v>10000</v>
      </c>
    </row>
    <row r="21" spans="1:14" ht="18.75" customHeight="1" x14ac:dyDescent="0.2">
      <c r="A21" s="290">
        <v>2.2000000000000002</v>
      </c>
      <c r="B21" s="259" t="s">
        <v>245</v>
      </c>
      <c r="C21" s="260" t="s">
        <v>241</v>
      </c>
      <c r="D21" s="259" t="s">
        <v>242</v>
      </c>
      <c r="E21" s="261"/>
      <c r="F21" s="261"/>
      <c r="G21" s="269"/>
      <c r="H21" s="264">
        <v>13.61</v>
      </c>
      <c r="I21" s="265">
        <v>2272870</v>
      </c>
      <c r="J21" s="270"/>
      <c r="K21" s="267">
        <f>+I21-J21</f>
        <v>2272870</v>
      </c>
      <c r="L21" s="268">
        <f>IF(I21&gt;0,ROUND(+J21/$H21,2),0)</f>
        <v>0</v>
      </c>
      <c r="M21" s="268">
        <f>IF(K21&gt;0,ROUND(+K21/$H21,2),0)</f>
        <v>167000</v>
      </c>
      <c r="N21" s="268">
        <f>IF(H21&gt;0,IF(ROUND(I21/$H$15,2)&lt;&gt;(+L21+M21),"REV DISTRB",(L21+M21)),0)</f>
        <v>167000</v>
      </c>
    </row>
    <row r="22" spans="1:14" ht="18.75" customHeight="1" x14ac:dyDescent="0.2">
      <c r="A22" s="290">
        <v>2.2999999999999998</v>
      </c>
      <c r="B22" s="259" t="s">
        <v>246</v>
      </c>
      <c r="C22" s="260" t="s">
        <v>241</v>
      </c>
      <c r="D22" s="259" t="s">
        <v>242</v>
      </c>
      <c r="E22" s="261"/>
      <c r="F22" s="261"/>
      <c r="G22" s="269"/>
      <c r="H22" s="264">
        <v>13.61</v>
      </c>
      <c r="I22" s="265">
        <v>408300</v>
      </c>
      <c r="J22" s="270"/>
      <c r="K22" s="267">
        <f>+I22-J22</f>
        <v>408300</v>
      </c>
      <c r="L22" s="268">
        <f>IF(I22&gt;0,ROUND(+J22/$H22,2),0)</f>
        <v>0</v>
      </c>
      <c r="M22" s="268">
        <f>IF(K22&gt;0,ROUND(+K22/$H22,2),0)</f>
        <v>30000</v>
      </c>
      <c r="N22" s="268">
        <f>IF(H22&gt;0,IF(ROUND(I22/$H$15,2)&lt;&gt;(+L22+M22),"REV DISTRB",(L22+M22)),0)</f>
        <v>30000</v>
      </c>
    </row>
    <row r="23" spans="1:14" ht="18.75" customHeight="1" x14ac:dyDescent="0.2">
      <c r="A23" s="290">
        <v>2.4</v>
      </c>
      <c r="B23" s="259" t="s">
        <v>247</v>
      </c>
      <c r="C23" s="260" t="s">
        <v>241</v>
      </c>
      <c r="D23" s="259" t="s">
        <v>242</v>
      </c>
      <c r="E23" s="261"/>
      <c r="F23" s="261"/>
      <c r="G23" s="269"/>
      <c r="H23" s="264">
        <v>13.61</v>
      </c>
      <c r="I23" s="265">
        <v>408300</v>
      </c>
      <c r="J23" s="270"/>
      <c r="K23" s="267">
        <f>+I23-J23</f>
        <v>408300</v>
      </c>
      <c r="L23" s="268">
        <f>IF(I23&gt;0,ROUND(+J23/$H23,2),0)</f>
        <v>0</v>
      </c>
      <c r="M23" s="268">
        <f>IF(K23&gt;0,ROUND(+K23/$H23,2),0)</f>
        <v>30000</v>
      </c>
      <c r="N23" s="268">
        <f>IF(H23&gt;0,IF(ROUND(I23/$H$15,2)&lt;&gt;(+L23+M23),"REV DISTRB",(L23+M23)),0)</f>
        <v>30000</v>
      </c>
    </row>
    <row r="24" spans="1:14" s="277" customFormat="1" ht="12" customHeight="1" x14ac:dyDescent="0.2">
      <c r="A24" s="271" t="s">
        <v>243</v>
      </c>
      <c r="B24" s="272"/>
      <c r="C24" s="273"/>
      <c r="D24" s="272"/>
      <c r="E24" s="274"/>
      <c r="F24" s="274"/>
      <c r="G24" s="275"/>
      <c r="H24" s="276"/>
      <c r="I24" s="270"/>
      <c r="J24" s="270"/>
      <c r="K24" s="270"/>
      <c r="L24" s="270"/>
      <c r="M24" s="270"/>
      <c r="N24" s="270"/>
    </row>
    <row r="25" spans="1:14" s="287" customFormat="1" ht="18.75" customHeight="1" x14ac:dyDescent="0.2">
      <c r="A25" s="291">
        <f>+'[2]Modelo B -Sol pag 2'!$C$7</f>
        <v>2</v>
      </c>
      <c r="B25" s="279" t="str">
        <f>+CONCATENATE("TOTAL ", +'[2]Modelo B -Sol pag 2'!$E$7)</f>
        <v>TOTAL DESARROLLO DE PRODUCTO ECOCREDITO</v>
      </c>
      <c r="C25" s="280"/>
      <c r="D25" s="279"/>
      <c r="E25" s="279"/>
      <c r="F25" s="279"/>
      <c r="G25" s="282" t="s">
        <v>244</v>
      </c>
      <c r="H25" s="283"/>
      <c r="I25" s="284"/>
      <c r="J25" s="285">
        <f>SUM(J19:J24)</f>
        <v>0</v>
      </c>
      <c r="K25" s="285">
        <f>SUM(K19:K24)</f>
        <v>3225570</v>
      </c>
      <c r="L25" s="286">
        <f>SUM(L19:L24)</f>
        <v>0</v>
      </c>
      <c r="M25" s="286">
        <f>SUM(M19:M24)</f>
        <v>237000</v>
      </c>
      <c r="N25" s="286">
        <f>SUM(N19:N24)</f>
        <v>237000</v>
      </c>
    </row>
    <row r="26" spans="1:14" s="298" customFormat="1" ht="12.75" customHeight="1" x14ac:dyDescent="0.2">
      <c r="A26" s="292"/>
      <c r="B26" s="293"/>
      <c r="C26" s="289"/>
      <c r="D26" s="293"/>
      <c r="E26" s="293"/>
      <c r="F26" s="293"/>
      <c r="G26" s="294"/>
      <c r="H26" s="295"/>
      <c r="I26" s="296"/>
      <c r="J26" s="285"/>
      <c r="K26" s="285"/>
      <c r="L26" s="297"/>
      <c r="M26" s="297"/>
      <c r="N26" s="297"/>
    </row>
    <row r="27" spans="1:14" ht="18.75" customHeight="1" x14ac:dyDescent="0.2">
      <c r="A27" s="299">
        <f>+'[2]Modelo B -Sol pag 2'!$C$8</f>
        <v>3</v>
      </c>
      <c r="B27" s="289" t="str">
        <f>+'[2]Modelo B -Sol pag 2'!$E$8</f>
        <v>SENSIBILIZACIÓN Y CAPACITACIÓN DE LA PYME</v>
      </c>
      <c r="C27" s="253"/>
      <c r="D27" s="254"/>
      <c r="E27" s="254"/>
      <c r="F27" s="254"/>
      <c r="G27" s="254"/>
      <c r="H27" s="255"/>
      <c r="I27" s="256"/>
      <c r="J27" s="257"/>
      <c r="K27" s="257"/>
      <c r="L27" s="256"/>
      <c r="M27" s="256"/>
      <c r="N27" s="256"/>
    </row>
    <row r="28" spans="1:14" ht="18.75" customHeight="1" x14ac:dyDescent="0.2">
      <c r="A28" s="290" t="s">
        <v>192</v>
      </c>
      <c r="B28" s="261" t="s">
        <v>248</v>
      </c>
      <c r="C28" s="300" t="s">
        <v>249</v>
      </c>
      <c r="D28" s="259" t="s">
        <v>242</v>
      </c>
      <c r="E28" s="261" t="s">
        <v>250</v>
      </c>
      <c r="F28" s="261"/>
      <c r="G28" s="269">
        <v>41900</v>
      </c>
      <c r="H28" s="264">
        <v>13.25</v>
      </c>
      <c r="I28" s="301">
        <v>3942.6</v>
      </c>
      <c r="J28" s="270">
        <v>3398.79</v>
      </c>
      <c r="K28" s="267">
        <f>+I28-J286</f>
        <v>3942.6</v>
      </c>
      <c r="L28" s="268">
        <f>IF(I28&gt;0,ROUND(+J28/$H28,2),0)</f>
        <v>256.51</v>
      </c>
      <c r="M28" s="302">
        <f>IF(K28&gt;0,ROUND(+K28/$H28,2),0)</f>
        <v>297.55</v>
      </c>
      <c r="N28" s="268">
        <f>IF(H28&gt;0,IF(ROUND(I28/$H$15,2)&lt;&gt;(+L28+M28),(L28+M28),(L28+M28)),0)</f>
        <v>554.05999999999995</v>
      </c>
    </row>
    <row r="29" spans="1:14" ht="9" customHeight="1" x14ac:dyDescent="0.2">
      <c r="A29" s="290"/>
      <c r="B29" s="261"/>
      <c r="C29" s="300"/>
      <c r="D29" s="259"/>
      <c r="E29" s="261"/>
      <c r="F29" s="261"/>
      <c r="G29" s="269"/>
      <c r="H29" s="264"/>
      <c r="I29" s="265"/>
      <c r="J29" s="270"/>
      <c r="K29" s="267"/>
      <c r="L29" s="268"/>
      <c r="M29" s="302"/>
      <c r="N29" s="268"/>
    </row>
    <row r="30" spans="1:14" ht="18.75" customHeight="1" x14ac:dyDescent="0.2">
      <c r="A30" s="290" t="s">
        <v>192</v>
      </c>
      <c r="B30" s="261" t="s">
        <v>251</v>
      </c>
      <c r="C30" s="300" t="s">
        <v>249</v>
      </c>
      <c r="D30" s="259" t="s">
        <v>242</v>
      </c>
      <c r="E30" s="261" t="s">
        <v>252</v>
      </c>
      <c r="F30" s="261"/>
      <c r="G30" s="269">
        <v>41925</v>
      </c>
      <c r="H30" s="264">
        <v>13.420299999999999</v>
      </c>
      <c r="I30" s="301">
        <v>8700</v>
      </c>
      <c r="J30" s="270">
        <v>5580</v>
      </c>
      <c r="K30" s="267">
        <f t="shared" ref="K30:K35" si="0">+I30-J30</f>
        <v>3120</v>
      </c>
      <c r="L30" s="268">
        <f t="shared" ref="L30:L35" si="1">IF(I30&gt;0,ROUND(+J30/$H30,2),0)</f>
        <v>415.79</v>
      </c>
      <c r="M30" s="302">
        <f t="shared" ref="M30:M35" si="2">IF(K30&gt;0,ROUND(+K30/$H30,2),0)</f>
        <v>232.48</v>
      </c>
      <c r="N30" s="268">
        <f t="shared" ref="N30:N35" si="3">IF(H30&gt;0,IF(ROUND(I30/$H$15,2)&lt;&gt;(+L30+M30),(L30+M30),(L30+M30)),0)</f>
        <v>648.27</v>
      </c>
    </row>
    <row r="31" spans="1:14" ht="18.75" customHeight="1" x14ac:dyDescent="0.2">
      <c r="A31" s="290" t="s">
        <v>192</v>
      </c>
      <c r="B31" s="261" t="s">
        <v>251</v>
      </c>
      <c r="C31" s="300" t="s">
        <v>249</v>
      </c>
      <c r="D31" s="259" t="s">
        <v>242</v>
      </c>
      <c r="E31" s="261" t="s">
        <v>252</v>
      </c>
      <c r="F31" s="261"/>
      <c r="G31" s="269">
        <v>41925</v>
      </c>
      <c r="H31" s="264">
        <v>13.420299999999999</v>
      </c>
      <c r="I31" s="301">
        <v>8700</v>
      </c>
      <c r="J31" s="270">
        <v>5580</v>
      </c>
      <c r="K31" s="267">
        <f t="shared" si="0"/>
        <v>3120</v>
      </c>
      <c r="L31" s="268">
        <f t="shared" si="1"/>
        <v>415.79</v>
      </c>
      <c r="M31" s="302">
        <f t="shared" si="2"/>
        <v>232.48</v>
      </c>
      <c r="N31" s="268">
        <f t="shared" si="3"/>
        <v>648.27</v>
      </c>
    </row>
    <row r="32" spans="1:14" ht="18.75" customHeight="1" x14ac:dyDescent="0.2">
      <c r="A32" s="290" t="s">
        <v>192</v>
      </c>
      <c r="B32" s="261" t="s">
        <v>253</v>
      </c>
      <c r="C32" s="300" t="s">
        <v>254</v>
      </c>
      <c r="D32" s="259" t="s">
        <v>242</v>
      </c>
      <c r="E32" s="261"/>
      <c r="F32" s="261"/>
      <c r="G32" s="269">
        <v>41926</v>
      </c>
      <c r="H32" s="264">
        <v>13.4094</v>
      </c>
      <c r="I32" s="301">
        <v>4342.6499999999996</v>
      </c>
      <c r="J32" s="270">
        <v>3743.66</v>
      </c>
      <c r="K32" s="267">
        <f t="shared" si="0"/>
        <v>598.98999999999978</v>
      </c>
      <c r="L32" s="268">
        <f t="shared" si="1"/>
        <v>279.18</v>
      </c>
      <c r="M32" s="302">
        <f t="shared" si="2"/>
        <v>44.67</v>
      </c>
      <c r="N32" s="268">
        <f t="shared" si="3"/>
        <v>323.85000000000002</v>
      </c>
    </row>
    <row r="33" spans="1:14" ht="18.75" customHeight="1" x14ac:dyDescent="0.2">
      <c r="A33" s="290" t="s">
        <v>192</v>
      </c>
      <c r="B33" s="261" t="s">
        <v>253</v>
      </c>
      <c r="C33" s="300" t="s">
        <v>254</v>
      </c>
      <c r="D33" s="259" t="s">
        <v>242</v>
      </c>
      <c r="E33" s="261"/>
      <c r="F33" s="261"/>
      <c r="G33" s="269">
        <v>41936</v>
      </c>
      <c r="H33" s="264">
        <v>13.5283</v>
      </c>
      <c r="I33" s="301">
        <v>4342.6499999999996</v>
      </c>
      <c r="J33" s="270">
        <v>3743.66</v>
      </c>
      <c r="K33" s="267">
        <f t="shared" si="0"/>
        <v>598.98999999999978</v>
      </c>
      <c r="L33" s="268">
        <f t="shared" si="1"/>
        <v>276.73</v>
      </c>
      <c r="M33" s="302">
        <f t="shared" si="2"/>
        <v>44.28</v>
      </c>
      <c r="N33" s="268">
        <f t="shared" si="3"/>
        <v>321.01</v>
      </c>
    </row>
    <row r="34" spans="1:14" ht="18.75" customHeight="1" x14ac:dyDescent="0.2">
      <c r="A34" s="290" t="s">
        <v>192</v>
      </c>
      <c r="B34" s="261" t="s">
        <v>255</v>
      </c>
      <c r="C34" s="300" t="s">
        <v>254</v>
      </c>
      <c r="D34" s="259" t="s">
        <v>242</v>
      </c>
      <c r="E34" s="261"/>
      <c r="F34" s="261"/>
      <c r="G34" s="269">
        <v>41943</v>
      </c>
      <c r="H34" s="264">
        <v>13.4773</v>
      </c>
      <c r="I34" s="301">
        <v>7309.8</v>
      </c>
      <c r="J34" s="270">
        <v>5580</v>
      </c>
      <c r="K34" s="267">
        <f t="shared" si="0"/>
        <v>1729.8000000000002</v>
      </c>
      <c r="L34" s="268">
        <f t="shared" si="1"/>
        <v>414.03</v>
      </c>
      <c r="M34" s="302">
        <f t="shared" si="2"/>
        <v>128.35</v>
      </c>
      <c r="N34" s="268">
        <f t="shared" si="3"/>
        <v>542.38</v>
      </c>
    </row>
    <row r="35" spans="1:14" ht="18.75" customHeight="1" x14ac:dyDescent="0.2">
      <c r="A35" s="290">
        <v>3.4</v>
      </c>
      <c r="B35" s="261" t="s">
        <v>256</v>
      </c>
      <c r="C35" s="300" t="s">
        <v>257</v>
      </c>
      <c r="D35" s="259" t="s">
        <v>242</v>
      </c>
      <c r="E35" s="261" t="s">
        <v>258</v>
      </c>
      <c r="F35" s="261"/>
      <c r="G35" s="269">
        <v>41919</v>
      </c>
      <c r="H35" s="264">
        <v>13.433199999999999</v>
      </c>
      <c r="I35" s="301">
        <v>44687.28</v>
      </c>
      <c r="J35" s="270">
        <v>0</v>
      </c>
      <c r="K35" s="267">
        <f t="shared" si="0"/>
        <v>44687.28</v>
      </c>
      <c r="L35" s="268">
        <f t="shared" si="1"/>
        <v>0</v>
      </c>
      <c r="M35" s="302">
        <f t="shared" si="2"/>
        <v>3326.63</v>
      </c>
      <c r="N35" s="268">
        <f t="shared" si="3"/>
        <v>3326.63</v>
      </c>
    </row>
    <row r="36" spans="1:14" ht="9" customHeight="1" x14ac:dyDescent="0.2">
      <c r="A36" s="303"/>
      <c r="B36" s="261"/>
      <c r="C36" s="300"/>
      <c r="D36" s="259"/>
      <c r="E36" s="261"/>
      <c r="F36" s="261"/>
      <c r="G36" s="269"/>
      <c r="H36" s="264"/>
      <c r="I36" s="265"/>
      <c r="J36" s="270"/>
      <c r="K36" s="267"/>
      <c r="L36" s="268"/>
      <c r="M36" s="302"/>
      <c r="N36" s="268"/>
    </row>
    <row r="37" spans="1:14" ht="28.5" customHeight="1" x14ac:dyDescent="0.2">
      <c r="A37" s="288" t="s">
        <v>192</v>
      </c>
      <c r="B37" s="261" t="s">
        <v>259</v>
      </c>
      <c r="C37" s="300" t="s">
        <v>249</v>
      </c>
      <c r="D37" s="259" t="s">
        <v>242</v>
      </c>
      <c r="E37" s="261" t="s">
        <v>260</v>
      </c>
      <c r="F37" s="261"/>
      <c r="G37" s="269">
        <v>41961</v>
      </c>
      <c r="H37" s="264">
        <v>13.544499999999999</v>
      </c>
      <c r="I37" s="301">
        <v>14999.99</v>
      </c>
      <c r="J37" s="270">
        <v>12931.03</v>
      </c>
      <c r="K37" s="267">
        <f>+I37-J37</f>
        <v>2068.9599999999991</v>
      </c>
      <c r="L37" s="268">
        <f>IF(I37&gt;0,ROUND(+J37/$H37,2),0)</f>
        <v>954.71</v>
      </c>
      <c r="M37" s="302">
        <f>IF(K37&gt;0,ROUND(+K37/$H37,2),0)</f>
        <v>152.75</v>
      </c>
      <c r="N37" s="268">
        <f t="shared" ref="N37:N44" si="4">IF(H37&gt;0,IF(ROUND(I37/$H$15,2)&lt;&gt;(+L37+M37),(L37+M37),(L37+M37)),0)</f>
        <v>1107.46</v>
      </c>
    </row>
    <row r="38" spans="1:14" ht="19.5" customHeight="1" x14ac:dyDescent="0.2">
      <c r="A38" s="290" t="s">
        <v>192</v>
      </c>
      <c r="B38" s="261" t="s">
        <v>251</v>
      </c>
      <c r="C38" s="300" t="s">
        <v>249</v>
      </c>
      <c r="D38" s="259" t="s">
        <v>242</v>
      </c>
      <c r="E38" s="261" t="s">
        <v>252</v>
      </c>
      <c r="F38" s="261"/>
      <c r="G38" s="269">
        <v>41963</v>
      </c>
      <c r="H38" s="264">
        <v>13.611499999999999</v>
      </c>
      <c r="I38" s="301">
        <v>9039.5</v>
      </c>
      <c r="J38" s="270">
        <v>7792.67</v>
      </c>
      <c r="K38" s="267">
        <f t="shared" ref="K38:K44" si="5">+I38-J38</f>
        <v>1246.83</v>
      </c>
      <c r="L38" s="268">
        <f t="shared" ref="L38:L44" si="6">IF(I38&gt;0,ROUND(+J38/$H38,2),0)</f>
        <v>572.51</v>
      </c>
      <c r="M38" s="302">
        <f t="shared" ref="M38:M44" si="7">IF(K38&gt;0,ROUND(+K38/$H38,2),0)</f>
        <v>91.6</v>
      </c>
      <c r="N38" s="268">
        <f t="shared" si="4"/>
        <v>664.11</v>
      </c>
    </row>
    <row r="39" spans="1:14" ht="19.5" customHeight="1" x14ac:dyDescent="0.2">
      <c r="A39" s="290" t="s">
        <v>201</v>
      </c>
      <c r="B39" s="261" t="s">
        <v>255</v>
      </c>
      <c r="C39" s="300" t="s">
        <v>254</v>
      </c>
      <c r="D39" s="259" t="s">
        <v>242</v>
      </c>
      <c r="E39" s="261"/>
      <c r="F39" s="261"/>
      <c r="G39" s="269">
        <v>41947</v>
      </c>
      <c r="H39" s="264">
        <v>13.592499999999999</v>
      </c>
      <c r="I39" s="301">
        <v>7309.8</v>
      </c>
      <c r="J39" s="270">
        <v>5580</v>
      </c>
      <c r="K39" s="267">
        <f t="shared" si="5"/>
        <v>1729.8000000000002</v>
      </c>
      <c r="L39" s="268">
        <f t="shared" si="6"/>
        <v>410.52</v>
      </c>
      <c r="M39" s="302">
        <f t="shared" si="7"/>
        <v>127.26</v>
      </c>
      <c r="N39" s="268">
        <f t="shared" si="4"/>
        <v>537.78</v>
      </c>
    </row>
    <row r="40" spans="1:14" ht="19.5" customHeight="1" x14ac:dyDescent="0.2">
      <c r="A40" s="290" t="s">
        <v>201</v>
      </c>
      <c r="B40" s="261" t="s">
        <v>255</v>
      </c>
      <c r="C40" s="300" t="s">
        <v>254</v>
      </c>
      <c r="D40" s="259" t="s">
        <v>242</v>
      </c>
      <c r="E40" s="261"/>
      <c r="F40" s="261"/>
      <c r="G40" s="269">
        <v>41948</v>
      </c>
      <c r="H40" s="264">
        <v>13.606999999999999</v>
      </c>
      <c r="I40" s="301">
        <v>1740</v>
      </c>
      <c r="J40" s="270">
        <v>0</v>
      </c>
      <c r="K40" s="267">
        <f t="shared" si="5"/>
        <v>1740</v>
      </c>
      <c r="L40" s="268">
        <f t="shared" si="6"/>
        <v>0</v>
      </c>
      <c r="M40" s="302">
        <f t="shared" si="7"/>
        <v>127.88</v>
      </c>
      <c r="N40" s="268">
        <f t="shared" si="4"/>
        <v>127.88</v>
      </c>
    </row>
    <row r="41" spans="1:14" ht="19.5" customHeight="1" x14ac:dyDescent="0.2">
      <c r="A41" s="290" t="s">
        <v>201</v>
      </c>
      <c r="B41" s="261" t="s">
        <v>261</v>
      </c>
      <c r="C41" s="300" t="s">
        <v>254</v>
      </c>
      <c r="D41" s="259" t="s">
        <v>242</v>
      </c>
      <c r="E41" s="261"/>
      <c r="F41" s="261"/>
      <c r="G41" s="269">
        <v>41947</v>
      </c>
      <c r="H41" s="264">
        <v>13.592499999999999</v>
      </c>
      <c r="I41" s="304">
        <f>6897.2</f>
        <v>6897.2</v>
      </c>
      <c r="J41" s="270">
        <v>0</v>
      </c>
      <c r="K41" s="267">
        <f t="shared" si="5"/>
        <v>6897.2</v>
      </c>
      <c r="L41" s="268">
        <f t="shared" si="6"/>
        <v>0</v>
      </c>
      <c r="M41" s="302">
        <f t="shared" si="7"/>
        <v>507.43</v>
      </c>
      <c r="N41" s="268">
        <f t="shared" si="4"/>
        <v>507.43</v>
      </c>
    </row>
    <row r="42" spans="1:14" ht="19.5" customHeight="1" x14ac:dyDescent="0.2">
      <c r="A42" s="290" t="s">
        <v>201</v>
      </c>
      <c r="B42" s="261" t="s">
        <v>261</v>
      </c>
      <c r="C42" s="300" t="s">
        <v>254</v>
      </c>
      <c r="D42" s="259" t="s">
        <v>242</v>
      </c>
      <c r="E42" s="261"/>
      <c r="F42" s="261"/>
      <c r="G42" s="269">
        <v>41961</v>
      </c>
      <c r="H42" s="264">
        <v>13.544499999999999</v>
      </c>
      <c r="I42" s="301">
        <v>4960</v>
      </c>
      <c r="J42" s="270">
        <v>3875</v>
      </c>
      <c r="K42" s="267">
        <f t="shared" si="5"/>
        <v>1085</v>
      </c>
      <c r="L42" s="268">
        <f t="shared" si="6"/>
        <v>286.08999999999997</v>
      </c>
      <c r="M42" s="302">
        <f t="shared" si="7"/>
        <v>80.11</v>
      </c>
      <c r="N42" s="268">
        <f t="shared" si="4"/>
        <v>366.2</v>
      </c>
    </row>
    <row r="43" spans="1:14" ht="19.5" customHeight="1" x14ac:dyDescent="0.2">
      <c r="A43" s="290" t="s">
        <v>201</v>
      </c>
      <c r="B43" s="261" t="s">
        <v>262</v>
      </c>
      <c r="C43" s="300" t="s">
        <v>254</v>
      </c>
      <c r="D43" s="259" t="s">
        <v>242</v>
      </c>
      <c r="E43" s="261"/>
      <c r="F43" s="261"/>
      <c r="G43" s="269">
        <v>41948</v>
      </c>
      <c r="H43" s="264">
        <v>13.606999999999999</v>
      </c>
      <c r="I43" s="301">
        <v>6062.25</v>
      </c>
      <c r="J43" s="270">
        <v>47725</v>
      </c>
      <c r="K43" s="267">
        <f t="shared" si="5"/>
        <v>-41662.75</v>
      </c>
      <c r="L43" s="268">
        <f t="shared" si="6"/>
        <v>3507.39</v>
      </c>
      <c r="M43" s="302">
        <f t="shared" si="7"/>
        <v>0</v>
      </c>
      <c r="N43" s="268">
        <f t="shared" si="4"/>
        <v>3507.39</v>
      </c>
    </row>
    <row r="44" spans="1:14" ht="19.5" customHeight="1" x14ac:dyDescent="0.2">
      <c r="A44" s="290" t="s">
        <v>201</v>
      </c>
      <c r="B44" s="261" t="s">
        <v>262</v>
      </c>
      <c r="C44" s="300" t="s">
        <v>254</v>
      </c>
      <c r="D44" s="259" t="s">
        <v>242</v>
      </c>
      <c r="E44" s="261"/>
      <c r="F44" s="261"/>
      <c r="G44" s="269">
        <v>41969</v>
      </c>
      <c r="H44" s="264">
        <v>13.7219</v>
      </c>
      <c r="I44" s="301">
        <v>6010.05</v>
      </c>
      <c r="J44" s="270">
        <v>4680</v>
      </c>
      <c r="K44" s="267">
        <f t="shared" si="5"/>
        <v>1330.0500000000002</v>
      </c>
      <c r="L44" s="268">
        <f t="shared" si="6"/>
        <v>341.06</v>
      </c>
      <c r="M44" s="302">
        <f t="shared" si="7"/>
        <v>96.93</v>
      </c>
      <c r="N44" s="268">
        <f t="shared" si="4"/>
        <v>437.99</v>
      </c>
    </row>
    <row r="45" spans="1:14" ht="8.25" customHeight="1" x14ac:dyDescent="0.2">
      <c r="A45" s="303"/>
      <c r="B45" s="261"/>
      <c r="C45" s="300"/>
      <c r="D45" s="259"/>
      <c r="E45" s="261"/>
      <c r="F45" s="261"/>
      <c r="G45" s="269"/>
      <c r="H45" s="264"/>
      <c r="I45" s="265"/>
      <c r="J45" s="270"/>
      <c r="K45" s="267"/>
      <c r="L45" s="268"/>
      <c r="M45" s="302"/>
      <c r="N45" s="268"/>
    </row>
    <row r="46" spans="1:14" ht="19.5" customHeight="1" x14ac:dyDescent="0.2">
      <c r="A46" s="290" t="s">
        <v>192</v>
      </c>
      <c r="B46" s="261" t="s">
        <v>251</v>
      </c>
      <c r="C46" s="300" t="s">
        <v>249</v>
      </c>
      <c r="D46" s="259" t="s">
        <v>242</v>
      </c>
      <c r="E46" s="261" t="s">
        <v>252</v>
      </c>
      <c r="F46" s="261"/>
      <c r="G46" s="269">
        <v>41975</v>
      </c>
      <c r="H46" s="264">
        <v>14.076000000000001</v>
      </c>
      <c r="I46" s="301">
        <v>77400.850000000006</v>
      </c>
      <c r="J46" s="270">
        <v>71000.850000000006</v>
      </c>
      <c r="K46" s="267">
        <f>+I46-J46</f>
        <v>6400</v>
      </c>
      <c r="L46" s="268">
        <f>IF(I46&gt;0,ROUND(+J46/$H46,2),0)</f>
        <v>5044.1099999999997</v>
      </c>
      <c r="M46" s="302">
        <f>IF(K46&gt;0,ROUND(+K46/$H46,2),0)</f>
        <v>454.67</v>
      </c>
      <c r="N46" s="268">
        <f>IF(H46&gt;0,IF(ROUND(I46/$H$15,2)&lt;&gt;(+L46+M46),(L46+M46),(L46+M46)),0)</f>
        <v>5498.78</v>
      </c>
    </row>
    <row r="47" spans="1:14" ht="11.25" customHeight="1" x14ac:dyDescent="0.2">
      <c r="A47" s="303"/>
      <c r="B47" s="261"/>
      <c r="C47" s="300"/>
      <c r="D47" s="259"/>
      <c r="E47" s="261"/>
      <c r="F47" s="261"/>
      <c r="G47" s="269"/>
      <c r="H47" s="264"/>
      <c r="I47" s="265"/>
      <c r="J47" s="270"/>
      <c r="K47" s="267"/>
      <c r="L47" s="268"/>
      <c r="M47" s="302"/>
      <c r="N47" s="268"/>
    </row>
    <row r="48" spans="1:14" s="277" customFormat="1" ht="19.5" customHeight="1" x14ac:dyDescent="0.2">
      <c r="A48" s="290">
        <v>3.3</v>
      </c>
      <c r="B48" s="305" t="s">
        <v>263</v>
      </c>
      <c r="C48" s="306" t="s">
        <v>264</v>
      </c>
      <c r="D48" s="307" t="s">
        <v>242</v>
      </c>
      <c r="E48" s="305"/>
      <c r="F48" s="308"/>
      <c r="G48" s="309">
        <v>42067</v>
      </c>
      <c r="H48" s="310">
        <v>15.0756</v>
      </c>
      <c r="I48" s="301">
        <v>46400</v>
      </c>
      <c r="J48" s="270">
        <v>40000</v>
      </c>
      <c r="K48" s="267">
        <f>+I48-J48</f>
        <v>6400</v>
      </c>
      <c r="L48" s="302">
        <f t="shared" ref="L48:L102" si="8">IF(I48&gt;0,ROUND(+J48/$H48,2),0)</f>
        <v>2653.29</v>
      </c>
      <c r="M48" s="302">
        <f t="shared" ref="M48:M102" si="9">IF(K48&gt;0,ROUND(+K48/$H48,2),0)</f>
        <v>424.53</v>
      </c>
      <c r="N48" s="302">
        <f t="shared" ref="N48:N102" si="10">IF(H48&gt;0,IF(ROUND(I48/$H$15,2)&lt;&gt;(+L48+M48),(L48+M48),(L48+M48)),0)</f>
        <v>3077.8199999999997</v>
      </c>
    </row>
    <row r="49" spans="1:14" s="277" customFormat="1" ht="19.5" customHeight="1" x14ac:dyDescent="0.2">
      <c r="A49" s="290" t="s">
        <v>201</v>
      </c>
      <c r="B49" s="305" t="s">
        <v>261</v>
      </c>
      <c r="C49" s="306" t="s">
        <v>265</v>
      </c>
      <c r="D49" s="307" t="s">
        <v>242</v>
      </c>
      <c r="E49" s="305"/>
      <c r="F49" s="308"/>
      <c r="G49" s="309">
        <v>42094</v>
      </c>
      <c r="H49" s="310">
        <v>15.264699999999999</v>
      </c>
      <c r="I49" s="301">
        <v>1462.5</v>
      </c>
      <c r="J49" s="270">
        <v>1142.58</v>
      </c>
      <c r="K49" s="267">
        <f>+I49-J49</f>
        <v>319.92000000000007</v>
      </c>
      <c r="L49" s="302">
        <f t="shared" si="8"/>
        <v>74.849999999999994</v>
      </c>
      <c r="M49" s="302">
        <f t="shared" si="9"/>
        <v>20.96</v>
      </c>
      <c r="N49" s="302">
        <f t="shared" si="10"/>
        <v>95.81</v>
      </c>
    </row>
    <row r="50" spans="1:14" s="277" customFormat="1" ht="7.5" customHeight="1" x14ac:dyDescent="0.2">
      <c r="A50" s="311"/>
      <c r="B50" s="305"/>
      <c r="C50" s="306"/>
      <c r="D50" s="307"/>
      <c r="E50" s="305"/>
      <c r="F50" s="308"/>
      <c r="G50" s="309"/>
      <c r="H50" s="310"/>
      <c r="I50" s="312"/>
      <c r="J50" s="270"/>
      <c r="K50" s="267"/>
      <c r="L50" s="302"/>
      <c r="M50" s="302"/>
      <c r="N50" s="302"/>
    </row>
    <row r="51" spans="1:14" s="277" customFormat="1" ht="19.5" customHeight="1" x14ac:dyDescent="0.2">
      <c r="A51" s="290" t="s">
        <v>201</v>
      </c>
      <c r="B51" s="305" t="s">
        <v>261</v>
      </c>
      <c r="C51" s="306" t="s">
        <v>265</v>
      </c>
      <c r="D51" s="307" t="s">
        <v>242</v>
      </c>
      <c r="E51" s="305"/>
      <c r="F51" s="308"/>
      <c r="G51" s="309">
        <v>42103</v>
      </c>
      <c r="H51" s="310">
        <v>15.055400000000001</v>
      </c>
      <c r="I51" s="301">
        <v>1641.75</v>
      </c>
      <c r="J51" s="270">
        <v>1162.5</v>
      </c>
      <c r="K51" s="267">
        <f>+I51-J51</f>
        <v>479.25</v>
      </c>
      <c r="L51" s="302">
        <f>IF(I51&gt;0,ROUND(+J51/$H51,2),0)</f>
        <v>77.209999999999994</v>
      </c>
      <c r="M51" s="302">
        <f>IF(K51&gt;0,ROUND(+K51/$H51,2),0)</f>
        <v>31.83</v>
      </c>
      <c r="N51" s="302">
        <f>IF(H51&gt;0,IF(ROUND(I51/$H$15,2)&lt;&gt;(+L51+M51),(L51+M51),(L51+M51)),0)</f>
        <v>109.03999999999999</v>
      </c>
    </row>
    <row r="52" spans="1:14" s="277" customFormat="1" ht="9" customHeight="1" x14ac:dyDescent="0.2">
      <c r="A52" s="313"/>
      <c r="B52" s="308"/>
      <c r="C52" s="314"/>
      <c r="D52" s="315"/>
      <c r="E52" s="308"/>
      <c r="F52" s="308"/>
      <c r="G52" s="309"/>
      <c r="H52" s="310"/>
      <c r="I52" s="312"/>
      <c r="J52" s="270"/>
      <c r="K52" s="267"/>
      <c r="L52" s="302"/>
      <c r="M52" s="302"/>
      <c r="N52" s="302"/>
    </row>
    <row r="53" spans="1:14" s="277" customFormat="1" ht="19.5" customHeight="1" x14ac:dyDescent="0.2">
      <c r="A53" s="290" t="s">
        <v>194</v>
      </c>
      <c r="B53" s="305" t="s">
        <v>256</v>
      </c>
      <c r="C53" s="306" t="s">
        <v>266</v>
      </c>
      <c r="D53" s="307" t="s">
        <v>242</v>
      </c>
      <c r="E53" s="305" t="s">
        <v>258</v>
      </c>
      <c r="F53" s="308"/>
      <c r="G53" s="309">
        <v>42152</v>
      </c>
      <c r="H53" s="310">
        <v>15.373699999999999</v>
      </c>
      <c r="I53" s="301">
        <v>69579.960000000006</v>
      </c>
      <c r="J53" s="270">
        <v>59982.720000000001</v>
      </c>
      <c r="K53" s="267">
        <f>+I53-J53</f>
        <v>9597.2400000000052</v>
      </c>
      <c r="L53" s="302">
        <f t="shared" si="8"/>
        <v>3901.65</v>
      </c>
      <c r="M53" s="302">
        <f t="shared" si="9"/>
        <v>624.26</v>
      </c>
      <c r="N53" s="302">
        <f t="shared" si="10"/>
        <v>4525.91</v>
      </c>
    </row>
    <row r="54" spans="1:14" s="277" customFormat="1" ht="19.5" customHeight="1" x14ac:dyDescent="0.2">
      <c r="A54" s="290" t="s">
        <v>192</v>
      </c>
      <c r="B54" s="305" t="s">
        <v>267</v>
      </c>
      <c r="C54" s="306" t="s">
        <v>268</v>
      </c>
      <c r="D54" s="315" t="s">
        <v>242</v>
      </c>
      <c r="E54" s="308"/>
      <c r="F54" s="308"/>
      <c r="G54" s="309">
        <v>42131</v>
      </c>
      <c r="H54" s="310"/>
      <c r="I54" s="304">
        <f>7386</f>
        <v>7386</v>
      </c>
      <c r="J54" s="304"/>
      <c r="K54" s="267"/>
      <c r="L54" s="302">
        <v>7386</v>
      </c>
      <c r="M54" s="302">
        <f t="shared" si="9"/>
        <v>0</v>
      </c>
      <c r="N54" s="302">
        <f>+L54</f>
        <v>7386</v>
      </c>
    </row>
    <row r="55" spans="1:14" s="277" customFormat="1" ht="12.75" customHeight="1" x14ac:dyDescent="0.2">
      <c r="A55" s="313"/>
      <c r="B55" s="308"/>
      <c r="C55" s="314"/>
      <c r="D55" s="315"/>
      <c r="E55" s="308"/>
      <c r="F55" s="308"/>
      <c r="G55" s="309"/>
      <c r="H55" s="310"/>
      <c r="I55" s="312"/>
      <c r="J55" s="270"/>
      <c r="K55" s="267"/>
      <c r="L55" s="302"/>
      <c r="M55" s="302"/>
      <c r="N55" s="302"/>
    </row>
    <row r="56" spans="1:14" s="277" customFormat="1" ht="19.5" customHeight="1" x14ac:dyDescent="0.2">
      <c r="A56" s="313">
        <v>3.1</v>
      </c>
      <c r="B56" s="308" t="s">
        <v>269</v>
      </c>
      <c r="C56" s="314" t="s">
        <v>270</v>
      </c>
      <c r="D56" s="315" t="s">
        <v>242</v>
      </c>
      <c r="E56" s="308" t="s">
        <v>271</v>
      </c>
      <c r="F56" s="308"/>
      <c r="G56" s="309">
        <v>42159</v>
      </c>
      <c r="H56" s="310">
        <v>15.534700000000001</v>
      </c>
      <c r="I56" s="301">
        <v>116000</v>
      </c>
      <c r="J56" s="270">
        <v>100000</v>
      </c>
      <c r="K56" s="267">
        <v>16000</v>
      </c>
      <c r="L56" s="302">
        <f t="shared" si="8"/>
        <v>6437.2</v>
      </c>
      <c r="M56" s="302">
        <f t="shared" si="9"/>
        <v>1029.95</v>
      </c>
      <c r="N56" s="302">
        <f t="shared" si="10"/>
        <v>7467.15</v>
      </c>
    </row>
    <row r="57" spans="1:14" s="277" customFormat="1" ht="19.5" customHeight="1" x14ac:dyDescent="0.2">
      <c r="A57" s="290" t="s">
        <v>192</v>
      </c>
      <c r="B57" s="305" t="s">
        <v>272</v>
      </c>
      <c r="C57" s="306" t="s">
        <v>265</v>
      </c>
      <c r="D57" s="315" t="s">
        <v>242</v>
      </c>
      <c r="E57" s="308"/>
      <c r="F57" s="308"/>
      <c r="G57" s="309">
        <v>42167</v>
      </c>
      <c r="H57" s="310">
        <v>15.4129</v>
      </c>
      <c r="I57" s="301">
        <v>6750</v>
      </c>
      <c r="J57" s="270">
        <v>5438.67</v>
      </c>
      <c r="K57" s="267">
        <f>+I57-J57</f>
        <v>1311.33</v>
      </c>
      <c r="L57" s="302">
        <f>IF(I57&gt;0,ROUND(+J57/$H57,2),0)</f>
        <v>352.86</v>
      </c>
      <c r="M57" s="302">
        <f t="shared" si="9"/>
        <v>85.08</v>
      </c>
      <c r="N57" s="302">
        <f t="shared" si="10"/>
        <v>437.94</v>
      </c>
    </row>
    <row r="58" spans="1:14" s="277" customFormat="1" ht="19.5" customHeight="1" x14ac:dyDescent="0.2">
      <c r="A58" s="313">
        <v>3.4</v>
      </c>
      <c r="B58" s="308" t="s">
        <v>256</v>
      </c>
      <c r="C58" s="314" t="s">
        <v>273</v>
      </c>
      <c r="D58" s="315" t="s">
        <v>242</v>
      </c>
      <c r="E58" s="308" t="s">
        <v>258</v>
      </c>
      <c r="F58" s="308"/>
      <c r="G58" s="309">
        <v>42185</v>
      </c>
      <c r="H58" s="310">
        <v>16.685400000000001</v>
      </c>
      <c r="I58" s="301">
        <v>111471.36</v>
      </c>
      <c r="J58" s="270">
        <v>0</v>
      </c>
      <c r="K58" s="267">
        <f>+I58-J58</f>
        <v>111471.36</v>
      </c>
      <c r="L58" s="302">
        <f>IF(I58&gt;0,ROUND(+J58/$H58,2),0)</f>
        <v>0</v>
      </c>
      <c r="M58" s="302">
        <f>IF(K58&gt;0,ROUND(+K58/$H58,2),0)</f>
        <v>6680.77</v>
      </c>
      <c r="N58" s="302">
        <f>IF(H58&gt;0,IF(ROUND(I58/$H$15,2)&lt;&gt;(+L58+M58),(L58+M58),(L58+M58)),0)</f>
        <v>6680.77</v>
      </c>
    </row>
    <row r="59" spans="1:14" s="277" customFormat="1" ht="9" customHeight="1" x14ac:dyDescent="0.2">
      <c r="A59" s="313"/>
      <c r="B59" s="308"/>
      <c r="C59" s="314"/>
      <c r="D59" s="315"/>
      <c r="E59" s="308"/>
      <c r="F59" s="308"/>
      <c r="G59" s="309"/>
      <c r="H59" s="310"/>
      <c r="I59" s="312"/>
      <c r="J59" s="270"/>
      <c r="K59" s="267"/>
      <c r="L59" s="302"/>
      <c r="M59" s="302"/>
      <c r="N59" s="302"/>
    </row>
    <row r="60" spans="1:14" s="277" customFormat="1" ht="19.5" customHeight="1" x14ac:dyDescent="0.2">
      <c r="A60" s="313">
        <v>3.4</v>
      </c>
      <c r="B60" s="308" t="s">
        <v>256</v>
      </c>
      <c r="C60" s="314" t="s">
        <v>274</v>
      </c>
      <c r="D60" s="315" t="s">
        <v>242</v>
      </c>
      <c r="E60" s="308"/>
      <c r="F60" s="308"/>
      <c r="G60" s="309">
        <v>42199</v>
      </c>
      <c r="H60" s="310">
        <v>15.672800000000001</v>
      </c>
      <c r="I60" s="301">
        <v>116000</v>
      </c>
      <c r="J60" s="270">
        <v>0</v>
      </c>
      <c r="K60" s="267">
        <f t="shared" ref="K60:K61" si="11">+I60-J60</f>
        <v>116000</v>
      </c>
      <c r="L60" s="302">
        <f t="shared" ref="L60:L62" si="12">IF(I60&gt;0,ROUND(+J60/$H60,2),0)</f>
        <v>0</v>
      </c>
      <c r="M60" s="302">
        <f t="shared" ref="M60:M62" si="13">IF(K60&gt;0,ROUND(+K60/$H60,2),0)</f>
        <v>7401.36</v>
      </c>
      <c r="N60" s="302">
        <f t="shared" ref="N60:N62" si="14">IF(H60&gt;0,IF(ROUND(I60/$H$15,2)&lt;&gt;(+L60+M60),(L60+M60),(L60+M60)),0)</f>
        <v>7401.36</v>
      </c>
    </row>
    <row r="61" spans="1:14" s="277" customFormat="1" ht="19.5" customHeight="1" x14ac:dyDescent="0.2">
      <c r="A61" s="313"/>
      <c r="B61" s="308" t="s">
        <v>275</v>
      </c>
      <c r="C61" s="314" t="s">
        <v>276</v>
      </c>
      <c r="D61" s="315" t="s">
        <v>242</v>
      </c>
      <c r="E61" s="308"/>
      <c r="F61" s="308"/>
      <c r="G61" s="309">
        <v>42214</v>
      </c>
      <c r="H61" s="310">
        <v>16.213999999999999</v>
      </c>
      <c r="I61" s="301">
        <v>1392</v>
      </c>
      <c r="J61" s="270">
        <v>1200</v>
      </c>
      <c r="K61" s="267">
        <f t="shared" si="11"/>
        <v>192</v>
      </c>
      <c r="L61" s="302">
        <f t="shared" si="12"/>
        <v>74.010000000000005</v>
      </c>
      <c r="M61" s="302">
        <f t="shared" si="13"/>
        <v>11.84</v>
      </c>
      <c r="N61" s="302">
        <f t="shared" si="14"/>
        <v>85.850000000000009</v>
      </c>
    </row>
    <row r="62" spans="1:14" s="277" customFormat="1" ht="19.5" customHeight="1" x14ac:dyDescent="0.2">
      <c r="A62" s="313" t="s">
        <v>198</v>
      </c>
      <c r="B62" s="308" t="s">
        <v>256</v>
      </c>
      <c r="C62" s="314" t="s">
        <v>277</v>
      </c>
      <c r="D62" s="315" t="s">
        <v>242</v>
      </c>
      <c r="E62" s="308"/>
      <c r="F62" s="308"/>
      <c r="G62" s="309">
        <v>42215</v>
      </c>
      <c r="H62" s="310">
        <v>16.411200000000001</v>
      </c>
      <c r="I62" s="301">
        <v>1611.01</v>
      </c>
      <c r="J62" s="270">
        <v>1388.8</v>
      </c>
      <c r="K62" s="267">
        <v>222.21</v>
      </c>
      <c r="L62" s="302">
        <f t="shared" si="12"/>
        <v>84.63</v>
      </c>
      <c r="M62" s="302">
        <f t="shared" si="13"/>
        <v>13.54</v>
      </c>
      <c r="N62" s="302">
        <f t="shared" si="14"/>
        <v>98.169999999999987</v>
      </c>
    </row>
    <row r="63" spans="1:14" s="277" customFormat="1" ht="8.25" customHeight="1" x14ac:dyDescent="0.2">
      <c r="A63" s="313"/>
      <c r="B63" s="308"/>
      <c r="C63" s="314"/>
      <c r="D63" s="315"/>
      <c r="E63" s="308"/>
      <c r="F63" s="308"/>
      <c r="G63" s="309"/>
      <c r="H63" s="310"/>
      <c r="I63" s="312"/>
      <c r="J63" s="270"/>
      <c r="K63" s="267"/>
      <c r="L63" s="302"/>
      <c r="M63" s="302"/>
      <c r="N63" s="302"/>
    </row>
    <row r="64" spans="1:14" s="277" customFormat="1" ht="19.5" customHeight="1" x14ac:dyDescent="0.2">
      <c r="A64" s="313" t="s">
        <v>194</v>
      </c>
      <c r="B64" s="308" t="s">
        <v>256</v>
      </c>
      <c r="C64" s="314" t="s">
        <v>278</v>
      </c>
      <c r="D64" s="315" t="s">
        <v>242</v>
      </c>
      <c r="E64" s="308"/>
      <c r="F64" s="308"/>
      <c r="G64" s="309">
        <v>42219</v>
      </c>
      <c r="H64" s="310">
        <v>16.1129</v>
      </c>
      <c r="I64" s="301">
        <v>5534.59</v>
      </c>
      <c r="J64" s="270">
        <v>4771.2</v>
      </c>
      <c r="K64" s="267">
        <v>763.39</v>
      </c>
      <c r="L64" s="302">
        <f t="shared" ref="L64:L66" si="15">IF(I64&gt;0,ROUND(+J64/$H64,2),0)</f>
        <v>296.11</v>
      </c>
      <c r="M64" s="302">
        <f t="shared" ref="M64:M66" si="16">IF(K64&gt;0,ROUND(+K64/$H64,2),0)</f>
        <v>47.38</v>
      </c>
      <c r="N64" s="302">
        <f t="shared" ref="N64:N66" si="17">IF(H64&gt;0,IF(ROUND(I64/$H$15,2)&lt;&gt;(+L64+M64),(L64+M64),(L64+M64)),0)</f>
        <v>343.49</v>
      </c>
    </row>
    <row r="65" spans="1:14" s="277" customFormat="1" ht="19.5" customHeight="1" x14ac:dyDescent="0.2">
      <c r="A65" s="313" t="s">
        <v>192</v>
      </c>
      <c r="B65" s="308" t="s">
        <v>279</v>
      </c>
      <c r="C65" s="314" t="s">
        <v>280</v>
      </c>
      <c r="D65" s="315" t="s">
        <v>242</v>
      </c>
      <c r="E65" s="308"/>
      <c r="F65" s="308"/>
      <c r="G65" s="309">
        <v>42222</v>
      </c>
      <c r="H65" s="310">
        <v>13.353300000000001</v>
      </c>
      <c r="I65" s="301">
        <v>39612.36</v>
      </c>
      <c r="J65" s="270">
        <v>30446.81</v>
      </c>
      <c r="K65" s="267">
        <f>4294+4871.55</f>
        <v>9165.5499999999993</v>
      </c>
      <c r="L65" s="302">
        <f t="shared" si="15"/>
        <v>2280.1</v>
      </c>
      <c r="M65" s="302">
        <f t="shared" si="16"/>
        <v>686.39</v>
      </c>
      <c r="N65" s="302">
        <f t="shared" si="17"/>
        <v>2966.49</v>
      </c>
    </row>
    <row r="66" spans="1:14" ht="19.5" customHeight="1" x14ac:dyDescent="0.2">
      <c r="A66" s="290" t="s">
        <v>192</v>
      </c>
      <c r="B66" s="305" t="s">
        <v>281</v>
      </c>
      <c r="C66" s="306" t="s">
        <v>282</v>
      </c>
      <c r="D66" s="259" t="s">
        <v>242</v>
      </c>
      <c r="E66" s="305"/>
      <c r="F66" s="261"/>
      <c r="G66" s="269">
        <v>42228</v>
      </c>
      <c r="H66" s="316">
        <v>12.297599999999999</v>
      </c>
      <c r="I66" s="301">
        <v>23200</v>
      </c>
      <c r="J66" s="270">
        <v>20000</v>
      </c>
      <c r="K66" s="267">
        <v>3200</v>
      </c>
      <c r="L66" s="268">
        <f t="shared" si="15"/>
        <v>1626.33</v>
      </c>
      <c r="M66" s="268">
        <f t="shared" si="16"/>
        <v>260.20999999999998</v>
      </c>
      <c r="N66" s="268">
        <f t="shared" si="17"/>
        <v>1886.54</v>
      </c>
    </row>
    <row r="67" spans="1:14" ht="19.5" customHeight="1" x14ac:dyDescent="0.2">
      <c r="A67" s="290">
        <v>3.4</v>
      </c>
      <c r="B67" s="305" t="s">
        <v>256</v>
      </c>
      <c r="C67" s="306" t="s">
        <v>274</v>
      </c>
      <c r="D67" s="259" t="s">
        <v>242</v>
      </c>
      <c r="E67" s="305"/>
      <c r="F67" s="261"/>
      <c r="G67" s="269">
        <v>42226</v>
      </c>
      <c r="H67" s="316">
        <v>16.165199999999999</v>
      </c>
      <c r="I67" s="301">
        <v>116000</v>
      </c>
      <c r="J67" s="270">
        <v>0</v>
      </c>
      <c r="K67" s="267">
        <v>116000</v>
      </c>
      <c r="L67" s="268">
        <f t="shared" si="8"/>
        <v>0</v>
      </c>
      <c r="M67" s="268">
        <f t="shared" si="9"/>
        <v>7175.91</v>
      </c>
      <c r="N67" s="268">
        <f t="shared" si="10"/>
        <v>7175.91</v>
      </c>
    </row>
    <row r="68" spans="1:14" ht="19.5" customHeight="1" x14ac:dyDescent="0.2">
      <c r="A68" s="290" t="s">
        <v>192</v>
      </c>
      <c r="B68" s="305" t="s">
        <v>279</v>
      </c>
      <c r="C68" s="306" t="s">
        <v>283</v>
      </c>
      <c r="D68" s="259" t="s">
        <v>242</v>
      </c>
      <c r="E68" s="305"/>
      <c r="F68" s="261"/>
      <c r="G68" s="269">
        <v>42247</v>
      </c>
      <c r="H68" s="316">
        <v>16.782900000000001</v>
      </c>
      <c r="I68" s="301">
        <v>11335.73</v>
      </c>
      <c r="J68" s="270">
        <v>8653.24</v>
      </c>
      <c r="K68" s="267">
        <f>1297.98+1384.51</f>
        <v>2682.49</v>
      </c>
      <c r="L68" s="268">
        <f t="shared" si="8"/>
        <v>515.6</v>
      </c>
      <c r="M68" s="268">
        <f t="shared" si="9"/>
        <v>159.83000000000001</v>
      </c>
      <c r="N68" s="268">
        <f t="shared" si="10"/>
        <v>675.43000000000006</v>
      </c>
    </row>
    <row r="69" spans="1:14" ht="19.5" customHeight="1" x14ac:dyDescent="0.2">
      <c r="A69" s="290" t="s">
        <v>192</v>
      </c>
      <c r="B69" s="305" t="s">
        <v>284</v>
      </c>
      <c r="C69" s="306" t="s">
        <v>285</v>
      </c>
      <c r="D69" s="259" t="s">
        <v>242</v>
      </c>
      <c r="E69" s="305"/>
      <c r="F69" s="261"/>
      <c r="G69" s="269">
        <v>42235</v>
      </c>
      <c r="H69" s="316">
        <v>16.4908</v>
      </c>
      <c r="I69" s="301">
        <v>18560</v>
      </c>
      <c r="J69" s="270">
        <v>16000</v>
      </c>
      <c r="K69" s="267">
        <v>2560</v>
      </c>
      <c r="L69" s="268">
        <f t="shared" si="8"/>
        <v>970.24</v>
      </c>
      <c r="M69" s="268">
        <f t="shared" si="9"/>
        <v>155.24</v>
      </c>
      <c r="N69" s="268">
        <f t="shared" si="10"/>
        <v>1125.48</v>
      </c>
    </row>
    <row r="70" spans="1:14" ht="8.25" customHeight="1" x14ac:dyDescent="0.2">
      <c r="A70" s="290"/>
      <c r="B70" s="305"/>
      <c r="C70" s="306"/>
      <c r="D70" s="259"/>
      <c r="E70" s="305"/>
      <c r="F70" s="261"/>
      <c r="G70" s="269"/>
      <c r="H70" s="316"/>
      <c r="I70" s="265"/>
      <c r="J70" s="270"/>
      <c r="K70" s="267"/>
      <c r="L70" s="268"/>
      <c r="M70" s="268"/>
      <c r="N70" s="268"/>
    </row>
    <row r="71" spans="1:14" ht="19.5" customHeight="1" x14ac:dyDescent="0.2">
      <c r="A71" s="290" t="s">
        <v>198</v>
      </c>
      <c r="B71" s="305" t="s">
        <v>256</v>
      </c>
      <c r="C71" s="306" t="s">
        <v>286</v>
      </c>
      <c r="D71" s="259" t="s">
        <v>242</v>
      </c>
      <c r="E71" s="305"/>
      <c r="F71" s="261"/>
      <c r="G71" s="269">
        <v>42257</v>
      </c>
      <c r="H71" s="316">
        <v>16.810300000000002</v>
      </c>
      <c r="I71" s="301">
        <v>2169.66</v>
      </c>
      <c r="J71" s="270">
        <v>1870.4</v>
      </c>
      <c r="K71" s="267">
        <v>299.26</v>
      </c>
      <c r="L71" s="268">
        <f t="shared" ref="L71:L78" si="18">IF(I71&gt;0,ROUND(+J71/$H71,2),0)</f>
        <v>111.27</v>
      </c>
      <c r="M71" s="268">
        <f t="shared" ref="M71:M78" si="19">IF(K71&gt;0,ROUND(+K71/$H71,2),0)</f>
        <v>17.8</v>
      </c>
      <c r="N71" s="268">
        <f t="shared" ref="N71:N78" si="20">IF(H71&gt;0,IF(ROUND(I71/$H$15,2)&lt;&gt;(+L71+M71),(L71+M71),(L71+M71)),0)</f>
        <v>129.07</v>
      </c>
    </row>
    <row r="72" spans="1:14" ht="19.5" customHeight="1" x14ac:dyDescent="0.2">
      <c r="A72" s="290">
        <v>3.3</v>
      </c>
      <c r="B72" s="305" t="s">
        <v>287</v>
      </c>
      <c r="C72" s="306" t="s">
        <v>288</v>
      </c>
      <c r="D72" s="307" t="s">
        <v>242</v>
      </c>
      <c r="E72" s="305"/>
      <c r="F72" s="305"/>
      <c r="G72" s="317">
        <v>42258</v>
      </c>
      <c r="H72" s="316">
        <v>16.8261</v>
      </c>
      <c r="I72" s="301">
        <v>52200</v>
      </c>
      <c r="J72" s="270">
        <v>45000</v>
      </c>
      <c r="K72" s="267">
        <v>7200</v>
      </c>
      <c r="L72" s="268">
        <f t="shared" si="18"/>
        <v>2674.42</v>
      </c>
      <c r="M72" s="268">
        <f t="shared" si="19"/>
        <v>427.91</v>
      </c>
      <c r="N72" s="268">
        <f t="shared" si="20"/>
        <v>3102.33</v>
      </c>
    </row>
    <row r="73" spans="1:14" ht="19.5" customHeight="1" x14ac:dyDescent="0.2">
      <c r="A73" s="290" t="s">
        <v>198</v>
      </c>
      <c r="B73" s="305" t="s">
        <v>256</v>
      </c>
      <c r="C73" s="306" t="s">
        <v>289</v>
      </c>
      <c r="D73" s="307" t="s">
        <v>242</v>
      </c>
      <c r="E73" s="305"/>
      <c r="F73" s="305"/>
      <c r="G73" s="317">
        <v>42262</v>
      </c>
      <c r="H73" s="316">
        <v>16.771599999999999</v>
      </c>
      <c r="I73" s="301">
        <v>17918.57</v>
      </c>
      <c r="J73" s="270">
        <v>15447.04</v>
      </c>
      <c r="K73" s="267">
        <v>2471.5300000000002</v>
      </c>
      <c r="L73" s="268">
        <f t="shared" si="18"/>
        <v>921.02</v>
      </c>
      <c r="M73" s="268">
        <f t="shared" si="19"/>
        <v>147.36000000000001</v>
      </c>
      <c r="N73" s="268">
        <f t="shared" si="20"/>
        <v>1068.3800000000001</v>
      </c>
    </row>
    <row r="74" spans="1:14" ht="19.5" customHeight="1" x14ac:dyDescent="0.2">
      <c r="A74" s="290" t="s">
        <v>198</v>
      </c>
      <c r="B74" s="305" t="s">
        <v>256</v>
      </c>
      <c r="C74" s="306" t="s">
        <v>290</v>
      </c>
      <c r="D74" s="307" t="s">
        <v>242</v>
      </c>
      <c r="E74" s="305"/>
      <c r="F74" s="305"/>
      <c r="G74" s="317">
        <v>42270</v>
      </c>
      <c r="H74" s="316">
        <v>17.045300000000001</v>
      </c>
      <c r="I74" s="301">
        <v>47310.37</v>
      </c>
      <c r="J74" s="270">
        <v>40784.800000000003</v>
      </c>
      <c r="K74" s="267">
        <v>6525.57</v>
      </c>
      <c r="L74" s="268">
        <f t="shared" si="18"/>
        <v>2392.73</v>
      </c>
      <c r="M74" s="268">
        <f t="shared" si="19"/>
        <v>382.84</v>
      </c>
      <c r="N74" s="268">
        <f t="shared" si="20"/>
        <v>2775.57</v>
      </c>
    </row>
    <row r="75" spans="1:14" ht="19.5" customHeight="1" x14ac:dyDescent="0.2">
      <c r="A75" s="290">
        <v>3.4</v>
      </c>
      <c r="B75" s="305" t="s">
        <v>256</v>
      </c>
      <c r="C75" s="306" t="s">
        <v>274</v>
      </c>
      <c r="D75" s="307" t="s">
        <v>242</v>
      </c>
      <c r="E75" s="305"/>
      <c r="F75" s="305"/>
      <c r="G75" s="317">
        <v>42262</v>
      </c>
      <c r="H75" s="316">
        <v>16.771599999999999</v>
      </c>
      <c r="I75" s="301">
        <v>116000</v>
      </c>
      <c r="J75" s="270">
        <v>0</v>
      </c>
      <c r="K75" s="267">
        <v>116000</v>
      </c>
      <c r="L75" s="268">
        <f t="shared" si="18"/>
        <v>0</v>
      </c>
      <c r="M75" s="268">
        <f t="shared" si="19"/>
        <v>6916.45</v>
      </c>
      <c r="N75" s="268">
        <f t="shared" si="20"/>
        <v>6916.45</v>
      </c>
    </row>
    <row r="76" spans="1:14" ht="19.5" customHeight="1" x14ac:dyDescent="0.2">
      <c r="A76" s="318"/>
      <c r="B76" s="305" t="s">
        <v>275</v>
      </c>
      <c r="C76" s="306" t="s">
        <v>291</v>
      </c>
      <c r="D76" s="307" t="s">
        <v>242</v>
      </c>
      <c r="E76" s="305"/>
      <c r="F76" s="305"/>
      <c r="G76" s="317">
        <v>42270</v>
      </c>
      <c r="H76" s="316">
        <v>16.5138</v>
      </c>
      <c r="I76" s="301">
        <v>1392</v>
      </c>
      <c r="J76" s="270">
        <v>1200</v>
      </c>
      <c r="K76" s="267">
        <v>192</v>
      </c>
      <c r="L76" s="268">
        <f t="shared" si="18"/>
        <v>72.67</v>
      </c>
      <c r="M76" s="268">
        <f t="shared" si="19"/>
        <v>11.63</v>
      </c>
      <c r="N76" s="268">
        <f t="shared" si="20"/>
        <v>84.3</v>
      </c>
    </row>
    <row r="77" spans="1:14" ht="19.5" customHeight="1" x14ac:dyDescent="0.2">
      <c r="A77" s="290" t="s">
        <v>195</v>
      </c>
      <c r="B77" s="305" t="s">
        <v>292</v>
      </c>
      <c r="C77" s="306" t="s">
        <v>293</v>
      </c>
      <c r="D77" s="307" t="s">
        <v>242</v>
      </c>
      <c r="E77" s="305"/>
      <c r="F77" s="305"/>
      <c r="G77" s="317">
        <v>42270</v>
      </c>
      <c r="H77" s="316">
        <v>17.045300000000001</v>
      </c>
      <c r="I77" s="301">
        <v>39440</v>
      </c>
      <c r="J77" s="270">
        <v>34000</v>
      </c>
      <c r="K77" s="267">
        <v>5440</v>
      </c>
      <c r="L77" s="268">
        <f t="shared" si="18"/>
        <v>1994.68</v>
      </c>
      <c r="M77" s="268">
        <f t="shared" si="19"/>
        <v>319.14999999999998</v>
      </c>
      <c r="N77" s="268">
        <f t="shared" si="20"/>
        <v>2313.83</v>
      </c>
    </row>
    <row r="78" spans="1:14" ht="19.5" customHeight="1" x14ac:dyDescent="0.2">
      <c r="A78" s="290">
        <v>3.3</v>
      </c>
      <c r="B78" s="305" t="s">
        <v>294</v>
      </c>
      <c r="C78" s="306" t="s">
        <v>295</v>
      </c>
      <c r="D78" s="307" t="s">
        <v>242</v>
      </c>
      <c r="E78" s="305"/>
      <c r="F78" s="305"/>
      <c r="G78" s="317">
        <v>42277</v>
      </c>
      <c r="H78" s="316">
        <v>16.9053</v>
      </c>
      <c r="I78" s="301">
        <v>5800</v>
      </c>
      <c r="J78" s="270">
        <v>5000</v>
      </c>
      <c r="K78" s="267">
        <v>800</v>
      </c>
      <c r="L78" s="268">
        <f t="shared" si="18"/>
        <v>295.77</v>
      </c>
      <c r="M78" s="268">
        <f t="shared" si="19"/>
        <v>47.32</v>
      </c>
      <c r="N78" s="268">
        <f t="shared" si="20"/>
        <v>343.09</v>
      </c>
    </row>
    <row r="79" spans="1:14" ht="9" customHeight="1" x14ac:dyDescent="0.2">
      <c r="A79" s="290"/>
      <c r="B79" s="305"/>
      <c r="C79" s="306"/>
      <c r="D79" s="307"/>
      <c r="E79" s="305"/>
      <c r="F79" s="305"/>
      <c r="G79" s="317"/>
      <c r="H79" s="316"/>
      <c r="I79" s="319"/>
      <c r="J79" s="270"/>
      <c r="K79" s="267"/>
      <c r="L79" s="268"/>
      <c r="M79" s="268"/>
      <c r="N79" s="268"/>
    </row>
    <row r="80" spans="1:14" ht="19.5" customHeight="1" x14ac:dyDescent="0.2">
      <c r="A80" s="290" t="s">
        <v>195</v>
      </c>
      <c r="B80" s="305" t="s">
        <v>296</v>
      </c>
      <c r="C80" s="306" t="s">
        <v>297</v>
      </c>
      <c r="D80" s="307" t="s">
        <v>242</v>
      </c>
      <c r="E80" s="305"/>
      <c r="F80" s="305"/>
      <c r="G80" s="317">
        <v>42289</v>
      </c>
      <c r="H80" s="316">
        <v>16.421900000000001</v>
      </c>
      <c r="I80" s="301">
        <f>1904+1904+952</f>
        <v>4760</v>
      </c>
      <c r="J80" s="270">
        <f>1600+1600+800</f>
        <v>4000</v>
      </c>
      <c r="K80" s="267">
        <f>256+48+256+48+128+24</f>
        <v>760</v>
      </c>
      <c r="L80" s="268">
        <f t="shared" ref="L80" si="21">IF(I80&gt;0,ROUND(+J80/$H80,2),0)</f>
        <v>243.58</v>
      </c>
      <c r="M80" s="268">
        <f t="shared" ref="M80" si="22">IF(K80&gt;0,ROUND(+K80/$H80,2),0)</f>
        <v>46.28</v>
      </c>
      <c r="N80" s="268">
        <f t="shared" ref="N80" si="23">IF(H80&gt;0,IF(ROUND(I80/$H$15,2)&lt;&gt;(+L80+M80),(L80+M80),(L80+M80)),0)</f>
        <v>289.86</v>
      </c>
    </row>
    <row r="81" spans="1:14" x14ac:dyDescent="0.2">
      <c r="B81" s="321"/>
      <c r="C81" s="322"/>
      <c r="D81" s="321"/>
      <c r="E81" s="323"/>
      <c r="F81" s="323"/>
      <c r="G81" s="324"/>
      <c r="H81" s="325"/>
      <c r="I81" s="324"/>
    </row>
    <row r="82" spans="1:14" ht="19.5" customHeight="1" x14ac:dyDescent="0.2">
      <c r="A82" s="290" t="s">
        <v>198</v>
      </c>
      <c r="B82" s="305" t="s">
        <v>256</v>
      </c>
      <c r="C82" s="306" t="s">
        <v>298</v>
      </c>
      <c r="D82" s="307" t="s">
        <v>242</v>
      </c>
      <c r="E82" s="305"/>
      <c r="F82" s="305"/>
      <c r="G82" s="317">
        <v>42298</v>
      </c>
      <c r="H82" s="316">
        <v>16.66</v>
      </c>
      <c r="I82" s="301">
        <v>17918.57</v>
      </c>
      <c r="J82" s="270">
        <v>15447.04</v>
      </c>
      <c r="K82" s="267">
        <v>2471.5300000000002</v>
      </c>
      <c r="L82" s="268">
        <f t="shared" ref="L82:L85" si="24">IF(I82&gt;0,ROUND(+J82/$H82,2),0)</f>
        <v>927.19</v>
      </c>
      <c r="M82" s="268">
        <f t="shared" ref="M82:M85" si="25">IF(K82&gt;0,ROUND(+K82/$H82,2),0)</f>
        <v>148.35</v>
      </c>
      <c r="N82" s="268">
        <f t="shared" ref="N82:N85" si="26">IF(H82&gt;0,IF(ROUND(I82/$H$15,2)&lt;&gt;(+L82+M82),(L82+M82),(L82+M82)),0)</f>
        <v>1075.54</v>
      </c>
    </row>
    <row r="83" spans="1:14" ht="19.5" customHeight="1" x14ac:dyDescent="0.2">
      <c r="A83" s="290">
        <v>3.4</v>
      </c>
      <c r="B83" s="305" t="s">
        <v>256</v>
      </c>
      <c r="C83" s="306" t="s">
        <v>274</v>
      </c>
      <c r="D83" s="307" t="s">
        <v>242</v>
      </c>
      <c r="E83" s="305"/>
      <c r="F83" s="305"/>
      <c r="G83" s="317">
        <v>42298</v>
      </c>
      <c r="H83" s="316">
        <v>16.66</v>
      </c>
      <c r="I83" s="301">
        <v>116000</v>
      </c>
      <c r="J83" s="270">
        <v>0</v>
      </c>
      <c r="K83" s="267">
        <v>116000</v>
      </c>
      <c r="L83" s="268">
        <f t="shared" si="24"/>
        <v>0</v>
      </c>
      <c r="M83" s="268">
        <f t="shared" si="25"/>
        <v>6962.79</v>
      </c>
      <c r="N83" s="268">
        <f t="shared" si="26"/>
        <v>6962.79</v>
      </c>
    </row>
    <row r="84" spans="1:14" ht="19.5" customHeight="1" x14ac:dyDescent="0.2">
      <c r="A84" s="318"/>
      <c r="B84" s="305" t="s">
        <v>275</v>
      </c>
      <c r="C84" s="306" t="s">
        <v>291</v>
      </c>
      <c r="D84" s="307" t="s">
        <v>242</v>
      </c>
      <c r="E84" s="305"/>
      <c r="F84" s="305"/>
      <c r="G84" s="317">
        <v>42300</v>
      </c>
      <c r="H84" s="316">
        <v>16.5138</v>
      </c>
      <c r="I84" s="301">
        <v>1392</v>
      </c>
      <c r="J84" s="270">
        <v>1200</v>
      </c>
      <c r="K84" s="267">
        <v>192</v>
      </c>
      <c r="L84" s="268">
        <f t="shared" si="24"/>
        <v>72.67</v>
      </c>
      <c r="M84" s="268">
        <f t="shared" si="25"/>
        <v>11.63</v>
      </c>
      <c r="N84" s="268">
        <f t="shared" si="26"/>
        <v>84.3</v>
      </c>
    </row>
    <row r="85" spans="1:14" ht="27.75" customHeight="1" x14ac:dyDescent="0.2">
      <c r="A85" s="313">
        <v>3.3</v>
      </c>
      <c r="B85" s="305" t="s">
        <v>299</v>
      </c>
      <c r="C85" s="328" t="s">
        <v>300</v>
      </c>
      <c r="D85" s="307" t="s">
        <v>242</v>
      </c>
      <c r="E85" s="305"/>
      <c r="F85" s="305"/>
      <c r="G85" s="317">
        <v>42300</v>
      </c>
      <c r="H85" s="307">
        <v>16.5138</v>
      </c>
      <c r="I85" s="301">
        <v>17400</v>
      </c>
      <c r="J85" s="270">
        <v>15000</v>
      </c>
      <c r="K85" s="267">
        <v>2400</v>
      </c>
      <c r="L85" s="268">
        <f t="shared" si="24"/>
        <v>908.33</v>
      </c>
      <c r="M85" s="268">
        <f t="shared" si="25"/>
        <v>145.33000000000001</v>
      </c>
      <c r="N85" s="268">
        <f t="shared" si="26"/>
        <v>1053.6600000000001</v>
      </c>
    </row>
    <row r="86" spans="1:14" ht="11.25" customHeight="1" x14ac:dyDescent="0.2">
      <c r="A86" s="329"/>
      <c r="B86" s="305"/>
      <c r="C86" s="328"/>
      <c r="D86" s="307"/>
      <c r="E86" s="305"/>
      <c r="F86" s="305"/>
      <c r="G86" s="317"/>
      <c r="H86" s="321"/>
      <c r="I86" s="319"/>
      <c r="J86" s="270"/>
      <c r="K86" s="267"/>
      <c r="L86" s="268"/>
      <c r="M86" s="268"/>
      <c r="N86" s="268"/>
    </row>
    <row r="87" spans="1:14" ht="19.5" customHeight="1" x14ac:dyDescent="0.2">
      <c r="A87" s="329" t="s">
        <v>201</v>
      </c>
      <c r="B87" s="305" t="s">
        <v>301</v>
      </c>
      <c r="C87" s="306" t="s">
        <v>302</v>
      </c>
      <c r="D87" s="259" t="s">
        <v>242</v>
      </c>
      <c r="E87" s="261"/>
      <c r="F87" s="261"/>
      <c r="G87" s="269">
        <v>42311</v>
      </c>
      <c r="H87" s="264">
        <v>16.419599999999999</v>
      </c>
      <c r="I87" s="301">
        <v>5246</v>
      </c>
      <c r="J87" s="270">
        <v>4522.41</v>
      </c>
      <c r="K87" s="267">
        <v>723.59</v>
      </c>
      <c r="L87" s="268">
        <f t="shared" ref="L87:L94" si="27">IF(I87&gt;0,ROUND(+J87/$H87,2),0)</f>
        <v>275.43</v>
      </c>
      <c r="M87" s="268">
        <f t="shared" ref="M87:M94" si="28">IF(K87&gt;0,ROUND(+K87/$H87,2),0)</f>
        <v>44.07</v>
      </c>
      <c r="N87" s="268">
        <f t="shared" ref="N87:N91" si="29">IF(H87&gt;0,IF(ROUND(I87/$H$15,2)&lt;&gt;(+L87+M87),(L87+M87),(L87+M87)),0)</f>
        <v>319.5</v>
      </c>
    </row>
    <row r="88" spans="1:14" ht="23.25" customHeight="1" x14ac:dyDescent="0.2">
      <c r="A88" s="313" t="s">
        <v>192</v>
      </c>
      <c r="B88" s="308" t="s">
        <v>303</v>
      </c>
      <c r="C88" s="330" t="s">
        <v>304</v>
      </c>
      <c r="D88" s="315" t="s">
        <v>242</v>
      </c>
      <c r="E88" s="308"/>
      <c r="F88" s="308"/>
      <c r="G88" s="309">
        <v>42290</v>
      </c>
      <c r="H88" s="315">
        <v>16.5138</v>
      </c>
      <c r="I88" s="301">
        <f>2800+770+210</f>
        <v>3780</v>
      </c>
      <c r="J88" s="270">
        <f>2533+663.79+181</f>
        <v>3377.79</v>
      </c>
      <c r="K88" s="267">
        <f>267+106.21+29</f>
        <v>402.21</v>
      </c>
      <c r="L88" s="268">
        <f t="shared" si="27"/>
        <v>204.54</v>
      </c>
      <c r="M88" s="268">
        <f t="shared" si="28"/>
        <v>24.36</v>
      </c>
      <c r="N88" s="268">
        <f t="shared" si="29"/>
        <v>228.89999999999998</v>
      </c>
    </row>
    <row r="89" spans="1:14" ht="19.5" customHeight="1" x14ac:dyDescent="0.2">
      <c r="A89" s="329" t="s">
        <v>192</v>
      </c>
      <c r="B89" s="305" t="s">
        <v>305</v>
      </c>
      <c r="C89" s="306" t="s">
        <v>306</v>
      </c>
      <c r="D89" s="259" t="s">
        <v>242</v>
      </c>
      <c r="E89" s="261"/>
      <c r="F89" s="261"/>
      <c r="G89" s="269">
        <v>42320</v>
      </c>
      <c r="H89" s="264">
        <v>16.740600000000001</v>
      </c>
      <c r="I89" s="301">
        <v>5246</v>
      </c>
      <c r="J89" s="270">
        <v>4522.41</v>
      </c>
      <c r="K89" s="267">
        <v>723.59</v>
      </c>
      <c r="L89" s="268">
        <f t="shared" si="27"/>
        <v>270.14999999999998</v>
      </c>
      <c r="M89" s="268">
        <f t="shared" si="28"/>
        <v>43.22</v>
      </c>
      <c r="N89" s="268">
        <f t="shared" si="29"/>
        <v>313.37</v>
      </c>
    </row>
    <row r="90" spans="1:14" ht="19.5" customHeight="1" x14ac:dyDescent="0.2">
      <c r="A90" s="329" t="s">
        <v>201</v>
      </c>
      <c r="B90" s="305" t="s">
        <v>307</v>
      </c>
      <c r="C90" s="306" t="s">
        <v>302</v>
      </c>
      <c r="D90" s="259" t="s">
        <v>242</v>
      </c>
      <c r="E90" s="261"/>
      <c r="F90" s="261"/>
      <c r="G90" s="269">
        <v>42320</v>
      </c>
      <c r="H90" s="264">
        <v>16.740600000000001</v>
      </c>
      <c r="I90" s="301">
        <v>15590.2</v>
      </c>
      <c r="J90" s="270">
        <v>12132.88</v>
      </c>
      <c r="K90" s="267">
        <f>1941.26+1516.05</f>
        <v>3457.31</v>
      </c>
      <c r="L90" s="268">
        <f t="shared" si="27"/>
        <v>724.76</v>
      </c>
      <c r="M90" s="268">
        <f t="shared" si="28"/>
        <v>206.52</v>
      </c>
      <c r="N90" s="268">
        <f t="shared" si="29"/>
        <v>931.28</v>
      </c>
    </row>
    <row r="91" spans="1:14" ht="24" customHeight="1" x14ac:dyDescent="0.2">
      <c r="A91" s="313">
        <v>3.4</v>
      </c>
      <c r="B91" s="308" t="s">
        <v>256</v>
      </c>
      <c r="C91" s="330" t="s">
        <v>274</v>
      </c>
      <c r="D91" s="315" t="s">
        <v>242</v>
      </c>
      <c r="E91" s="308"/>
      <c r="F91" s="308"/>
      <c r="G91" s="309">
        <v>42320</v>
      </c>
      <c r="H91" s="315">
        <v>16.740600000000001</v>
      </c>
      <c r="I91" s="301">
        <v>116000</v>
      </c>
      <c r="J91" s="270">
        <v>0</v>
      </c>
      <c r="K91" s="267">
        <v>116000</v>
      </c>
      <c r="L91" s="268">
        <f t="shared" si="27"/>
        <v>0</v>
      </c>
      <c r="M91" s="268">
        <f t="shared" si="28"/>
        <v>6929.26</v>
      </c>
      <c r="N91" s="268">
        <f t="shared" si="29"/>
        <v>6929.26</v>
      </c>
    </row>
    <row r="92" spans="1:14" ht="20.25" customHeight="1" x14ac:dyDescent="0.2">
      <c r="A92" s="313">
        <v>3.3</v>
      </c>
      <c r="B92" s="305" t="s">
        <v>308</v>
      </c>
      <c r="C92" s="330" t="s">
        <v>309</v>
      </c>
      <c r="D92" s="315" t="s">
        <v>242</v>
      </c>
      <c r="E92" s="308"/>
      <c r="F92" s="308"/>
      <c r="G92" s="309">
        <v>42304</v>
      </c>
      <c r="H92" s="315">
        <v>16.425000000000001</v>
      </c>
      <c r="I92" s="301">
        <v>40600</v>
      </c>
      <c r="J92" s="270">
        <v>35000</v>
      </c>
      <c r="K92" s="267">
        <v>5600</v>
      </c>
      <c r="L92" s="268">
        <f t="shared" si="27"/>
        <v>2130.9</v>
      </c>
      <c r="M92" s="268">
        <f t="shared" si="28"/>
        <v>340.94</v>
      </c>
      <c r="N92" s="268">
        <f>IF(H92&gt;0,IF(ROUND(I92/$H$15,2)&lt;&gt;(+L92+M92),(L92+M92),(L92+M92)),0)</f>
        <v>2471.84</v>
      </c>
    </row>
    <row r="93" spans="1:14" ht="27.75" customHeight="1" x14ac:dyDescent="0.2">
      <c r="A93" s="290" t="s">
        <v>192</v>
      </c>
      <c r="B93" s="305" t="s">
        <v>310</v>
      </c>
      <c r="C93" s="330" t="s">
        <v>311</v>
      </c>
      <c r="D93" s="315" t="s">
        <v>242</v>
      </c>
      <c r="E93" s="308"/>
      <c r="F93" s="308"/>
      <c r="G93" s="309">
        <v>42334</v>
      </c>
      <c r="H93" s="6">
        <v>16.549199999999999</v>
      </c>
      <c r="I93" s="301">
        <v>11600</v>
      </c>
      <c r="J93" s="270">
        <v>10000</v>
      </c>
      <c r="K93" s="267">
        <v>1600</v>
      </c>
      <c r="L93" s="268">
        <f t="shared" si="27"/>
        <v>604.26</v>
      </c>
      <c r="M93" s="268">
        <f t="shared" si="28"/>
        <v>96.68</v>
      </c>
      <c r="N93" s="268">
        <f>IF(H93&gt;0,IF(ROUND(I93/$H$15,2)&lt;&gt;(+L93+M93),(L93+M93),(L93+M93)),0)</f>
        <v>700.94</v>
      </c>
    </row>
    <row r="94" spans="1:14" ht="21" customHeight="1" x14ac:dyDescent="0.2">
      <c r="A94" s="313">
        <v>3.1</v>
      </c>
      <c r="B94" s="305" t="s">
        <v>269</v>
      </c>
      <c r="C94" s="330" t="s">
        <v>312</v>
      </c>
      <c r="D94" s="315" t="s">
        <v>242</v>
      </c>
      <c r="E94" s="308"/>
      <c r="F94" s="308"/>
      <c r="G94" s="309">
        <v>42334</v>
      </c>
      <c r="H94" s="6">
        <v>16.549199999999999</v>
      </c>
      <c r="I94" s="301">
        <v>144652</v>
      </c>
      <c r="J94" s="270">
        <v>124700</v>
      </c>
      <c r="K94" s="267">
        <v>19952</v>
      </c>
      <c r="L94" s="268">
        <f t="shared" si="27"/>
        <v>7535.11</v>
      </c>
      <c r="M94" s="268">
        <f t="shared" si="28"/>
        <v>1205.6199999999999</v>
      </c>
      <c r="N94" s="268">
        <f>IF(H94&gt;0,IF(ROUND(I94/$H$15,2)&lt;&gt;(+L94+M94),(L94+M94),(L94+M94)),0)</f>
        <v>8740.73</v>
      </c>
    </row>
    <row r="95" spans="1:14" ht="12.75" customHeight="1" x14ac:dyDescent="0.2">
      <c r="A95" s="331"/>
      <c r="B95" s="305"/>
      <c r="C95" s="306"/>
      <c r="D95" s="259"/>
      <c r="E95" s="261"/>
      <c r="F95" s="261"/>
      <c r="G95" s="269"/>
      <c r="H95" s="264"/>
      <c r="I95" s="319"/>
      <c r="J95" s="270"/>
      <c r="K95" s="267"/>
      <c r="L95" s="268"/>
      <c r="M95" s="268"/>
      <c r="N95" s="268"/>
    </row>
    <row r="96" spans="1:14" ht="19.5" customHeight="1" x14ac:dyDescent="0.2">
      <c r="A96" s="318"/>
      <c r="B96" s="305" t="s">
        <v>275</v>
      </c>
      <c r="C96" s="306" t="s">
        <v>291</v>
      </c>
      <c r="D96" s="307" t="s">
        <v>242</v>
      </c>
      <c r="E96" s="305"/>
      <c r="F96" s="305"/>
      <c r="G96" s="317">
        <v>42341</v>
      </c>
      <c r="H96" s="316">
        <v>16.709499999999998</v>
      </c>
      <c r="I96" s="301">
        <v>1392</v>
      </c>
      <c r="J96" s="270">
        <v>1200</v>
      </c>
      <c r="K96" s="267">
        <v>192</v>
      </c>
      <c r="L96" s="268">
        <f t="shared" ref="L96:L98" si="30">IF(I96&gt;0,ROUND(+J96/$H96,2),0)</f>
        <v>71.819999999999993</v>
      </c>
      <c r="M96" s="268">
        <f t="shared" ref="M96:M98" si="31">IF(K96&gt;0,ROUND(+K96/$H96,2),0)</f>
        <v>11.49</v>
      </c>
      <c r="N96" s="268">
        <f t="shared" ref="N96:N98" si="32">IF(H96&gt;0,IF(ROUND(I96/$H$15,2)&lt;&gt;(+L96+M96),(L96+M96),(L96+M96)),0)</f>
        <v>83.309999999999988</v>
      </c>
    </row>
    <row r="97" spans="1:16" ht="19.5" customHeight="1" x14ac:dyDescent="0.2">
      <c r="A97" s="290">
        <v>3.4</v>
      </c>
      <c r="B97" s="305" t="s">
        <v>256</v>
      </c>
      <c r="C97" s="306" t="s">
        <v>274</v>
      </c>
      <c r="D97" s="307" t="s">
        <v>242</v>
      </c>
      <c r="E97" s="305"/>
      <c r="F97" s="305"/>
      <c r="G97" s="317">
        <v>42347</v>
      </c>
      <c r="H97" s="316">
        <v>17.015999999999998</v>
      </c>
      <c r="I97" s="301">
        <v>116000</v>
      </c>
      <c r="J97" s="270">
        <v>0</v>
      </c>
      <c r="K97" s="267">
        <v>116000</v>
      </c>
      <c r="L97" s="268">
        <f t="shared" si="30"/>
        <v>0</v>
      </c>
      <c r="M97" s="268">
        <f t="shared" si="31"/>
        <v>6817.11</v>
      </c>
      <c r="N97" s="268">
        <f t="shared" si="32"/>
        <v>6817.11</v>
      </c>
    </row>
    <row r="98" spans="1:16" ht="19.5" customHeight="1" x14ac:dyDescent="0.2">
      <c r="A98" s="331" t="s">
        <v>199</v>
      </c>
      <c r="B98" s="305" t="s">
        <v>313</v>
      </c>
      <c r="C98" s="306" t="s">
        <v>314</v>
      </c>
      <c r="D98" s="307" t="s">
        <v>242</v>
      </c>
      <c r="E98" s="305"/>
      <c r="F98" s="305"/>
      <c r="G98" s="317">
        <v>42347</v>
      </c>
      <c r="H98" s="316">
        <v>17.015999999999998</v>
      </c>
      <c r="I98" s="319">
        <v>2667943.29</v>
      </c>
      <c r="J98" s="270">
        <v>2299951.11</v>
      </c>
      <c r="K98" s="267">
        <v>367992.18</v>
      </c>
      <c r="L98" s="268">
        <f t="shared" si="30"/>
        <v>135164.03</v>
      </c>
      <c r="M98" s="268">
        <f t="shared" si="31"/>
        <v>21626.240000000002</v>
      </c>
      <c r="N98" s="268">
        <f t="shared" si="32"/>
        <v>156790.26999999999</v>
      </c>
    </row>
    <row r="99" spans="1:16" ht="13.5" customHeight="1" x14ac:dyDescent="0.2">
      <c r="A99" s="331"/>
      <c r="B99" s="305"/>
      <c r="C99" s="306"/>
      <c r="D99" s="307"/>
      <c r="E99" s="305"/>
      <c r="F99" s="305"/>
      <c r="G99" s="317"/>
      <c r="H99" s="316"/>
      <c r="I99" s="319"/>
      <c r="J99" s="270"/>
      <c r="K99" s="267"/>
      <c r="L99" s="268"/>
      <c r="M99" s="268"/>
      <c r="N99" s="268"/>
    </row>
    <row r="100" spans="1:16" ht="19.5" customHeight="1" x14ac:dyDescent="0.2">
      <c r="A100" s="318"/>
      <c r="B100" s="305" t="s">
        <v>275</v>
      </c>
      <c r="C100" s="306" t="s">
        <v>291</v>
      </c>
      <c r="D100" s="307" t="s">
        <v>242</v>
      </c>
      <c r="E100" s="305"/>
      <c r="F100" s="305"/>
      <c r="G100" s="317">
        <v>42374</v>
      </c>
      <c r="H100" s="316">
        <v>17.441099999999999</v>
      </c>
      <c r="I100" s="301">
        <v>1392</v>
      </c>
      <c r="J100" s="270">
        <v>1200</v>
      </c>
      <c r="K100" s="267">
        <v>192</v>
      </c>
      <c r="L100" s="268">
        <f t="shared" ref="L100" si="33">IF(I100&gt;0,ROUND(+J100/$H100,2),0)</f>
        <v>68.8</v>
      </c>
      <c r="M100" s="268">
        <f t="shared" ref="M100" si="34">IF(K100&gt;0,ROUND(+K100/$H100,2),0)</f>
        <v>11.01</v>
      </c>
      <c r="N100" s="268">
        <f t="shared" ref="N100" si="35">IF(H100&gt;0,IF(ROUND(I100/$H$15,2)&lt;&gt;(+L100+M100),(L100+M100),(L100+M100)),0)</f>
        <v>79.81</v>
      </c>
    </row>
    <row r="101" spans="1:16" ht="19.5" customHeight="1" x14ac:dyDescent="0.2">
      <c r="A101" s="331"/>
      <c r="B101" s="305"/>
      <c r="C101" s="306"/>
      <c r="D101" s="259"/>
      <c r="E101" s="261"/>
      <c r="F101" s="261"/>
      <c r="G101" s="269"/>
      <c r="H101" s="264"/>
      <c r="I101" s="319"/>
      <c r="J101" s="270"/>
      <c r="K101" s="267"/>
      <c r="L101" s="268"/>
      <c r="M101" s="268"/>
      <c r="N101" s="268"/>
    </row>
    <row r="102" spans="1:16" s="277" customFormat="1" ht="12" customHeight="1" x14ac:dyDescent="0.2">
      <c r="A102" s="303"/>
      <c r="B102" s="261"/>
      <c r="C102" s="300"/>
      <c r="D102" s="259"/>
      <c r="E102" s="261"/>
      <c r="F102" s="261"/>
      <c r="G102" s="269"/>
      <c r="H102" s="264"/>
      <c r="I102" s="265">
        <v>0</v>
      </c>
      <c r="J102" s="270">
        <v>0</v>
      </c>
      <c r="K102" s="267">
        <f t="shared" ref="K102" si="36">+I102-J102</f>
        <v>0</v>
      </c>
      <c r="L102" s="268">
        <f t="shared" si="8"/>
        <v>0</v>
      </c>
      <c r="M102" s="302">
        <f t="shared" si="9"/>
        <v>0</v>
      </c>
      <c r="N102" s="268">
        <f t="shared" si="10"/>
        <v>0</v>
      </c>
      <c r="P102" s="6"/>
    </row>
    <row r="103" spans="1:16" s="287" customFormat="1" ht="18.75" customHeight="1" x14ac:dyDescent="0.2">
      <c r="A103" s="271" t="s">
        <v>243</v>
      </c>
      <c r="B103" s="272"/>
      <c r="C103" s="273"/>
      <c r="D103" s="272"/>
      <c r="E103" s="274"/>
      <c r="F103" s="274"/>
      <c r="G103" s="275"/>
      <c r="H103" s="276"/>
      <c r="I103" s="270"/>
      <c r="J103" s="270"/>
      <c r="K103" s="270"/>
      <c r="L103" s="270"/>
      <c r="M103" s="270"/>
      <c r="N103" s="270"/>
      <c r="P103" s="6"/>
    </row>
    <row r="104" spans="1:16" ht="18.75" customHeight="1" x14ac:dyDescent="0.2">
      <c r="A104" s="291">
        <f>+'[2]Modelo B -Sol pag 2'!$C$8</f>
        <v>3</v>
      </c>
      <c r="B104" s="279" t="str">
        <f>+CONCATENATE("TOTAL ",+'[2]Modelo B -Sol pag 2'!$E$8)</f>
        <v>TOTAL SENSIBILIZACIÓN Y CAPACITACIÓN DE LA PYME</v>
      </c>
      <c r="C104" s="280"/>
      <c r="D104" s="279"/>
      <c r="E104" s="279"/>
      <c r="F104" s="279"/>
      <c r="G104" s="282" t="s">
        <v>244</v>
      </c>
      <c r="H104" s="283"/>
      <c r="I104" s="284"/>
      <c r="J104" s="285">
        <f>SUM(J27:J103)</f>
        <v>3146953.06</v>
      </c>
      <c r="K104" s="285">
        <f>SUM(K27:K103)</f>
        <v>1328584.26</v>
      </c>
      <c r="L104" s="286">
        <f>SUM(L27:L103)</f>
        <v>197568.62999999998</v>
      </c>
      <c r="M104" s="286">
        <f>SUM(M27:M103)</f>
        <v>83695.509999999995</v>
      </c>
      <c r="N104" s="286">
        <f>SUM(N27:N103)</f>
        <v>281264.13999999996</v>
      </c>
      <c r="P104" s="6"/>
    </row>
    <row r="105" spans="1:16" ht="18.75" customHeight="1" outlineLevel="1" x14ac:dyDescent="0.2">
      <c r="A105" s="299">
        <f>+'[2]Modelo B -Sol pag 2'!$C$9</f>
        <v>4</v>
      </c>
      <c r="B105" s="289" t="str">
        <f>+'[2]Modelo B -Sol pag 2'!$E$9</f>
        <v>FORTALECIMIENTO DE LA CAPACIDAD DEL PERSONAL</v>
      </c>
      <c r="C105" s="253"/>
      <c r="D105" s="254"/>
      <c r="E105" s="254"/>
      <c r="F105" s="254"/>
      <c r="G105" s="254"/>
      <c r="H105" s="255"/>
      <c r="I105" s="256"/>
      <c r="J105" s="257"/>
      <c r="K105" s="257"/>
      <c r="L105" s="256"/>
      <c r="M105" s="256"/>
      <c r="N105" s="256"/>
      <c r="P105" s="6"/>
    </row>
    <row r="106" spans="1:16" ht="18.75" customHeight="1" outlineLevel="1" x14ac:dyDescent="0.2">
      <c r="A106" s="303">
        <f>+'[2]Modelo B -Sol pag 2'!$C$9</f>
        <v>4</v>
      </c>
      <c r="B106" s="259"/>
      <c r="C106" s="260"/>
      <c r="D106" s="259"/>
      <c r="E106" s="261"/>
      <c r="F106" s="261"/>
      <c r="G106" s="269"/>
      <c r="H106" s="264"/>
      <c r="I106" s="265"/>
      <c r="J106" s="270"/>
      <c r="K106" s="267">
        <f>+I106-J106</f>
        <v>0</v>
      </c>
      <c r="L106" s="268">
        <f>IF(I106&gt;0,ROUND(+J106/$H106,2),0)</f>
        <v>0</v>
      </c>
      <c r="M106" s="268">
        <f>IF(K106&gt;0,ROUND(+K106/$H106,2),0)</f>
        <v>0</v>
      </c>
      <c r="N106" s="268">
        <f>IF(H106&gt;0,IF(ROUND(I106/$H$15,2)&lt;&gt;(+L106+M106),"REV DISTRB",(L106+M106)),0)</f>
        <v>0</v>
      </c>
      <c r="P106" s="6"/>
    </row>
    <row r="107" spans="1:16" ht="18.75" customHeight="1" outlineLevel="1" x14ac:dyDescent="0.2">
      <c r="A107" s="303">
        <f>+'[2]Modelo B -Sol pag 2'!$C$9</f>
        <v>4</v>
      </c>
      <c r="B107" s="259"/>
      <c r="C107" s="260"/>
      <c r="D107" s="259"/>
      <c r="E107" s="261"/>
      <c r="F107" s="261"/>
      <c r="G107" s="269"/>
      <c r="H107" s="264"/>
      <c r="I107" s="265"/>
      <c r="J107" s="270"/>
      <c r="K107" s="267">
        <f>+I107-J107</f>
        <v>0</v>
      </c>
      <c r="L107" s="268">
        <f>IF(I107&gt;0,ROUND(+J107/$H107,2),0)</f>
        <v>0</v>
      </c>
      <c r="M107" s="268">
        <f>IF(K107&gt;0,ROUND(+K107/$H107,2),0)</f>
        <v>0</v>
      </c>
      <c r="N107" s="268">
        <f>IF(H107&gt;0,IF(ROUND(I107/$H$15,2)&lt;&gt;(+L107+M107),"REV DISTRB",(L107+M107)),0)</f>
        <v>0</v>
      </c>
      <c r="P107" s="6"/>
    </row>
    <row r="108" spans="1:16" s="277" customFormat="1" ht="12.75" customHeight="1" x14ac:dyDescent="0.2">
      <c r="A108" s="303">
        <f>+'[2]Modelo B -Sol pag 2'!$C$9</f>
        <v>4</v>
      </c>
      <c r="B108" s="259"/>
      <c r="C108" s="260"/>
      <c r="D108" s="259"/>
      <c r="E108" s="261"/>
      <c r="F108" s="261"/>
      <c r="G108" s="269"/>
      <c r="H108" s="264"/>
      <c r="I108" s="265"/>
      <c r="J108" s="270"/>
      <c r="K108" s="267">
        <f>+I108-J108</f>
        <v>0</v>
      </c>
      <c r="L108" s="268">
        <f>IF(I108&gt;0,ROUND(+J108/$H108,2),0)</f>
        <v>0</v>
      </c>
      <c r="M108" s="268">
        <f>IF(K108&gt;0,ROUND(+K108/$H108,2),0)</f>
        <v>0</v>
      </c>
      <c r="N108" s="268">
        <f>IF(H108&gt;0,IF(ROUND(I108/$H$15,2)&lt;&gt;(+L108+M108),"REV DISTRB",(L108+M108)),0)</f>
        <v>0</v>
      </c>
      <c r="P108" s="6"/>
    </row>
    <row r="109" spans="1:16" s="287" customFormat="1" ht="18.75" customHeight="1" x14ac:dyDescent="0.2">
      <c r="A109" s="271" t="s">
        <v>243</v>
      </c>
      <c r="B109" s="272"/>
      <c r="C109" s="273"/>
      <c r="D109" s="272"/>
      <c r="E109" s="274"/>
      <c r="F109" s="274"/>
      <c r="G109" s="275"/>
      <c r="H109" s="276"/>
      <c r="I109" s="270"/>
      <c r="J109" s="270"/>
      <c r="K109" s="270"/>
      <c r="L109" s="270"/>
      <c r="M109" s="270"/>
      <c r="N109" s="270"/>
      <c r="P109" s="6"/>
    </row>
    <row r="110" spans="1:16" ht="18.75" customHeight="1" x14ac:dyDescent="0.2">
      <c r="A110" s="291">
        <f>+'[2]Modelo B -Sol pag 2'!$C$9</f>
        <v>4</v>
      </c>
      <c r="B110" s="279" t="str">
        <f>+CONCATENATE("TOTAL ",+'[2]Modelo B -Sol pag 2'!$E$9)</f>
        <v>TOTAL FORTALECIMIENTO DE LA CAPACIDAD DEL PERSONAL</v>
      </c>
      <c r="C110" s="280"/>
      <c r="D110" s="279"/>
      <c r="E110" s="279"/>
      <c r="F110" s="279"/>
      <c r="G110" s="282" t="s">
        <v>244</v>
      </c>
      <c r="H110" s="283"/>
      <c r="I110" s="284"/>
      <c r="J110" s="285">
        <f>SUM(J105:J109)</f>
        <v>0</v>
      </c>
      <c r="K110" s="285">
        <f>SUM(K105:K109)</f>
        <v>0</v>
      </c>
      <c r="L110" s="286">
        <f>SUM(L105:L109)</f>
        <v>0</v>
      </c>
      <c r="M110" s="286">
        <f>SUM(M105:M109)</f>
        <v>0</v>
      </c>
      <c r="N110" s="286">
        <f>SUM(N105:N109)</f>
        <v>0</v>
      </c>
      <c r="P110" s="6"/>
    </row>
    <row r="111" spans="1:16" ht="18.75" customHeight="1" outlineLevel="1" x14ac:dyDescent="0.2">
      <c r="A111" s="299">
        <f>+'[2]Modelo B -Sol pag 2'!$C$10</f>
        <v>5</v>
      </c>
      <c r="B111" s="289" t="str">
        <f>+'[2]Modelo B -Sol pag 2'!$E$10</f>
        <v>DESARROLLO DE PROGRAMA DE PROVEEDORES</v>
      </c>
      <c r="C111" s="253"/>
      <c r="D111" s="254"/>
      <c r="E111" s="254"/>
      <c r="F111" s="254"/>
      <c r="G111" s="254"/>
      <c r="H111" s="255"/>
      <c r="I111" s="256"/>
      <c r="J111" s="257"/>
      <c r="K111" s="257"/>
      <c r="L111" s="256"/>
      <c r="M111" s="256"/>
      <c r="N111" s="256"/>
      <c r="P111" s="6"/>
    </row>
    <row r="112" spans="1:16" ht="18.75" customHeight="1" outlineLevel="2" x14ac:dyDescent="0.2">
      <c r="A112" s="303">
        <f>+'[2]Modelo B -Sol pag 2'!$C$10</f>
        <v>5</v>
      </c>
      <c r="B112" s="259"/>
      <c r="C112" s="260"/>
      <c r="D112" s="259"/>
      <c r="E112" s="261"/>
      <c r="F112" s="261"/>
      <c r="G112" s="269"/>
      <c r="H112" s="264"/>
      <c r="I112" s="265"/>
      <c r="J112" s="270"/>
      <c r="K112" s="267">
        <f>+I112-J112</f>
        <v>0</v>
      </c>
      <c r="L112" s="268">
        <f>IF(I112&gt;0,ROUND(+J112/$H112,2),0)</f>
        <v>0</v>
      </c>
      <c r="M112" s="268">
        <f>IF(K112&gt;0,ROUND(+K112/$H112,2),0)</f>
        <v>0</v>
      </c>
      <c r="N112" s="268">
        <f>IF(H112&gt;0,IF(ROUND(I112/$H$15,2)&lt;&gt;(+L112+M112),"REV DISTRB",(L112+M112)),0)</f>
        <v>0</v>
      </c>
      <c r="P112" s="6"/>
    </row>
    <row r="113" spans="1:16" ht="18.75" customHeight="1" outlineLevel="2" x14ac:dyDescent="0.2">
      <c r="A113" s="303">
        <f>+'[2]Modelo B -Sol pag 2'!$C$10</f>
        <v>5</v>
      </c>
      <c r="B113" s="259"/>
      <c r="C113" s="260"/>
      <c r="D113" s="259"/>
      <c r="E113" s="261"/>
      <c r="F113" s="261"/>
      <c r="G113" s="269"/>
      <c r="H113" s="264"/>
      <c r="I113" s="265"/>
      <c r="J113" s="270"/>
      <c r="K113" s="267">
        <f>+I113-J113</f>
        <v>0</v>
      </c>
      <c r="L113" s="268">
        <f>IF(I113&gt;0,ROUND(+J113/$H113,2),0)</f>
        <v>0</v>
      </c>
      <c r="M113" s="268">
        <f>IF(K113&gt;0,ROUND(+K113/$H113,2),0)</f>
        <v>0</v>
      </c>
      <c r="N113" s="268">
        <f>IF(H113&gt;0,IF(ROUND(I113/$H$15,2)&lt;&gt;(+L113+M113),"REV DISTRB",(L113+M113)),0)</f>
        <v>0</v>
      </c>
      <c r="P113" s="6"/>
    </row>
    <row r="114" spans="1:16" s="277" customFormat="1" ht="12" customHeight="1" x14ac:dyDescent="0.2">
      <c r="A114" s="303">
        <f>+'[2]Modelo B -Sol pag 2'!$C$10</f>
        <v>5</v>
      </c>
      <c r="B114" s="259"/>
      <c r="C114" s="260"/>
      <c r="D114" s="259"/>
      <c r="E114" s="261"/>
      <c r="F114" s="261"/>
      <c r="G114" s="269"/>
      <c r="H114" s="264"/>
      <c r="I114" s="265"/>
      <c r="J114" s="270"/>
      <c r="K114" s="267">
        <f>+I114-J114</f>
        <v>0</v>
      </c>
      <c r="L114" s="268">
        <f>IF(I114&gt;0,ROUND(+J114/$H114,2),0)</f>
        <v>0</v>
      </c>
      <c r="M114" s="268">
        <f>IF(K114&gt;0,ROUND(+K114/$H114,2),0)</f>
        <v>0</v>
      </c>
      <c r="N114" s="268">
        <f>IF(H114&gt;0,IF(ROUND(I114/$H$15,2)&lt;&gt;(+L114+M114),"REV DISTRB",(L114+M114)),0)</f>
        <v>0</v>
      </c>
      <c r="P114" s="6"/>
    </row>
    <row r="115" spans="1:16" s="287" customFormat="1" ht="18.75" customHeight="1" x14ac:dyDescent="0.2">
      <c r="A115" s="271" t="s">
        <v>243</v>
      </c>
      <c r="B115" s="272"/>
      <c r="C115" s="273"/>
      <c r="D115" s="272"/>
      <c r="E115" s="274"/>
      <c r="F115" s="274"/>
      <c r="G115" s="275"/>
      <c r="H115" s="276"/>
      <c r="I115" s="270"/>
      <c r="J115" s="270"/>
      <c r="K115" s="270"/>
      <c r="L115" s="270"/>
      <c r="M115" s="270"/>
      <c r="N115" s="270"/>
      <c r="P115" s="6"/>
    </row>
    <row r="116" spans="1:16" ht="18.75" customHeight="1" x14ac:dyDescent="0.2">
      <c r="A116" s="291">
        <f>+'[2]Modelo B -Sol pag 2'!$C$10</f>
        <v>5</v>
      </c>
      <c r="B116" s="279" t="str">
        <f>+CONCATENATE("TOTAL ",'[2]Modelo B -Sol pag 2'!$E$10)</f>
        <v>TOTAL DESARROLLO DE PROGRAMA DE PROVEEDORES</v>
      </c>
      <c r="C116" s="280"/>
      <c r="D116" s="279"/>
      <c r="E116" s="279"/>
      <c r="F116" s="279"/>
      <c r="G116" s="282" t="s">
        <v>244</v>
      </c>
      <c r="H116" s="283"/>
      <c r="I116" s="284"/>
      <c r="J116" s="285">
        <f>SUM(J111:J115)</f>
        <v>0</v>
      </c>
      <c r="K116" s="285">
        <f>SUM(K111:K115)</f>
        <v>0</v>
      </c>
      <c r="L116" s="286">
        <f>SUM(L111:L115)</f>
        <v>0</v>
      </c>
      <c r="M116" s="286">
        <f>SUM(M111:M115)</f>
        <v>0</v>
      </c>
      <c r="N116" s="286">
        <f>SUM(N111:N115)</f>
        <v>0</v>
      </c>
      <c r="P116" s="6"/>
    </row>
    <row r="117" spans="1:16" ht="18.75" customHeight="1" outlineLevel="2" x14ac:dyDescent="0.2">
      <c r="A117" s="299">
        <f>+'[2]Modelo B -Sol pag 2'!$C$11</f>
        <v>6</v>
      </c>
      <c r="B117" s="289" t="str">
        <f>+'[2]Modelo B -Sol pag 2'!$E$11</f>
        <v>GESTION DEL CONOCIMIENTO Y DIFUSION</v>
      </c>
      <c r="C117" s="253"/>
      <c r="D117" s="254"/>
      <c r="E117" s="254"/>
      <c r="F117" s="254"/>
      <c r="G117" s="254"/>
      <c r="H117" s="255"/>
      <c r="I117" s="256"/>
      <c r="J117" s="257"/>
      <c r="K117" s="257"/>
      <c r="L117" s="256"/>
      <c r="M117" s="256"/>
      <c r="N117" s="256"/>
      <c r="P117" s="6"/>
    </row>
    <row r="118" spans="1:16" ht="18.75" customHeight="1" outlineLevel="2" x14ac:dyDescent="0.2">
      <c r="A118" s="303">
        <f>+'[2]Modelo B -Sol pag 2'!$C$11</f>
        <v>6</v>
      </c>
      <c r="B118" s="259"/>
      <c r="C118" s="328"/>
      <c r="D118" s="259"/>
      <c r="E118" s="261"/>
      <c r="F118" s="261"/>
      <c r="G118" s="269"/>
      <c r="H118" s="264"/>
      <c r="I118" s="265"/>
      <c r="J118" s="270"/>
      <c r="K118" s="267"/>
      <c r="L118" s="268"/>
      <c r="M118" s="302"/>
      <c r="N118" s="268"/>
      <c r="P118" s="6"/>
    </row>
    <row r="119" spans="1:16" ht="18.75" customHeight="1" outlineLevel="2" x14ac:dyDescent="0.2">
      <c r="A119" s="303">
        <f>+'[2]Modelo B -Sol pag 2'!$C$11</f>
        <v>6</v>
      </c>
      <c r="B119" s="259"/>
      <c r="C119" s="260"/>
      <c r="D119" s="259"/>
      <c r="E119" s="261"/>
      <c r="F119" s="261"/>
      <c r="G119" s="269"/>
      <c r="H119" s="264"/>
      <c r="I119" s="265"/>
      <c r="J119" s="270"/>
      <c r="K119" s="267">
        <f>+I119-J119</f>
        <v>0</v>
      </c>
      <c r="L119" s="268">
        <f>IF(I119&gt;0,ROUND(+J119/$H119,2),0)</f>
        <v>0</v>
      </c>
      <c r="M119" s="302">
        <f>IF(K119&gt;0,ROUND(+K119/$H119,2),0)</f>
        <v>0</v>
      </c>
      <c r="N119" s="268">
        <f>IF(H119&gt;0,IF(ROUND(I119/$H$15,2)&lt;&gt;(+L119+M119),"REV DISTRB",(L119+M119)),0)</f>
        <v>0</v>
      </c>
      <c r="P119" s="6"/>
    </row>
    <row r="120" spans="1:16" s="277" customFormat="1" ht="12" customHeight="1" x14ac:dyDescent="0.2">
      <c r="A120" s="303">
        <f>+'[2]Modelo B -Sol pag 2'!$C$11</f>
        <v>6</v>
      </c>
      <c r="B120" s="259"/>
      <c r="C120" s="260"/>
      <c r="D120" s="259"/>
      <c r="E120" s="261"/>
      <c r="F120" s="261"/>
      <c r="G120" s="269"/>
      <c r="H120" s="264"/>
      <c r="I120" s="265"/>
      <c r="J120" s="270"/>
      <c r="K120" s="267">
        <f>+I120-J120</f>
        <v>0</v>
      </c>
      <c r="L120" s="268">
        <f>IF(I120&gt;0,ROUND(+J120/$H120,2),0)</f>
        <v>0</v>
      </c>
      <c r="M120" s="302">
        <f>IF(K120&gt;0,ROUND(+K120/$H120,2),0)</f>
        <v>0</v>
      </c>
      <c r="N120" s="268">
        <f>IF(H120&gt;0,IF(ROUND(I120/$H$15,2)&lt;&gt;(+L120+M120),"REV DISTRB",(L120+M120)),0)</f>
        <v>0</v>
      </c>
      <c r="P120" s="6"/>
    </row>
    <row r="121" spans="1:16" s="287" customFormat="1" ht="18.75" customHeight="1" x14ac:dyDescent="0.2">
      <c r="A121" s="271" t="s">
        <v>243</v>
      </c>
      <c r="B121" s="272"/>
      <c r="C121" s="273"/>
      <c r="D121" s="272"/>
      <c r="E121" s="274"/>
      <c r="F121" s="274"/>
      <c r="G121" s="275"/>
      <c r="H121" s="276"/>
      <c r="I121" s="270"/>
      <c r="J121" s="270"/>
      <c r="K121" s="270"/>
      <c r="L121" s="270"/>
      <c r="M121" s="270"/>
      <c r="N121" s="270"/>
      <c r="P121" s="6"/>
    </row>
    <row r="122" spans="1:16" s="287" customFormat="1" ht="18.75" customHeight="1" x14ac:dyDescent="0.2">
      <c r="A122" s="291">
        <f>+'[2]Modelo B -Sol pag 2'!$C$11</f>
        <v>6</v>
      </c>
      <c r="B122" s="279" t="str">
        <f>+CONCATENATE("TOTAL ",+'[2]Modelo B -Sol pag 2'!$E$11)</f>
        <v>TOTAL GESTION DEL CONOCIMIENTO Y DIFUSION</v>
      </c>
      <c r="C122" s="280"/>
      <c r="D122" s="279"/>
      <c r="E122" s="279"/>
      <c r="F122" s="279"/>
      <c r="G122" s="282" t="s">
        <v>244</v>
      </c>
      <c r="H122" s="283"/>
      <c r="I122" s="284"/>
      <c r="J122" s="285">
        <f>SUM(J117:J121)</f>
        <v>0</v>
      </c>
      <c r="K122" s="285">
        <f>SUM(K117:K121)</f>
        <v>0</v>
      </c>
      <c r="L122" s="286">
        <f>SUM(L117:L121)</f>
        <v>0</v>
      </c>
      <c r="M122" s="286">
        <f>SUM(M117:M121)</f>
        <v>0</v>
      </c>
      <c r="N122" s="286">
        <f>SUM(N117:N121)</f>
        <v>0</v>
      </c>
      <c r="P122" s="6"/>
    </row>
    <row r="123" spans="1:16" s="287" customFormat="1" ht="18.75" customHeight="1" x14ac:dyDescent="0.2">
      <c r="A123" s="332">
        <f>+'[2]Modelo B -Sol pag 2'!$C$12</f>
        <v>7</v>
      </c>
      <c r="B123" s="333" t="str">
        <f>+'[2]Modelo B -Sol pag 2'!E12</f>
        <v>ORGANISMO EJECUTOR/ADMINISTRATIVO</v>
      </c>
      <c r="C123" s="334"/>
      <c r="D123" s="333"/>
      <c r="E123" s="333"/>
      <c r="F123" s="333"/>
      <c r="G123" s="335"/>
      <c r="H123" s="336"/>
      <c r="I123" s="337"/>
      <c r="J123" s="285"/>
      <c r="K123" s="285"/>
      <c r="L123" s="338"/>
      <c r="M123" s="297"/>
      <c r="N123" s="338"/>
      <c r="P123" s="6"/>
    </row>
    <row r="124" spans="1:16" s="287" customFormat="1" ht="18.75" customHeight="1" x14ac:dyDescent="0.2">
      <c r="A124" s="332">
        <f>+'[2]Modelo B -Sol pag 2'!$C$12</f>
        <v>7</v>
      </c>
      <c r="B124" s="334" t="s">
        <v>315</v>
      </c>
      <c r="C124" s="334" t="s">
        <v>316</v>
      </c>
      <c r="D124" s="307" t="s">
        <v>242</v>
      </c>
      <c r="E124" s="333"/>
      <c r="F124" s="333"/>
      <c r="G124" s="335">
        <v>41803</v>
      </c>
      <c r="H124" s="336">
        <v>13.016400000000001</v>
      </c>
      <c r="I124" s="339">
        <f>K124</f>
        <v>18083.330000000002</v>
      </c>
      <c r="J124" s="285">
        <v>0</v>
      </c>
      <c r="K124" s="285">
        <v>18083.330000000002</v>
      </c>
      <c r="L124" s="268">
        <f>IF(I124&gt;0,ROUND(+J124/$H124,2),0)</f>
        <v>0</v>
      </c>
      <c r="M124" s="302">
        <f>IF(K124&gt;0,ROUND(+K124/$H124,2),0)</f>
        <v>1389.27</v>
      </c>
      <c r="N124" s="268">
        <f>IF(H124&gt;0,IF(ROUND(I124/$H$15,2)&lt;&gt;(+L124+M124),(L124+M124),(L124+M124)),0)</f>
        <v>1389.27</v>
      </c>
      <c r="P124" s="6"/>
    </row>
    <row r="125" spans="1:16" s="287" customFormat="1" ht="18.75" customHeight="1" x14ac:dyDescent="0.2">
      <c r="A125" s="332">
        <f>+'[2]Modelo B -Sol pag 2'!$C$12</f>
        <v>7</v>
      </c>
      <c r="B125" s="334" t="s">
        <v>315</v>
      </c>
      <c r="C125" s="334" t="s">
        <v>317</v>
      </c>
      <c r="D125" s="307" t="s">
        <v>242</v>
      </c>
      <c r="E125" s="333"/>
      <c r="F125" s="333"/>
      <c r="G125" s="335">
        <v>41817</v>
      </c>
      <c r="H125" s="336">
        <v>13.0002</v>
      </c>
      <c r="I125" s="337">
        <f>K125</f>
        <v>19250</v>
      </c>
      <c r="J125" s="285">
        <v>0</v>
      </c>
      <c r="K125" s="285">
        <v>19250</v>
      </c>
      <c r="L125" s="268">
        <f t="shared" ref="L125:L143" si="37">IF(I125&gt;0,ROUND(+J125/$H125,2),0)</f>
        <v>0</v>
      </c>
      <c r="M125" s="302">
        <f t="shared" ref="M125:M154" si="38">IF(K125&gt;0,ROUND(+K125/$H125,2),0)</f>
        <v>1480.75</v>
      </c>
      <c r="N125" s="268">
        <f t="shared" ref="N125:N143" si="39">IF(H125&gt;0,IF(ROUND(I125/$H$15,2)&lt;&gt;(+L125+M125),(L125+M125),(L125+M125)),0)</f>
        <v>1480.75</v>
      </c>
    </row>
    <row r="126" spans="1:16" s="287" customFormat="1" ht="18.75" customHeight="1" x14ac:dyDescent="0.2">
      <c r="A126" s="332">
        <f>+'[2]Modelo B -Sol pag 2'!$C$12</f>
        <v>7</v>
      </c>
      <c r="B126" s="334" t="s">
        <v>315</v>
      </c>
      <c r="C126" s="334" t="s">
        <v>318</v>
      </c>
      <c r="D126" s="307" t="s">
        <v>242</v>
      </c>
      <c r="E126" s="333"/>
      <c r="F126" s="333"/>
      <c r="G126" s="335">
        <v>41803</v>
      </c>
      <c r="H126" s="336">
        <v>13.016400000000001</v>
      </c>
      <c r="I126" s="339">
        <f>K126</f>
        <v>19250</v>
      </c>
      <c r="J126" s="285">
        <v>0</v>
      </c>
      <c r="K126" s="285">
        <v>19250</v>
      </c>
      <c r="L126" s="268">
        <f t="shared" si="37"/>
        <v>0</v>
      </c>
      <c r="M126" s="302">
        <f t="shared" si="38"/>
        <v>1478.9</v>
      </c>
      <c r="N126" s="268">
        <f t="shared" si="39"/>
        <v>1478.9</v>
      </c>
    </row>
    <row r="127" spans="1:16" s="287" customFormat="1" ht="18.75" customHeight="1" x14ac:dyDescent="0.2">
      <c r="A127" s="332">
        <f>+'[2]Modelo B -Sol pag 2'!$C$12</f>
        <v>7</v>
      </c>
      <c r="B127" s="334" t="s">
        <v>315</v>
      </c>
      <c r="C127" s="334" t="s">
        <v>319</v>
      </c>
      <c r="D127" s="307" t="s">
        <v>242</v>
      </c>
      <c r="E127" s="333"/>
      <c r="F127" s="333"/>
      <c r="G127" s="335">
        <v>41850</v>
      </c>
      <c r="H127" s="336">
        <v>13.1357</v>
      </c>
      <c r="I127" s="339">
        <f t="shared" ref="I127:I132" si="40">K127</f>
        <v>19250</v>
      </c>
      <c r="J127" s="285">
        <v>0</v>
      </c>
      <c r="K127" s="285">
        <v>19250</v>
      </c>
      <c r="L127" s="268">
        <f t="shared" si="37"/>
        <v>0</v>
      </c>
      <c r="M127" s="302">
        <f t="shared" si="38"/>
        <v>1465.47</v>
      </c>
      <c r="N127" s="268">
        <f t="shared" si="39"/>
        <v>1465.47</v>
      </c>
    </row>
    <row r="128" spans="1:16" s="287" customFormat="1" ht="18.75" customHeight="1" x14ac:dyDescent="0.2">
      <c r="A128" s="332">
        <f>+'[2]Modelo B -Sol pag 2'!$C$12</f>
        <v>7</v>
      </c>
      <c r="B128" s="334" t="s">
        <v>315</v>
      </c>
      <c r="C128" s="334" t="s">
        <v>320</v>
      </c>
      <c r="D128" s="307" t="s">
        <v>242</v>
      </c>
      <c r="E128" s="333"/>
      <c r="F128" s="333"/>
      <c r="G128" s="335">
        <v>41865</v>
      </c>
      <c r="H128" s="336">
        <v>13.0717</v>
      </c>
      <c r="I128" s="339">
        <f t="shared" si="40"/>
        <v>19250</v>
      </c>
      <c r="J128" s="285">
        <v>0</v>
      </c>
      <c r="K128" s="285">
        <v>19250</v>
      </c>
      <c r="L128" s="268">
        <f t="shared" si="37"/>
        <v>0</v>
      </c>
      <c r="M128" s="302">
        <f t="shared" si="38"/>
        <v>1472.65</v>
      </c>
      <c r="N128" s="268">
        <f t="shared" si="39"/>
        <v>1472.65</v>
      </c>
    </row>
    <row r="129" spans="1:14" s="287" customFormat="1" ht="18.75" customHeight="1" x14ac:dyDescent="0.2">
      <c r="A129" s="332">
        <f>+'[2]Modelo B -Sol pag 2'!$C$12</f>
        <v>7</v>
      </c>
      <c r="B129" s="334" t="s">
        <v>315</v>
      </c>
      <c r="C129" s="334" t="s">
        <v>321</v>
      </c>
      <c r="D129" s="307" t="s">
        <v>242</v>
      </c>
      <c r="E129" s="333"/>
      <c r="F129" s="333"/>
      <c r="G129" s="335">
        <v>41880</v>
      </c>
      <c r="H129" s="336">
        <v>13.0763</v>
      </c>
      <c r="I129" s="339">
        <f t="shared" si="40"/>
        <v>19250</v>
      </c>
      <c r="J129" s="285">
        <v>0</v>
      </c>
      <c r="K129" s="285">
        <v>19250</v>
      </c>
      <c r="L129" s="268">
        <f t="shared" si="37"/>
        <v>0</v>
      </c>
      <c r="M129" s="302">
        <f t="shared" si="38"/>
        <v>1472.13</v>
      </c>
      <c r="N129" s="268">
        <f t="shared" si="39"/>
        <v>1472.13</v>
      </c>
    </row>
    <row r="130" spans="1:14" s="287" customFormat="1" ht="18.75" customHeight="1" x14ac:dyDescent="0.2">
      <c r="A130" s="332">
        <f>+'[2]Modelo B -Sol pag 2'!$C$12</f>
        <v>7</v>
      </c>
      <c r="B130" s="334" t="s">
        <v>315</v>
      </c>
      <c r="C130" s="334" t="s">
        <v>322</v>
      </c>
      <c r="D130" s="307" t="s">
        <v>242</v>
      </c>
      <c r="E130" s="333"/>
      <c r="F130" s="333"/>
      <c r="G130" s="335">
        <v>41894</v>
      </c>
      <c r="H130" s="336">
        <v>13.2644</v>
      </c>
      <c r="I130" s="339">
        <f t="shared" si="40"/>
        <v>19250</v>
      </c>
      <c r="J130" s="285">
        <v>0</v>
      </c>
      <c r="K130" s="285">
        <v>19250</v>
      </c>
      <c r="L130" s="268">
        <f t="shared" si="37"/>
        <v>0</v>
      </c>
      <c r="M130" s="302">
        <f t="shared" si="38"/>
        <v>1451.25</v>
      </c>
      <c r="N130" s="268">
        <f t="shared" si="39"/>
        <v>1451.25</v>
      </c>
    </row>
    <row r="131" spans="1:14" s="287" customFormat="1" ht="18.75" customHeight="1" x14ac:dyDescent="0.2">
      <c r="A131" s="332">
        <f>+'[2]Modelo B -Sol pag 2'!$C$12</f>
        <v>7</v>
      </c>
      <c r="B131" s="334" t="s">
        <v>315</v>
      </c>
      <c r="C131" s="334" t="s">
        <v>323</v>
      </c>
      <c r="D131" s="307" t="s">
        <v>242</v>
      </c>
      <c r="E131" s="333"/>
      <c r="F131" s="333"/>
      <c r="G131" s="335">
        <v>41911</v>
      </c>
      <c r="H131" s="336">
        <v>13.489100000000001</v>
      </c>
      <c r="I131" s="339">
        <f t="shared" si="40"/>
        <v>19250</v>
      </c>
      <c r="J131" s="285">
        <v>0</v>
      </c>
      <c r="K131" s="285">
        <v>19250</v>
      </c>
      <c r="L131" s="268">
        <f t="shared" si="37"/>
        <v>0</v>
      </c>
      <c r="M131" s="302">
        <f t="shared" si="38"/>
        <v>1427.08</v>
      </c>
      <c r="N131" s="268">
        <f t="shared" si="39"/>
        <v>1427.08</v>
      </c>
    </row>
    <row r="132" spans="1:14" s="287" customFormat="1" ht="18.75" customHeight="1" x14ac:dyDescent="0.2">
      <c r="A132" s="332">
        <f>+'[2]Modelo B -Sol pag 2'!$C$12</f>
        <v>7</v>
      </c>
      <c r="B132" s="334" t="s">
        <v>315</v>
      </c>
      <c r="C132" s="334" t="s">
        <v>324</v>
      </c>
      <c r="D132" s="307" t="s">
        <v>242</v>
      </c>
      <c r="E132" s="333"/>
      <c r="F132" s="333"/>
      <c r="G132" s="335">
        <v>41926</v>
      </c>
      <c r="H132" s="336">
        <v>13.4094</v>
      </c>
      <c r="I132" s="339">
        <f t="shared" si="40"/>
        <v>19250</v>
      </c>
      <c r="J132" s="285">
        <v>0</v>
      </c>
      <c r="K132" s="285">
        <v>19250</v>
      </c>
      <c r="L132" s="268">
        <f t="shared" si="37"/>
        <v>0</v>
      </c>
      <c r="M132" s="302">
        <f t="shared" si="38"/>
        <v>1435.56</v>
      </c>
      <c r="N132" s="268">
        <f t="shared" si="39"/>
        <v>1435.56</v>
      </c>
    </row>
    <row r="133" spans="1:14" s="287" customFormat="1" ht="18.75" customHeight="1" x14ac:dyDescent="0.2">
      <c r="A133" s="332">
        <f>+'[2]Modelo B -Sol pag 2'!$C$12</f>
        <v>7</v>
      </c>
      <c r="B133" s="334" t="s">
        <v>315</v>
      </c>
      <c r="C133" s="334" t="s">
        <v>325</v>
      </c>
      <c r="D133" s="307" t="s">
        <v>242</v>
      </c>
      <c r="E133" s="333"/>
      <c r="F133" s="333"/>
      <c r="G133" s="335">
        <v>41942</v>
      </c>
      <c r="H133" s="336">
        <v>13.431800000000001</v>
      </c>
      <c r="I133" s="339">
        <f>K133</f>
        <v>19250</v>
      </c>
      <c r="J133" s="285">
        <v>0</v>
      </c>
      <c r="K133" s="285">
        <v>19250</v>
      </c>
      <c r="L133" s="268">
        <f t="shared" si="37"/>
        <v>0</v>
      </c>
      <c r="M133" s="302">
        <f t="shared" si="38"/>
        <v>1433.17</v>
      </c>
      <c r="N133" s="268">
        <f t="shared" si="39"/>
        <v>1433.17</v>
      </c>
    </row>
    <row r="134" spans="1:14" s="287" customFormat="1" ht="18.75" customHeight="1" x14ac:dyDescent="0.2">
      <c r="A134" s="332">
        <f>+'[2]Modelo B -Sol pag 2'!$C$12</f>
        <v>7</v>
      </c>
      <c r="B134" s="334" t="s">
        <v>315</v>
      </c>
      <c r="C134" s="334" t="s">
        <v>326</v>
      </c>
      <c r="D134" s="307" t="s">
        <v>242</v>
      </c>
      <c r="E134" s="333"/>
      <c r="F134" s="333"/>
      <c r="G134" s="335">
        <v>41957</v>
      </c>
      <c r="H134" s="336">
        <v>13.534800000000001</v>
      </c>
      <c r="I134" s="339">
        <f>K134</f>
        <v>19250</v>
      </c>
      <c r="J134" s="285">
        <v>0</v>
      </c>
      <c r="K134" s="285">
        <v>19250</v>
      </c>
      <c r="L134" s="268">
        <f t="shared" si="37"/>
        <v>0</v>
      </c>
      <c r="M134" s="302">
        <f t="shared" si="38"/>
        <v>1422.26</v>
      </c>
      <c r="N134" s="268">
        <f t="shared" si="39"/>
        <v>1422.26</v>
      </c>
    </row>
    <row r="135" spans="1:14" s="287" customFormat="1" ht="18.75" customHeight="1" x14ac:dyDescent="0.2">
      <c r="A135" s="332">
        <f>+'[2]Modelo B -Sol pag 2'!$C$12</f>
        <v>7</v>
      </c>
      <c r="B135" s="334" t="s">
        <v>315</v>
      </c>
      <c r="C135" s="334" t="s">
        <v>327</v>
      </c>
      <c r="D135" s="307" t="s">
        <v>242</v>
      </c>
      <c r="E135" s="333"/>
      <c r="F135" s="333"/>
      <c r="G135" s="335">
        <v>41971</v>
      </c>
      <c r="H135" s="336">
        <v>13.8965</v>
      </c>
      <c r="I135" s="340">
        <f>K135</f>
        <v>39439.342499999999</v>
      </c>
      <c r="J135" s="285">
        <v>0</v>
      </c>
      <c r="K135" s="285">
        <v>39439.342499999999</v>
      </c>
      <c r="L135" s="268">
        <f t="shared" si="37"/>
        <v>0</v>
      </c>
      <c r="M135" s="302">
        <f t="shared" si="38"/>
        <v>2838.08</v>
      </c>
      <c r="N135" s="268">
        <f t="shared" si="39"/>
        <v>2838.08</v>
      </c>
    </row>
    <row r="136" spans="1:14" s="287" customFormat="1" ht="18.75" customHeight="1" x14ac:dyDescent="0.2">
      <c r="A136" s="332">
        <f>+'[2]Modelo B -Sol pag 2'!$C$12</f>
        <v>7</v>
      </c>
      <c r="B136" s="334" t="s">
        <v>315</v>
      </c>
      <c r="C136" s="334" t="s">
        <v>328</v>
      </c>
      <c r="D136" s="307" t="s">
        <v>242</v>
      </c>
      <c r="E136" s="333"/>
      <c r="F136" s="333"/>
      <c r="G136" s="335">
        <v>41984</v>
      </c>
      <c r="H136" s="336">
        <v>14.6648</v>
      </c>
      <c r="I136" s="340">
        <f t="shared" ref="I136:I144" si="41">K136</f>
        <v>19250</v>
      </c>
      <c r="J136" s="285">
        <v>0</v>
      </c>
      <c r="K136" s="285">
        <f>K134</f>
        <v>19250</v>
      </c>
      <c r="L136" s="268">
        <f t="shared" si="37"/>
        <v>0</v>
      </c>
      <c r="M136" s="302">
        <f t="shared" si="38"/>
        <v>1312.67</v>
      </c>
      <c r="N136" s="268">
        <f t="shared" si="39"/>
        <v>1312.67</v>
      </c>
    </row>
    <row r="137" spans="1:14" s="287" customFormat="1" ht="18.75" customHeight="1" x14ac:dyDescent="0.2">
      <c r="A137" s="332">
        <f>+'[2]Modelo B -Sol pag 2'!$C$12</f>
        <v>7</v>
      </c>
      <c r="B137" s="334" t="s">
        <v>315</v>
      </c>
      <c r="C137" s="334" t="s">
        <v>329</v>
      </c>
      <c r="D137" s="307" t="s">
        <v>242</v>
      </c>
      <c r="E137" s="333"/>
      <c r="F137" s="333"/>
      <c r="G137" s="335">
        <v>42003</v>
      </c>
      <c r="H137" s="336">
        <v>14.7348</v>
      </c>
      <c r="I137" s="340">
        <f t="shared" si="41"/>
        <v>19250</v>
      </c>
      <c r="J137" s="285">
        <v>0</v>
      </c>
      <c r="K137" s="285">
        <v>19250</v>
      </c>
      <c r="L137" s="268">
        <f t="shared" si="37"/>
        <v>0</v>
      </c>
      <c r="M137" s="302">
        <f t="shared" si="38"/>
        <v>1306.43</v>
      </c>
      <c r="N137" s="268">
        <f t="shared" si="39"/>
        <v>1306.43</v>
      </c>
    </row>
    <row r="138" spans="1:14" s="287" customFormat="1" ht="18.75" customHeight="1" x14ac:dyDescent="0.2">
      <c r="A138" s="332">
        <f>+'[2]Modelo B -Sol pag 2'!$C$12</f>
        <v>7</v>
      </c>
      <c r="B138" s="334" t="s">
        <v>315</v>
      </c>
      <c r="C138" s="334" t="s">
        <v>330</v>
      </c>
      <c r="D138" s="307" t="s">
        <v>242</v>
      </c>
      <c r="E138" s="333"/>
      <c r="F138" s="333"/>
      <c r="G138" s="335">
        <v>41653</v>
      </c>
      <c r="H138" s="336">
        <v>14.564399999999999</v>
      </c>
      <c r="I138" s="340">
        <f t="shared" si="41"/>
        <v>19250</v>
      </c>
      <c r="J138" s="285">
        <v>0</v>
      </c>
      <c r="K138" s="285">
        <f t="shared" ref="K138:K148" si="42">K136</f>
        <v>19250</v>
      </c>
      <c r="L138" s="268">
        <f t="shared" si="37"/>
        <v>0</v>
      </c>
      <c r="M138" s="302">
        <f t="shared" si="38"/>
        <v>1321.72</v>
      </c>
      <c r="N138" s="268">
        <f t="shared" si="39"/>
        <v>1321.72</v>
      </c>
    </row>
    <row r="139" spans="1:14" s="287" customFormat="1" ht="18.75" customHeight="1" x14ac:dyDescent="0.2">
      <c r="A139" s="332">
        <f>+'[2]Modelo B -Sol pag 2'!$C$12</f>
        <v>7</v>
      </c>
      <c r="B139" s="334" t="s">
        <v>315</v>
      </c>
      <c r="C139" s="334" t="s">
        <v>331</v>
      </c>
      <c r="D139" s="307" t="s">
        <v>242</v>
      </c>
      <c r="E139" s="333"/>
      <c r="F139" s="333"/>
      <c r="G139" s="335">
        <v>41668</v>
      </c>
      <c r="H139" s="336">
        <v>14.8414</v>
      </c>
      <c r="I139" s="340">
        <f t="shared" si="41"/>
        <v>19250</v>
      </c>
      <c r="J139" s="285">
        <v>0</v>
      </c>
      <c r="K139" s="285">
        <f t="shared" si="42"/>
        <v>19250</v>
      </c>
      <c r="L139" s="268">
        <f t="shared" si="37"/>
        <v>0</v>
      </c>
      <c r="M139" s="302">
        <f t="shared" si="38"/>
        <v>1297.05</v>
      </c>
      <c r="N139" s="268">
        <f t="shared" si="39"/>
        <v>1297.05</v>
      </c>
    </row>
    <row r="140" spans="1:14" s="287" customFormat="1" ht="18.75" customHeight="1" x14ac:dyDescent="0.2">
      <c r="A140" s="332">
        <f>+'[2]Modelo B -Sol pag 2'!$C$12</f>
        <v>7</v>
      </c>
      <c r="B140" s="334" t="s">
        <v>315</v>
      </c>
      <c r="C140" s="334" t="s">
        <v>332</v>
      </c>
      <c r="D140" s="307" t="s">
        <v>242</v>
      </c>
      <c r="E140" s="333"/>
      <c r="F140" s="333"/>
      <c r="G140" s="335">
        <v>42048</v>
      </c>
      <c r="H140" s="336">
        <v>14.8605</v>
      </c>
      <c r="I140" s="340">
        <f t="shared" si="41"/>
        <v>19250</v>
      </c>
      <c r="J140" s="285">
        <v>0</v>
      </c>
      <c r="K140" s="285">
        <f t="shared" si="42"/>
        <v>19250</v>
      </c>
      <c r="L140" s="268">
        <f t="shared" si="37"/>
        <v>0</v>
      </c>
      <c r="M140" s="302">
        <f t="shared" si="38"/>
        <v>1295.3800000000001</v>
      </c>
      <c r="N140" s="268">
        <f t="shared" si="39"/>
        <v>1295.3800000000001</v>
      </c>
    </row>
    <row r="141" spans="1:14" s="287" customFormat="1" ht="18.75" customHeight="1" x14ac:dyDescent="0.2">
      <c r="A141" s="332">
        <f>+'[2]Modelo B -Sol pag 2'!$C$12</f>
        <v>7</v>
      </c>
      <c r="B141" s="334" t="s">
        <v>315</v>
      </c>
      <c r="C141" s="334" t="s">
        <v>333</v>
      </c>
      <c r="D141" s="307" t="s">
        <v>242</v>
      </c>
      <c r="E141" s="333"/>
      <c r="F141" s="333"/>
      <c r="G141" s="335">
        <v>42061</v>
      </c>
      <c r="H141" s="336">
        <v>14.962400000000001</v>
      </c>
      <c r="I141" s="340">
        <f t="shared" si="41"/>
        <v>19250</v>
      </c>
      <c r="J141" s="285">
        <v>0</v>
      </c>
      <c r="K141" s="285">
        <f t="shared" si="42"/>
        <v>19250</v>
      </c>
      <c r="L141" s="268">
        <f t="shared" si="37"/>
        <v>0</v>
      </c>
      <c r="M141" s="302">
        <f t="shared" si="38"/>
        <v>1286.56</v>
      </c>
      <c r="N141" s="268">
        <f t="shared" si="39"/>
        <v>1286.56</v>
      </c>
    </row>
    <row r="142" spans="1:14" s="287" customFormat="1" ht="18.75" customHeight="1" x14ac:dyDescent="0.2">
      <c r="A142" s="332">
        <f>+'[2]Modelo B -Sol pag 2'!$C$12</f>
        <v>7</v>
      </c>
      <c r="B142" s="334" t="s">
        <v>315</v>
      </c>
      <c r="C142" s="334" t="s">
        <v>334</v>
      </c>
      <c r="D142" s="307" t="s">
        <v>242</v>
      </c>
      <c r="E142" s="333"/>
      <c r="F142" s="333"/>
      <c r="G142" s="335">
        <v>42076</v>
      </c>
      <c r="H142" s="336">
        <v>15.4892</v>
      </c>
      <c r="I142" s="340">
        <f t="shared" si="41"/>
        <v>19250</v>
      </c>
      <c r="J142" s="285">
        <v>0</v>
      </c>
      <c r="K142" s="285">
        <f t="shared" si="42"/>
        <v>19250</v>
      </c>
      <c r="L142" s="268">
        <f t="shared" si="37"/>
        <v>0</v>
      </c>
      <c r="M142" s="302">
        <f t="shared" si="38"/>
        <v>1242.8</v>
      </c>
      <c r="N142" s="268">
        <f t="shared" si="39"/>
        <v>1242.8</v>
      </c>
    </row>
    <row r="143" spans="1:14" s="287" customFormat="1" ht="18.75" customHeight="1" x14ac:dyDescent="0.2">
      <c r="A143" s="332">
        <f>+'[2]Modelo B -Sol pag 2'!$C$12</f>
        <v>7</v>
      </c>
      <c r="B143" s="334" t="s">
        <v>315</v>
      </c>
      <c r="C143" s="334" t="s">
        <v>335</v>
      </c>
      <c r="D143" s="307" t="s">
        <v>242</v>
      </c>
      <c r="E143" s="333"/>
      <c r="F143" s="333"/>
      <c r="G143" s="335">
        <v>42093</v>
      </c>
      <c r="H143" s="336">
        <v>15.242699999999999</v>
      </c>
      <c r="I143" s="340">
        <f t="shared" si="41"/>
        <v>19250</v>
      </c>
      <c r="J143" s="285">
        <v>0</v>
      </c>
      <c r="K143" s="285">
        <f t="shared" si="42"/>
        <v>19250</v>
      </c>
      <c r="L143" s="268">
        <f t="shared" si="37"/>
        <v>0</v>
      </c>
      <c r="M143" s="302">
        <f t="shared" si="38"/>
        <v>1262.9000000000001</v>
      </c>
      <c r="N143" s="268">
        <f t="shared" si="39"/>
        <v>1262.9000000000001</v>
      </c>
    </row>
    <row r="144" spans="1:14" s="287" customFormat="1" ht="18.75" customHeight="1" x14ac:dyDescent="0.2">
      <c r="A144" s="332">
        <f>+'[2]Modelo B -Sol pag 2'!$C$12</f>
        <v>7</v>
      </c>
      <c r="B144" s="334" t="s">
        <v>315</v>
      </c>
      <c r="C144" s="334" t="s">
        <v>336</v>
      </c>
      <c r="D144" s="307" t="s">
        <v>242</v>
      </c>
      <c r="E144" s="333"/>
      <c r="F144" s="333"/>
      <c r="G144" s="335">
        <v>42108</v>
      </c>
      <c r="H144" s="336">
        <v>15.2339</v>
      </c>
      <c r="I144" s="340">
        <f t="shared" si="41"/>
        <v>19250</v>
      </c>
      <c r="J144" s="285">
        <v>0</v>
      </c>
      <c r="K144" s="285">
        <f t="shared" si="42"/>
        <v>19250</v>
      </c>
      <c r="L144" s="268">
        <v>0</v>
      </c>
      <c r="M144" s="302">
        <f t="shared" si="38"/>
        <v>1263.6300000000001</v>
      </c>
      <c r="N144" s="268">
        <f>M144</f>
        <v>1263.6300000000001</v>
      </c>
    </row>
    <row r="145" spans="1:14" s="287" customFormat="1" ht="18.75" customHeight="1" x14ac:dyDescent="0.2">
      <c r="A145" s="332">
        <f>+'[2]Modelo B -Sol pag 2'!$C$12</f>
        <v>7</v>
      </c>
      <c r="B145" s="334" t="s">
        <v>315</v>
      </c>
      <c r="C145" s="334" t="s">
        <v>337</v>
      </c>
      <c r="D145" s="307" t="s">
        <v>242</v>
      </c>
      <c r="E145" s="333"/>
      <c r="F145" s="333"/>
      <c r="G145" s="335">
        <v>42123</v>
      </c>
      <c r="H145" s="336">
        <v>15.2043</v>
      </c>
      <c r="I145" s="340">
        <f>K145</f>
        <v>19250</v>
      </c>
      <c r="J145" s="285">
        <v>0</v>
      </c>
      <c r="K145" s="285">
        <f t="shared" si="42"/>
        <v>19250</v>
      </c>
      <c r="L145" s="268">
        <v>0</v>
      </c>
      <c r="M145" s="302">
        <f t="shared" si="38"/>
        <v>1266.0899999999999</v>
      </c>
      <c r="N145" s="268">
        <v>1261.47</v>
      </c>
    </row>
    <row r="146" spans="1:14" s="287" customFormat="1" ht="18.75" customHeight="1" x14ac:dyDescent="0.2">
      <c r="A146" s="332">
        <f>+'[2]Modelo B -Sol pag 2'!$C$12</f>
        <v>7</v>
      </c>
      <c r="B146" s="334" t="s">
        <v>315</v>
      </c>
      <c r="C146" s="334" t="s">
        <v>338</v>
      </c>
      <c r="D146" s="307" t="s">
        <v>242</v>
      </c>
      <c r="E146" s="333"/>
      <c r="F146" s="333"/>
      <c r="G146" s="335">
        <v>42138</v>
      </c>
      <c r="H146" s="336">
        <v>15.1235</v>
      </c>
      <c r="I146" s="340">
        <f t="shared" ref="I146:I154" si="43">SUM(J146,K146)</f>
        <v>19250</v>
      </c>
      <c r="J146" s="285">
        <f t="shared" ref="J146:J160" si="44">J144</f>
        <v>0</v>
      </c>
      <c r="K146" s="285">
        <f t="shared" si="42"/>
        <v>19250</v>
      </c>
      <c r="L146" s="268">
        <v>0</v>
      </c>
      <c r="M146" s="302">
        <f t="shared" si="38"/>
        <v>1272.8499999999999</v>
      </c>
      <c r="N146" s="268">
        <f t="shared" ref="N146:N154" si="45">M146</f>
        <v>1272.8499999999999</v>
      </c>
    </row>
    <row r="147" spans="1:14" s="287" customFormat="1" ht="18.75" customHeight="1" x14ac:dyDescent="0.2">
      <c r="A147" s="332">
        <f>+'[2]Modelo B -Sol pag 2'!$C$12</f>
        <v>7</v>
      </c>
      <c r="B147" s="334" t="s">
        <v>315</v>
      </c>
      <c r="C147" s="334" t="s">
        <v>339</v>
      </c>
      <c r="D147" s="307" t="s">
        <v>242</v>
      </c>
      <c r="E147" s="333"/>
      <c r="F147" s="333"/>
      <c r="G147" s="335">
        <v>42153</v>
      </c>
      <c r="H147" s="336">
        <v>15.381500000000001</v>
      </c>
      <c r="I147" s="340">
        <f t="shared" si="43"/>
        <v>19250</v>
      </c>
      <c r="J147" s="285">
        <f t="shared" si="44"/>
        <v>0</v>
      </c>
      <c r="K147" s="285">
        <f t="shared" si="42"/>
        <v>19250</v>
      </c>
      <c r="L147" s="268">
        <v>0</v>
      </c>
      <c r="M147" s="302">
        <f t="shared" si="38"/>
        <v>1251.5</v>
      </c>
      <c r="N147" s="268">
        <f t="shared" si="45"/>
        <v>1251.5</v>
      </c>
    </row>
    <row r="148" spans="1:14" s="287" customFormat="1" ht="18.75" customHeight="1" x14ac:dyDescent="0.2">
      <c r="A148" s="332">
        <f>+'[2]Modelo B -Sol pag 2'!$C$12</f>
        <v>7</v>
      </c>
      <c r="B148" s="334" t="s">
        <v>315</v>
      </c>
      <c r="C148" s="334" t="s">
        <v>316</v>
      </c>
      <c r="D148" s="307" t="s">
        <v>242</v>
      </c>
      <c r="E148" s="333"/>
      <c r="F148" s="333"/>
      <c r="G148" s="335">
        <v>42167</v>
      </c>
      <c r="H148" s="336">
        <v>15.4129</v>
      </c>
      <c r="I148" s="340">
        <f t="shared" si="43"/>
        <v>19250</v>
      </c>
      <c r="J148" s="285">
        <f t="shared" si="44"/>
        <v>0</v>
      </c>
      <c r="K148" s="285">
        <f t="shared" si="42"/>
        <v>19250</v>
      </c>
      <c r="L148" s="268">
        <v>0</v>
      </c>
      <c r="M148" s="302">
        <f t="shared" si="38"/>
        <v>1248.95</v>
      </c>
      <c r="N148" s="268">
        <f t="shared" si="45"/>
        <v>1248.95</v>
      </c>
    </row>
    <row r="149" spans="1:14" s="287" customFormat="1" ht="18.75" customHeight="1" x14ac:dyDescent="0.2">
      <c r="A149" s="332">
        <f>+'[2]Modelo B -Sol pag 2'!$C$12</f>
        <v>7</v>
      </c>
      <c r="B149" s="334" t="s">
        <v>315</v>
      </c>
      <c r="C149" s="334" t="s">
        <v>317</v>
      </c>
      <c r="D149" s="307" t="s">
        <v>242</v>
      </c>
      <c r="E149" s="333"/>
      <c r="F149" s="333"/>
      <c r="G149" s="335">
        <v>42184</v>
      </c>
      <c r="H149" s="336">
        <v>15.6599</v>
      </c>
      <c r="I149" s="340">
        <f t="shared" si="43"/>
        <v>19250</v>
      </c>
      <c r="J149" s="285">
        <f t="shared" si="44"/>
        <v>0</v>
      </c>
      <c r="K149" s="285">
        <f t="shared" ref="K149:K160" si="46">K148</f>
        <v>19250</v>
      </c>
      <c r="L149" s="268">
        <v>0</v>
      </c>
      <c r="M149" s="302">
        <f t="shared" si="38"/>
        <v>1229.25</v>
      </c>
      <c r="N149" s="268">
        <f t="shared" si="45"/>
        <v>1229.25</v>
      </c>
    </row>
    <row r="150" spans="1:14" s="287" customFormat="1" ht="18.75" customHeight="1" x14ac:dyDescent="0.2">
      <c r="A150" s="332">
        <f>+'[2]Modelo B -Sol pag 2'!$C$12</f>
        <v>7</v>
      </c>
      <c r="B150" s="334" t="s">
        <v>315</v>
      </c>
      <c r="C150" s="334" t="s">
        <v>318</v>
      </c>
      <c r="D150" s="307" t="s">
        <v>242</v>
      </c>
      <c r="E150" s="333"/>
      <c r="F150" s="333"/>
      <c r="G150" s="335">
        <v>42199</v>
      </c>
      <c r="H150" s="336">
        <v>15.672800000000001</v>
      </c>
      <c r="I150" s="340">
        <f t="shared" si="43"/>
        <v>19250</v>
      </c>
      <c r="J150" s="285">
        <f t="shared" si="44"/>
        <v>0</v>
      </c>
      <c r="K150" s="285">
        <f t="shared" si="46"/>
        <v>19250</v>
      </c>
      <c r="L150" s="268">
        <v>0</v>
      </c>
      <c r="M150" s="302">
        <f t="shared" si="38"/>
        <v>1228.24</v>
      </c>
      <c r="N150" s="268">
        <f t="shared" si="45"/>
        <v>1228.24</v>
      </c>
    </row>
    <row r="151" spans="1:14" s="287" customFormat="1" ht="18.75" customHeight="1" x14ac:dyDescent="0.2">
      <c r="A151" s="332">
        <f>+'[2]Modelo B -Sol pag 2'!$C$12</f>
        <v>7</v>
      </c>
      <c r="B151" s="334" t="s">
        <v>315</v>
      </c>
      <c r="C151" s="334" t="s">
        <v>319</v>
      </c>
      <c r="D151" s="307" t="s">
        <v>242</v>
      </c>
      <c r="E151" s="333"/>
      <c r="F151" s="333"/>
      <c r="G151" s="335">
        <v>42215</v>
      </c>
      <c r="H151" s="336">
        <v>16.561199999999999</v>
      </c>
      <c r="I151" s="340">
        <f t="shared" si="43"/>
        <v>19250</v>
      </c>
      <c r="J151" s="285">
        <f t="shared" si="44"/>
        <v>0</v>
      </c>
      <c r="K151" s="285">
        <f t="shared" si="46"/>
        <v>19250</v>
      </c>
      <c r="L151" s="268">
        <v>0</v>
      </c>
      <c r="M151" s="302">
        <f t="shared" si="38"/>
        <v>1162.3599999999999</v>
      </c>
      <c r="N151" s="268">
        <f t="shared" si="45"/>
        <v>1162.3599999999999</v>
      </c>
    </row>
    <row r="152" spans="1:14" s="287" customFormat="1" ht="18.75" customHeight="1" x14ac:dyDescent="0.2">
      <c r="A152" s="332">
        <f>+'[2]Modelo B -Sol pag 2'!$C$12</f>
        <v>7</v>
      </c>
      <c r="B152" s="334" t="s">
        <v>340</v>
      </c>
      <c r="C152" s="334" t="s">
        <v>349</v>
      </c>
      <c r="D152" s="307" t="s">
        <v>242</v>
      </c>
      <c r="E152" s="333"/>
      <c r="F152" s="333"/>
      <c r="G152" s="335">
        <v>42277</v>
      </c>
      <c r="H152" s="336">
        <v>16.9053</v>
      </c>
      <c r="I152" s="340">
        <f t="shared" si="43"/>
        <v>19250</v>
      </c>
      <c r="J152" s="285">
        <f t="shared" si="44"/>
        <v>0</v>
      </c>
      <c r="K152" s="285">
        <f t="shared" si="46"/>
        <v>19250</v>
      </c>
      <c r="L152" s="268">
        <v>0</v>
      </c>
      <c r="M152" s="302">
        <f t="shared" si="38"/>
        <v>1138.7</v>
      </c>
      <c r="N152" s="268">
        <f t="shared" si="45"/>
        <v>1138.7</v>
      </c>
    </row>
    <row r="153" spans="1:14" s="287" customFormat="1" ht="18.75" customHeight="1" x14ac:dyDescent="0.2">
      <c r="A153" s="332">
        <f>+'[2]Modelo B -Sol pag 2'!$C$12</f>
        <v>7</v>
      </c>
      <c r="B153" s="334" t="s">
        <v>340</v>
      </c>
      <c r="C153" s="334" t="s">
        <v>351</v>
      </c>
      <c r="D153" s="307" t="s">
        <v>242</v>
      </c>
      <c r="E153" s="333"/>
      <c r="F153" s="333"/>
      <c r="G153" s="335">
        <v>42291</v>
      </c>
      <c r="H153" s="336">
        <v>16.580400000000001</v>
      </c>
      <c r="I153" s="340">
        <f t="shared" si="43"/>
        <v>19250</v>
      </c>
      <c r="J153" s="285">
        <f t="shared" si="44"/>
        <v>0</v>
      </c>
      <c r="K153" s="285">
        <f t="shared" si="46"/>
        <v>19250</v>
      </c>
      <c r="L153" s="268">
        <v>0</v>
      </c>
      <c r="M153" s="302">
        <f t="shared" si="38"/>
        <v>1161.01</v>
      </c>
      <c r="N153" s="268">
        <f t="shared" si="45"/>
        <v>1161.01</v>
      </c>
    </row>
    <row r="154" spans="1:14" s="287" customFormat="1" ht="18.75" customHeight="1" x14ac:dyDescent="0.2">
      <c r="A154" s="332">
        <f>+'[2]Modelo B -Sol pag 2'!$C$12</f>
        <v>7</v>
      </c>
      <c r="B154" s="334" t="s">
        <v>340</v>
      </c>
      <c r="C154" s="334" t="s">
        <v>350</v>
      </c>
      <c r="D154" s="307" t="s">
        <v>242</v>
      </c>
      <c r="E154" s="333"/>
      <c r="F154" s="333"/>
      <c r="G154" s="335">
        <v>42306</v>
      </c>
      <c r="H154" s="336">
        <v>16.6219</v>
      </c>
      <c r="I154" s="340">
        <f t="shared" si="43"/>
        <v>19250</v>
      </c>
      <c r="J154" s="285">
        <f t="shared" si="44"/>
        <v>0</v>
      </c>
      <c r="K154" s="285">
        <f t="shared" si="46"/>
        <v>19250</v>
      </c>
      <c r="L154" s="268">
        <v>0</v>
      </c>
      <c r="M154" s="302">
        <f t="shared" si="38"/>
        <v>1158.1099999999999</v>
      </c>
      <c r="N154" s="268">
        <f t="shared" si="45"/>
        <v>1158.1099999999999</v>
      </c>
    </row>
    <row r="155" spans="1:14" s="287" customFormat="1" ht="18.75" customHeight="1" x14ac:dyDescent="0.2">
      <c r="A155" s="332">
        <f>+'[2]Modelo B -Sol pag 2'!$C$12</f>
        <v>7</v>
      </c>
      <c r="B155" s="334" t="s">
        <v>340</v>
      </c>
      <c r="C155" s="334" t="s">
        <v>352</v>
      </c>
      <c r="D155" s="307" t="s">
        <v>242</v>
      </c>
      <c r="E155" s="333"/>
      <c r="F155" s="333"/>
      <c r="G155" s="335">
        <v>42323</v>
      </c>
      <c r="H155" s="379">
        <v>16.6219</v>
      </c>
      <c r="I155" s="340">
        <f t="shared" ref="I155" si="47">SUM(J155,K155)</f>
        <v>19250</v>
      </c>
      <c r="J155" s="285">
        <f t="shared" si="44"/>
        <v>0</v>
      </c>
      <c r="K155" s="285">
        <f t="shared" si="46"/>
        <v>19250</v>
      </c>
      <c r="L155" s="268">
        <v>0</v>
      </c>
      <c r="M155" s="302">
        <f t="shared" ref="M155" si="48">IF(K155&gt;0,ROUND(+K155/$H155,2),0)</f>
        <v>1158.1099999999999</v>
      </c>
      <c r="N155" s="268">
        <f t="shared" ref="N155" si="49">M155</f>
        <v>1158.1099999999999</v>
      </c>
    </row>
    <row r="156" spans="1:14" s="287" customFormat="1" ht="18.75" customHeight="1" x14ac:dyDescent="0.2">
      <c r="A156" s="332">
        <f>+'[2]Modelo B -Sol pag 2'!$C$12</f>
        <v>7</v>
      </c>
      <c r="B156" s="334" t="s">
        <v>340</v>
      </c>
      <c r="C156" s="334" t="s">
        <v>353</v>
      </c>
      <c r="D156" s="307" t="s">
        <v>242</v>
      </c>
      <c r="E156" s="333"/>
      <c r="F156" s="333"/>
      <c r="G156" s="335">
        <v>42338</v>
      </c>
      <c r="H156" s="379">
        <v>16.6219</v>
      </c>
      <c r="I156" s="340">
        <f t="shared" ref="I156:I159" si="50">SUM(J156,K156)</f>
        <v>19250</v>
      </c>
      <c r="J156" s="285">
        <f t="shared" si="44"/>
        <v>0</v>
      </c>
      <c r="K156" s="285">
        <f t="shared" si="46"/>
        <v>19250</v>
      </c>
      <c r="L156" s="268">
        <v>0</v>
      </c>
      <c r="M156" s="302">
        <f t="shared" ref="M156:M159" si="51">IF(K156&gt;0,ROUND(+K156/$H156,2),0)</f>
        <v>1158.1099999999999</v>
      </c>
      <c r="N156" s="268">
        <f t="shared" ref="N156:N159" si="52">M156</f>
        <v>1158.1099999999999</v>
      </c>
    </row>
    <row r="157" spans="1:14" s="287" customFormat="1" ht="18.75" customHeight="1" x14ac:dyDescent="0.2">
      <c r="A157" s="332">
        <f>+'[2]Modelo B -Sol pag 2'!$C$12</f>
        <v>7</v>
      </c>
      <c r="B157" s="334" t="s">
        <v>340</v>
      </c>
      <c r="C157" s="334" t="s">
        <v>354</v>
      </c>
      <c r="D157" s="307" t="s">
        <v>242</v>
      </c>
      <c r="E157" s="333"/>
      <c r="F157" s="333"/>
      <c r="G157" s="335">
        <v>42353</v>
      </c>
      <c r="H157" s="379">
        <v>16.6219</v>
      </c>
      <c r="I157" s="340">
        <f t="shared" si="50"/>
        <v>19250</v>
      </c>
      <c r="J157" s="285">
        <f t="shared" si="44"/>
        <v>0</v>
      </c>
      <c r="K157" s="285">
        <f t="shared" si="46"/>
        <v>19250</v>
      </c>
      <c r="L157" s="268">
        <v>0</v>
      </c>
      <c r="M157" s="302">
        <f t="shared" si="51"/>
        <v>1158.1099999999999</v>
      </c>
      <c r="N157" s="268">
        <f t="shared" si="52"/>
        <v>1158.1099999999999</v>
      </c>
    </row>
    <row r="158" spans="1:14" s="287" customFormat="1" ht="18.75" customHeight="1" x14ac:dyDescent="0.2">
      <c r="A158" s="332">
        <f>+'[2]Modelo B -Sol pag 2'!$C$12</f>
        <v>7</v>
      </c>
      <c r="B158" s="334" t="s">
        <v>340</v>
      </c>
      <c r="C158" s="334" t="s">
        <v>355</v>
      </c>
      <c r="D158" s="307" t="s">
        <v>242</v>
      </c>
      <c r="E158" s="333"/>
      <c r="F158" s="333"/>
      <c r="G158" s="335">
        <v>42368</v>
      </c>
      <c r="H158" s="379">
        <v>16.6219</v>
      </c>
      <c r="I158" s="340">
        <f t="shared" si="50"/>
        <v>19250</v>
      </c>
      <c r="J158" s="285">
        <f t="shared" si="44"/>
        <v>0</v>
      </c>
      <c r="K158" s="285">
        <f t="shared" si="46"/>
        <v>19250</v>
      </c>
      <c r="L158" s="268">
        <v>0</v>
      </c>
      <c r="M158" s="302">
        <f t="shared" si="51"/>
        <v>1158.1099999999999</v>
      </c>
      <c r="N158" s="268">
        <f t="shared" si="52"/>
        <v>1158.1099999999999</v>
      </c>
    </row>
    <row r="159" spans="1:14" s="287" customFormat="1" ht="18.75" customHeight="1" x14ac:dyDescent="0.2">
      <c r="A159" s="332">
        <f>+'[2]Modelo B -Sol pag 2'!$C$12</f>
        <v>7</v>
      </c>
      <c r="B159" s="334" t="s">
        <v>340</v>
      </c>
      <c r="C159" s="334" t="s">
        <v>356</v>
      </c>
      <c r="D159" s="307" t="s">
        <v>242</v>
      </c>
      <c r="E159" s="333"/>
      <c r="F159" s="333"/>
      <c r="G159" s="335">
        <v>42384</v>
      </c>
      <c r="H159" s="379">
        <v>16.6219</v>
      </c>
      <c r="I159" s="340">
        <f t="shared" si="50"/>
        <v>19250</v>
      </c>
      <c r="J159" s="285">
        <f t="shared" si="44"/>
        <v>0</v>
      </c>
      <c r="K159" s="285">
        <f t="shared" si="46"/>
        <v>19250</v>
      </c>
      <c r="L159" s="268">
        <v>0</v>
      </c>
      <c r="M159" s="302">
        <f t="shared" si="51"/>
        <v>1158.1099999999999</v>
      </c>
      <c r="N159" s="268">
        <f t="shared" si="52"/>
        <v>1158.1099999999999</v>
      </c>
    </row>
    <row r="160" spans="1:14" s="287" customFormat="1" ht="18.75" customHeight="1" x14ac:dyDescent="0.2">
      <c r="A160" s="332">
        <f>+'[2]Modelo B -Sol pag 2'!$C$12</f>
        <v>7</v>
      </c>
      <c r="B160" s="334" t="s">
        <v>340</v>
      </c>
      <c r="C160" s="334" t="s">
        <v>357</v>
      </c>
      <c r="D160" s="307" t="s">
        <v>242</v>
      </c>
      <c r="E160" s="333"/>
      <c r="F160" s="333"/>
      <c r="G160" s="335">
        <v>42400</v>
      </c>
      <c r="H160" s="379">
        <v>16.6219</v>
      </c>
      <c r="I160" s="340">
        <f t="shared" ref="I160" si="53">SUM(J160,K160)</f>
        <v>19250</v>
      </c>
      <c r="J160" s="285">
        <f t="shared" si="44"/>
        <v>0</v>
      </c>
      <c r="K160" s="285">
        <f t="shared" si="46"/>
        <v>19250</v>
      </c>
      <c r="L160" s="268">
        <v>0</v>
      </c>
      <c r="M160" s="302">
        <f t="shared" ref="M160" si="54">IF(K160&gt;0,ROUND(+K160/$H160,2),0)</f>
        <v>1158.1099999999999</v>
      </c>
      <c r="N160" s="268">
        <f t="shared" ref="N160" si="55">M160</f>
        <v>1158.1099999999999</v>
      </c>
    </row>
    <row r="161" spans="1:14" s="287" customFormat="1" ht="18.75" customHeight="1" x14ac:dyDescent="0.2">
      <c r="A161" s="332"/>
      <c r="B161" s="334"/>
      <c r="C161" s="334"/>
      <c r="D161" s="307"/>
      <c r="E161" s="333"/>
      <c r="F161" s="333"/>
      <c r="G161" s="335"/>
      <c r="H161" s="336"/>
      <c r="I161" s="340"/>
      <c r="J161" s="285"/>
      <c r="K161" s="285"/>
      <c r="L161" s="268"/>
      <c r="M161" s="302"/>
      <c r="N161" s="268"/>
    </row>
    <row r="162" spans="1:14" s="277" customFormat="1" ht="12" customHeight="1" x14ac:dyDescent="0.2">
      <c r="A162" s="332">
        <f>+'[2]Modelo B -Sol pag 2'!$C$12</f>
        <v>7</v>
      </c>
      <c r="B162" s="334"/>
      <c r="C162" s="334"/>
      <c r="D162" s="307" t="s">
        <v>242</v>
      </c>
      <c r="E162" s="333"/>
      <c r="F162" s="333"/>
      <c r="G162" s="335"/>
      <c r="H162" s="336"/>
      <c r="I162" s="340">
        <f>SUM(J162,K162)</f>
        <v>0</v>
      </c>
      <c r="J162" s="285">
        <v>0</v>
      </c>
      <c r="K162" s="285">
        <v>0</v>
      </c>
      <c r="L162" s="268">
        <f>IF(I162&gt;0,ROUND(+J162/$H162,2),0)</f>
        <v>0</v>
      </c>
      <c r="M162" s="268">
        <f>IF(K162&gt;0,ROUND(+K162/$H162,2),0)</f>
        <v>0</v>
      </c>
      <c r="N162" s="268">
        <f>IF(H162&gt;0,IF(ROUND(I162/$H$15,2)&lt;&gt;(+L162+M162),(L162+M162),(L162+M162)),0)</f>
        <v>0</v>
      </c>
    </row>
    <row r="163" spans="1:14" x14ac:dyDescent="0.2">
      <c r="A163" s="271" t="s">
        <v>243</v>
      </c>
      <c r="B163" s="272"/>
      <c r="C163" s="273"/>
      <c r="D163" s="272"/>
      <c r="E163" s="274"/>
      <c r="F163" s="274"/>
      <c r="G163" s="275"/>
      <c r="H163" s="276"/>
      <c r="I163" s="270"/>
      <c r="J163" s="270"/>
      <c r="K163" s="270"/>
      <c r="L163" s="270"/>
      <c r="M163" s="270"/>
      <c r="N163" s="270"/>
    </row>
    <row r="164" spans="1:14" x14ac:dyDescent="0.2">
      <c r="A164" s="291">
        <f>+'[2]Modelo B -Sol pag 2'!$C$12</f>
        <v>7</v>
      </c>
      <c r="B164" s="341" t="str">
        <f>+CONCATENATE("TOTAL ",+'[2]Modelo B -Sol pag 2'!$E$12)</f>
        <v>TOTAL ORGANISMO EJECUTOR/ADMINISTRATIVO</v>
      </c>
      <c r="C164" s="342"/>
      <c r="D164" s="341"/>
      <c r="E164" s="341"/>
      <c r="F164" s="341"/>
      <c r="G164" s="341"/>
      <c r="H164" s="343"/>
      <c r="I164" s="341"/>
      <c r="J164" s="344">
        <f>+SUM(J123:J162)</f>
        <v>0</v>
      </c>
      <c r="K164" s="344">
        <f>+SUM(K123:K162)</f>
        <v>731272.67249999999</v>
      </c>
      <c r="L164" s="341">
        <f>+SUM(L123:L162)</f>
        <v>0</v>
      </c>
      <c r="M164" s="341">
        <f>+SUM(M123:M162)</f>
        <v>49421.43</v>
      </c>
      <c r="N164" s="341">
        <f>+SUM(N123:N162)</f>
        <v>49416.810000000005</v>
      </c>
    </row>
    <row r="165" spans="1:14" ht="31.5" customHeight="1" x14ac:dyDescent="0.2">
      <c r="A165" s="345"/>
      <c r="B165" s="346"/>
      <c r="C165" s="347"/>
      <c r="D165" s="346"/>
      <c r="E165" s="346"/>
      <c r="F165" s="346"/>
      <c r="G165" s="348"/>
      <c r="H165" s="349"/>
      <c r="I165" s="348"/>
      <c r="J165" s="344"/>
      <c r="K165" s="344"/>
      <c r="L165" s="348"/>
      <c r="M165" s="348"/>
      <c r="N165" s="348"/>
    </row>
    <row r="166" spans="1:14" x14ac:dyDescent="0.2">
      <c r="A166" s="350"/>
      <c r="B166" s="351"/>
      <c r="C166" s="215"/>
      <c r="D166" s="351"/>
      <c r="E166" s="352"/>
      <c r="F166" s="352"/>
      <c r="G166" s="353" t="s">
        <v>341</v>
      </c>
      <c r="H166" s="354"/>
      <c r="I166" s="355"/>
      <c r="J166" s="356">
        <f>+J122+J116+J110+J104+J25+J18+J164</f>
        <v>3146953.06</v>
      </c>
      <c r="K166" s="356">
        <f>+K122+K116+K110+K104+K25+K18+K164</f>
        <v>6102026.9325000001</v>
      </c>
      <c r="L166" s="357">
        <f>+L122+L116+L110+L104+L25+L18+L164</f>
        <v>197568.62999999998</v>
      </c>
      <c r="M166" s="357">
        <f>+M122+M116+M110+M104+M25+M18+M164</f>
        <v>430116.94</v>
      </c>
      <c r="N166" s="357">
        <f>+N122+N116+N110+N104+N25+N18+N164</f>
        <v>627680.94999999995</v>
      </c>
    </row>
    <row r="167" spans="1:14" x14ac:dyDescent="0.2">
      <c r="A167" s="350"/>
      <c r="B167" s="351"/>
      <c r="C167" s="215"/>
      <c r="D167" s="351"/>
      <c r="E167" s="352"/>
      <c r="F167" s="352"/>
      <c r="G167" s="358"/>
      <c r="H167" s="359"/>
      <c r="I167" s="360"/>
      <c r="J167" s="361"/>
      <c r="K167" s="361"/>
      <c r="L167" s="360"/>
      <c r="M167" s="360"/>
      <c r="N167" s="362"/>
    </row>
    <row r="168" spans="1:14" x14ac:dyDescent="0.2">
      <c r="A168" s="350"/>
      <c r="B168" s="351"/>
      <c r="C168" s="215"/>
      <c r="D168" s="351"/>
      <c r="E168" s="352"/>
      <c r="F168" s="352"/>
      <c r="G168" s="358"/>
      <c r="H168" s="359"/>
      <c r="I168" s="358"/>
      <c r="J168" s="363"/>
      <c r="K168" s="363"/>
      <c r="L168" s="364"/>
      <c r="M168" s="364"/>
      <c r="N168" s="365"/>
    </row>
    <row r="169" spans="1:14" x14ac:dyDescent="0.2">
      <c r="A169" s="350"/>
      <c r="B169" s="351"/>
      <c r="C169" s="215"/>
      <c r="D169" s="351"/>
      <c r="E169" s="352"/>
      <c r="F169" s="352"/>
      <c r="G169" s="358"/>
      <c r="H169" s="359"/>
      <c r="I169" s="358"/>
      <c r="J169" s="363"/>
      <c r="K169" s="363"/>
      <c r="L169" s="364"/>
      <c r="M169" s="364"/>
      <c r="N169" s="365"/>
    </row>
    <row r="170" spans="1:14" x14ac:dyDescent="0.2">
      <c r="A170" s="350"/>
      <c r="B170" s="351"/>
      <c r="C170" s="215"/>
      <c r="D170" s="351"/>
      <c r="E170" s="352"/>
      <c r="F170" s="352"/>
      <c r="G170" s="358"/>
      <c r="H170" s="359"/>
      <c r="I170" s="358"/>
      <c r="J170" s="363"/>
      <c r="K170" s="363"/>
      <c r="L170" s="364"/>
      <c r="M170" s="364"/>
      <c r="N170" s="365"/>
    </row>
    <row r="171" spans="1:14" x14ac:dyDescent="0.2">
      <c r="A171" s="366" t="s">
        <v>342</v>
      </c>
      <c r="B171" s="351"/>
      <c r="C171" s="215"/>
      <c r="D171" s="351"/>
      <c r="E171" s="352"/>
      <c r="F171" s="352"/>
      <c r="G171" s="352"/>
      <c r="H171" s="359"/>
      <c r="I171" s="367"/>
      <c r="J171" s="363"/>
      <c r="K171" s="363"/>
      <c r="L171" s="364"/>
      <c r="M171" s="364"/>
      <c r="N171" s="365"/>
    </row>
    <row r="172" spans="1:14" ht="22.5" customHeight="1" x14ac:dyDescent="0.2">
      <c r="A172" s="368" t="s">
        <v>343</v>
      </c>
      <c r="B172" s="351" t="s">
        <v>344</v>
      </c>
      <c r="C172" s="369" t="s">
        <v>345</v>
      </c>
      <c r="D172" s="370"/>
      <c r="E172" s="196"/>
      <c r="F172" s="352"/>
      <c r="G172" s="371"/>
      <c r="I172" s="369"/>
      <c r="J172" s="373" t="s">
        <v>346</v>
      </c>
      <c r="K172" s="373"/>
      <c r="L172" s="369"/>
      <c r="M172" s="369" t="s">
        <v>347</v>
      </c>
      <c r="N172" s="369"/>
    </row>
    <row r="173" spans="1:14" ht="31.5" customHeight="1" x14ac:dyDescent="0.2">
      <c r="A173" s="374" t="s">
        <v>348</v>
      </c>
      <c r="B173" s="351"/>
      <c r="C173" s="215"/>
      <c r="D173" s="214"/>
      <c r="E173" s="352"/>
      <c r="F173" s="352"/>
      <c r="G173" s="358"/>
      <c r="H173" s="359"/>
      <c r="I173" s="358"/>
      <c r="J173" s="375"/>
      <c r="K173" s="375"/>
      <c r="L173" s="364"/>
      <c r="M173" s="364"/>
      <c r="N173" s="365"/>
    </row>
    <row r="174" spans="1:14" x14ac:dyDescent="0.2">
      <c r="A174" s="227"/>
      <c r="B174" s="228"/>
      <c r="C174" s="229"/>
      <c r="D174" s="228"/>
      <c r="E174" s="230"/>
      <c r="F174" s="230"/>
      <c r="G174" s="231"/>
      <c r="H174" s="232"/>
      <c r="I174" s="231"/>
      <c r="J174" s="233"/>
      <c r="K174" s="233"/>
      <c r="L174" s="234"/>
      <c r="M174" s="234"/>
      <c r="N174" s="235"/>
    </row>
  </sheetData>
  <mergeCells count="1">
    <mergeCell ref="A5:B5"/>
  </mergeCells>
  <pageMargins left="0.23622047244094491" right="0.23622047244094491" top="0.74803149606299213" bottom="0.74803149606299213" header="0.31496062992125984" footer="0.31496062992125984"/>
  <pageSetup scale="51" fitToHeight="0" orientation="landscape" horizontalDpi="300" verticalDpi="300" r:id="rId1"/>
  <headerFooter alignWithMargins="0">
    <oddFooter>&amp;L&amp;F  &amp;A &amp;D  &amp;RPAG.  &amp;P  DE &amp;N</oddFooter>
  </headerFooter>
  <rowBreaks count="1" manualBreakCount="1">
    <brk id="104" max="1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S127"/>
  <sheetViews>
    <sheetView tabSelected="1" topLeftCell="A17" zoomScale="70" zoomScaleNormal="70" workbookViewId="0">
      <selection activeCell="B28" sqref="B28"/>
    </sheetView>
  </sheetViews>
  <sheetFormatPr defaultColWidth="9.140625" defaultRowHeight="12.75" x14ac:dyDescent="0.2"/>
  <cols>
    <col min="1" max="1" width="2.42578125" customWidth="1"/>
    <col min="2" max="2" width="10.140625" customWidth="1"/>
    <col min="3" max="3" width="4.7109375" customWidth="1"/>
    <col min="4" max="4" width="45.7109375" customWidth="1"/>
    <col min="5" max="5" width="11.28515625" customWidth="1"/>
    <col min="6" max="6" width="11.85546875" customWidth="1"/>
    <col min="7" max="7" width="13.42578125" customWidth="1"/>
    <col min="8" max="9" width="9.140625" customWidth="1"/>
    <col min="10" max="13" width="12.140625" style="141" hidden="1" customWidth="1"/>
    <col min="14" max="14" width="26.42578125" customWidth="1"/>
    <col min="15" max="15" width="22.85546875" customWidth="1"/>
    <col min="16" max="16" width="93.42578125" customWidth="1"/>
    <col min="17" max="17" width="9.85546875" bestFit="1" customWidth="1"/>
  </cols>
  <sheetData>
    <row r="1" spans="1:19" ht="20.25" customHeight="1" x14ac:dyDescent="0.2">
      <c r="B1" s="7"/>
      <c r="C1" s="7"/>
      <c r="D1" s="7"/>
      <c r="E1" s="7"/>
      <c r="F1" s="7"/>
      <c r="G1" s="7"/>
      <c r="H1" s="19"/>
      <c r="N1" s="19" t="s">
        <v>18</v>
      </c>
      <c r="O1" s="19"/>
      <c r="P1" s="19"/>
    </row>
    <row r="2" spans="1:19" ht="20.25" customHeight="1" x14ac:dyDescent="0.2">
      <c r="B2" s="7"/>
      <c r="C2" s="7"/>
      <c r="D2" s="7"/>
      <c r="E2" s="7"/>
      <c r="F2" s="7"/>
      <c r="G2" s="7"/>
      <c r="H2" s="19"/>
      <c r="I2" s="19"/>
      <c r="J2" s="142"/>
      <c r="K2" s="142"/>
      <c r="L2" s="142"/>
      <c r="M2" s="142"/>
      <c r="N2" s="19" t="s">
        <v>19</v>
      </c>
      <c r="O2" s="19"/>
      <c r="P2" s="19"/>
    </row>
    <row r="3" spans="1:19" ht="22.5" customHeight="1" thickBot="1" x14ac:dyDescent="0.25">
      <c r="B3" s="7"/>
      <c r="C3" s="7"/>
      <c r="D3" s="7"/>
      <c r="E3" s="7"/>
      <c r="F3" s="7"/>
      <c r="G3" s="7"/>
      <c r="H3" s="7"/>
      <c r="I3" s="7"/>
      <c r="J3" s="143"/>
      <c r="K3" s="143"/>
      <c r="L3" s="143"/>
      <c r="M3" s="143"/>
      <c r="N3" s="7"/>
      <c r="O3" s="7"/>
      <c r="P3" s="7"/>
    </row>
    <row r="4" spans="1:19" ht="28.5" customHeight="1" x14ac:dyDescent="0.25">
      <c r="B4" s="393" t="s">
        <v>20</v>
      </c>
      <c r="C4" s="394"/>
      <c r="D4" s="395"/>
      <c r="E4" s="394"/>
      <c r="F4" s="394"/>
      <c r="G4" s="394"/>
      <c r="H4" s="394"/>
      <c r="I4" s="394"/>
      <c r="J4" s="394"/>
      <c r="K4" s="394"/>
      <c r="L4" s="394"/>
      <c r="M4" s="394"/>
      <c r="N4" s="394"/>
      <c r="O4" s="394"/>
      <c r="P4" s="396"/>
    </row>
    <row r="5" spans="1:19" ht="16.5" customHeight="1" x14ac:dyDescent="0.25">
      <c r="B5" s="409" t="s">
        <v>29</v>
      </c>
      <c r="C5" s="410"/>
      <c r="D5" s="411"/>
      <c r="E5" s="411"/>
      <c r="F5" s="411"/>
      <c r="G5" s="387" t="s">
        <v>31</v>
      </c>
      <c r="H5" s="388"/>
      <c r="I5" s="388"/>
      <c r="J5" s="388"/>
      <c r="K5" s="388"/>
      <c r="L5" s="388"/>
      <c r="M5" s="388"/>
      <c r="N5" s="388"/>
      <c r="O5" s="388"/>
      <c r="P5" s="389"/>
    </row>
    <row r="6" spans="1:19" ht="16.5" customHeight="1" x14ac:dyDescent="0.25">
      <c r="B6" s="407" t="s">
        <v>30</v>
      </c>
      <c r="C6" s="408"/>
      <c r="D6" s="391"/>
      <c r="E6" s="391"/>
      <c r="F6" s="391"/>
      <c r="G6" s="390" t="s">
        <v>32</v>
      </c>
      <c r="H6" s="391"/>
      <c r="I6" s="391"/>
      <c r="J6" s="391"/>
      <c r="K6" s="391"/>
      <c r="L6" s="391"/>
      <c r="M6" s="391"/>
      <c r="N6" s="391"/>
      <c r="O6" s="391"/>
      <c r="P6" s="392"/>
    </row>
    <row r="7" spans="1:19" ht="21" customHeight="1" x14ac:dyDescent="0.25">
      <c r="B7" s="412" t="s">
        <v>6</v>
      </c>
      <c r="C7" s="413"/>
      <c r="D7" s="414"/>
      <c r="E7" s="414"/>
      <c r="F7" s="414"/>
      <c r="G7" s="414"/>
      <c r="H7" s="414"/>
      <c r="I7" s="414"/>
      <c r="J7" s="414"/>
      <c r="K7" s="414"/>
      <c r="L7" s="414"/>
      <c r="M7" s="414"/>
      <c r="N7" s="414"/>
      <c r="O7" s="414"/>
      <c r="P7" s="415"/>
    </row>
    <row r="8" spans="1:19" ht="22.5" customHeight="1" x14ac:dyDescent="0.25">
      <c r="A8" s="6" t="s">
        <v>3</v>
      </c>
      <c r="B8" s="8" t="s">
        <v>4</v>
      </c>
      <c r="C8" s="9"/>
      <c r="D8" s="10"/>
      <c r="E8" s="11" t="s">
        <v>8</v>
      </c>
      <c r="F8" s="12"/>
      <c r="G8" s="12"/>
      <c r="H8" s="132">
        <f>SUM(E25:E25,E53)</f>
        <v>55000</v>
      </c>
      <c r="I8" s="10" t="s">
        <v>9</v>
      </c>
      <c r="J8" s="144"/>
      <c r="K8" s="144"/>
      <c r="L8" s="144"/>
      <c r="M8" s="144"/>
      <c r="N8" s="132"/>
      <c r="O8" s="132">
        <f>SUM($E14:$E16,$E19:$E22,$E26:$E40,$E43:$E45,$E48:$E50,$E55,$E57,$E59:$E63)</f>
        <v>2998000</v>
      </c>
      <c r="P8" s="13"/>
      <c r="Q8" s="133">
        <f>O8+H8</f>
        <v>3053000</v>
      </c>
    </row>
    <row r="9" spans="1:19" ht="12" customHeight="1" x14ac:dyDescent="0.25">
      <c r="B9" s="14"/>
      <c r="C9" s="15"/>
      <c r="D9" s="15"/>
      <c r="E9" s="15"/>
      <c r="F9" s="15"/>
      <c r="G9" s="15"/>
      <c r="H9" s="15"/>
      <c r="I9" s="15"/>
      <c r="J9" s="145"/>
      <c r="K9" s="145"/>
      <c r="L9" s="145"/>
      <c r="M9" s="145"/>
      <c r="N9" s="15"/>
      <c r="O9" s="15"/>
      <c r="P9" s="16"/>
    </row>
    <row r="10" spans="1:19" s="3" customFormat="1" ht="40.5" customHeight="1" x14ac:dyDescent="0.2">
      <c r="A10" s="4"/>
      <c r="B10" s="416" t="s">
        <v>21</v>
      </c>
      <c r="C10" s="438" t="s">
        <v>12</v>
      </c>
      <c r="D10" s="418" t="s">
        <v>22</v>
      </c>
      <c r="E10" s="420" t="s">
        <v>5</v>
      </c>
      <c r="F10" s="420" t="s">
        <v>23</v>
      </c>
      <c r="G10" s="420" t="s">
        <v>25</v>
      </c>
      <c r="H10" s="420" t="s">
        <v>0</v>
      </c>
      <c r="I10" s="420"/>
      <c r="J10" s="146"/>
      <c r="K10" s="146"/>
      <c r="L10" s="146"/>
      <c r="M10" s="146"/>
      <c r="N10" s="418" t="s">
        <v>7</v>
      </c>
      <c r="O10" s="420" t="s">
        <v>24</v>
      </c>
      <c r="P10" s="432" t="s">
        <v>2</v>
      </c>
      <c r="Q10" s="2"/>
      <c r="R10" s="2"/>
      <c r="S10" s="2"/>
    </row>
    <row r="11" spans="1:19" ht="40.5" customHeight="1" x14ac:dyDescent="0.2">
      <c r="A11" s="5"/>
      <c r="B11" s="417"/>
      <c r="C11" s="439"/>
      <c r="D11" s="419"/>
      <c r="E11" s="418"/>
      <c r="F11" s="418"/>
      <c r="G11" s="418"/>
      <c r="H11" s="20" t="s">
        <v>11</v>
      </c>
      <c r="I11" s="20" t="s">
        <v>1</v>
      </c>
      <c r="J11" s="147"/>
      <c r="K11" s="147"/>
      <c r="L11" s="147"/>
      <c r="M11" s="147"/>
      <c r="N11" s="419"/>
      <c r="O11" s="418"/>
      <c r="P11" s="433"/>
      <c r="Q11" s="1"/>
      <c r="R11" s="1"/>
      <c r="S11" s="1"/>
    </row>
    <row r="12" spans="1:19" ht="15" customHeight="1" x14ac:dyDescent="0.25">
      <c r="A12" s="5"/>
      <c r="B12" s="103">
        <v>1</v>
      </c>
      <c r="C12" s="104"/>
      <c r="D12" s="136" t="s">
        <v>33</v>
      </c>
      <c r="E12" s="134">
        <f>SUM(E14:E15)</f>
        <v>60000</v>
      </c>
      <c r="F12" s="105"/>
      <c r="G12" s="105"/>
      <c r="H12" s="105"/>
      <c r="I12" s="105"/>
      <c r="J12" s="148"/>
      <c r="K12" s="148"/>
      <c r="L12" s="148"/>
      <c r="M12" s="148"/>
      <c r="N12" s="105"/>
      <c r="O12" s="105"/>
      <c r="P12" s="106"/>
    </row>
    <row r="13" spans="1:19" ht="15" x14ac:dyDescent="0.25">
      <c r="A13" s="5"/>
      <c r="B13" s="108"/>
      <c r="C13" s="109"/>
      <c r="D13" s="110" t="s">
        <v>121</v>
      </c>
      <c r="E13" s="111"/>
      <c r="F13" s="111"/>
      <c r="G13" s="111"/>
      <c r="H13" s="111"/>
      <c r="I13" s="111"/>
      <c r="J13" s="154" t="s">
        <v>177</v>
      </c>
      <c r="K13" s="154" t="s">
        <v>31</v>
      </c>
      <c r="L13" s="154"/>
      <c r="M13" s="154"/>
      <c r="N13" s="111"/>
      <c r="O13" s="111"/>
      <c r="P13" s="112"/>
    </row>
    <row r="14" spans="1:19" ht="45" x14ac:dyDescent="0.2">
      <c r="A14" s="5"/>
      <c r="B14" s="138">
        <v>1.1000000000000001</v>
      </c>
      <c r="C14" s="120"/>
      <c r="D14" s="120" t="s">
        <v>122</v>
      </c>
      <c r="E14" s="121">
        <f>'FOMIN Budget'!I8</f>
        <v>30000</v>
      </c>
      <c r="F14" s="120" t="s">
        <v>123</v>
      </c>
      <c r="G14" s="125" t="s">
        <v>143</v>
      </c>
      <c r="H14" s="122">
        <f>'FOMIN Budget'!E8</f>
        <v>0</v>
      </c>
      <c r="I14" s="122">
        <f>'FOMIN Budget'!H8</f>
        <v>1</v>
      </c>
      <c r="J14" s="155"/>
      <c r="K14" s="155">
        <f>E14*I14</f>
        <v>30000</v>
      </c>
      <c r="L14" s="155"/>
      <c r="M14" s="155"/>
      <c r="N14" s="181">
        <v>41736</v>
      </c>
      <c r="O14" s="120"/>
      <c r="P14" s="182" t="s">
        <v>208</v>
      </c>
    </row>
    <row r="15" spans="1:19" ht="90" x14ac:dyDescent="0.2">
      <c r="A15" s="5"/>
      <c r="B15" s="138">
        <v>1.2</v>
      </c>
      <c r="C15" s="120"/>
      <c r="D15" s="120" t="s">
        <v>124</v>
      </c>
      <c r="E15" s="121">
        <f>'FOMIN Budget'!I9</f>
        <v>30000</v>
      </c>
      <c r="F15" s="120" t="s">
        <v>123</v>
      </c>
      <c r="G15" s="125" t="s">
        <v>143</v>
      </c>
      <c r="H15" s="122">
        <f>'FOMIN Budget'!E9</f>
        <v>0</v>
      </c>
      <c r="I15" s="122">
        <f>'FOMIN Budget'!H9</f>
        <v>1</v>
      </c>
      <c r="J15" s="155"/>
      <c r="K15" s="155">
        <f>E15*I15</f>
        <v>30000</v>
      </c>
      <c r="L15" s="155"/>
      <c r="M15" s="155"/>
      <c r="N15" s="183">
        <v>41781</v>
      </c>
      <c r="O15" s="120"/>
      <c r="P15" s="182" t="s">
        <v>209</v>
      </c>
    </row>
    <row r="16" spans="1:19" ht="30" hidden="1" x14ac:dyDescent="0.2">
      <c r="A16" s="5"/>
      <c r="B16" s="170">
        <v>1.3</v>
      </c>
      <c r="C16" s="171"/>
      <c r="D16" s="172" t="s">
        <v>125</v>
      </c>
      <c r="E16" s="173">
        <v>10000</v>
      </c>
      <c r="F16" s="171" t="s">
        <v>131</v>
      </c>
      <c r="G16" s="171" t="s">
        <v>143</v>
      </c>
      <c r="H16" s="168">
        <v>1</v>
      </c>
      <c r="I16" s="168">
        <v>0</v>
      </c>
      <c r="J16" s="174">
        <f>E16*H16</f>
        <v>10000</v>
      </c>
      <c r="K16" s="174"/>
      <c r="L16" s="174"/>
      <c r="M16" s="174"/>
      <c r="N16" s="171"/>
      <c r="O16" s="171"/>
      <c r="P16" s="175" t="s">
        <v>185</v>
      </c>
    </row>
    <row r="17" spans="1:17" ht="15.75" x14ac:dyDescent="0.25">
      <c r="A17" s="5"/>
      <c r="B17" s="103">
        <v>2</v>
      </c>
      <c r="C17" s="104"/>
      <c r="D17" s="137" t="s">
        <v>34</v>
      </c>
      <c r="E17" s="134">
        <f>SUM(E19:E22)</f>
        <v>257000</v>
      </c>
      <c r="F17" s="107"/>
      <c r="G17" s="107"/>
      <c r="H17" s="107"/>
      <c r="I17" s="107"/>
      <c r="J17" s="149"/>
      <c r="K17" s="149"/>
      <c r="L17" s="149"/>
      <c r="M17" s="149"/>
      <c r="N17" s="107"/>
      <c r="O17" s="107"/>
      <c r="P17" s="106"/>
    </row>
    <row r="18" spans="1:17" ht="15" x14ac:dyDescent="0.25">
      <c r="A18" s="5"/>
      <c r="B18" s="108"/>
      <c r="C18" s="109"/>
      <c r="D18" s="110" t="s">
        <v>121</v>
      </c>
      <c r="E18" s="113"/>
      <c r="F18" s="113"/>
      <c r="G18" s="113"/>
      <c r="H18" s="113"/>
      <c r="I18" s="113"/>
      <c r="J18" s="150"/>
      <c r="K18" s="150"/>
      <c r="L18" s="150"/>
      <c r="M18" s="150"/>
      <c r="N18" s="113"/>
      <c r="O18" s="113"/>
      <c r="P18" s="112"/>
    </row>
    <row r="19" spans="1:17" ht="15" x14ac:dyDescent="0.2">
      <c r="A19" s="5"/>
      <c r="B19" s="138">
        <v>2.1</v>
      </c>
      <c r="C19" s="127"/>
      <c r="D19" s="128" t="s">
        <v>145</v>
      </c>
      <c r="E19" s="121">
        <f>'FOMIN Budget'!I12</f>
        <v>10000</v>
      </c>
      <c r="F19" s="120" t="s">
        <v>123</v>
      </c>
      <c r="G19" s="125" t="s">
        <v>143</v>
      </c>
      <c r="H19" s="122">
        <v>0</v>
      </c>
      <c r="I19" s="122">
        <f>'FOMIN Budget'!H12</f>
        <v>1</v>
      </c>
      <c r="J19" s="155"/>
      <c r="K19" s="155">
        <f>E19</f>
        <v>10000</v>
      </c>
      <c r="L19" s="155"/>
      <c r="M19" s="155"/>
      <c r="N19" s="184">
        <v>42061</v>
      </c>
      <c r="O19" s="120"/>
      <c r="P19" s="124" t="s">
        <v>215</v>
      </c>
    </row>
    <row r="20" spans="1:17" ht="45" x14ac:dyDescent="0.2">
      <c r="A20" s="5"/>
      <c r="B20" s="138">
        <v>2.2000000000000002</v>
      </c>
      <c r="C20" s="127"/>
      <c r="D20" s="123" t="s">
        <v>128</v>
      </c>
      <c r="E20" s="121">
        <v>167000</v>
      </c>
      <c r="F20" s="120" t="s">
        <v>123</v>
      </c>
      <c r="G20" s="125" t="s">
        <v>143</v>
      </c>
      <c r="H20" s="122">
        <f>'FOMIN Budget'!E13</f>
        <v>0</v>
      </c>
      <c r="I20" s="122">
        <f>'FOMIN Budget'!H13</f>
        <v>1</v>
      </c>
      <c r="J20" s="155"/>
      <c r="K20" s="155">
        <f>E20</f>
        <v>167000</v>
      </c>
      <c r="L20" s="155"/>
      <c r="M20" s="155"/>
      <c r="N20" s="184">
        <v>42061</v>
      </c>
      <c r="O20" s="120"/>
      <c r="P20" s="182" t="s">
        <v>210</v>
      </c>
    </row>
    <row r="21" spans="1:17" ht="45" x14ac:dyDescent="0.2">
      <c r="A21" s="5"/>
      <c r="B21" s="138">
        <v>2.2999999999999998</v>
      </c>
      <c r="C21" s="127"/>
      <c r="D21" s="123" t="s">
        <v>146</v>
      </c>
      <c r="E21" s="121">
        <f>'FOMIN Budget'!I14</f>
        <v>30000</v>
      </c>
      <c r="F21" s="120" t="s">
        <v>123</v>
      </c>
      <c r="G21" s="125" t="s">
        <v>143</v>
      </c>
      <c r="H21" s="122">
        <f>'FOMIN Budget'!E14</f>
        <v>0</v>
      </c>
      <c r="I21" s="122">
        <f>'FOMIN Budget'!H14</f>
        <v>1</v>
      </c>
      <c r="J21" s="155"/>
      <c r="K21" s="155">
        <f>E21</f>
        <v>30000</v>
      </c>
      <c r="L21" s="155"/>
      <c r="M21" s="155"/>
      <c r="N21" s="184">
        <v>42061</v>
      </c>
      <c r="O21" s="120"/>
      <c r="P21" s="182" t="s">
        <v>211</v>
      </c>
    </row>
    <row r="22" spans="1:17" ht="60" x14ac:dyDescent="0.2">
      <c r="A22" s="5"/>
      <c r="B22" s="138">
        <v>2.4</v>
      </c>
      <c r="C22" s="127"/>
      <c r="D22" s="123" t="s">
        <v>129</v>
      </c>
      <c r="E22" s="121">
        <f>'FOMIN Budget'!I15</f>
        <v>50000</v>
      </c>
      <c r="F22" s="120" t="s">
        <v>123</v>
      </c>
      <c r="G22" s="125" t="s">
        <v>143</v>
      </c>
      <c r="H22" s="122">
        <f>'FOMIN Budget'!E15</f>
        <v>0</v>
      </c>
      <c r="I22" s="122">
        <f>'FOMIN Budget'!H15</f>
        <v>1</v>
      </c>
      <c r="J22" s="155"/>
      <c r="K22" s="155">
        <f>E22</f>
        <v>50000</v>
      </c>
      <c r="L22" s="155"/>
      <c r="M22" s="155"/>
      <c r="N22" s="184">
        <v>42061</v>
      </c>
      <c r="O22" s="120"/>
      <c r="P22" s="182" t="s">
        <v>212</v>
      </c>
    </row>
    <row r="23" spans="1:17" ht="47.25" x14ac:dyDescent="0.25">
      <c r="A23" s="5"/>
      <c r="B23" s="103">
        <v>3</v>
      </c>
      <c r="C23" s="104"/>
      <c r="D23" s="136" t="s">
        <v>35</v>
      </c>
      <c r="E23" s="134">
        <f>SUM(E24,E27,E38)</f>
        <v>913000</v>
      </c>
      <c r="F23" s="107"/>
      <c r="G23" s="107"/>
      <c r="H23" s="107"/>
      <c r="I23" s="107"/>
      <c r="J23" s="134">
        <f>SUM(J25,J26,J27,J39:J40)</f>
        <v>676500</v>
      </c>
      <c r="K23" s="134">
        <f>SUM(K25,K26,K27,K39:K40)</f>
        <v>370500</v>
      </c>
      <c r="L23" s="158">
        <f>+J23/$E$23</f>
        <v>0.74096385542168675</v>
      </c>
      <c r="M23" s="158">
        <f>+K23/$E$23</f>
        <v>0.4058050383351588</v>
      </c>
      <c r="N23" s="107"/>
      <c r="O23" s="107"/>
      <c r="P23" s="106"/>
    </row>
    <row r="24" spans="1:17" ht="15" x14ac:dyDescent="0.25">
      <c r="A24" s="5"/>
      <c r="B24" s="114"/>
      <c r="C24" s="115"/>
      <c r="D24" s="110" t="s">
        <v>13</v>
      </c>
      <c r="E24" s="116">
        <f>E25</f>
        <v>45000</v>
      </c>
      <c r="F24" s="113"/>
      <c r="G24" s="113"/>
      <c r="H24" s="113"/>
      <c r="I24" s="113"/>
      <c r="J24" s="116">
        <f>+SUM(J25:J26)</f>
        <v>72000</v>
      </c>
      <c r="K24" s="116">
        <f>+SUM(K25:K26)</f>
        <v>18000</v>
      </c>
      <c r="L24" s="116"/>
      <c r="M24" s="116"/>
      <c r="N24" s="113"/>
      <c r="O24" s="113"/>
      <c r="P24" s="112"/>
    </row>
    <row r="25" spans="1:17" ht="45" x14ac:dyDescent="0.2">
      <c r="A25" s="5"/>
      <c r="B25" s="138">
        <v>3.1</v>
      </c>
      <c r="C25" s="127"/>
      <c r="D25" s="123" t="s">
        <v>158</v>
      </c>
      <c r="E25" s="140">
        <v>45000</v>
      </c>
      <c r="F25" s="120" t="s">
        <v>127</v>
      </c>
      <c r="G25" s="125" t="s">
        <v>143</v>
      </c>
      <c r="H25" s="122">
        <v>0.8</v>
      </c>
      <c r="I25" s="122">
        <v>0.2</v>
      </c>
      <c r="J25" s="155">
        <f>E25*H25</f>
        <v>36000</v>
      </c>
      <c r="K25" s="155">
        <f>E25*I25</f>
        <v>9000</v>
      </c>
      <c r="L25" s="155"/>
      <c r="M25" s="155"/>
      <c r="N25" s="120" t="s">
        <v>213</v>
      </c>
      <c r="O25" s="120"/>
      <c r="P25" s="182" t="s">
        <v>214</v>
      </c>
    </row>
    <row r="26" spans="1:17" ht="30" hidden="1" x14ac:dyDescent="0.2">
      <c r="A26" s="5"/>
      <c r="B26" s="138">
        <v>3.2</v>
      </c>
      <c r="C26" s="127"/>
      <c r="D26" s="120" t="s">
        <v>130</v>
      </c>
      <c r="E26" s="140">
        <v>45000</v>
      </c>
      <c r="F26" s="120" t="s">
        <v>127</v>
      </c>
      <c r="G26" s="125" t="s">
        <v>143</v>
      </c>
      <c r="H26" s="122">
        <v>0.8</v>
      </c>
      <c r="I26" s="122">
        <v>0.2</v>
      </c>
      <c r="J26" s="155">
        <f>H26*E26</f>
        <v>36000</v>
      </c>
      <c r="K26" s="155">
        <f>E26*I26</f>
        <v>9000</v>
      </c>
      <c r="L26" s="155"/>
      <c r="M26" s="155"/>
      <c r="N26" s="120"/>
      <c r="O26" s="120"/>
      <c r="P26" s="129" t="s">
        <v>186</v>
      </c>
      <c r="Q26" s="6"/>
    </row>
    <row r="27" spans="1:17" ht="15" x14ac:dyDescent="0.25">
      <c r="A27" s="5"/>
      <c r="B27" s="114"/>
      <c r="C27" s="115"/>
      <c r="D27" s="110" t="s">
        <v>166</v>
      </c>
      <c r="E27" s="116">
        <f>+SUM(E28+E29+E30+E31+E37)</f>
        <v>530000</v>
      </c>
      <c r="F27" s="113"/>
      <c r="G27" s="113"/>
      <c r="H27" s="113"/>
      <c r="I27" s="113"/>
      <c r="J27" s="116">
        <f>+SUM(J28:J31)+J37</f>
        <v>507000</v>
      </c>
      <c r="K27" s="116">
        <f>+SUM(K28:K37)</f>
        <v>112000</v>
      </c>
      <c r="L27" s="116"/>
      <c r="M27" s="116"/>
      <c r="N27" s="113"/>
      <c r="O27" s="113"/>
      <c r="P27" s="112"/>
    </row>
    <row r="28" spans="1:17" ht="48" customHeight="1" x14ac:dyDescent="0.2">
      <c r="A28" s="5"/>
      <c r="B28" s="138" t="s">
        <v>192</v>
      </c>
      <c r="C28" s="127"/>
      <c r="D28" s="123" t="s">
        <v>167</v>
      </c>
      <c r="E28" s="140">
        <v>75000</v>
      </c>
      <c r="F28" s="120" t="s">
        <v>187</v>
      </c>
      <c r="G28" s="125" t="s">
        <v>143</v>
      </c>
      <c r="H28" s="122">
        <v>0.8</v>
      </c>
      <c r="I28" s="122">
        <v>0.2</v>
      </c>
      <c r="J28" s="155">
        <f t="shared" ref="J28:J33" si="0">E28</f>
        <v>75000</v>
      </c>
      <c r="K28" s="155">
        <f>E28*I28</f>
        <v>15000</v>
      </c>
      <c r="L28" s="155"/>
      <c r="M28" s="155"/>
      <c r="N28" s="121"/>
      <c r="O28" s="120"/>
      <c r="P28" s="129" t="s">
        <v>172</v>
      </c>
      <c r="Q28" s="6"/>
    </row>
    <row r="29" spans="1:17" ht="48" customHeight="1" x14ac:dyDescent="0.2">
      <c r="A29" s="5"/>
      <c r="B29" s="138" t="s">
        <v>193</v>
      </c>
      <c r="C29" s="127"/>
      <c r="D29" s="123" t="s">
        <v>174</v>
      </c>
      <c r="E29" s="140">
        <v>90000</v>
      </c>
      <c r="F29" s="120" t="s">
        <v>127</v>
      </c>
      <c r="G29" s="125" t="s">
        <v>143</v>
      </c>
      <c r="H29" s="122">
        <v>0.8</v>
      </c>
      <c r="I29" s="122">
        <v>0.2</v>
      </c>
      <c r="J29" s="155">
        <f t="shared" si="0"/>
        <v>90000</v>
      </c>
      <c r="K29" s="155">
        <f>E29*I29</f>
        <v>18000</v>
      </c>
      <c r="L29" s="155"/>
      <c r="M29" s="155"/>
      <c r="N29" s="121"/>
      <c r="O29" s="120"/>
      <c r="P29" s="129" t="s">
        <v>173</v>
      </c>
      <c r="Q29" s="6"/>
    </row>
    <row r="30" spans="1:17" ht="48" customHeight="1" x14ac:dyDescent="0.2">
      <c r="A30" s="5"/>
      <c r="B30" s="138" t="s">
        <v>194</v>
      </c>
      <c r="C30" s="127"/>
      <c r="D30" s="129" t="s">
        <v>168</v>
      </c>
      <c r="E30" s="140">
        <v>50000</v>
      </c>
      <c r="F30" s="120" t="s">
        <v>132</v>
      </c>
      <c r="G30" s="125" t="s">
        <v>143</v>
      </c>
      <c r="H30" s="122">
        <v>0.8</v>
      </c>
      <c r="I30" s="122">
        <v>0.2</v>
      </c>
      <c r="J30" s="155">
        <f t="shared" si="0"/>
        <v>50000</v>
      </c>
      <c r="K30" s="155">
        <f>E30*I30</f>
        <v>10000</v>
      </c>
      <c r="L30" s="155"/>
      <c r="M30" s="155"/>
      <c r="N30" s="121"/>
      <c r="O30" s="120"/>
      <c r="P30" s="129" t="s">
        <v>175</v>
      </c>
      <c r="Q30" s="6"/>
    </row>
    <row r="31" spans="1:17" ht="48" customHeight="1" x14ac:dyDescent="0.2">
      <c r="A31" s="5"/>
      <c r="B31" s="138" t="s">
        <v>195</v>
      </c>
      <c r="C31" s="159"/>
      <c r="D31" s="176" t="s">
        <v>169</v>
      </c>
      <c r="E31" s="178">
        <f>SUM(E32:E36)</f>
        <v>200000</v>
      </c>
      <c r="F31" s="179"/>
      <c r="G31" s="179" t="s">
        <v>143</v>
      </c>
      <c r="H31" s="180">
        <v>0.8</v>
      </c>
      <c r="I31" s="180">
        <v>0.2</v>
      </c>
      <c r="J31" s="160">
        <f t="shared" si="0"/>
        <v>200000</v>
      </c>
      <c r="K31" s="160">
        <f>E31*I31</f>
        <v>40000</v>
      </c>
      <c r="L31" s="160"/>
      <c r="M31" s="160"/>
      <c r="N31" s="140"/>
      <c r="O31" s="125"/>
      <c r="P31" s="129" t="s">
        <v>170</v>
      </c>
      <c r="Q31" s="6"/>
    </row>
    <row r="32" spans="1:17" ht="48" customHeight="1" x14ac:dyDescent="0.2">
      <c r="A32" s="5"/>
      <c r="B32" s="161" t="s">
        <v>196</v>
      </c>
      <c r="C32" s="162"/>
      <c r="D32" s="163" t="s">
        <v>178</v>
      </c>
      <c r="E32" s="164">
        <v>30000</v>
      </c>
      <c r="F32" s="165" t="s">
        <v>131</v>
      </c>
      <c r="G32" s="165" t="s">
        <v>143</v>
      </c>
      <c r="H32" s="166">
        <v>0.8</v>
      </c>
      <c r="I32" s="166">
        <v>0.2</v>
      </c>
      <c r="J32" s="167">
        <f t="shared" si="0"/>
        <v>30000</v>
      </c>
      <c r="K32" s="167">
        <f>E32*I32</f>
        <v>6000</v>
      </c>
      <c r="L32" s="167"/>
      <c r="M32" s="167"/>
      <c r="N32" s="164"/>
      <c r="O32" s="165"/>
      <c r="P32" s="163" t="s">
        <v>205</v>
      </c>
      <c r="Q32" s="6"/>
    </row>
    <row r="33" spans="1:17" ht="48" customHeight="1" x14ac:dyDescent="0.2">
      <c r="A33" s="5"/>
      <c r="B33" s="161" t="s">
        <v>197</v>
      </c>
      <c r="C33" s="162"/>
      <c r="D33" s="163" t="s">
        <v>180</v>
      </c>
      <c r="E33" s="164">
        <v>30000</v>
      </c>
      <c r="F33" s="165" t="s">
        <v>131</v>
      </c>
      <c r="G33" s="165" t="s">
        <v>143</v>
      </c>
      <c r="H33" s="166">
        <v>0.8</v>
      </c>
      <c r="I33" s="166">
        <v>0.2</v>
      </c>
      <c r="J33" s="167">
        <f t="shared" si="0"/>
        <v>30000</v>
      </c>
      <c r="K33" s="167"/>
      <c r="L33" s="167"/>
      <c r="M33" s="167"/>
      <c r="N33" s="164"/>
      <c r="O33" s="165"/>
      <c r="P33" s="163" t="s">
        <v>216</v>
      </c>
      <c r="Q33" s="6"/>
    </row>
    <row r="34" spans="1:17" ht="48" customHeight="1" x14ac:dyDescent="0.2">
      <c r="A34" s="5"/>
      <c r="B34" s="161" t="s">
        <v>198</v>
      </c>
      <c r="C34" s="162"/>
      <c r="D34" s="163" t="s">
        <v>179</v>
      </c>
      <c r="E34" s="164">
        <v>30000</v>
      </c>
      <c r="F34" s="165" t="s">
        <v>131</v>
      </c>
      <c r="G34" s="165" t="s">
        <v>143</v>
      </c>
      <c r="H34" s="166">
        <v>0.8</v>
      </c>
      <c r="I34" s="166">
        <v>0.2</v>
      </c>
      <c r="J34" s="167"/>
      <c r="K34" s="167"/>
      <c r="L34" s="167"/>
      <c r="M34" s="167"/>
      <c r="N34" s="164"/>
      <c r="O34" s="165"/>
      <c r="P34" s="163" t="s">
        <v>217</v>
      </c>
      <c r="Q34" s="6"/>
    </row>
    <row r="35" spans="1:17" ht="48" customHeight="1" x14ac:dyDescent="0.2">
      <c r="A35" s="5"/>
      <c r="B35" s="161" t="s">
        <v>199</v>
      </c>
      <c r="C35" s="162"/>
      <c r="D35" s="163" t="s">
        <v>190</v>
      </c>
      <c r="E35" s="164">
        <v>100000</v>
      </c>
      <c r="F35" s="165" t="s">
        <v>127</v>
      </c>
      <c r="G35" s="165" t="s">
        <v>143</v>
      </c>
      <c r="H35" s="166">
        <v>0.8</v>
      </c>
      <c r="I35" s="166">
        <v>0.2</v>
      </c>
      <c r="J35" s="167"/>
      <c r="K35" s="167"/>
      <c r="L35" s="167"/>
      <c r="M35" s="167"/>
      <c r="N35" s="164"/>
      <c r="O35" s="165"/>
      <c r="P35" s="163" t="s">
        <v>191</v>
      </c>
      <c r="Q35" s="6"/>
    </row>
    <row r="36" spans="1:17" ht="48" customHeight="1" x14ac:dyDescent="0.2">
      <c r="A36" s="5"/>
      <c r="B36" s="161" t="s">
        <v>200</v>
      </c>
      <c r="C36" s="162"/>
      <c r="D36" s="163" t="s">
        <v>206</v>
      </c>
      <c r="E36" s="164">
        <v>10000</v>
      </c>
      <c r="F36" s="165" t="s">
        <v>131</v>
      </c>
      <c r="G36" s="165" t="s">
        <v>143</v>
      </c>
      <c r="H36" s="166">
        <v>1</v>
      </c>
      <c r="I36" s="166">
        <v>0</v>
      </c>
      <c r="J36" s="167"/>
      <c r="K36" s="167"/>
      <c r="L36" s="167"/>
      <c r="M36" s="167"/>
      <c r="N36" s="164"/>
      <c r="O36" s="165"/>
      <c r="P36" s="163" t="s">
        <v>218</v>
      </c>
      <c r="Q36" s="6"/>
    </row>
    <row r="37" spans="1:17" ht="48" customHeight="1" x14ac:dyDescent="0.2">
      <c r="A37" s="5"/>
      <c r="B37" s="138" t="s">
        <v>201</v>
      </c>
      <c r="C37" s="127"/>
      <c r="D37" s="123" t="s">
        <v>171</v>
      </c>
      <c r="E37" s="140">
        <f>160000-45000</f>
        <v>115000</v>
      </c>
      <c r="F37" s="120" t="s">
        <v>132</v>
      </c>
      <c r="G37" s="125" t="s">
        <v>143</v>
      </c>
      <c r="H37" s="122">
        <v>0.8</v>
      </c>
      <c r="I37" s="122">
        <v>0.2</v>
      </c>
      <c r="J37" s="157">
        <f>E37*H37</f>
        <v>92000</v>
      </c>
      <c r="K37" s="157">
        <f>E37*I37</f>
        <v>23000</v>
      </c>
      <c r="L37" s="157"/>
      <c r="M37" s="157"/>
      <c r="N37" s="121"/>
      <c r="O37" s="177">
        <v>6</v>
      </c>
      <c r="P37" s="129" t="s">
        <v>176</v>
      </c>
      <c r="Q37" s="6"/>
    </row>
    <row r="38" spans="1:17" ht="15" x14ac:dyDescent="0.25">
      <c r="A38" s="5"/>
      <c r="B38" s="114"/>
      <c r="C38" s="115"/>
      <c r="D38" s="110"/>
      <c r="E38" s="116">
        <f>+SUM(E39:E40)</f>
        <v>338000</v>
      </c>
      <c r="F38" s="113"/>
      <c r="G38" s="113"/>
      <c r="H38" s="113"/>
      <c r="I38" s="113"/>
      <c r="J38" s="116">
        <f>+SUM(J39:J40)</f>
        <v>97500</v>
      </c>
      <c r="K38" s="116">
        <f>+SUM(K39:K40)</f>
        <v>240500</v>
      </c>
      <c r="L38" s="116"/>
      <c r="M38" s="116"/>
      <c r="N38" s="113"/>
      <c r="O38" s="113"/>
      <c r="P38" s="112"/>
    </row>
    <row r="39" spans="1:17" ht="48" customHeight="1" x14ac:dyDescent="0.2">
      <c r="A39" s="5"/>
      <c r="B39" s="138">
        <v>3.3</v>
      </c>
      <c r="C39" s="127"/>
      <c r="D39" s="129" t="s">
        <v>160</v>
      </c>
      <c r="E39" s="140">
        <v>150000</v>
      </c>
      <c r="F39" s="120" t="s">
        <v>132</v>
      </c>
      <c r="G39" s="125" t="s">
        <v>143</v>
      </c>
      <c r="H39" s="122">
        <v>0.65</v>
      </c>
      <c r="I39" s="122">
        <v>0.35</v>
      </c>
      <c r="J39" s="155">
        <f>E39*H39</f>
        <v>97500</v>
      </c>
      <c r="K39" s="155">
        <f>E39*I39</f>
        <v>52500</v>
      </c>
      <c r="L39" s="155"/>
      <c r="M39" s="155"/>
      <c r="N39" s="120"/>
      <c r="O39" s="120"/>
      <c r="P39" s="129" t="s">
        <v>159</v>
      </c>
      <c r="Q39" s="6"/>
    </row>
    <row r="40" spans="1:17" ht="48" customHeight="1" x14ac:dyDescent="0.2">
      <c r="A40" s="5"/>
      <c r="B40" s="138">
        <v>3.4</v>
      </c>
      <c r="C40" s="127"/>
      <c r="D40" s="129" t="s">
        <v>148</v>
      </c>
      <c r="E40" s="140">
        <v>188000</v>
      </c>
      <c r="F40" s="120" t="s">
        <v>123</v>
      </c>
      <c r="G40" s="125" t="s">
        <v>143</v>
      </c>
      <c r="H40" s="122">
        <v>0</v>
      </c>
      <c r="I40" s="122">
        <v>1</v>
      </c>
      <c r="J40" s="155"/>
      <c r="K40" s="155">
        <f>E40</f>
        <v>188000</v>
      </c>
      <c r="L40" s="155"/>
      <c r="M40" s="155"/>
      <c r="N40" s="120"/>
      <c r="O40" s="120"/>
      <c r="P40" s="129" t="s">
        <v>157</v>
      </c>
      <c r="Q40" s="6"/>
    </row>
    <row r="41" spans="1:17" ht="31.5" x14ac:dyDescent="0.25">
      <c r="A41" s="5"/>
      <c r="B41" s="103">
        <v>4</v>
      </c>
      <c r="C41" s="104"/>
      <c r="D41" s="136" t="s">
        <v>36</v>
      </c>
      <c r="E41" s="134">
        <f>SUM(E43:E45)</f>
        <v>255000</v>
      </c>
      <c r="F41" s="107"/>
      <c r="G41" s="107"/>
      <c r="H41" s="107"/>
      <c r="I41" s="107"/>
      <c r="J41" s="149"/>
      <c r="K41" s="149"/>
      <c r="L41" s="149"/>
      <c r="M41" s="149"/>
      <c r="N41" s="107"/>
      <c r="O41" s="107"/>
      <c r="P41" s="106"/>
    </row>
    <row r="42" spans="1:17" ht="15" x14ac:dyDescent="0.25">
      <c r="A42" s="5"/>
      <c r="B42" s="114"/>
      <c r="C42" s="115"/>
      <c r="D42" s="110" t="s">
        <v>121</v>
      </c>
      <c r="E42" s="116"/>
      <c r="F42" s="113"/>
      <c r="G42" s="113"/>
      <c r="H42" s="113"/>
      <c r="I42" s="113"/>
      <c r="J42" s="150"/>
      <c r="K42" s="150"/>
      <c r="L42" s="150"/>
      <c r="M42" s="150"/>
      <c r="N42" s="113"/>
      <c r="O42" s="113"/>
      <c r="P42" s="112"/>
    </row>
    <row r="43" spans="1:17" ht="30" x14ac:dyDescent="0.2">
      <c r="A43" s="5"/>
      <c r="B43" s="126">
        <v>4.0999999999999996</v>
      </c>
      <c r="C43" s="127"/>
      <c r="D43" s="129" t="s">
        <v>149</v>
      </c>
      <c r="E43" s="121">
        <v>90000</v>
      </c>
      <c r="F43" s="120" t="s">
        <v>127</v>
      </c>
      <c r="G43" s="125" t="s">
        <v>143</v>
      </c>
      <c r="H43" s="122">
        <v>0.33</v>
      </c>
      <c r="I43" s="122">
        <v>0.67</v>
      </c>
      <c r="J43" s="155">
        <f>E43*H43</f>
        <v>29700</v>
      </c>
      <c r="K43" s="155">
        <f>E43*I43</f>
        <v>60300</v>
      </c>
      <c r="L43" s="155"/>
      <c r="M43" s="155"/>
      <c r="N43" s="120"/>
      <c r="O43" s="120"/>
      <c r="P43" s="129" t="s">
        <v>188</v>
      </c>
    </row>
    <row r="44" spans="1:17" ht="60.75" customHeight="1" x14ac:dyDescent="0.2">
      <c r="A44" s="5"/>
      <c r="B44" s="126">
        <v>4.2</v>
      </c>
      <c r="C44" s="127"/>
      <c r="D44" s="129" t="s">
        <v>150</v>
      </c>
      <c r="E44" s="121">
        <v>75000</v>
      </c>
      <c r="F44" s="120" t="s">
        <v>131</v>
      </c>
      <c r="G44" s="125" t="s">
        <v>143</v>
      </c>
      <c r="H44" s="122">
        <v>0.4</v>
      </c>
      <c r="I44" s="122">
        <v>0.6</v>
      </c>
      <c r="J44" s="155">
        <f>E44*H44</f>
        <v>30000</v>
      </c>
      <c r="K44" s="155">
        <f>E44*I44</f>
        <v>45000</v>
      </c>
      <c r="L44" s="155"/>
      <c r="M44" s="155"/>
      <c r="N44" s="120"/>
      <c r="O44" s="120"/>
      <c r="P44" s="129" t="s">
        <v>189</v>
      </c>
    </row>
    <row r="45" spans="1:17" ht="30" x14ac:dyDescent="0.2">
      <c r="A45" s="5"/>
      <c r="B45" s="126">
        <v>4.3</v>
      </c>
      <c r="C45" s="127"/>
      <c r="D45" s="129" t="s">
        <v>151</v>
      </c>
      <c r="E45" s="121">
        <v>90000</v>
      </c>
      <c r="F45" s="120" t="s">
        <v>127</v>
      </c>
      <c r="G45" s="125" t="s">
        <v>143</v>
      </c>
      <c r="H45" s="122">
        <v>0.33</v>
      </c>
      <c r="I45" s="122">
        <v>0.67</v>
      </c>
      <c r="J45" s="155">
        <f>E45*H45</f>
        <v>29700</v>
      </c>
      <c r="K45" s="155">
        <f>E45*I45</f>
        <v>60300</v>
      </c>
      <c r="L45" s="155"/>
      <c r="M45" s="155"/>
      <c r="N45" s="120"/>
      <c r="O45" s="120"/>
      <c r="P45" s="124"/>
    </row>
    <row r="46" spans="1:17" ht="31.5" x14ac:dyDescent="0.25">
      <c r="A46" s="5"/>
      <c r="B46" s="103">
        <v>5</v>
      </c>
      <c r="C46" s="104"/>
      <c r="D46" s="136" t="s">
        <v>37</v>
      </c>
      <c r="E46" s="134">
        <f>SUM(E48:E50)</f>
        <v>185000</v>
      </c>
      <c r="F46" s="107"/>
      <c r="G46" s="107"/>
      <c r="H46" s="107"/>
      <c r="I46" s="107"/>
      <c r="J46" s="149"/>
      <c r="K46" s="149"/>
      <c r="L46" s="149"/>
      <c r="M46" s="149"/>
      <c r="N46" s="107"/>
      <c r="O46" s="107"/>
      <c r="P46" s="106"/>
    </row>
    <row r="47" spans="1:17" ht="15" x14ac:dyDescent="0.25">
      <c r="A47" s="5"/>
      <c r="B47" s="114"/>
      <c r="C47" s="115"/>
      <c r="D47" s="110" t="s">
        <v>121</v>
      </c>
      <c r="E47" s="116"/>
      <c r="F47" s="113"/>
      <c r="G47" s="113"/>
      <c r="H47" s="113"/>
      <c r="I47" s="113"/>
      <c r="J47" s="150"/>
      <c r="K47" s="150"/>
      <c r="L47" s="150"/>
      <c r="M47" s="150"/>
      <c r="N47" s="113"/>
      <c r="O47" s="113"/>
      <c r="P47" s="112"/>
    </row>
    <row r="48" spans="1:17" ht="30" x14ac:dyDescent="0.2">
      <c r="A48" s="5"/>
      <c r="B48" s="126">
        <v>5.0999999999999996</v>
      </c>
      <c r="C48" s="127"/>
      <c r="D48" s="129" t="s">
        <v>147</v>
      </c>
      <c r="E48" s="121">
        <v>85000</v>
      </c>
      <c r="F48" s="120" t="s">
        <v>127</v>
      </c>
      <c r="G48" s="125" t="s">
        <v>143</v>
      </c>
      <c r="H48" s="122">
        <v>0</v>
      </c>
      <c r="I48" s="122">
        <v>1</v>
      </c>
      <c r="J48" s="155">
        <f>E48*H48</f>
        <v>0</v>
      </c>
      <c r="K48" s="155">
        <f>E48*I48</f>
        <v>85000</v>
      </c>
      <c r="L48" s="155"/>
      <c r="M48" s="155"/>
      <c r="N48" s="120"/>
      <c r="O48" s="120"/>
      <c r="P48" s="124"/>
    </row>
    <row r="49" spans="1:16" ht="44.25" customHeight="1" x14ac:dyDescent="0.2">
      <c r="A49" s="5"/>
      <c r="B49" s="126">
        <v>5.2</v>
      </c>
      <c r="C49" s="127"/>
      <c r="D49" s="129" t="s">
        <v>153</v>
      </c>
      <c r="E49" s="121">
        <v>60000</v>
      </c>
      <c r="F49" s="120" t="s">
        <v>131</v>
      </c>
      <c r="G49" s="125" t="s">
        <v>143</v>
      </c>
      <c r="H49" s="122">
        <v>0.74</v>
      </c>
      <c r="I49" s="122">
        <v>0.26</v>
      </c>
      <c r="J49" s="155">
        <f>E49*H49</f>
        <v>44400</v>
      </c>
      <c r="K49" s="155">
        <f>E49*I49</f>
        <v>15600</v>
      </c>
      <c r="L49" s="155"/>
      <c r="M49" s="155"/>
      <c r="N49" s="120"/>
      <c r="O49" s="120"/>
      <c r="P49" s="129" t="s">
        <v>133</v>
      </c>
    </row>
    <row r="50" spans="1:16" ht="70.5" customHeight="1" x14ac:dyDescent="0.2">
      <c r="A50" s="5"/>
      <c r="B50" s="126">
        <v>5.3</v>
      </c>
      <c r="C50" s="127"/>
      <c r="D50" s="129" t="s">
        <v>152</v>
      </c>
      <c r="E50" s="121">
        <v>40000</v>
      </c>
      <c r="F50" s="120" t="s">
        <v>131</v>
      </c>
      <c r="G50" s="125" t="s">
        <v>143</v>
      </c>
      <c r="H50" s="122">
        <v>0.75</v>
      </c>
      <c r="I50" s="122">
        <v>0.25</v>
      </c>
      <c r="J50" s="155">
        <f>H50*E50</f>
        <v>30000</v>
      </c>
      <c r="K50" s="155">
        <f>E50*I50</f>
        <v>10000</v>
      </c>
      <c r="L50" s="155"/>
      <c r="M50" s="155"/>
      <c r="N50" s="120"/>
      <c r="O50" s="120"/>
      <c r="P50" s="129" t="s">
        <v>134</v>
      </c>
    </row>
    <row r="51" spans="1:16" ht="31.5" x14ac:dyDescent="0.25">
      <c r="A51" s="5"/>
      <c r="B51" s="103">
        <v>6</v>
      </c>
      <c r="C51" s="104"/>
      <c r="D51" s="136" t="s">
        <v>38</v>
      </c>
      <c r="E51" s="134">
        <f>+E53+E55+E57</f>
        <v>63000</v>
      </c>
      <c r="F51" s="107"/>
      <c r="G51" s="107"/>
      <c r="H51" s="107"/>
      <c r="I51" s="107"/>
      <c r="J51" s="149"/>
      <c r="K51" s="149"/>
      <c r="L51" s="149"/>
      <c r="M51" s="149"/>
      <c r="N51" s="107"/>
      <c r="O51" s="107"/>
      <c r="P51" s="106"/>
    </row>
    <row r="52" spans="1:16" ht="15" x14ac:dyDescent="0.25">
      <c r="A52" s="5"/>
      <c r="B52" s="114"/>
      <c r="C52" s="115"/>
      <c r="D52" s="110" t="s">
        <v>13</v>
      </c>
      <c r="E52" s="116"/>
      <c r="F52" s="113"/>
      <c r="G52" s="113"/>
      <c r="H52" s="113"/>
      <c r="I52" s="113"/>
      <c r="J52" s="150"/>
      <c r="K52" s="150"/>
      <c r="L52" s="150"/>
      <c r="M52" s="150"/>
      <c r="N52" s="113"/>
      <c r="O52" s="113"/>
      <c r="P52" s="112"/>
    </row>
    <row r="53" spans="1:16" ht="15" x14ac:dyDescent="0.2">
      <c r="A53" s="5"/>
      <c r="B53" s="126">
        <v>6.3</v>
      </c>
      <c r="C53" s="127"/>
      <c r="D53" s="120" t="s">
        <v>137</v>
      </c>
      <c r="E53" s="121">
        <f>'FOMIN Budget'!I36</f>
        <v>10000</v>
      </c>
      <c r="F53" s="120" t="s">
        <v>132</v>
      </c>
      <c r="G53" s="125" t="s">
        <v>143</v>
      </c>
      <c r="H53" s="122">
        <f>'FOMIN Budget'!E36</f>
        <v>0.5</v>
      </c>
      <c r="I53" s="122">
        <f>'FOMIN Budget'!H36</f>
        <v>0.5</v>
      </c>
      <c r="J53" s="155">
        <f>E53*H53</f>
        <v>5000</v>
      </c>
      <c r="K53" s="155">
        <f>E53*I53</f>
        <v>5000</v>
      </c>
      <c r="L53" s="155"/>
      <c r="M53" s="155"/>
      <c r="N53" s="120"/>
      <c r="O53" s="120"/>
      <c r="P53" s="124"/>
    </row>
    <row r="54" spans="1:16" ht="15" x14ac:dyDescent="0.25">
      <c r="A54" s="5"/>
      <c r="B54" s="114"/>
      <c r="C54" s="115"/>
      <c r="D54" s="110" t="s">
        <v>135</v>
      </c>
      <c r="E54" s="116"/>
      <c r="F54" s="113"/>
      <c r="G54" s="113"/>
      <c r="H54" s="113"/>
      <c r="I54" s="113"/>
      <c r="J54" s="150"/>
      <c r="K54" s="150"/>
      <c r="L54" s="150"/>
      <c r="M54" s="150"/>
      <c r="N54" s="113"/>
      <c r="O54" s="113"/>
      <c r="P54" s="112"/>
    </row>
    <row r="55" spans="1:16" ht="15" x14ac:dyDescent="0.2">
      <c r="A55" s="5"/>
      <c r="B55" s="126">
        <v>6.1</v>
      </c>
      <c r="C55" s="127"/>
      <c r="D55" s="120" t="s">
        <v>136</v>
      </c>
      <c r="E55" s="121">
        <f>'FOMIN Budget'!I34</f>
        <v>5000</v>
      </c>
      <c r="F55" s="120" t="s">
        <v>131</v>
      </c>
      <c r="G55" s="125" t="s">
        <v>143</v>
      </c>
      <c r="H55" s="122">
        <f>'FOMIN Budget'!E34</f>
        <v>0.6</v>
      </c>
      <c r="I55" s="122">
        <f>'FOMIN Budget'!H34</f>
        <v>0.4</v>
      </c>
      <c r="J55" s="155">
        <f>E55*H55</f>
        <v>3000</v>
      </c>
      <c r="K55" s="155">
        <f>E55*I55</f>
        <v>2000</v>
      </c>
      <c r="L55" s="155"/>
      <c r="M55" s="155"/>
      <c r="N55" s="120"/>
      <c r="O55" s="120"/>
      <c r="P55" s="124"/>
    </row>
    <row r="56" spans="1:16" ht="15" x14ac:dyDescent="0.25">
      <c r="A56" s="5"/>
      <c r="B56" s="114"/>
      <c r="C56" s="115"/>
      <c r="D56" s="110" t="s">
        <v>121</v>
      </c>
      <c r="E56" s="116"/>
      <c r="F56" s="113"/>
      <c r="G56" s="113"/>
      <c r="H56" s="113"/>
      <c r="I56" s="113"/>
      <c r="J56" s="150"/>
      <c r="K56" s="150"/>
      <c r="L56" s="150"/>
      <c r="M56" s="150"/>
      <c r="N56" s="113"/>
      <c r="O56" s="113"/>
      <c r="P56" s="112"/>
    </row>
    <row r="57" spans="1:16" ht="15" x14ac:dyDescent="0.2">
      <c r="A57" s="5"/>
      <c r="B57" s="126">
        <v>6.2</v>
      </c>
      <c r="C57" s="127"/>
      <c r="D57" s="120" t="s">
        <v>154</v>
      </c>
      <c r="E57" s="121">
        <f>'FOMIN Budget'!I35</f>
        <v>48000</v>
      </c>
      <c r="F57" s="120" t="s">
        <v>127</v>
      </c>
      <c r="G57" s="125" t="s">
        <v>143</v>
      </c>
      <c r="H57" s="122">
        <f>'FOMIN Budget'!E35</f>
        <v>0.83333333333333337</v>
      </c>
      <c r="I57" s="122">
        <f>'FOMIN Budget'!H35</f>
        <v>0.16666666666666666</v>
      </c>
      <c r="J57" s="155">
        <f>E57*H57</f>
        <v>40000</v>
      </c>
      <c r="K57" s="155">
        <f>E57*I57</f>
        <v>8000</v>
      </c>
      <c r="L57" s="155"/>
      <c r="M57" s="155"/>
      <c r="N57" s="120"/>
      <c r="O57" s="120"/>
      <c r="P57" s="124"/>
    </row>
    <row r="58" spans="1:16" ht="15.75" x14ac:dyDescent="0.25">
      <c r="A58" s="5"/>
      <c r="B58" s="117"/>
      <c r="C58" s="118"/>
      <c r="D58" s="137" t="s">
        <v>14</v>
      </c>
      <c r="E58" s="134">
        <f>SUM(E59:E63)</f>
        <v>197000</v>
      </c>
      <c r="F58" s="107"/>
      <c r="G58" s="107"/>
      <c r="H58" s="107"/>
      <c r="I58" s="107"/>
      <c r="J58" s="149"/>
      <c r="K58" s="149"/>
      <c r="L58" s="149"/>
      <c r="M58" s="149"/>
      <c r="N58" s="107"/>
      <c r="O58" s="107"/>
      <c r="P58" s="106"/>
    </row>
    <row r="59" spans="1:16" ht="15" x14ac:dyDescent="0.2">
      <c r="A59" s="5"/>
      <c r="B59" s="119"/>
      <c r="C59" s="130"/>
      <c r="D59" s="120" t="s">
        <v>138</v>
      </c>
      <c r="E59" s="121">
        <f>'FOMIN Budget'!I39</f>
        <v>70000</v>
      </c>
      <c r="F59" s="120" t="s">
        <v>140</v>
      </c>
      <c r="G59" s="120" t="s">
        <v>126</v>
      </c>
      <c r="H59" s="122">
        <f>'FOMIN Budget'!E39</f>
        <v>0.7142857142857143</v>
      </c>
      <c r="I59" s="122">
        <f>'FOMIN Budget'!H39</f>
        <v>0.2857142857142857</v>
      </c>
      <c r="J59" s="155">
        <f>H59*E59</f>
        <v>50000</v>
      </c>
      <c r="K59" s="155">
        <f>E59*I59</f>
        <v>20000</v>
      </c>
      <c r="L59" s="155"/>
      <c r="M59" s="155"/>
      <c r="N59" s="120"/>
      <c r="O59" s="120" t="s">
        <v>144</v>
      </c>
      <c r="P59" s="124"/>
    </row>
    <row r="60" spans="1:16" ht="15" x14ac:dyDescent="0.2">
      <c r="A60" s="5"/>
      <c r="B60" s="119"/>
      <c r="C60" s="130"/>
      <c r="D60" s="120" t="s">
        <v>155</v>
      </c>
      <c r="E60" s="121">
        <v>20000</v>
      </c>
      <c r="F60" s="120" t="s">
        <v>123</v>
      </c>
      <c r="G60" s="120" t="s">
        <v>143</v>
      </c>
      <c r="H60" s="122">
        <v>0</v>
      </c>
      <c r="I60" s="122">
        <v>1</v>
      </c>
      <c r="J60" s="155">
        <f>H60*E60</f>
        <v>0</v>
      </c>
      <c r="K60" s="155">
        <f>E60</f>
        <v>20000</v>
      </c>
      <c r="L60" s="155"/>
      <c r="M60" s="155"/>
      <c r="N60" s="120"/>
      <c r="O60" s="120"/>
      <c r="P60" s="124"/>
    </row>
    <row r="61" spans="1:16" ht="15" x14ac:dyDescent="0.2">
      <c r="A61" s="5"/>
      <c r="B61" s="126"/>
      <c r="C61" s="127"/>
      <c r="D61" s="123" t="s">
        <v>139</v>
      </c>
      <c r="E61" s="121">
        <v>45000</v>
      </c>
      <c r="F61" s="120" t="s">
        <v>140</v>
      </c>
      <c r="G61" s="120" t="s">
        <v>126</v>
      </c>
      <c r="H61" s="122">
        <v>0.22</v>
      </c>
      <c r="I61" s="122">
        <v>0.78</v>
      </c>
      <c r="J61" s="155">
        <f>H61*E61</f>
        <v>9900</v>
      </c>
      <c r="K61" s="155">
        <f>E61*I61</f>
        <v>35100</v>
      </c>
      <c r="L61" s="155"/>
      <c r="M61" s="155"/>
      <c r="N61" s="120"/>
      <c r="O61" s="120"/>
      <c r="P61" s="124"/>
    </row>
    <row r="62" spans="1:16" ht="15" x14ac:dyDescent="0.2">
      <c r="A62" s="5"/>
      <c r="B62" s="126"/>
      <c r="C62" s="127"/>
      <c r="D62" s="123" t="s">
        <v>141</v>
      </c>
      <c r="E62" s="121">
        <f>'FOMIN Budget'!I41</f>
        <v>15000</v>
      </c>
      <c r="F62" s="120" t="s">
        <v>140</v>
      </c>
      <c r="G62" s="120" t="s">
        <v>126</v>
      </c>
      <c r="H62" s="122">
        <v>1</v>
      </c>
      <c r="I62" s="122">
        <f>'FOMIN Budget'!H41</f>
        <v>0</v>
      </c>
      <c r="J62" s="155">
        <f>H62*E62</f>
        <v>15000</v>
      </c>
      <c r="K62" s="155">
        <f>E62*I62</f>
        <v>0</v>
      </c>
      <c r="L62" s="155"/>
      <c r="M62" s="155"/>
      <c r="N62" s="120"/>
      <c r="O62" s="120" t="s">
        <v>144</v>
      </c>
      <c r="P62" s="124"/>
    </row>
    <row r="63" spans="1:16" ht="15.75" thickBot="1" x14ac:dyDescent="0.25">
      <c r="A63" s="5"/>
      <c r="B63" s="126"/>
      <c r="C63" s="127"/>
      <c r="D63" s="123" t="s">
        <v>142</v>
      </c>
      <c r="E63" s="121">
        <f>'FOMIN Budget'!I42</f>
        <v>47000</v>
      </c>
      <c r="F63" s="120" t="s">
        <v>140</v>
      </c>
      <c r="G63" s="120" t="s">
        <v>126</v>
      </c>
      <c r="H63" s="122">
        <f>'FOMIN Budget'!E42</f>
        <v>0.78723404255319152</v>
      </c>
      <c r="I63" s="122">
        <f>'FOMIN Budget'!H42</f>
        <v>0.21276595744680851</v>
      </c>
      <c r="J63" s="155">
        <f>H63*E63</f>
        <v>37000</v>
      </c>
      <c r="K63" s="155">
        <f>E63*I63</f>
        <v>10000</v>
      </c>
      <c r="L63" s="155"/>
      <c r="M63" s="155"/>
      <c r="N63" s="122"/>
      <c r="O63" s="120" t="s">
        <v>144</v>
      </c>
      <c r="P63" s="124"/>
    </row>
    <row r="64" spans="1:16" ht="19.5" customHeight="1" thickBot="1" x14ac:dyDescent="0.3">
      <c r="A64" s="5"/>
      <c r="B64" s="400" t="s">
        <v>10</v>
      </c>
      <c r="C64" s="401"/>
      <c r="D64" s="402"/>
      <c r="E64" s="131">
        <f>+E58+E51+E46+E41+E23+E17+E12</f>
        <v>1930000</v>
      </c>
      <c r="F64" s="403" t="s">
        <v>156</v>
      </c>
      <c r="G64" s="404"/>
      <c r="H64" s="405"/>
      <c r="I64" s="403" t="s">
        <v>207</v>
      </c>
      <c r="J64" s="406"/>
      <c r="K64" s="406"/>
      <c r="L64" s="406"/>
      <c r="M64" s="406"/>
      <c r="N64" s="404"/>
      <c r="O64" s="405"/>
      <c r="P64" s="17"/>
    </row>
    <row r="65" spans="1:16" ht="58.5" customHeight="1" thickBot="1" x14ac:dyDescent="0.25">
      <c r="A65" s="5"/>
      <c r="B65" s="425" t="s">
        <v>26</v>
      </c>
      <c r="C65" s="426"/>
      <c r="D65" s="430"/>
      <c r="E65" s="430"/>
      <c r="F65" s="430"/>
      <c r="G65" s="430"/>
      <c r="H65" s="430"/>
      <c r="I65" s="430"/>
      <c r="J65" s="430"/>
      <c r="K65" s="430"/>
      <c r="L65" s="430"/>
      <c r="M65" s="430"/>
      <c r="N65" s="430"/>
      <c r="O65" s="430"/>
      <c r="P65" s="431"/>
    </row>
    <row r="66" spans="1:16" ht="21.75" customHeight="1" thickBot="1" x14ac:dyDescent="0.25">
      <c r="A66" s="5"/>
      <c r="B66" s="397" t="s">
        <v>15</v>
      </c>
      <c r="C66" s="398"/>
      <c r="D66" s="398"/>
      <c r="E66" s="398"/>
      <c r="F66" s="398"/>
      <c r="G66" s="398"/>
      <c r="H66" s="398"/>
      <c r="I66" s="398"/>
      <c r="J66" s="398"/>
      <c r="K66" s="398"/>
      <c r="L66" s="398"/>
      <c r="M66" s="398"/>
      <c r="N66" s="398"/>
      <c r="O66" s="398"/>
      <c r="P66" s="399"/>
    </row>
    <row r="67" spans="1:16" ht="39" customHeight="1" thickBot="1" x14ac:dyDescent="0.25">
      <c r="A67" s="5"/>
      <c r="B67" s="425" t="s">
        <v>16</v>
      </c>
      <c r="C67" s="426"/>
      <c r="D67" s="426"/>
      <c r="E67" s="426"/>
      <c r="F67" s="426"/>
      <c r="G67" s="426"/>
      <c r="H67" s="426"/>
      <c r="I67" s="426"/>
      <c r="J67" s="426"/>
      <c r="K67" s="426"/>
      <c r="L67" s="426"/>
      <c r="M67" s="426"/>
      <c r="N67" s="426"/>
      <c r="O67" s="426"/>
      <c r="P67" s="427"/>
    </row>
    <row r="68" spans="1:16" ht="26.25" customHeight="1" thickBot="1" x14ac:dyDescent="0.25">
      <c r="A68" s="5"/>
      <c r="B68" s="428" t="s">
        <v>27</v>
      </c>
      <c r="C68" s="429"/>
      <c r="D68" s="430"/>
      <c r="E68" s="430"/>
      <c r="F68" s="430"/>
      <c r="G68" s="430"/>
      <c r="H68" s="430"/>
      <c r="I68" s="430"/>
      <c r="J68" s="430"/>
      <c r="K68" s="430"/>
      <c r="L68" s="430"/>
      <c r="M68" s="430"/>
      <c r="N68" s="430"/>
      <c r="O68" s="430"/>
      <c r="P68" s="431"/>
    </row>
    <row r="69" spans="1:16" ht="29.25" customHeight="1" thickBot="1" x14ac:dyDescent="0.25">
      <c r="A69" s="5"/>
      <c r="B69" s="434" t="s">
        <v>28</v>
      </c>
      <c r="C69" s="435"/>
      <c r="D69" s="436"/>
      <c r="E69" s="436"/>
      <c r="F69" s="436"/>
      <c r="G69" s="436"/>
      <c r="H69" s="436"/>
      <c r="I69" s="436"/>
      <c r="J69" s="436"/>
      <c r="K69" s="436"/>
      <c r="L69" s="436"/>
      <c r="M69" s="436"/>
      <c r="N69" s="436"/>
      <c r="O69" s="436"/>
      <c r="P69" s="437"/>
    </row>
    <row r="70" spans="1:16" ht="30" customHeight="1" thickBot="1" x14ac:dyDescent="0.25">
      <c r="A70" s="5"/>
      <c r="B70" s="421" t="s">
        <v>17</v>
      </c>
      <c r="C70" s="422"/>
      <c r="D70" s="423"/>
      <c r="E70" s="423"/>
      <c r="F70" s="423"/>
      <c r="G70" s="423"/>
      <c r="H70" s="423"/>
      <c r="I70" s="423"/>
      <c r="J70" s="423"/>
      <c r="K70" s="423"/>
      <c r="L70" s="423"/>
      <c r="M70" s="423"/>
      <c r="N70" s="423"/>
      <c r="O70" s="423"/>
      <c r="P70" s="424"/>
    </row>
    <row r="71" spans="1:16" ht="14.25" x14ac:dyDescent="0.2">
      <c r="A71" s="5"/>
      <c r="B71" s="7"/>
      <c r="C71" s="7"/>
      <c r="D71" s="18"/>
      <c r="E71" s="18"/>
      <c r="F71" s="18"/>
      <c r="G71" s="18"/>
      <c r="H71" s="18"/>
      <c r="I71" s="18"/>
      <c r="J71" s="151"/>
      <c r="K71" s="151"/>
      <c r="L71" s="151"/>
      <c r="M71" s="151"/>
      <c r="N71" s="18"/>
      <c r="O71" s="18"/>
      <c r="P71" s="18"/>
    </row>
    <row r="72" spans="1:16" x14ac:dyDescent="0.2">
      <c r="A72" s="5"/>
      <c r="B72" s="5"/>
      <c r="C72" s="5"/>
      <c r="D72" s="5"/>
      <c r="E72" s="5"/>
      <c r="F72" s="5"/>
      <c r="G72" s="5"/>
      <c r="H72" s="5"/>
      <c r="I72" s="5"/>
      <c r="J72" s="152"/>
      <c r="K72" s="152"/>
      <c r="L72" s="152"/>
      <c r="M72" s="152"/>
      <c r="N72" s="5"/>
      <c r="O72" s="5"/>
      <c r="P72" s="5"/>
    </row>
    <row r="73" spans="1:16" x14ac:dyDescent="0.2">
      <c r="A73" s="5"/>
      <c r="B73" s="5"/>
      <c r="C73" s="5"/>
      <c r="D73" s="5"/>
      <c r="E73" s="139"/>
      <c r="F73" s="5"/>
      <c r="G73" s="5"/>
      <c r="H73" s="5"/>
      <c r="I73" s="5"/>
      <c r="J73" s="152"/>
      <c r="K73" s="152"/>
      <c r="L73" s="152"/>
      <c r="M73" s="152"/>
      <c r="N73" s="5"/>
      <c r="O73" s="5"/>
      <c r="P73" s="5"/>
    </row>
    <row r="74" spans="1:16" x14ac:dyDescent="0.2">
      <c r="A74" s="5"/>
      <c r="B74" s="5"/>
      <c r="C74" s="5"/>
      <c r="D74" s="5"/>
      <c r="E74" s="5"/>
      <c r="F74" s="5"/>
      <c r="G74" s="5"/>
      <c r="H74" s="5"/>
      <c r="I74" s="5"/>
      <c r="J74" s="156">
        <f>SUM(J14:J63)</f>
        <v>2423200</v>
      </c>
      <c r="K74" s="156">
        <f>SUM(K14:K63)</f>
        <v>1804800</v>
      </c>
      <c r="L74" s="156"/>
      <c r="M74" s="156"/>
      <c r="N74" s="153">
        <f>SUM(J74:K74)</f>
        <v>4228000</v>
      </c>
      <c r="O74" s="5"/>
      <c r="P74" s="5"/>
    </row>
    <row r="75" spans="1:16" x14ac:dyDescent="0.2">
      <c r="A75" s="5"/>
      <c r="B75" s="5"/>
      <c r="C75" s="5"/>
      <c r="D75" s="5"/>
      <c r="E75" s="5"/>
      <c r="F75" s="5"/>
      <c r="G75" s="5"/>
      <c r="H75" s="5"/>
      <c r="I75" s="5"/>
      <c r="J75" s="152">
        <f>J74-985000</f>
        <v>1438200</v>
      </c>
      <c r="K75" s="152"/>
      <c r="L75" s="152"/>
      <c r="M75" s="152"/>
      <c r="N75" s="153">
        <f>E64-N74</f>
        <v>-2298000</v>
      </c>
      <c r="O75" s="5"/>
      <c r="P75" s="5"/>
    </row>
    <row r="76" spans="1:16" x14ac:dyDescent="0.2">
      <c r="A76" s="5"/>
      <c r="B76" s="5"/>
      <c r="C76" s="5"/>
      <c r="D76" s="5"/>
      <c r="E76" s="5"/>
      <c r="F76" s="5"/>
      <c r="G76" s="5"/>
      <c r="H76" s="5"/>
      <c r="I76" s="5"/>
      <c r="J76" s="152">
        <f>J75*100/160000</f>
        <v>898.875</v>
      </c>
      <c r="K76" s="152"/>
      <c r="L76" s="152"/>
      <c r="M76" s="152"/>
      <c r="N76" s="5"/>
      <c r="O76" s="5"/>
      <c r="P76" s="5"/>
    </row>
    <row r="77" spans="1:16" x14ac:dyDescent="0.2">
      <c r="A77" s="5"/>
      <c r="B77" s="5"/>
      <c r="C77" s="5"/>
      <c r="D77" s="5"/>
      <c r="E77" s="5"/>
      <c r="F77" s="5"/>
      <c r="G77" s="5"/>
      <c r="H77" s="5"/>
      <c r="I77" s="5"/>
      <c r="J77" s="152">
        <f>100-J76</f>
        <v>-798.875</v>
      </c>
      <c r="K77" s="152"/>
      <c r="L77" s="152"/>
      <c r="M77" s="152"/>
      <c r="N77" s="5"/>
      <c r="O77" s="5"/>
      <c r="P77" s="5"/>
    </row>
    <row r="78" spans="1:16" x14ac:dyDescent="0.2">
      <c r="A78" s="5"/>
      <c r="B78" s="5"/>
      <c r="C78" s="5"/>
      <c r="D78" s="5"/>
      <c r="E78" s="5"/>
      <c r="F78" s="5"/>
      <c r="G78" s="5"/>
      <c r="H78" s="5"/>
      <c r="I78" s="5"/>
      <c r="J78" s="152"/>
      <c r="K78" s="152"/>
      <c r="L78" s="152"/>
      <c r="M78" s="152"/>
      <c r="N78" s="5"/>
      <c r="O78" s="5"/>
      <c r="P78" s="5"/>
    </row>
    <row r="79" spans="1:16" x14ac:dyDescent="0.2">
      <c r="A79" s="5"/>
      <c r="B79" s="5"/>
      <c r="C79" s="5"/>
      <c r="D79" s="5"/>
      <c r="E79" s="5"/>
      <c r="F79" s="5"/>
      <c r="G79" s="5"/>
      <c r="H79" s="5"/>
      <c r="I79" s="5"/>
      <c r="J79" s="152"/>
      <c r="K79" s="152"/>
      <c r="L79" s="152"/>
      <c r="M79" s="152"/>
      <c r="N79" s="5"/>
      <c r="O79" s="5"/>
      <c r="P79" s="5"/>
    </row>
    <row r="80" spans="1:16" x14ac:dyDescent="0.2">
      <c r="A80" s="5"/>
      <c r="B80" s="5"/>
      <c r="C80" s="5"/>
      <c r="D80" s="5"/>
      <c r="E80" s="5"/>
      <c r="F80" s="5"/>
      <c r="G80" s="5"/>
      <c r="H80" s="5"/>
      <c r="I80" s="5"/>
      <c r="J80" s="152"/>
      <c r="K80" s="152"/>
      <c r="L80" s="152"/>
      <c r="M80" s="152"/>
      <c r="N80" s="5"/>
      <c r="O80" s="5"/>
      <c r="P80" s="5"/>
    </row>
    <row r="81" spans="1:16" x14ac:dyDescent="0.2">
      <c r="A81" s="5"/>
      <c r="B81" s="5"/>
      <c r="C81" s="5"/>
      <c r="D81" s="5"/>
      <c r="E81" s="5"/>
      <c r="F81" s="5"/>
      <c r="G81" s="5"/>
      <c r="H81" s="5"/>
      <c r="I81" s="5"/>
      <c r="J81" s="152"/>
      <c r="K81" s="152"/>
      <c r="L81" s="152"/>
      <c r="M81" s="152"/>
      <c r="N81" s="5"/>
      <c r="O81" s="5"/>
      <c r="P81" s="5"/>
    </row>
    <row r="82" spans="1:16" x14ac:dyDescent="0.2">
      <c r="A82" s="5"/>
      <c r="B82" s="5"/>
      <c r="C82" s="5"/>
      <c r="D82" s="5"/>
      <c r="E82" s="5"/>
      <c r="F82" s="5"/>
      <c r="G82" s="5"/>
      <c r="H82" s="5"/>
      <c r="I82" s="5"/>
      <c r="J82" s="152"/>
      <c r="K82" s="152"/>
      <c r="L82" s="152"/>
      <c r="M82" s="152"/>
      <c r="N82" s="5"/>
      <c r="O82" s="5"/>
      <c r="P82" s="5"/>
    </row>
    <row r="83" spans="1:16" x14ac:dyDescent="0.2">
      <c r="A83" s="5"/>
      <c r="B83" s="5"/>
      <c r="C83" s="5"/>
      <c r="D83" s="5"/>
      <c r="E83" s="5"/>
      <c r="F83" s="5"/>
      <c r="G83" s="5"/>
      <c r="H83" s="5"/>
      <c r="I83" s="5"/>
      <c r="J83" s="152"/>
      <c r="K83" s="152"/>
      <c r="L83" s="152"/>
      <c r="M83" s="152"/>
      <c r="N83" s="5"/>
      <c r="O83" s="5"/>
      <c r="P83" s="5"/>
    </row>
    <row r="84" spans="1:16" x14ac:dyDescent="0.2">
      <c r="A84" s="5"/>
      <c r="B84" s="5"/>
      <c r="C84" s="5"/>
      <c r="D84" s="5"/>
      <c r="E84" s="5"/>
      <c r="F84" s="5"/>
      <c r="G84" s="5"/>
      <c r="H84" s="5"/>
      <c r="I84" s="5"/>
      <c r="J84" s="152"/>
      <c r="K84" s="152"/>
      <c r="L84" s="152"/>
      <c r="M84" s="152"/>
      <c r="N84" s="5"/>
      <c r="O84" s="5"/>
      <c r="P84" s="5"/>
    </row>
    <row r="85" spans="1:16" x14ac:dyDescent="0.2">
      <c r="A85" s="5"/>
      <c r="B85" s="5"/>
      <c r="C85" s="5"/>
      <c r="D85" s="5"/>
      <c r="E85" s="5"/>
      <c r="F85" s="5"/>
      <c r="G85" s="5"/>
      <c r="H85" s="5"/>
      <c r="I85" s="5"/>
      <c r="J85" s="152"/>
      <c r="K85" s="152"/>
      <c r="L85" s="152"/>
      <c r="M85" s="152"/>
      <c r="N85" s="5"/>
      <c r="O85" s="5"/>
      <c r="P85" s="5"/>
    </row>
    <row r="86" spans="1:16" x14ac:dyDescent="0.2">
      <c r="A86" s="5"/>
      <c r="B86" s="5"/>
      <c r="C86" s="5"/>
      <c r="D86" s="5"/>
      <c r="E86" s="5"/>
      <c r="F86" s="5"/>
      <c r="G86" s="5"/>
      <c r="H86" s="5"/>
      <c r="I86" s="5"/>
      <c r="J86" s="152"/>
      <c r="K86" s="152"/>
      <c r="L86" s="152"/>
      <c r="M86" s="152"/>
      <c r="N86" s="5"/>
      <c r="O86" s="5"/>
      <c r="P86" s="5"/>
    </row>
    <row r="87" spans="1:16" x14ac:dyDescent="0.2">
      <c r="A87" s="5"/>
      <c r="B87" s="5"/>
      <c r="C87" s="5"/>
      <c r="D87" s="5"/>
      <c r="E87" s="5"/>
      <c r="F87" s="5"/>
      <c r="G87" s="5"/>
      <c r="H87" s="5"/>
      <c r="I87" s="5"/>
      <c r="J87" s="152"/>
      <c r="K87" s="152"/>
      <c r="L87" s="152"/>
      <c r="M87" s="152"/>
      <c r="N87" s="5"/>
      <c r="O87" s="5"/>
      <c r="P87" s="5"/>
    </row>
    <row r="88" spans="1:16" x14ac:dyDescent="0.2">
      <c r="A88" s="5"/>
      <c r="B88" s="5"/>
      <c r="C88" s="5"/>
      <c r="D88" s="5"/>
      <c r="E88" s="5"/>
      <c r="F88" s="5"/>
      <c r="G88" s="5"/>
      <c r="H88" s="5"/>
      <c r="I88" s="5"/>
      <c r="J88" s="152"/>
      <c r="K88" s="152"/>
      <c r="L88" s="152"/>
      <c r="M88" s="152"/>
      <c r="N88" s="5"/>
      <c r="O88" s="5"/>
      <c r="P88" s="5"/>
    </row>
    <row r="89" spans="1:16" x14ac:dyDescent="0.2">
      <c r="A89" s="5"/>
      <c r="B89" s="5"/>
      <c r="C89" s="5"/>
      <c r="D89" s="5"/>
      <c r="E89" s="5"/>
      <c r="F89" s="5"/>
      <c r="G89" s="5"/>
      <c r="H89" s="5"/>
      <c r="I89" s="5"/>
      <c r="J89" s="152"/>
      <c r="K89" s="152"/>
      <c r="L89" s="152"/>
      <c r="M89" s="152"/>
      <c r="N89" s="5"/>
      <c r="O89" s="5"/>
      <c r="P89" s="5"/>
    </row>
    <row r="90" spans="1:16" x14ac:dyDescent="0.2">
      <c r="A90" s="5"/>
      <c r="B90" s="5"/>
      <c r="C90" s="5"/>
      <c r="D90" s="5"/>
      <c r="E90" s="5"/>
      <c r="F90" s="5"/>
      <c r="G90" s="5"/>
      <c r="H90" s="5"/>
      <c r="I90" s="5"/>
      <c r="J90" s="152"/>
      <c r="K90" s="152"/>
      <c r="L90" s="152"/>
      <c r="M90" s="152"/>
      <c r="N90" s="5"/>
      <c r="O90" s="5"/>
      <c r="P90" s="5"/>
    </row>
    <row r="91" spans="1:16" x14ac:dyDescent="0.2">
      <c r="A91" s="5"/>
      <c r="B91" s="5"/>
      <c r="C91" s="5"/>
      <c r="D91" s="5"/>
      <c r="E91" s="5"/>
      <c r="F91" s="5"/>
      <c r="G91" s="5"/>
      <c r="H91" s="5"/>
      <c r="I91" s="5"/>
      <c r="J91" s="152"/>
      <c r="K91" s="152"/>
      <c r="L91" s="152"/>
      <c r="M91" s="152"/>
      <c r="N91" s="5"/>
      <c r="O91" s="5"/>
      <c r="P91" s="5"/>
    </row>
    <row r="92" spans="1:16" x14ac:dyDescent="0.2">
      <c r="A92" s="5"/>
      <c r="B92" s="5"/>
      <c r="C92" s="5"/>
      <c r="D92" s="5"/>
      <c r="E92" s="5"/>
      <c r="F92" s="5"/>
      <c r="G92" s="5"/>
      <c r="H92" s="5"/>
      <c r="I92" s="5"/>
      <c r="J92" s="152"/>
      <c r="K92" s="152"/>
      <c r="L92" s="152"/>
      <c r="M92" s="152"/>
      <c r="N92" s="5"/>
      <c r="O92" s="5"/>
      <c r="P92" s="5"/>
    </row>
    <row r="93" spans="1:16" x14ac:dyDescent="0.2">
      <c r="A93" s="5"/>
      <c r="B93" s="5"/>
      <c r="C93" s="5"/>
      <c r="D93" s="5"/>
      <c r="E93" s="5"/>
      <c r="F93" s="5"/>
      <c r="G93" s="5"/>
      <c r="H93" s="5"/>
      <c r="I93" s="5"/>
      <c r="J93" s="152"/>
      <c r="K93" s="152"/>
      <c r="L93" s="152"/>
      <c r="M93" s="152"/>
      <c r="N93" s="5"/>
      <c r="O93" s="5"/>
      <c r="P93" s="5"/>
    </row>
    <row r="94" spans="1:16" x14ac:dyDescent="0.2">
      <c r="A94" s="5"/>
      <c r="B94" s="5"/>
      <c r="C94" s="5"/>
      <c r="D94" s="5"/>
      <c r="E94" s="5"/>
      <c r="F94" s="5"/>
      <c r="G94" s="5"/>
      <c r="H94" s="5"/>
      <c r="I94" s="5"/>
      <c r="J94" s="152"/>
      <c r="K94" s="152"/>
      <c r="L94" s="152"/>
      <c r="M94" s="152"/>
      <c r="N94" s="5"/>
      <c r="O94" s="5"/>
      <c r="P94" s="5"/>
    </row>
    <row r="95" spans="1:16" x14ac:dyDescent="0.2">
      <c r="A95" s="5"/>
      <c r="B95" s="5"/>
      <c r="C95" s="5"/>
      <c r="D95" s="5"/>
      <c r="E95" s="5"/>
      <c r="F95" s="5"/>
      <c r="G95" s="5"/>
      <c r="H95" s="5"/>
      <c r="I95" s="5"/>
      <c r="J95" s="152"/>
      <c r="K95" s="152"/>
      <c r="L95" s="152"/>
      <c r="M95" s="152"/>
      <c r="N95" s="5"/>
      <c r="O95" s="5"/>
      <c r="P95" s="5"/>
    </row>
    <row r="96" spans="1:16" x14ac:dyDescent="0.2">
      <c r="A96" s="5"/>
      <c r="B96" s="5"/>
      <c r="C96" s="5"/>
      <c r="D96" s="5"/>
      <c r="E96" s="5"/>
      <c r="F96" s="5"/>
      <c r="G96" s="5"/>
      <c r="H96" s="5"/>
      <c r="I96" s="5"/>
      <c r="J96" s="152"/>
      <c r="K96" s="152"/>
      <c r="L96" s="152"/>
      <c r="M96" s="152"/>
      <c r="N96" s="5"/>
      <c r="O96" s="5"/>
      <c r="P96" s="5"/>
    </row>
    <row r="97" spans="1:16" x14ac:dyDescent="0.2">
      <c r="A97" s="5"/>
      <c r="B97" s="5"/>
      <c r="C97" s="5"/>
      <c r="D97" s="5"/>
      <c r="E97" s="5"/>
      <c r="F97" s="5"/>
      <c r="G97" s="5"/>
      <c r="H97" s="5"/>
      <c r="I97" s="5"/>
      <c r="J97" s="152"/>
      <c r="K97" s="152"/>
      <c r="L97" s="152"/>
      <c r="M97" s="152"/>
      <c r="N97" s="5"/>
      <c r="O97" s="5"/>
      <c r="P97" s="5"/>
    </row>
    <row r="98" spans="1:16" x14ac:dyDescent="0.2">
      <c r="A98" s="5"/>
      <c r="B98" s="5"/>
      <c r="C98" s="5"/>
      <c r="D98" s="5"/>
      <c r="E98" s="5"/>
      <c r="F98" s="5"/>
      <c r="G98" s="5"/>
      <c r="H98" s="5"/>
      <c r="I98" s="5"/>
      <c r="J98" s="152"/>
      <c r="K98" s="152"/>
      <c r="L98" s="152"/>
      <c r="M98" s="152"/>
      <c r="N98" s="5"/>
      <c r="O98" s="5"/>
      <c r="P98" s="5"/>
    </row>
    <row r="99" spans="1:16" x14ac:dyDescent="0.2">
      <c r="A99" s="5"/>
      <c r="B99" s="5"/>
      <c r="C99" s="5"/>
      <c r="D99" s="5"/>
      <c r="E99" s="5"/>
      <c r="F99" s="5"/>
      <c r="G99" s="5"/>
      <c r="H99" s="5"/>
      <c r="I99" s="5"/>
      <c r="J99" s="152"/>
      <c r="K99" s="152"/>
      <c r="L99" s="152"/>
      <c r="M99" s="152"/>
      <c r="N99" s="5"/>
      <c r="O99" s="5"/>
      <c r="P99" s="5"/>
    </row>
    <row r="100" spans="1:16" x14ac:dyDescent="0.2">
      <c r="A100" s="5"/>
      <c r="B100" s="5"/>
      <c r="C100" s="5"/>
      <c r="D100" s="5"/>
      <c r="E100" s="5"/>
      <c r="F100" s="5"/>
      <c r="G100" s="5"/>
      <c r="H100" s="5"/>
      <c r="I100" s="5"/>
      <c r="J100" s="152"/>
      <c r="K100" s="152"/>
      <c r="L100" s="152"/>
      <c r="M100" s="152"/>
      <c r="N100" s="5"/>
      <c r="O100" s="5"/>
      <c r="P100" s="5"/>
    </row>
    <row r="101" spans="1:16" x14ac:dyDescent="0.2">
      <c r="A101" s="5"/>
      <c r="B101" s="5"/>
      <c r="C101" s="5"/>
      <c r="D101" s="5"/>
      <c r="E101" s="5"/>
      <c r="F101" s="5"/>
      <c r="G101" s="5"/>
      <c r="H101" s="5"/>
      <c r="I101" s="5"/>
      <c r="J101" s="152"/>
      <c r="K101" s="152"/>
      <c r="L101" s="152"/>
      <c r="M101" s="152"/>
      <c r="N101" s="5"/>
      <c r="O101" s="5"/>
      <c r="P101" s="5"/>
    </row>
    <row r="102" spans="1:16" x14ac:dyDescent="0.2">
      <c r="A102" s="5"/>
      <c r="B102" s="5"/>
      <c r="C102" s="5"/>
      <c r="D102" s="5"/>
      <c r="E102" s="5"/>
      <c r="F102" s="5"/>
      <c r="G102" s="5"/>
      <c r="H102" s="5"/>
      <c r="I102" s="5"/>
      <c r="J102" s="152"/>
      <c r="K102" s="152"/>
      <c r="L102" s="152"/>
      <c r="M102" s="152"/>
      <c r="N102" s="5"/>
      <c r="O102" s="5"/>
      <c r="P102" s="5"/>
    </row>
    <row r="103" spans="1:16" x14ac:dyDescent="0.2">
      <c r="A103" s="5"/>
      <c r="B103" s="5"/>
      <c r="C103" s="5"/>
      <c r="D103" s="5"/>
      <c r="E103" s="5"/>
      <c r="F103" s="5"/>
      <c r="G103" s="5"/>
      <c r="H103" s="5"/>
      <c r="I103" s="5"/>
      <c r="J103" s="152"/>
      <c r="K103" s="152"/>
      <c r="L103" s="152"/>
      <c r="M103" s="152"/>
      <c r="N103" s="5"/>
      <c r="O103" s="5"/>
      <c r="P103" s="5"/>
    </row>
    <row r="104" spans="1:16" x14ac:dyDescent="0.2">
      <c r="A104" s="5"/>
      <c r="B104" s="5"/>
      <c r="C104" s="5"/>
      <c r="D104" s="5"/>
      <c r="E104" s="5"/>
      <c r="F104" s="5"/>
      <c r="G104" s="5"/>
      <c r="H104" s="5"/>
      <c r="I104" s="5"/>
      <c r="J104" s="152"/>
      <c r="K104" s="152"/>
      <c r="L104" s="152"/>
      <c r="M104" s="152"/>
      <c r="N104" s="5"/>
      <c r="O104" s="5"/>
      <c r="P104" s="5"/>
    </row>
    <row r="105" spans="1:16" x14ac:dyDescent="0.2">
      <c r="A105" s="5"/>
      <c r="B105" s="5"/>
      <c r="C105" s="5"/>
      <c r="D105" s="5"/>
      <c r="E105" s="5"/>
      <c r="F105" s="5"/>
      <c r="G105" s="5"/>
      <c r="H105" s="5"/>
      <c r="I105" s="5"/>
      <c r="J105" s="152"/>
      <c r="K105" s="152"/>
      <c r="L105" s="152"/>
      <c r="M105" s="152"/>
      <c r="N105" s="5"/>
      <c r="O105" s="5"/>
      <c r="P105" s="5"/>
    </row>
    <row r="106" spans="1:16" x14ac:dyDescent="0.2">
      <c r="A106" s="5"/>
      <c r="B106" s="5"/>
      <c r="C106" s="5"/>
      <c r="D106" s="5"/>
      <c r="E106" s="5"/>
      <c r="F106" s="5"/>
      <c r="G106" s="5"/>
      <c r="H106" s="5"/>
      <c r="I106" s="5"/>
      <c r="J106" s="152"/>
      <c r="K106" s="152"/>
      <c r="L106" s="152"/>
      <c r="M106" s="152"/>
      <c r="N106" s="5"/>
      <c r="O106" s="5"/>
      <c r="P106" s="5"/>
    </row>
    <row r="107" spans="1:16" x14ac:dyDescent="0.2">
      <c r="A107" s="5"/>
      <c r="B107" s="5"/>
      <c r="C107" s="5"/>
      <c r="D107" s="5"/>
      <c r="E107" s="5"/>
      <c r="F107" s="5"/>
      <c r="G107" s="5"/>
      <c r="H107" s="5"/>
      <c r="I107" s="5"/>
      <c r="J107" s="152"/>
      <c r="K107" s="152"/>
      <c r="L107" s="152"/>
      <c r="M107" s="152"/>
      <c r="N107" s="5"/>
      <c r="O107" s="5"/>
      <c r="P107" s="5"/>
    </row>
    <row r="108" spans="1:16" x14ac:dyDescent="0.2">
      <c r="A108" s="5"/>
      <c r="B108" s="5"/>
      <c r="C108" s="5"/>
      <c r="D108" s="5"/>
      <c r="E108" s="5"/>
      <c r="F108" s="5"/>
      <c r="G108" s="5"/>
      <c r="H108" s="5"/>
      <c r="I108" s="5"/>
      <c r="J108" s="152"/>
      <c r="K108" s="152"/>
      <c r="L108" s="152"/>
      <c r="M108" s="152"/>
      <c r="N108" s="5"/>
      <c r="O108" s="5"/>
      <c r="P108" s="5"/>
    </row>
    <row r="109" spans="1:16" x14ac:dyDescent="0.2">
      <c r="A109" s="5"/>
      <c r="B109" s="5"/>
      <c r="C109" s="5"/>
      <c r="D109" s="5"/>
      <c r="E109" s="5"/>
      <c r="F109" s="5"/>
      <c r="G109" s="5"/>
      <c r="H109" s="5"/>
      <c r="I109" s="5"/>
      <c r="J109" s="152"/>
      <c r="K109" s="152"/>
      <c r="L109" s="152"/>
      <c r="M109" s="152"/>
      <c r="N109" s="5"/>
      <c r="O109" s="5"/>
      <c r="P109" s="5"/>
    </row>
    <row r="110" spans="1:16" x14ac:dyDescent="0.2">
      <c r="A110" s="5"/>
      <c r="B110" s="5"/>
      <c r="C110" s="5"/>
      <c r="D110" s="5"/>
      <c r="E110" s="5"/>
      <c r="F110" s="5"/>
      <c r="G110" s="5"/>
      <c r="H110" s="5"/>
      <c r="I110" s="5"/>
      <c r="J110" s="152"/>
      <c r="K110" s="152"/>
      <c r="L110" s="152"/>
      <c r="M110" s="152"/>
      <c r="N110" s="5"/>
      <c r="O110" s="5"/>
      <c r="P110" s="5"/>
    </row>
    <row r="111" spans="1:16" x14ac:dyDescent="0.2">
      <c r="A111" s="5"/>
      <c r="B111" s="5"/>
      <c r="C111" s="5"/>
      <c r="D111" s="5"/>
      <c r="E111" s="5"/>
      <c r="F111" s="5"/>
      <c r="G111" s="5"/>
      <c r="H111" s="5"/>
      <c r="I111" s="5"/>
      <c r="J111" s="152"/>
      <c r="K111" s="152"/>
      <c r="L111" s="152"/>
      <c r="M111" s="152"/>
      <c r="N111" s="5"/>
      <c r="O111" s="5"/>
      <c r="P111" s="5"/>
    </row>
    <row r="112" spans="1:16" x14ac:dyDescent="0.2">
      <c r="A112" s="5"/>
      <c r="B112" s="5"/>
      <c r="C112" s="5"/>
      <c r="D112" s="5"/>
      <c r="E112" s="5"/>
      <c r="F112" s="5"/>
      <c r="G112" s="5"/>
      <c r="H112" s="5"/>
      <c r="I112" s="5"/>
      <c r="J112" s="152"/>
      <c r="K112" s="152"/>
      <c r="L112" s="152"/>
      <c r="M112" s="152"/>
      <c r="N112" s="5"/>
      <c r="O112" s="5"/>
      <c r="P112" s="5"/>
    </row>
    <row r="113" spans="1:16" x14ac:dyDescent="0.2">
      <c r="A113" s="5"/>
      <c r="B113" s="5"/>
      <c r="C113" s="5"/>
      <c r="D113" s="5"/>
      <c r="E113" s="5"/>
      <c r="F113" s="5"/>
      <c r="G113" s="5"/>
      <c r="H113" s="5"/>
      <c r="I113" s="5"/>
      <c r="J113" s="152"/>
      <c r="K113" s="152"/>
      <c r="L113" s="152"/>
      <c r="M113" s="152"/>
      <c r="N113" s="5"/>
      <c r="O113" s="5"/>
      <c r="P113" s="5"/>
    </row>
    <row r="114" spans="1:16" x14ac:dyDescent="0.2">
      <c r="A114" s="5"/>
      <c r="B114" s="5"/>
      <c r="C114" s="5"/>
      <c r="D114" s="5"/>
      <c r="E114" s="5"/>
      <c r="F114" s="5"/>
      <c r="G114" s="5"/>
      <c r="H114" s="5"/>
      <c r="I114" s="5"/>
      <c r="J114" s="152"/>
      <c r="K114" s="152"/>
      <c r="L114" s="152"/>
      <c r="M114" s="152"/>
      <c r="N114" s="5"/>
      <c r="O114" s="5"/>
      <c r="P114" s="5"/>
    </row>
    <row r="115" spans="1:16" x14ac:dyDescent="0.2">
      <c r="A115" s="5"/>
      <c r="B115" s="5"/>
      <c r="C115" s="5"/>
      <c r="D115" s="5"/>
      <c r="E115" s="5"/>
      <c r="F115" s="5"/>
      <c r="G115" s="5"/>
      <c r="H115" s="5"/>
      <c r="I115" s="5"/>
      <c r="J115" s="152"/>
      <c r="K115" s="152"/>
      <c r="L115" s="152"/>
      <c r="M115" s="152"/>
      <c r="N115" s="5"/>
      <c r="O115" s="5"/>
      <c r="P115" s="5"/>
    </row>
    <row r="116" spans="1:16" x14ac:dyDescent="0.2">
      <c r="A116" s="5"/>
      <c r="B116" s="5"/>
      <c r="C116" s="5"/>
      <c r="D116" s="5"/>
      <c r="E116" s="5"/>
      <c r="F116" s="5"/>
      <c r="G116" s="5"/>
      <c r="H116" s="5"/>
      <c r="I116" s="5"/>
      <c r="J116" s="152"/>
      <c r="K116" s="152"/>
      <c r="L116" s="152"/>
      <c r="M116" s="152"/>
      <c r="N116" s="5"/>
      <c r="O116" s="5"/>
      <c r="P116" s="5"/>
    </row>
    <row r="117" spans="1:16" x14ac:dyDescent="0.2">
      <c r="A117" s="5"/>
      <c r="B117" s="5"/>
      <c r="C117" s="5"/>
      <c r="D117" s="5"/>
      <c r="E117" s="5"/>
      <c r="F117" s="5"/>
      <c r="G117" s="5"/>
      <c r="H117" s="5"/>
      <c r="I117" s="5"/>
      <c r="J117" s="152"/>
      <c r="K117" s="152"/>
      <c r="L117" s="152"/>
      <c r="M117" s="152"/>
      <c r="N117" s="5"/>
      <c r="O117" s="5"/>
      <c r="P117" s="5"/>
    </row>
    <row r="118" spans="1:16" x14ac:dyDescent="0.2">
      <c r="A118" s="5"/>
      <c r="B118" s="5"/>
      <c r="C118" s="5"/>
      <c r="D118" s="5"/>
      <c r="E118" s="5"/>
      <c r="F118" s="5"/>
      <c r="G118" s="5"/>
      <c r="H118" s="5"/>
      <c r="I118" s="5"/>
      <c r="J118" s="152"/>
      <c r="K118" s="152"/>
      <c r="L118" s="152"/>
      <c r="M118" s="152"/>
      <c r="N118" s="5"/>
      <c r="O118" s="5"/>
      <c r="P118" s="5"/>
    </row>
    <row r="119" spans="1:16" x14ac:dyDescent="0.2">
      <c r="A119" s="5"/>
      <c r="B119" s="5"/>
      <c r="C119" s="5"/>
      <c r="D119" s="5"/>
      <c r="E119" s="5"/>
      <c r="F119" s="5"/>
      <c r="G119" s="5"/>
      <c r="H119" s="5"/>
      <c r="I119" s="5"/>
      <c r="J119" s="152"/>
      <c r="K119" s="152"/>
      <c r="L119" s="152"/>
      <c r="M119" s="152"/>
      <c r="N119" s="5"/>
      <c r="O119" s="5"/>
      <c r="P119" s="5"/>
    </row>
    <row r="120" spans="1:16" x14ac:dyDescent="0.2">
      <c r="A120" s="5"/>
      <c r="B120" s="5"/>
      <c r="C120" s="5"/>
      <c r="D120" s="5"/>
      <c r="E120" s="5"/>
      <c r="F120" s="5"/>
      <c r="G120" s="5"/>
      <c r="H120" s="5"/>
      <c r="I120" s="5"/>
      <c r="J120" s="152"/>
      <c r="K120" s="152"/>
      <c r="L120" s="152"/>
      <c r="M120" s="152"/>
      <c r="N120" s="5"/>
      <c r="O120" s="5"/>
      <c r="P120" s="5"/>
    </row>
    <row r="121" spans="1:16" x14ac:dyDescent="0.2">
      <c r="A121" s="5"/>
      <c r="B121" s="5"/>
      <c r="C121" s="5"/>
      <c r="D121" s="5"/>
      <c r="E121" s="5"/>
      <c r="F121" s="5"/>
      <c r="G121" s="5"/>
      <c r="H121" s="5"/>
      <c r="I121" s="5"/>
      <c r="J121" s="152"/>
      <c r="K121" s="152"/>
      <c r="L121" s="152"/>
      <c r="M121" s="152"/>
      <c r="N121" s="5"/>
      <c r="O121" s="5"/>
      <c r="P121" s="5"/>
    </row>
    <row r="122" spans="1:16" x14ac:dyDescent="0.2">
      <c r="A122" s="5"/>
      <c r="B122" s="5"/>
      <c r="C122" s="5"/>
      <c r="D122" s="5"/>
      <c r="E122" s="5"/>
      <c r="F122" s="5"/>
      <c r="G122" s="5"/>
      <c r="H122" s="5"/>
      <c r="I122" s="5"/>
      <c r="J122" s="152"/>
      <c r="K122" s="152"/>
      <c r="L122" s="152"/>
      <c r="M122" s="152"/>
      <c r="N122" s="5"/>
      <c r="O122" s="5"/>
      <c r="P122" s="5"/>
    </row>
    <row r="123" spans="1:16" x14ac:dyDescent="0.2">
      <c r="A123" s="5"/>
      <c r="B123" s="5"/>
      <c r="C123" s="5"/>
      <c r="D123" s="5"/>
      <c r="E123" s="5"/>
      <c r="F123" s="5"/>
      <c r="G123" s="5"/>
      <c r="H123" s="5"/>
      <c r="I123" s="5"/>
      <c r="J123" s="152"/>
      <c r="K123" s="152"/>
      <c r="L123" s="152"/>
      <c r="M123" s="152"/>
      <c r="N123" s="5"/>
      <c r="O123" s="5"/>
      <c r="P123" s="5"/>
    </row>
    <row r="124" spans="1:16" x14ac:dyDescent="0.2">
      <c r="A124" s="5"/>
      <c r="B124" s="5"/>
      <c r="C124" s="5"/>
      <c r="D124" s="5"/>
      <c r="E124" s="5"/>
      <c r="F124" s="5"/>
      <c r="G124" s="5"/>
      <c r="H124" s="5"/>
      <c r="I124" s="5"/>
      <c r="J124" s="152"/>
      <c r="K124" s="152"/>
      <c r="L124" s="152"/>
      <c r="M124" s="152"/>
      <c r="N124" s="5"/>
      <c r="O124" s="5"/>
      <c r="P124" s="5"/>
    </row>
    <row r="125" spans="1:16" x14ac:dyDescent="0.2">
      <c r="A125" s="5"/>
      <c r="B125" s="5"/>
      <c r="C125" s="5"/>
      <c r="D125" s="5"/>
      <c r="E125" s="5"/>
      <c r="F125" s="5"/>
      <c r="G125" s="5"/>
      <c r="H125" s="5"/>
      <c r="I125" s="5"/>
      <c r="J125" s="152"/>
      <c r="K125" s="152"/>
      <c r="L125" s="152"/>
      <c r="M125" s="152"/>
      <c r="N125" s="5"/>
      <c r="O125" s="5"/>
      <c r="P125" s="5"/>
    </row>
    <row r="126" spans="1:16" x14ac:dyDescent="0.2">
      <c r="A126" s="5"/>
      <c r="B126" s="5"/>
      <c r="C126" s="5"/>
      <c r="D126" s="5"/>
      <c r="E126" s="5"/>
      <c r="F126" s="5"/>
      <c r="G126" s="5"/>
      <c r="H126" s="5"/>
      <c r="I126" s="5"/>
      <c r="J126" s="152"/>
      <c r="K126" s="152"/>
      <c r="L126" s="152"/>
      <c r="M126" s="152"/>
      <c r="N126" s="5"/>
      <c r="O126" s="5"/>
      <c r="P126" s="5"/>
    </row>
    <row r="127" spans="1:16" x14ac:dyDescent="0.2">
      <c r="A127" s="5"/>
      <c r="B127" s="5"/>
      <c r="C127" s="5"/>
      <c r="D127" s="5"/>
      <c r="E127" s="5"/>
      <c r="F127" s="5"/>
      <c r="G127" s="5"/>
      <c r="H127" s="5"/>
      <c r="I127" s="5"/>
      <c r="J127" s="152"/>
      <c r="K127" s="152"/>
      <c r="L127" s="152"/>
      <c r="M127" s="152"/>
      <c r="N127" s="5"/>
      <c r="O127" s="5"/>
      <c r="P127" s="5"/>
    </row>
  </sheetData>
  <mergeCells count="25">
    <mergeCell ref="B70:P70"/>
    <mergeCell ref="B67:P67"/>
    <mergeCell ref="B68:P68"/>
    <mergeCell ref="H10:I10"/>
    <mergeCell ref="O10:O11"/>
    <mergeCell ref="P10:P11"/>
    <mergeCell ref="B69:P69"/>
    <mergeCell ref="B65:P65"/>
    <mergeCell ref="C10:C11"/>
    <mergeCell ref="G5:P5"/>
    <mergeCell ref="G6:P6"/>
    <mergeCell ref="B4:P4"/>
    <mergeCell ref="B66:P66"/>
    <mergeCell ref="B64:D64"/>
    <mergeCell ref="F64:H64"/>
    <mergeCell ref="I64:O64"/>
    <mergeCell ref="B6:F6"/>
    <mergeCell ref="B5:F5"/>
    <mergeCell ref="B7:P7"/>
    <mergeCell ref="B10:B11"/>
    <mergeCell ref="D10:D11"/>
    <mergeCell ref="E10:E11"/>
    <mergeCell ref="F10:F11"/>
    <mergeCell ref="G10:G11"/>
    <mergeCell ref="N10:N11"/>
  </mergeCells>
  <phoneticPr fontId="0" type="noConversion"/>
  <printOptions horizontalCentered="1"/>
  <pageMargins left="0.23622047244094491" right="0.23622047244094491" top="0.6692913385826772" bottom="0.62992125984251968" header="0.27559055118110237" footer="0.35433070866141736"/>
  <pageSetup paperSize="119" scale="50" fitToHeight="2" orientation="landscape" r:id="rId1"/>
  <headerFooter alignWithMargins="0">
    <oddHeader xml:space="preserve">&amp;R&amp;8Banco Interamericano de Desarrollo
</oddHeader>
    <oddFooter>&amp;L &amp;RPágina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L316"/>
  <sheetViews>
    <sheetView zoomScale="70" zoomScaleNormal="70" zoomScalePageLayoutView="88" workbookViewId="0">
      <pane xSplit="1" topLeftCell="B1" activePane="topRight" state="frozen"/>
      <selection pane="topRight"/>
    </sheetView>
  </sheetViews>
  <sheetFormatPr defaultColWidth="11.42578125" defaultRowHeight="12" x14ac:dyDescent="0.2"/>
  <cols>
    <col min="1" max="1" width="57" style="25" customWidth="1"/>
    <col min="2" max="2" width="11.42578125" style="25"/>
    <col min="3" max="3" width="44.140625" style="24" hidden="1" customWidth="1"/>
    <col min="4" max="4" width="13.85546875" style="23" customWidth="1"/>
    <col min="5" max="5" width="7.42578125" style="23" customWidth="1"/>
    <col min="6" max="6" width="15.7109375" style="23" customWidth="1"/>
    <col min="7" max="7" width="11.85546875" style="23" customWidth="1"/>
    <col min="8" max="8" width="15" style="23" customWidth="1"/>
    <col min="9" max="9" width="14" style="23" customWidth="1"/>
    <col min="10" max="10" width="7.140625" style="22" customWidth="1"/>
    <col min="11" max="11" width="4" style="22" customWidth="1"/>
    <col min="12" max="38" width="11.42578125" style="22"/>
    <col min="39" max="217" width="11.42578125" style="21"/>
    <col min="218" max="218" width="17.42578125" style="21" customWidth="1"/>
    <col min="219" max="219" width="41.28515625" style="21" customWidth="1"/>
    <col min="220" max="220" width="13" style="21" customWidth="1"/>
    <col min="221" max="221" width="11.42578125" style="21"/>
    <col min="222" max="222" width="23" style="21" customWidth="1"/>
    <col min="223" max="223" width="9.42578125" style="21" customWidth="1"/>
    <col min="224" max="224" width="7.42578125" style="21" customWidth="1"/>
    <col min="225" max="225" width="9.28515625" style="21" bestFit="1" customWidth="1"/>
    <col min="226" max="226" width="6.28515625" style="21" customWidth="1"/>
    <col min="227" max="227" width="9" style="21" bestFit="1" customWidth="1"/>
    <col min="228" max="228" width="16.85546875" style="21" customWidth="1"/>
    <col min="229" max="229" width="12.42578125" style="21" customWidth="1"/>
    <col min="230" max="473" width="11.42578125" style="21"/>
    <col min="474" max="474" width="17.42578125" style="21" customWidth="1"/>
    <col min="475" max="475" width="41.28515625" style="21" customWidth="1"/>
    <col min="476" max="476" width="13" style="21" customWidth="1"/>
    <col min="477" max="477" width="11.42578125" style="21"/>
    <col min="478" max="478" width="23" style="21" customWidth="1"/>
    <col min="479" max="479" width="9.42578125" style="21" customWidth="1"/>
    <col min="480" max="480" width="7.42578125" style="21" customWidth="1"/>
    <col min="481" max="481" width="9.28515625" style="21" bestFit="1" customWidth="1"/>
    <col min="482" max="482" width="6.28515625" style="21" customWidth="1"/>
    <col min="483" max="483" width="9" style="21" bestFit="1" customWidth="1"/>
    <col min="484" max="484" width="16.85546875" style="21" customWidth="1"/>
    <col min="485" max="485" width="12.42578125" style="21" customWidth="1"/>
    <col min="486" max="729" width="11.42578125" style="21"/>
    <col min="730" max="730" width="17.42578125" style="21" customWidth="1"/>
    <col min="731" max="731" width="41.28515625" style="21" customWidth="1"/>
    <col min="732" max="732" width="13" style="21" customWidth="1"/>
    <col min="733" max="733" width="11.42578125" style="21"/>
    <col min="734" max="734" width="23" style="21" customWidth="1"/>
    <col min="735" max="735" width="9.42578125" style="21" customWidth="1"/>
    <col min="736" max="736" width="7.42578125" style="21" customWidth="1"/>
    <col min="737" max="737" width="9.28515625" style="21" bestFit="1" customWidth="1"/>
    <col min="738" max="738" width="6.28515625" style="21" customWidth="1"/>
    <col min="739" max="739" width="9" style="21" bestFit="1" customWidth="1"/>
    <col min="740" max="740" width="16.85546875" style="21" customWidth="1"/>
    <col min="741" max="741" width="12.42578125" style="21" customWidth="1"/>
    <col min="742" max="985" width="11.42578125" style="21"/>
    <col min="986" max="986" width="17.42578125" style="21" customWidth="1"/>
    <col min="987" max="987" width="41.28515625" style="21" customWidth="1"/>
    <col min="988" max="988" width="13" style="21" customWidth="1"/>
    <col min="989" max="989" width="11.42578125" style="21"/>
    <col min="990" max="990" width="23" style="21" customWidth="1"/>
    <col min="991" max="991" width="9.42578125" style="21" customWidth="1"/>
    <col min="992" max="992" width="7.42578125" style="21" customWidth="1"/>
    <col min="993" max="993" width="9.28515625" style="21" bestFit="1" customWidth="1"/>
    <col min="994" max="994" width="6.28515625" style="21" customWidth="1"/>
    <col min="995" max="995" width="9" style="21" bestFit="1" customWidth="1"/>
    <col min="996" max="996" width="16.85546875" style="21" customWidth="1"/>
    <col min="997" max="997" width="12.42578125" style="21" customWidth="1"/>
    <col min="998" max="1241" width="11.42578125" style="21"/>
    <col min="1242" max="1242" width="17.42578125" style="21" customWidth="1"/>
    <col min="1243" max="1243" width="41.28515625" style="21" customWidth="1"/>
    <col min="1244" max="1244" width="13" style="21" customWidth="1"/>
    <col min="1245" max="1245" width="11.42578125" style="21"/>
    <col min="1246" max="1246" width="23" style="21" customWidth="1"/>
    <col min="1247" max="1247" width="9.42578125" style="21" customWidth="1"/>
    <col min="1248" max="1248" width="7.42578125" style="21" customWidth="1"/>
    <col min="1249" max="1249" width="9.28515625" style="21" bestFit="1" customWidth="1"/>
    <col min="1250" max="1250" width="6.28515625" style="21" customWidth="1"/>
    <col min="1251" max="1251" width="9" style="21" bestFit="1" customWidth="1"/>
    <col min="1252" max="1252" width="16.85546875" style="21" customWidth="1"/>
    <col min="1253" max="1253" width="12.42578125" style="21" customWidth="1"/>
    <col min="1254" max="1497" width="11.42578125" style="21"/>
    <col min="1498" max="1498" width="17.42578125" style="21" customWidth="1"/>
    <col min="1499" max="1499" width="41.28515625" style="21" customWidth="1"/>
    <col min="1500" max="1500" width="13" style="21" customWidth="1"/>
    <col min="1501" max="1501" width="11.42578125" style="21"/>
    <col min="1502" max="1502" width="23" style="21" customWidth="1"/>
    <col min="1503" max="1503" width="9.42578125" style="21" customWidth="1"/>
    <col min="1504" max="1504" width="7.42578125" style="21" customWidth="1"/>
    <col min="1505" max="1505" width="9.28515625" style="21" bestFit="1" customWidth="1"/>
    <col min="1506" max="1506" width="6.28515625" style="21" customWidth="1"/>
    <col min="1507" max="1507" width="9" style="21" bestFit="1" customWidth="1"/>
    <col min="1508" max="1508" width="16.85546875" style="21" customWidth="1"/>
    <col min="1509" max="1509" width="12.42578125" style="21" customWidth="1"/>
    <col min="1510" max="1753" width="11.42578125" style="21"/>
    <col min="1754" max="1754" width="17.42578125" style="21" customWidth="1"/>
    <col min="1755" max="1755" width="41.28515625" style="21" customWidth="1"/>
    <col min="1756" max="1756" width="13" style="21" customWidth="1"/>
    <col min="1757" max="1757" width="11.42578125" style="21"/>
    <col min="1758" max="1758" width="23" style="21" customWidth="1"/>
    <col min="1759" max="1759" width="9.42578125" style="21" customWidth="1"/>
    <col min="1760" max="1760" width="7.42578125" style="21" customWidth="1"/>
    <col min="1761" max="1761" width="9.28515625" style="21" bestFit="1" customWidth="1"/>
    <col min="1762" max="1762" width="6.28515625" style="21" customWidth="1"/>
    <col min="1763" max="1763" width="9" style="21" bestFit="1" customWidth="1"/>
    <col min="1764" max="1764" width="16.85546875" style="21" customWidth="1"/>
    <col min="1765" max="1765" width="12.42578125" style="21" customWidth="1"/>
    <col min="1766" max="2009" width="11.42578125" style="21"/>
    <col min="2010" max="2010" width="17.42578125" style="21" customWidth="1"/>
    <col min="2011" max="2011" width="41.28515625" style="21" customWidth="1"/>
    <col min="2012" max="2012" width="13" style="21" customWidth="1"/>
    <col min="2013" max="2013" width="11.42578125" style="21"/>
    <col min="2014" max="2014" width="23" style="21" customWidth="1"/>
    <col min="2015" max="2015" width="9.42578125" style="21" customWidth="1"/>
    <col min="2016" max="2016" width="7.42578125" style="21" customWidth="1"/>
    <col min="2017" max="2017" width="9.28515625" style="21" bestFit="1" customWidth="1"/>
    <col min="2018" max="2018" width="6.28515625" style="21" customWidth="1"/>
    <col min="2019" max="2019" width="9" style="21" bestFit="1" customWidth="1"/>
    <col min="2020" max="2020" width="16.85546875" style="21" customWidth="1"/>
    <col min="2021" max="2021" width="12.42578125" style="21" customWidth="1"/>
    <col min="2022" max="2265" width="11.42578125" style="21"/>
    <col min="2266" max="2266" width="17.42578125" style="21" customWidth="1"/>
    <col min="2267" max="2267" width="41.28515625" style="21" customWidth="1"/>
    <col min="2268" max="2268" width="13" style="21" customWidth="1"/>
    <col min="2269" max="2269" width="11.42578125" style="21"/>
    <col min="2270" max="2270" width="23" style="21" customWidth="1"/>
    <col min="2271" max="2271" width="9.42578125" style="21" customWidth="1"/>
    <col min="2272" max="2272" width="7.42578125" style="21" customWidth="1"/>
    <col min="2273" max="2273" width="9.28515625" style="21" bestFit="1" customWidth="1"/>
    <col min="2274" max="2274" width="6.28515625" style="21" customWidth="1"/>
    <col min="2275" max="2275" width="9" style="21" bestFit="1" customWidth="1"/>
    <col min="2276" max="2276" width="16.85546875" style="21" customWidth="1"/>
    <col min="2277" max="2277" width="12.42578125" style="21" customWidth="1"/>
    <col min="2278" max="2521" width="11.42578125" style="21"/>
    <col min="2522" max="2522" width="17.42578125" style="21" customWidth="1"/>
    <col min="2523" max="2523" width="41.28515625" style="21" customWidth="1"/>
    <col min="2524" max="2524" width="13" style="21" customWidth="1"/>
    <col min="2525" max="2525" width="11.42578125" style="21"/>
    <col min="2526" max="2526" width="23" style="21" customWidth="1"/>
    <col min="2527" max="2527" width="9.42578125" style="21" customWidth="1"/>
    <col min="2528" max="2528" width="7.42578125" style="21" customWidth="1"/>
    <col min="2529" max="2529" width="9.28515625" style="21" bestFit="1" customWidth="1"/>
    <col min="2530" max="2530" width="6.28515625" style="21" customWidth="1"/>
    <col min="2531" max="2531" width="9" style="21" bestFit="1" customWidth="1"/>
    <col min="2532" max="2532" width="16.85546875" style="21" customWidth="1"/>
    <col min="2533" max="2533" width="12.42578125" style="21" customWidth="1"/>
    <col min="2534" max="2777" width="11.42578125" style="21"/>
    <col min="2778" max="2778" width="17.42578125" style="21" customWidth="1"/>
    <col min="2779" max="2779" width="41.28515625" style="21" customWidth="1"/>
    <col min="2780" max="2780" width="13" style="21" customWidth="1"/>
    <col min="2781" max="2781" width="11.42578125" style="21"/>
    <col min="2782" max="2782" width="23" style="21" customWidth="1"/>
    <col min="2783" max="2783" width="9.42578125" style="21" customWidth="1"/>
    <col min="2784" max="2784" width="7.42578125" style="21" customWidth="1"/>
    <col min="2785" max="2785" width="9.28515625" style="21" bestFit="1" customWidth="1"/>
    <col min="2786" max="2786" width="6.28515625" style="21" customWidth="1"/>
    <col min="2787" max="2787" width="9" style="21" bestFit="1" customWidth="1"/>
    <col min="2788" max="2788" width="16.85546875" style="21" customWidth="1"/>
    <col min="2789" max="2789" width="12.42578125" style="21" customWidth="1"/>
    <col min="2790" max="3033" width="11.42578125" style="21"/>
    <col min="3034" max="3034" width="17.42578125" style="21" customWidth="1"/>
    <col min="3035" max="3035" width="41.28515625" style="21" customWidth="1"/>
    <col min="3036" max="3036" width="13" style="21" customWidth="1"/>
    <col min="3037" max="3037" width="11.42578125" style="21"/>
    <col min="3038" max="3038" width="23" style="21" customWidth="1"/>
    <col min="3039" max="3039" width="9.42578125" style="21" customWidth="1"/>
    <col min="3040" max="3040" width="7.42578125" style="21" customWidth="1"/>
    <col min="3041" max="3041" width="9.28515625" style="21" bestFit="1" customWidth="1"/>
    <col min="3042" max="3042" width="6.28515625" style="21" customWidth="1"/>
    <col min="3043" max="3043" width="9" style="21" bestFit="1" customWidth="1"/>
    <col min="3044" max="3044" width="16.85546875" style="21" customWidth="1"/>
    <col min="3045" max="3045" width="12.42578125" style="21" customWidth="1"/>
    <col min="3046" max="3289" width="11.42578125" style="21"/>
    <col min="3290" max="3290" width="17.42578125" style="21" customWidth="1"/>
    <col min="3291" max="3291" width="41.28515625" style="21" customWidth="1"/>
    <col min="3292" max="3292" width="13" style="21" customWidth="1"/>
    <col min="3293" max="3293" width="11.42578125" style="21"/>
    <col min="3294" max="3294" width="23" style="21" customWidth="1"/>
    <col min="3295" max="3295" width="9.42578125" style="21" customWidth="1"/>
    <col min="3296" max="3296" width="7.42578125" style="21" customWidth="1"/>
    <col min="3297" max="3297" width="9.28515625" style="21" bestFit="1" customWidth="1"/>
    <col min="3298" max="3298" width="6.28515625" style="21" customWidth="1"/>
    <col min="3299" max="3299" width="9" style="21" bestFit="1" customWidth="1"/>
    <col min="3300" max="3300" width="16.85546875" style="21" customWidth="1"/>
    <col min="3301" max="3301" width="12.42578125" style="21" customWidth="1"/>
    <col min="3302" max="3545" width="11.42578125" style="21"/>
    <col min="3546" max="3546" width="17.42578125" style="21" customWidth="1"/>
    <col min="3547" max="3547" width="41.28515625" style="21" customWidth="1"/>
    <col min="3548" max="3548" width="13" style="21" customWidth="1"/>
    <col min="3549" max="3549" width="11.42578125" style="21"/>
    <col min="3550" max="3550" width="23" style="21" customWidth="1"/>
    <col min="3551" max="3551" width="9.42578125" style="21" customWidth="1"/>
    <col min="3552" max="3552" width="7.42578125" style="21" customWidth="1"/>
    <col min="3553" max="3553" width="9.28515625" style="21" bestFit="1" customWidth="1"/>
    <col min="3554" max="3554" width="6.28515625" style="21" customWidth="1"/>
    <col min="3555" max="3555" width="9" style="21" bestFit="1" customWidth="1"/>
    <col min="3556" max="3556" width="16.85546875" style="21" customWidth="1"/>
    <col min="3557" max="3557" width="12.42578125" style="21" customWidth="1"/>
    <col min="3558" max="3801" width="11.42578125" style="21"/>
    <col min="3802" max="3802" width="17.42578125" style="21" customWidth="1"/>
    <col min="3803" max="3803" width="41.28515625" style="21" customWidth="1"/>
    <col min="3804" max="3804" width="13" style="21" customWidth="1"/>
    <col min="3805" max="3805" width="11.42578125" style="21"/>
    <col min="3806" max="3806" width="23" style="21" customWidth="1"/>
    <col min="3807" max="3807" width="9.42578125" style="21" customWidth="1"/>
    <col min="3808" max="3808" width="7.42578125" style="21" customWidth="1"/>
    <col min="3809" max="3809" width="9.28515625" style="21" bestFit="1" customWidth="1"/>
    <col min="3810" max="3810" width="6.28515625" style="21" customWidth="1"/>
    <col min="3811" max="3811" width="9" style="21" bestFit="1" customWidth="1"/>
    <col min="3812" max="3812" width="16.85546875" style="21" customWidth="1"/>
    <col min="3813" max="3813" width="12.42578125" style="21" customWidth="1"/>
    <col min="3814" max="4057" width="11.42578125" style="21"/>
    <col min="4058" max="4058" width="17.42578125" style="21" customWidth="1"/>
    <col min="4059" max="4059" width="41.28515625" style="21" customWidth="1"/>
    <col min="4060" max="4060" width="13" style="21" customWidth="1"/>
    <col min="4061" max="4061" width="11.42578125" style="21"/>
    <col min="4062" max="4062" width="23" style="21" customWidth="1"/>
    <col min="4063" max="4063" width="9.42578125" style="21" customWidth="1"/>
    <col min="4064" max="4064" width="7.42578125" style="21" customWidth="1"/>
    <col min="4065" max="4065" width="9.28515625" style="21" bestFit="1" customWidth="1"/>
    <col min="4066" max="4066" width="6.28515625" style="21" customWidth="1"/>
    <col min="4067" max="4067" width="9" style="21" bestFit="1" customWidth="1"/>
    <col min="4068" max="4068" width="16.85546875" style="21" customWidth="1"/>
    <col min="4069" max="4069" width="12.42578125" style="21" customWidth="1"/>
    <col min="4070" max="4313" width="11.42578125" style="21"/>
    <col min="4314" max="4314" width="17.42578125" style="21" customWidth="1"/>
    <col min="4315" max="4315" width="41.28515625" style="21" customWidth="1"/>
    <col min="4316" max="4316" width="13" style="21" customWidth="1"/>
    <col min="4317" max="4317" width="11.42578125" style="21"/>
    <col min="4318" max="4318" width="23" style="21" customWidth="1"/>
    <col min="4319" max="4319" width="9.42578125" style="21" customWidth="1"/>
    <col min="4320" max="4320" width="7.42578125" style="21" customWidth="1"/>
    <col min="4321" max="4321" width="9.28515625" style="21" bestFit="1" customWidth="1"/>
    <col min="4322" max="4322" width="6.28515625" style="21" customWidth="1"/>
    <col min="4323" max="4323" width="9" style="21" bestFit="1" customWidth="1"/>
    <col min="4324" max="4324" width="16.85546875" style="21" customWidth="1"/>
    <col min="4325" max="4325" width="12.42578125" style="21" customWidth="1"/>
    <col min="4326" max="4569" width="11.42578125" style="21"/>
    <col min="4570" max="4570" width="17.42578125" style="21" customWidth="1"/>
    <col min="4571" max="4571" width="41.28515625" style="21" customWidth="1"/>
    <col min="4572" max="4572" width="13" style="21" customWidth="1"/>
    <col min="4573" max="4573" width="11.42578125" style="21"/>
    <col min="4574" max="4574" width="23" style="21" customWidth="1"/>
    <col min="4575" max="4575" width="9.42578125" style="21" customWidth="1"/>
    <col min="4576" max="4576" width="7.42578125" style="21" customWidth="1"/>
    <col min="4577" max="4577" width="9.28515625" style="21" bestFit="1" customWidth="1"/>
    <col min="4578" max="4578" width="6.28515625" style="21" customWidth="1"/>
    <col min="4579" max="4579" width="9" style="21" bestFit="1" customWidth="1"/>
    <col min="4580" max="4580" width="16.85546875" style="21" customWidth="1"/>
    <col min="4581" max="4581" width="12.42578125" style="21" customWidth="1"/>
    <col min="4582" max="4825" width="11.42578125" style="21"/>
    <col min="4826" max="4826" width="17.42578125" style="21" customWidth="1"/>
    <col min="4827" max="4827" width="41.28515625" style="21" customWidth="1"/>
    <col min="4828" max="4828" width="13" style="21" customWidth="1"/>
    <col min="4829" max="4829" width="11.42578125" style="21"/>
    <col min="4830" max="4830" width="23" style="21" customWidth="1"/>
    <col min="4831" max="4831" width="9.42578125" style="21" customWidth="1"/>
    <col min="4832" max="4832" width="7.42578125" style="21" customWidth="1"/>
    <col min="4833" max="4833" width="9.28515625" style="21" bestFit="1" customWidth="1"/>
    <col min="4834" max="4834" width="6.28515625" style="21" customWidth="1"/>
    <col min="4835" max="4835" width="9" style="21" bestFit="1" customWidth="1"/>
    <col min="4836" max="4836" width="16.85546875" style="21" customWidth="1"/>
    <col min="4837" max="4837" width="12.42578125" style="21" customWidth="1"/>
    <col min="4838" max="5081" width="11.42578125" style="21"/>
    <col min="5082" max="5082" width="17.42578125" style="21" customWidth="1"/>
    <col min="5083" max="5083" width="41.28515625" style="21" customWidth="1"/>
    <col min="5084" max="5084" width="13" style="21" customWidth="1"/>
    <col min="5085" max="5085" width="11.42578125" style="21"/>
    <col min="5086" max="5086" width="23" style="21" customWidth="1"/>
    <col min="5087" max="5087" width="9.42578125" style="21" customWidth="1"/>
    <col min="5088" max="5088" width="7.42578125" style="21" customWidth="1"/>
    <col min="5089" max="5089" width="9.28515625" style="21" bestFit="1" customWidth="1"/>
    <col min="5090" max="5090" width="6.28515625" style="21" customWidth="1"/>
    <col min="5091" max="5091" width="9" style="21" bestFit="1" customWidth="1"/>
    <col min="5092" max="5092" width="16.85546875" style="21" customWidth="1"/>
    <col min="5093" max="5093" width="12.42578125" style="21" customWidth="1"/>
    <col min="5094" max="5337" width="11.42578125" style="21"/>
    <col min="5338" max="5338" width="17.42578125" style="21" customWidth="1"/>
    <col min="5339" max="5339" width="41.28515625" style="21" customWidth="1"/>
    <col min="5340" max="5340" width="13" style="21" customWidth="1"/>
    <col min="5341" max="5341" width="11.42578125" style="21"/>
    <col min="5342" max="5342" width="23" style="21" customWidth="1"/>
    <col min="5343" max="5343" width="9.42578125" style="21" customWidth="1"/>
    <col min="5344" max="5344" width="7.42578125" style="21" customWidth="1"/>
    <col min="5345" max="5345" width="9.28515625" style="21" bestFit="1" customWidth="1"/>
    <col min="5346" max="5346" width="6.28515625" style="21" customWidth="1"/>
    <col min="5347" max="5347" width="9" style="21" bestFit="1" customWidth="1"/>
    <col min="5348" max="5348" width="16.85546875" style="21" customWidth="1"/>
    <col min="5349" max="5349" width="12.42578125" style="21" customWidth="1"/>
    <col min="5350" max="5593" width="11.42578125" style="21"/>
    <col min="5594" max="5594" width="17.42578125" style="21" customWidth="1"/>
    <col min="5595" max="5595" width="41.28515625" style="21" customWidth="1"/>
    <col min="5596" max="5596" width="13" style="21" customWidth="1"/>
    <col min="5597" max="5597" width="11.42578125" style="21"/>
    <col min="5598" max="5598" width="23" style="21" customWidth="1"/>
    <col min="5599" max="5599" width="9.42578125" style="21" customWidth="1"/>
    <col min="5600" max="5600" width="7.42578125" style="21" customWidth="1"/>
    <col min="5601" max="5601" width="9.28515625" style="21" bestFit="1" customWidth="1"/>
    <col min="5602" max="5602" width="6.28515625" style="21" customWidth="1"/>
    <col min="5603" max="5603" width="9" style="21" bestFit="1" customWidth="1"/>
    <col min="5604" max="5604" width="16.85546875" style="21" customWidth="1"/>
    <col min="5605" max="5605" width="12.42578125" style="21" customWidth="1"/>
    <col min="5606" max="5849" width="11.42578125" style="21"/>
    <col min="5850" max="5850" width="17.42578125" style="21" customWidth="1"/>
    <col min="5851" max="5851" width="41.28515625" style="21" customWidth="1"/>
    <col min="5852" max="5852" width="13" style="21" customWidth="1"/>
    <col min="5853" max="5853" width="11.42578125" style="21"/>
    <col min="5854" max="5854" width="23" style="21" customWidth="1"/>
    <col min="5855" max="5855" width="9.42578125" style="21" customWidth="1"/>
    <col min="5856" max="5856" width="7.42578125" style="21" customWidth="1"/>
    <col min="5857" max="5857" width="9.28515625" style="21" bestFit="1" customWidth="1"/>
    <col min="5858" max="5858" width="6.28515625" style="21" customWidth="1"/>
    <col min="5859" max="5859" width="9" style="21" bestFit="1" customWidth="1"/>
    <col min="5860" max="5860" width="16.85546875" style="21" customWidth="1"/>
    <col min="5861" max="5861" width="12.42578125" style="21" customWidth="1"/>
    <col min="5862" max="6105" width="11.42578125" style="21"/>
    <col min="6106" max="6106" width="17.42578125" style="21" customWidth="1"/>
    <col min="6107" max="6107" width="41.28515625" style="21" customWidth="1"/>
    <col min="6108" max="6108" width="13" style="21" customWidth="1"/>
    <col min="6109" max="6109" width="11.42578125" style="21"/>
    <col min="6110" max="6110" width="23" style="21" customWidth="1"/>
    <col min="6111" max="6111" width="9.42578125" style="21" customWidth="1"/>
    <col min="6112" max="6112" width="7.42578125" style="21" customWidth="1"/>
    <col min="6113" max="6113" width="9.28515625" style="21" bestFit="1" customWidth="1"/>
    <col min="6114" max="6114" width="6.28515625" style="21" customWidth="1"/>
    <col min="6115" max="6115" width="9" style="21" bestFit="1" customWidth="1"/>
    <col min="6116" max="6116" width="16.85546875" style="21" customWidth="1"/>
    <col min="6117" max="6117" width="12.42578125" style="21" customWidth="1"/>
    <col min="6118" max="6361" width="11.42578125" style="21"/>
    <col min="6362" max="6362" width="17.42578125" style="21" customWidth="1"/>
    <col min="6363" max="6363" width="41.28515625" style="21" customWidth="1"/>
    <col min="6364" max="6364" width="13" style="21" customWidth="1"/>
    <col min="6365" max="6365" width="11.42578125" style="21"/>
    <col min="6366" max="6366" width="23" style="21" customWidth="1"/>
    <col min="6367" max="6367" width="9.42578125" style="21" customWidth="1"/>
    <col min="6368" max="6368" width="7.42578125" style="21" customWidth="1"/>
    <col min="6369" max="6369" width="9.28515625" style="21" bestFit="1" customWidth="1"/>
    <col min="6370" max="6370" width="6.28515625" style="21" customWidth="1"/>
    <col min="6371" max="6371" width="9" style="21" bestFit="1" customWidth="1"/>
    <col min="6372" max="6372" width="16.85546875" style="21" customWidth="1"/>
    <col min="6373" max="6373" width="12.42578125" style="21" customWidth="1"/>
    <col min="6374" max="6617" width="11.42578125" style="21"/>
    <col min="6618" max="6618" width="17.42578125" style="21" customWidth="1"/>
    <col min="6619" max="6619" width="41.28515625" style="21" customWidth="1"/>
    <col min="6620" max="6620" width="13" style="21" customWidth="1"/>
    <col min="6621" max="6621" width="11.42578125" style="21"/>
    <col min="6622" max="6622" width="23" style="21" customWidth="1"/>
    <col min="6623" max="6623" width="9.42578125" style="21" customWidth="1"/>
    <col min="6624" max="6624" width="7.42578125" style="21" customWidth="1"/>
    <col min="6625" max="6625" width="9.28515625" style="21" bestFit="1" customWidth="1"/>
    <col min="6626" max="6626" width="6.28515625" style="21" customWidth="1"/>
    <col min="6627" max="6627" width="9" style="21" bestFit="1" customWidth="1"/>
    <col min="6628" max="6628" width="16.85546875" style="21" customWidth="1"/>
    <col min="6629" max="6629" width="12.42578125" style="21" customWidth="1"/>
    <col min="6630" max="6873" width="11.42578125" style="21"/>
    <col min="6874" max="6874" width="17.42578125" style="21" customWidth="1"/>
    <col min="6875" max="6875" width="41.28515625" style="21" customWidth="1"/>
    <col min="6876" max="6876" width="13" style="21" customWidth="1"/>
    <col min="6877" max="6877" width="11.42578125" style="21"/>
    <col min="6878" max="6878" width="23" style="21" customWidth="1"/>
    <col min="6879" max="6879" width="9.42578125" style="21" customWidth="1"/>
    <col min="6880" max="6880" width="7.42578125" style="21" customWidth="1"/>
    <col min="6881" max="6881" width="9.28515625" style="21" bestFit="1" customWidth="1"/>
    <col min="6882" max="6882" width="6.28515625" style="21" customWidth="1"/>
    <col min="6883" max="6883" width="9" style="21" bestFit="1" customWidth="1"/>
    <col min="6884" max="6884" width="16.85546875" style="21" customWidth="1"/>
    <col min="6885" max="6885" width="12.42578125" style="21" customWidth="1"/>
    <col min="6886" max="7129" width="11.42578125" style="21"/>
    <col min="7130" max="7130" width="17.42578125" style="21" customWidth="1"/>
    <col min="7131" max="7131" width="41.28515625" style="21" customWidth="1"/>
    <col min="7132" max="7132" width="13" style="21" customWidth="1"/>
    <col min="7133" max="7133" width="11.42578125" style="21"/>
    <col min="7134" max="7134" width="23" style="21" customWidth="1"/>
    <col min="7135" max="7135" width="9.42578125" style="21" customWidth="1"/>
    <col min="7136" max="7136" width="7.42578125" style="21" customWidth="1"/>
    <col min="7137" max="7137" width="9.28515625" style="21" bestFit="1" customWidth="1"/>
    <col min="7138" max="7138" width="6.28515625" style="21" customWidth="1"/>
    <col min="7139" max="7139" width="9" style="21" bestFit="1" customWidth="1"/>
    <col min="7140" max="7140" width="16.85546875" style="21" customWidth="1"/>
    <col min="7141" max="7141" width="12.42578125" style="21" customWidth="1"/>
    <col min="7142" max="7385" width="11.42578125" style="21"/>
    <col min="7386" max="7386" width="17.42578125" style="21" customWidth="1"/>
    <col min="7387" max="7387" width="41.28515625" style="21" customWidth="1"/>
    <col min="7388" max="7388" width="13" style="21" customWidth="1"/>
    <col min="7389" max="7389" width="11.42578125" style="21"/>
    <col min="7390" max="7390" width="23" style="21" customWidth="1"/>
    <col min="7391" max="7391" width="9.42578125" style="21" customWidth="1"/>
    <col min="7392" max="7392" width="7.42578125" style="21" customWidth="1"/>
    <col min="7393" max="7393" width="9.28515625" style="21" bestFit="1" customWidth="1"/>
    <col min="7394" max="7394" width="6.28515625" style="21" customWidth="1"/>
    <col min="7395" max="7395" width="9" style="21" bestFit="1" customWidth="1"/>
    <col min="7396" max="7396" width="16.85546875" style="21" customWidth="1"/>
    <col min="7397" max="7397" width="12.42578125" style="21" customWidth="1"/>
    <col min="7398" max="7641" width="11.42578125" style="21"/>
    <col min="7642" max="7642" width="17.42578125" style="21" customWidth="1"/>
    <col min="7643" max="7643" width="41.28515625" style="21" customWidth="1"/>
    <col min="7644" max="7644" width="13" style="21" customWidth="1"/>
    <col min="7645" max="7645" width="11.42578125" style="21"/>
    <col min="7646" max="7646" width="23" style="21" customWidth="1"/>
    <col min="7647" max="7647" width="9.42578125" style="21" customWidth="1"/>
    <col min="7648" max="7648" width="7.42578125" style="21" customWidth="1"/>
    <col min="7649" max="7649" width="9.28515625" style="21" bestFit="1" customWidth="1"/>
    <col min="7650" max="7650" width="6.28515625" style="21" customWidth="1"/>
    <col min="7651" max="7651" width="9" style="21" bestFit="1" customWidth="1"/>
    <col min="7652" max="7652" width="16.85546875" style="21" customWidth="1"/>
    <col min="7653" max="7653" width="12.42578125" style="21" customWidth="1"/>
    <col min="7654" max="7897" width="11.42578125" style="21"/>
    <col min="7898" max="7898" width="17.42578125" style="21" customWidth="1"/>
    <col min="7899" max="7899" width="41.28515625" style="21" customWidth="1"/>
    <col min="7900" max="7900" width="13" style="21" customWidth="1"/>
    <col min="7901" max="7901" width="11.42578125" style="21"/>
    <col min="7902" max="7902" width="23" style="21" customWidth="1"/>
    <col min="7903" max="7903" width="9.42578125" style="21" customWidth="1"/>
    <col min="7904" max="7904" width="7.42578125" style="21" customWidth="1"/>
    <col min="7905" max="7905" width="9.28515625" style="21" bestFit="1" customWidth="1"/>
    <col min="7906" max="7906" width="6.28515625" style="21" customWidth="1"/>
    <col min="7907" max="7907" width="9" style="21" bestFit="1" customWidth="1"/>
    <col min="7908" max="7908" width="16.85546875" style="21" customWidth="1"/>
    <col min="7909" max="7909" width="12.42578125" style="21" customWidth="1"/>
    <col min="7910" max="8153" width="11.42578125" style="21"/>
    <col min="8154" max="8154" width="17.42578125" style="21" customWidth="1"/>
    <col min="8155" max="8155" width="41.28515625" style="21" customWidth="1"/>
    <col min="8156" max="8156" width="13" style="21" customWidth="1"/>
    <col min="8157" max="8157" width="11.42578125" style="21"/>
    <col min="8158" max="8158" width="23" style="21" customWidth="1"/>
    <col min="8159" max="8159" width="9.42578125" style="21" customWidth="1"/>
    <col min="8160" max="8160" width="7.42578125" style="21" customWidth="1"/>
    <col min="8161" max="8161" width="9.28515625" style="21" bestFit="1" customWidth="1"/>
    <col min="8162" max="8162" width="6.28515625" style="21" customWidth="1"/>
    <col min="8163" max="8163" width="9" style="21" bestFit="1" customWidth="1"/>
    <col min="8164" max="8164" width="16.85546875" style="21" customWidth="1"/>
    <col min="8165" max="8165" width="12.42578125" style="21" customWidth="1"/>
    <col min="8166" max="8409" width="11.42578125" style="21"/>
    <col min="8410" max="8410" width="17.42578125" style="21" customWidth="1"/>
    <col min="8411" max="8411" width="41.28515625" style="21" customWidth="1"/>
    <col min="8412" max="8412" width="13" style="21" customWidth="1"/>
    <col min="8413" max="8413" width="11.42578125" style="21"/>
    <col min="8414" max="8414" width="23" style="21" customWidth="1"/>
    <col min="8415" max="8415" width="9.42578125" style="21" customWidth="1"/>
    <col min="8416" max="8416" width="7.42578125" style="21" customWidth="1"/>
    <col min="8417" max="8417" width="9.28515625" style="21" bestFit="1" customWidth="1"/>
    <col min="8418" max="8418" width="6.28515625" style="21" customWidth="1"/>
    <col min="8419" max="8419" width="9" style="21" bestFit="1" customWidth="1"/>
    <col min="8420" max="8420" width="16.85546875" style="21" customWidth="1"/>
    <col min="8421" max="8421" width="12.42578125" style="21" customWidth="1"/>
    <col min="8422" max="8665" width="11.42578125" style="21"/>
    <col min="8666" max="8666" width="17.42578125" style="21" customWidth="1"/>
    <col min="8667" max="8667" width="41.28515625" style="21" customWidth="1"/>
    <col min="8668" max="8668" width="13" style="21" customWidth="1"/>
    <col min="8669" max="8669" width="11.42578125" style="21"/>
    <col min="8670" max="8670" width="23" style="21" customWidth="1"/>
    <col min="8671" max="8671" width="9.42578125" style="21" customWidth="1"/>
    <col min="8672" max="8672" width="7.42578125" style="21" customWidth="1"/>
    <col min="8673" max="8673" width="9.28515625" style="21" bestFit="1" customWidth="1"/>
    <col min="8674" max="8674" width="6.28515625" style="21" customWidth="1"/>
    <col min="8675" max="8675" width="9" style="21" bestFit="1" customWidth="1"/>
    <col min="8676" max="8676" width="16.85546875" style="21" customWidth="1"/>
    <col min="8677" max="8677" width="12.42578125" style="21" customWidth="1"/>
    <col min="8678" max="8921" width="11.42578125" style="21"/>
    <col min="8922" max="8922" width="17.42578125" style="21" customWidth="1"/>
    <col min="8923" max="8923" width="41.28515625" style="21" customWidth="1"/>
    <col min="8924" max="8924" width="13" style="21" customWidth="1"/>
    <col min="8925" max="8925" width="11.42578125" style="21"/>
    <col min="8926" max="8926" width="23" style="21" customWidth="1"/>
    <col min="8927" max="8927" width="9.42578125" style="21" customWidth="1"/>
    <col min="8928" max="8928" width="7.42578125" style="21" customWidth="1"/>
    <col min="8929" max="8929" width="9.28515625" style="21" bestFit="1" customWidth="1"/>
    <col min="8930" max="8930" width="6.28515625" style="21" customWidth="1"/>
    <col min="8931" max="8931" width="9" style="21" bestFit="1" customWidth="1"/>
    <col min="8932" max="8932" width="16.85546875" style="21" customWidth="1"/>
    <col min="8933" max="8933" width="12.42578125" style="21" customWidth="1"/>
    <col min="8934" max="9177" width="11.42578125" style="21"/>
    <col min="9178" max="9178" width="17.42578125" style="21" customWidth="1"/>
    <col min="9179" max="9179" width="41.28515625" style="21" customWidth="1"/>
    <col min="9180" max="9180" width="13" style="21" customWidth="1"/>
    <col min="9181" max="9181" width="11.42578125" style="21"/>
    <col min="9182" max="9182" width="23" style="21" customWidth="1"/>
    <col min="9183" max="9183" width="9.42578125" style="21" customWidth="1"/>
    <col min="9184" max="9184" width="7.42578125" style="21" customWidth="1"/>
    <col min="9185" max="9185" width="9.28515625" style="21" bestFit="1" customWidth="1"/>
    <col min="9186" max="9186" width="6.28515625" style="21" customWidth="1"/>
    <col min="9187" max="9187" width="9" style="21" bestFit="1" customWidth="1"/>
    <col min="9188" max="9188" width="16.85546875" style="21" customWidth="1"/>
    <col min="9189" max="9189" width="12.42578125" style="21" customWidth="1"/>
    <col min="9190" max="9433" width="11.42578125" style="21"/>
    <col min="9434" max="9434" width="17.42578125" style="21" customWidth="1"/>
    <col min="9435" max="9435" width="41.28515625" style="21" customWidth="1"/>
    <col min="9436" max="9436" width="13" style="21" customWidth="1"/>
    <col min="9437" max="9437" width="11.42578125" style="21"/>
    <col min="9438" max="9438" width="23" style="21" customWidth="1"/>
    <col min="9439" max="9439" width="9.42578125" style="21" customWidth="1"/>
    <col min="9440" max="9440" width="7.42578125" style="21" customWidth="1"/>
    <col min="9441" max="9441" width="9.28515625" style="21" bestFit="1" customWidth="1"/>
    <col min="9442" max="9442" width="6.28515625" style="21" customWidth="1"/>
    <col min="9443" max="9443" width="9" style="21" bestFit="1" customWidth="1"/>
    <col min="9444" max="9444" width="16.85546875" style="21" customWidth="1"/>
    <col min="9445" max="9445" width="12.42578125" style="21" customWidth="1"/>
    <col min="9446" max="9689" width="11.42578125" style="21"/>
    <col min="9690" max="9690" width="17.42578125" style="21" customWidth="1"/>
    <col min="9691" max="9691" width="41.28515625" style="21" customWidth="1"/>
    <col min="9692" max="9692" width="13" style="21" customWidth="1"/>
    <col min="9693" max="9693" width="11.42578125" style="21"/>
    <col min="9694" max="9694" width="23" style="21" customWidth="1"/>
    <col min="9695" max="9695" width="9.42578125" style="21" customWidth="1"/>
    <col min="9696" max="9696" width="7.42578125" style="21" customWidth="1"/>
    <col min="9697" max="9697" width="9.28515625" style="21" bestFit="1" customWidth="1"/>
    <col min="9698" max="9698" width="6.28515625" style="21" customWidth="1"/>
    <col min="9699" max="9699" width="9" style="21" bestFit="1" customWidth="1"/>
    <col min="9700" max="9700" width="16.85546875" style="21" customWidth="1"/>
    <col min="9701" max="9701" width="12.42578125" style="21" customWidth="1"/>
    <col min="9702" max="9945" width="11.42578125" style="21"/>
    <col min="9946" max="9946" width="17.42578125" style="21" customWidth="1"/>
    <col min="9947" max="9947" width="41.28515625" style="21" customWidth="1"/>
    <col min="9948" max="9948" width="13" style="21" customWidth="1"/>
    <col min="9949" max="9949" width="11.42578125" style="21"/>
    <col min="9950" max="9950" width="23" style="21" customWidth="1"/>
    <col min="9951" max="9951" width="9.42578125" style="21" customWidth="1"/>
    <col min="9952" max="9952" width="7.42578125" style="21" customWidth="1"/>
    <col min="9953" max="9953" width="9.28515625" style="21" bestFit="1" customWidth="1"/>
    <col min="9954" max="9954" width="6.28515625" style="21" customWidth="1"/>
    <col min="9955" max="9955" width="9" style="21" bestFit="1" customWidth="1"/>
    <col min="9956" max="9956" width="16.85546875" style="21" customWidth="1"/>
    <col min="9957" max="9957" width="12.42578125" style="21" customWidth="1"/>
    <col min="9958" max="10201" width="11.42578125" style="21"/>
    <col min="10202" max="10202" width="17.42578125" style="21" customWidth="1"/>
    <col min="10203" max="10203" width="41.28515625" style="21" customWidth="1"/>
    <col min="10204" max="10204" width="13" style="21" customWidth="1"/>
    <col min="10205" max="10205" width="11.42578125" style="21"/>
    <col min="10206" max="10206" width="23" style="21" customWidth="1"/>
    <col min="10207" max="10207" width="9.42578125" style="21" customWidth="1"/>
    <col min="10208" max="10208" width="7.42578125" style="21" customWidth="1"/>
    <col min="10209" max="10209" width="9.28515625" style="21" bestFit="1" customWidth="1"/>
    <col min="10210" max="10210" width="6.28515625" style="21" customWidth="1"/>
    <col min="10211" max="10211" width="9" style="21" bestFit="1" customWidth="1"/>
    <col min="10212" max="10212" width="16.85546875" style="21" customWidth="1"/>
    <col min="10213" max="10213" width="12.42578125" style="21" customWidth="1"/>
    <col min="10214" max="10457" width="11.42578125" style="21"/>
    <col min="10458" max="10458" width="17.42578125" style="21" customWidth="1"/>
    <col min="10459" max="10459" width="41.28515625" style="21" customWidth="1"/>
    <col min="10460" max="10460" width="13" style="21" customWidth="1"/>
    <col min="10461" max="10461" width="11.42578125" style="21"/>
    <col min="10462" max="10462" width="23" style="21" customWidth="1"/>
    <col min="10463" max="10463" width="9.42578125" style="21" customWidth="1"/>
    <col min="10464" max="10464" width="7.42578125" style="21" customWidth="1"/>
    <col min="10465" max="10465" width="9.28515625" style="21" bestFit="1" customWidth="1"/>
    <col min="10466" max="10466" width="6.28515625" style="21" customWidth="1"/>
    <col min="10467" max="10467" width="9" style="21" bestFit="1" customWidth="1"/>
    <col min="10468" max="10468" width="16.85546875" style="21" customWidth="1"/>
    <col min="10469" max="10469" width="12.42578125" style="21" customWidth="1"/>
    <col min="10470" max="10713" width="11.42578125" style="21"/>
    <col min="10714" max="10714" width="17.42578125" style="21" customWidth="1"/>
    <col min="10715" max="10715" width="41.28515625" style="21" customWidth="1"/>
    <col min="10716" max="10716" width="13" style="21" customWidth="1"/>
    <col min="10717" max="10717" width="11.42578125" style="21"/>
    <col min="10718" max="10718" width="23" style="21" customWidth="1"/>
    <col min="10719" max="10719" width="9.42578125" style="21" customWidth="1"/>
    <col min="10720" max="10720" width="7.42578125" style="21" customWidth="1"/>
    <col min="10721" max="10721" width="9.28515625" style="21" bestFit="1" customWidth="1"/>
    <col min="10722" max="10722" width="6.28515625" style="21" customWidth="1"/>
    <col min="10723" max="10723" width="9" style="21" bestFit="1" customWidth="1"/>
    <col min="10724" max="10724" width="16.85546875" style="21" customWidth="1"/>
    <col min="10725" max="10725" width="12.42578125" style="21" customWidth="1"/>
    <col min="10726" max="10969" width="11.42578125" style="21"/>
    <col min="10970" max="10970" width="17.42578125" style="21" customWidth="1"/>
    <col min="10971" max="10971" width="41.28515625" style="21" customWidth="1"/>
    <col min="10972" max="10972" width="13" style="21" customWidth="1"/>
    <col min="10973" max="10973" width="11.42578125" style="21"/>
    <col min="10974" max="10974" width="23" style="21" customWidth="1"/>
    <col min="10975" max="10975" width="9.42578125" style="21" customWidth="1"/>
    <col min="10976" max="10976" width="7.42578125" style="21" customWidth="1"/>
    <col min="10977" max="10977" width="9.28515625" style="21" bestFit="1" customWidth="1"/>
    <col min="10978" max="10978" width="6.28515625" style="21" customWidth="1"/>
    <col min="10979" max="10979" width="9" style="21" bestFit="1" customWidth="1"/>
    <col min="10980" max="10980" width="16.85546875" style="21" customWidth="1"/>
    <col min="10981" max="10981" width="12.42578125" style="21" customWidth="1"/>
    <col min="10982" max="11225" width="11.42578125" style="21"/>
    <col min="11226" max="11226" width="17.42578125" style="21" customWidth="1"/>
    <col min="11227" max="11227" width="41.28515625" style="21" customWidth="1"/>
    <col min="11228" max="11228" width="13" style="21" customWidth="1"/>
    <col min="11229" max="11229" width="11.42578125" style="21"/>
    <col min="11230" max="11230" width="23" style="21" customWidth="1"/>
    <col min="11231" max="11231" width="9.42578125" style="21" customWidth="1"/>
    <col min="11232" max="11232" width="7.42578125" style="21" customWidth="1"/>
    <col min="11233" max="11233" width="9.28515625" style="21" bestFit="1" customWidth="1"/>
    <col min="11234" max="11234" width="6.28515625" style="21" customWidth="1"/>
    <col min="11235" max="11235" width="9" style="21" bestFit="1" customWidth="1"/>
    <col min="11236" max="11236" width="16.85546875" style="21" customWidth="1"/>
    <col min="11237" max="11237" width="12.42578125" style="21" customWidth="1"/>
    <col min="11238" max="11481" width="11.42578125" style="21"/>
    <col min="11482" max="11482" width="17.42578125" style="21" customWidth="1"/>
    <col min="11483" max="11483" width="41.28515625" style="21" customWidth="1"/>
    <col min="11484" max="11484" width="13" style="21" customWidth="1"/>
    <col min="11485" max="11485" width="11.42578125" style="21"/>
    <col min="11486" max="11486" width="23" style="21" customWidth="1"/>
    <col min="11487" max="11487" width="9.42578125" style="21" customWidth="1"/>
    <col min="11488" max="11488" width="7.42578125" style="21" customWidth="1"/>
    <col min="11489" max="11489" width="9.28515625" style="21" bestFit="1" customWidth="1"/>
    <col min="11490" max="11490" width="6.28515625" style="21" customWidth="1"/>
    <col min="11491" max="11491" width="9" style="21" bestFit="1" customWidth="1"/>
    <col min="11492" max="11492" width="16.85546875" style="21" customWidth="1"/>
    <col min="11493" max="11493" width="12.42578125" style="21" customWidth="1"/>
    <col min="11494" max="11737" width="11.42578125" style="21"/>
    <col min="11738" max="11738" width="17.42578125" style="21" customWidth="1"/>
    <col min="11739" max="11739" width="41.28515625" style="21" customWidth="1"/>
    <col min="11740" max="11740" width="13" style="21" customWidth="1"/>
    <col min="11741" max="11741" width="11.42578125" style="21"/>
    <col min="11742" max="11742" width="23" style="21" customWidth="1"/>
    <col min="11743" max="11743" width="9.42578125" style="21" customWidth="1"/>
    <col min="11744" max="11744" width="7.42578125" style="21" customWidth="1"/>
    <col min="11745" max="11745" width="9.28515625" style="21" bestFit="1" customWidth="1"/>
    <col min="11746" max="11746" width="6.28515625" style="21" customWidth="1"/>
    <col min="11747" max="11747" width="9" style="21" bestFit="1" customWidth="1"/>
    <col min="11748" max="11748" width="16.85546875" style="21" customWidth="1"/>
    <col min="11749" max="11749" width="12.42578125" style="21" customWidth="1"/>
    <col min="11750" max="11993" width="11.42578125" style="21"/>
    <col min="11994" max="11994" width="17.42578125" style="21" customWidth="1"/>
    <col min="11995" max="11995" width="41.28515625" style="21" customWidth="1"/>
    <col min="11996" max="11996" width="13" style="21" customWidth="1"/>
    <col min="11997" max="11997" width="11.42578125" style="21"/>
    <col min="11998" max="11998" width="23" style="21" customWidth="1"/>
    <col min="11999" max="11999" width="9.42578125" style="21" customWidth="1"/>
    <col min="12000" max="12000" width="7.42578125" style="21" customWidth="1"/>
    <col min="12001" max="12001" width="9.28515625" style="21" bestFit="1" customWidth="1"/>
    <col min="12002" max="12002" width="6.28515625" style="21" customWidth="1"/>
    <col min="12003" max="12003" width="9" style="21" bestFit="1" customWidth="1"/>
    <col min="12004" max="12004" width="16.85546875" style="21" customWidth="1"/>
    <col min="12005" max="12005" width="12.42578125" style="21" customWidth="1"/>
    <col min="12006" max="12249" width="11.42578125" style="21"/>
    <col min="12250" max="12250" width="17.42578125" style="21" customWidth="1"/>
    <col min="12251" max="12251" width="41.28515625" style="21" customWidth="1"/>
    <col min="12252" max="12252" width="13" style="21" customWidth="1"/>
    <col min="12253" max="12253" width="11.42578125" style="21"/>
    <col min="12254" max="12254" width="23" style="21" customWidth="1"/>
    <col min="12255" max="12255" width="9.42578125" style="21" customWidth="1"/>
    <col min="12256" max="12256" width="7.42578125" style="21" customWidth="1"/>
    <col min="12257" max="12257" width="9.28515625" style="21" bestFit="1" customWidth="1"/>
    <col min="12258" max="12258" width="6.28515625" style="21" customWidth="1"/>
    <col min="12259" max="12259" width="9" style="21" bestFit="1" customWidth="1"/>
    <col min="12260" max="12260" width="16.85546875" style="21" customWidth="1"/>
    <col min="12261" max="12261" width="12.42578125" style="21" customWidth="1"/>
    <col min="12262" max="12505" width="11.42578125" style="21"/>
    <col min="12506" max="12506" width="17.42578125" style="21" customWidth="1"/>
    <col min="12507" max="12507" width="41.28515625" style="21" customWidth="1"/>
    <col min="12508" max="12508" width="13" style="21" customWidth="1"/>
    <col min="12509" max="12509" width="11.42578125" style="21"/>
    <col min="12510" max="12510" width="23" style="21" customWidth="1"/>
    <col min="12511" max="12511" width="9.42578125" style="21" customWidth="1"/>
    <col min="12512" max="12512" width="7.42578125" style="21" customWidth="1"/>
    <col min="12513" max="12513" width="9.28515625" style="21" bestFit="1" customWidth="1"/>
    <col min="12514" max="12514" width="6.28515625" style="21" customWidth="1"/>
    <col min="12515" max="12515" width="9" style="21" bestFit="1" customWidth="1"/>
    <col min="12516" max="12516" width="16.85546875" style="21" customWidth="1"/>
    <col min="12517" max="12517" width="12.42578125" style="21" customWidth="1"/>
    <col min="12518" max="12761" width="11.42578125" style="21"/>
    <col min="12762" max="12762" width="17.42578125" style="21" customWidth="1"/>
    <col min="12763" max="12763" width="41.28515625" style="21" customWidth="1"/>
    <col min="12764" max="12764" width="13" style="21" customWidth="1"/>
    <col min="12765" max="12765" width="11.42578125" style="21"/>
    <col min="12766" max="12766" width="23" style="21" customWidth="1"/>
    <col min="12767" max="12767" width="9.42578125" style="21" customWidth="1"/>
    <col min="12768" max="12768" width="7.42578125" style="21" customWidth="1"/>
    <col min="12769" max="12769" width="9.28515625" style="21" bestFit="1" customWidth="1"/>
    <col min="12770" max="12770" width="6.28515625" style="21" customWidth="1"/>
    <col min="12771" max="12771" width="9" style="21" bestFit="1" customWidth="1"/>
    <col min="12772" max="12772" width="16.85546875" style="21" customWidth="1"/>
    <col min="12773" max="12773" width="12.42578125" style="21" customWidth="1"/>
    <col min="12774" max="13017" width="11.42578125" style="21"/>
    <col min="13018" max="13018" width="17.42578125" style="21" customWidth="1"/>
    <col min="13019" max="13019" width="41.28515625" style="21" customWidth="1"/>
    <col min="13020" max="13020" width="13" style="21" customWidth="1"/>
    <col min="13021" max="13021" width="11.42578125" style="21"/>
    <col min="13022" max="13022" width="23" style="21" customWidth="1"/>
    <col min="13023" max="13023" width="9.42578125" style="21" customWidth="1"/>
    <col min="13024" max="13024" width="7.42578125" style="21" customWidth="1"/>
    <col min="13025" max="13025" width="9.28515625" style="21" bestFit="1" customWidth="1"/>
    <col min="13026" max="13026" width="6.28515625" style="21" customWidth="1"/>
    <col min="13027" max="13027" width="9" style="21" bestFit="1" customWidth="1"/>
    <col min="13028" max="13028" width="16.85546875" style="21" customWidth="1"/>
    <col min="13029" max="13029" width="12.42578125" style="21" customWidth="1"/>
    <col min="13030" max="13273" width="11.42578125" style="21"/>
    <col min="13274" max="13274" width="17.42578125" style="21" customWidth="1"/>
    <col min="13275" max="13275" width="41.28515625" style="21" customWidth="1"/>
    <col min="13276" max="13276" width="13" style="21" customWidth="1"/>
    <col min="13277" max="13277" width="11.42578125" style="21"/>
    <col min="13278" max="13278" width="23" style="21" customWidth="1"/>
    <col min="13279" max="13279" width="9.42578125" style="21" customWidth="1"/>
    <col min="13280" max="13280" width="7.42578125" style="21" customWidth="1"/>
    <col min="13281" max="13281" width="9.28515625" style="21" bestFit="1" customWidth="1"/>
    <col min="13282" max="13282" width="6.28515625" style="21" customWidth="1"/>
    <col min="13283" max="13283" width="9" style="21" bestFit="1" customWidth="1"/>
    <col min="13284" max="13284" width="16.85546875" style="21" customWidth="1"/>
    <col min="13285" max="13285" width="12.42578125" style="21" customWidth="1"/>
    <col min="13286" max="13529" width="11.42578125" style="21"/>
    <col min="13530" max="13530" width="17.42578125" style="21" customWidth="1"/>
    <col min="13531" max="13531" width="41.28515625" style="21" customWidth="1"/>
    <col min="13532" max="13532" width="13" style="21" customWidth="1"/>
    <col min="13533" max="13533" width="11.42578125" style="21"/>
    <col min="13534" max="13534" width="23" style="21" customWidth="1"/>
    <col min="13535" max="13535" width="9.42578125" style="21" customWidth="1"/>
    <col min="13536" max="13536" width="7.42578125" style="21" customWidth="1"/>
    <col min="13537" max="13537" width="9.28515625" style="21" bestFit="1" customWidth="1"/>
    <col min="13538" max="13538" width="6.28515625" style="21" customWidth="1"/>
    <col min="13539" max="13539" width="9" style="21" bestFit="1" customWidth="1"/>
    <col min="13540" max="13540" width="16.85546875" style="21" customWidth="1"/>
    <col min="13541" max="13541" width="12.42578125" style="21" customWidth="1"/>
    <col min="13542" max="13785" width="11.42578125" style="21"/>
    <col min="13786" max="13786" width="17.42578125" style="21" customWidth="1"/>
    <col min="13787" max="13787" width="41.28515625" style="21" customWidth="1"/>
    <col min="13788" max="13788" width="13" style="21" customWidth="1"/>
    <col min="13789" max="13789" width="11.42578125" style="21"/>
    <col min="13790" max="13790" width="23" style="21" customWidth="1"/>
    <col min="13791" max="13791" width="9.42578125" style="21" customWidth="1"/>
    <col min="13792" max="13792" width="7.42578125" style="21" customWidth="1"/>
    <col min="13793" max="13793" width="9.28515625" style="21" bestFit="1" customWidth="1"/>
    <col min="13794" max="13794" width="6.28515625" style="21" customWidth="1"/>
    <col min="13795" max="13795" width="9" style="21" bestFit="1" customWidth="1"/>
    <col min="13796" max="13796" width="16.85546875" style="21" customWidth="1"/>
    <col min="13797" max="13797" width="12.42578125" style="21" customWidth="1"/>
    <col min="13798" max="14041" width="11.42578125" style="21"/>
    <col min="14042" max="14042" width="17.42578125" style="21" customWidth="1"/>
    <col min="14043" max="14043" width="41.28515625" style="21" customWidth="1"/>
    <col min="14044" max="14044" width="13" style="21" customWidth="1"/>
    <col min="14045" max="14045" width="11.42578125" style="21"/>
    <col min="14046" max="14046" width="23" style="21" customWidth="1"/>
    <col min="14047" max="14047" width="9.42578125" style="21" customWidth="1"/>
    <col min="14048" max="14048" width="7.42578125" style="21" customWidth="1"/>
    <col min="14049" max="14049" width="9.28515625" style="21" bestFit="1" customWidth="1"/>
    <col min="14050" max="14050" width="6.28515625" style="21" customWidth="1"/>
    <col min="14051" max="14051" width="9" style="21" bestFit="1" customWidth="1"/>
    <col min="14052" max="14052" width="16.85546875" style="21" customWidth="1"/>
    <col min="14053" max="14053" width="12.42578125" style="21" customWidth="1"/>
    <col min="14054" max="14297" width="11.42578125" style="21"/>
    <col min="14298" max="14298" width="17.42578125" style="21" customWidth="1"/>
    <col min="14299" max="14299" width="41.28515625" style="21" customWidth="1"/>
    <col min="14300" max="14300" width="13" style="21" customWidth="1"/>
    <col min="14301" max="14301" width="11.42578125" style="21"/>
    <col min="14302" max="14302" width="23" style="21" customWidth="1"/>
    <col min="14303" max="14303" width="9.42578125" style="21" customWidth="1"/>
    <col min="14304" max="14304" width="7.42578125" style="21" customWidth="1"/>
    <col min="14305" max="14305" width="9.28515625" style="21" bestFit="1" customWidth="1"/>
    <col min="14306" max="14306" width="6.28515625" style="21" customWidth="1"/>
    <col min="14307" max="14307" width="9" style="21" bestFit="1" customWidth="1"/>
    <col min="14308" max="14308" width="16.85546875" style="21" customWidth="1"/>
    <col min="14309" max="14309" width="12.42578125" style="21" customWidth="1"/>
    <col min="14310" max="14553" width="11.42578125" style="21"/>
    <col min="14554" max="14554" width="17.42578125" style="21" customWidth="1"/>
    <col min="14555" max="14555" width="41.28515625" style="21" customWidth="1"/>
    <col min="14556" max="14556" width="13" style="21" customWidth="1"/>
    <col min="14557" max="14557" width="11.42578125" style="21"/>
    <col min="14558" max="14558" width="23" style="21" customWidth="1"/>
    <col min="14559" max="14559" width="9.42578125" style="21" customWidth="1"/>
    <col min="14560" max="14560" width="7.42578125" style="21" customWidth="1"/>
    <col min="14561" max="14561" width="9.28515625" style="21" bestFit="1" customWidth="1"/>
    <col min="14562" max="14562" width="6.28515625" style="21" customWidth="1"/>
    <col min="14563" max="14563" width="9" style="21" bestFit="1" customWidth="1"/>
    <col min="14564" max="14564" width="16.85546875" style="21" customWidth="1"/>
    <col min="14565" max="14565" width="12.42578125" style="21" customWidth="1"/>
    <col min="14566" max="14809" width="11.42578125" style="21"/>
    <col min="14810" max="14810" width="17.42578125" style="21" customWidth="1"/>
    <col min="14811" max="14811" width="41.28515625" style="21" customWidth="1"/>
    <col min="14812" max="14812" width="13" style="21" customWidth="1"/>
    <col min="14813" max="14813" width="11.42578125" style="21"/>
    <col min="14814" max="14814" width="23" style="21" customWidth="1"/>
    <col min="14815" max="14815" width="9.42578125" style="21" customWidth="1"/>
    <col min="14816" max="14816" width="7.42578125" style="21" customWidth="1"/>
    <col min="14817" max="14817" width="9.28515625" style="21" bestFit="1" customWidth="1"/>
    <col min="14818" max="14818" width="6.28515625" style="21" customWidth="1"/>
    <col min="14819" max="14819" width="9" style="21" bestFit="1" customWidth="1"/>
    <col min="14820" max="14820" width="16.85546875" style="21" customWidth="1"/>
    <col min="14821" max="14821" width="12.42578125" style="21" customWidth="1"/>
    <col min="14822" max="15065" width="11.42578125" style="21"/>
    <col min="15066" max="15066" width="17.42578125" style="21" customWidth="1"/>
    <col min="15067" max="15067" width="41.28515625" style="21" customWidth="1"/>
    <col min="15068" max="15068" width="13" style="21" customWidth="1"/>
    <col min="15069" max="15069" width="11.42578125" style="21"/>
    <col min="15070" max="15070" width="23" style="21" customWidth="1"/>
    <col min="15071" max="15071" width="9.42578125" style="21" customWidth="1"/>
    <col min="15072" max="15072" width="7.42578125" style="21" customWidth="1"/>
    <col min="15073" max="15073" width="9.28515625" style="21" bestFit="1" customWidth="1"/>
    <col min="15074" max="15074" width="6.28515625" style="21" customWidth="1"/>
    <col min="15075" max="15075" width="9" style="21" bestFit="1" customWidth="1"/>
    <col min="15076" max="15076" width="16.85546875" style="21" customWidth="1"/>
    <col min="15077" max="15077" width="12.42578125" style="21" customWidth="1"/>
    <col min="15078" max="15321" width="11.42578125" style="21"/>
    <col min="15322" max="15322" width="17.42578125" style="21" customWidth="1"/>
    <col min="15323" max="15323" width="41.28515625" style="21" customWidth="1"/>
    <col min="15324" max="15324" width="13" style="21" customWidth="1"/>
    <col min="15325" max="15325" width="11.42578125" style="21"/>
    <col min="15326" max="15326" width="23" style="21" customWidth="1"/>
    <col min="15327" max="15327" width="9.42578125" style="21" customWidth="1"/>
    <col min="15328" max="15328" width="7.42578125" style="21" customWidth="1"/>
    <col min="15329" max="15329" width="9.28515625" style="21" bestFit="1" customWidth="1"/>
    <col min="15330" max="15330" width="6.28515625" style="21" customWidth="1"/>
    <col min="15331" max="15331" width="9" style="21" bestFit="1" customWidth="1"/>
    <col min="15332" max="15332" width="16.85546875" style="21" customWidth="1"/>
    <col min="15333" max="15333" width="12.42578125" style="21" customWidth="1"/>
    <col min="15334" max="15577" width="11.42578125" style="21"/>
    <col min="15578" max="15578" width="17.42578125" style="21" customWidth="1"/>
    <col min="15579" max="15579" width="41.28515625" style="21" customWidth="1"/>
    <col min="15580" max="15580" width="13" style="21" customWidth="1"/>
    <col min="15581" max="15581" width="11.42578125" style="21"/>
    <col min="15582" max="15582" width="23" style="21" customWidth="1"/>
    <col min="15583" max="15583" width="9.42578125" style="21" customWidth="1"/>
    <col min="15584" max="15584" width="7.42578125" style="21" customWidth="1"/>
    <col min="15585" max="15585" width="9.28515625" style="21" bestFit="1" customWidth="1"/>
    <col min="15586" max="15586" width="6.28515625" style="21" customWidth="1"/>
    <col min="15587" max="15587" width="9" style="21" bestFit="1" customWidth="1"/>
    <col min="15588" max="15588" width="16.85546875" style="21" customWidth="1"/>
    <col min="15589" max="15589" width="12.42578125" style="21" customWidth="1"/>
    <col min="15590" max="15833" width="11.42578125" style="21"/>
    <col min="15834" max="15834" width="17.42578125" style="21" customWidth="1"/>
    <col min="15835" max="15835" width="41.28515625" style="21" customWidth="1"/>
    <col min="15836" max="15836" width="13" style="21" customWidth="1"/>
    <col min="15837" max="15837" width="11.42578125" style="21"/>
    <col min="15838" max="15838" width="23" style="21" customWidth="1"/>
    <col min="15839" max="15839" width="9.42578125" style="21" customWidth="1"/>
    <col min="15840" max="15840" width="7.42578125" style="21" customWidth="1"/>
    <col min="15841" max="15841" width="9.28515625" style="21" bestFit="1" customWidth="1"/>
    <col min="15842" max="15842" width="6.28515625" style="21" customWidth="1"/>
    <col min="15843" max="15843" width="9" style="21" bestFit="1" customWidth="1"/>
    <col min="15844" max="15844" width="16.85546875" style="21" customWidth="1"/>
    <col min="15845" max="15845" width="12.42578125" style="21" customWidth="1"/>
    <col min="15846" max="16089" width="11.42578125" style="21"/>
    <col min="16090" max="16090" width="17.42578125" style="21" customWidth="1"/>
    <col min="16091" max="16091" width="41.28515625" style="21" customWidth="1"/>
    <col min="16092" max="16092" width="13" style="21" customWidth="1"/>
    <col min="16093" max="16093" width="11.42578125" style="21"/>
    <col min="16094" max="16094" width="23" style="21" customWidth="1"/>
    <col min="16095" max="16095" width="9.42578125" style="21" customWidth="1"/>
    <col min="16096" max="16096" width="7.42578125" style="21" customWidth="1"/>
    <col min="16097" max="16097" width="9.28515625" style="21" bestFit="1" customWidth="1"/>
    <col min="16098" max="16098" width="6.28515625" style="21" customWidth="1"/>
    <col min="16099" max="16099" width="9" style="21" bestFit="1" customWidth="1"/>
    <col min="16100" max="16100" width="16.85546875" style="21" customWidth="1"/>
    <col min="16101" max="16101" width="12.42578125" style="21" customWidth="1"/>
    <col min="16102" max="16384" width="11.42578125" style="21"/>
  </cols>
  <sheetData>
    <row r="1" spans="1:38" s="22" customFormat="1" x14ac:dyDescent="0.2">
      <c r="A1" s="28"/>
      <c r="B1" s="28"/>
      <c r="C1" s="27"/>
      <c r="D1" s="26"/>
      <c r="E1" s="26"/>
      <c r="F1" s="26"/>
      <c r="G1" s="26"/>
      <c r="H1" s="26"/>
      <c r="I1" s="26"/>
    </row>
    <row r="2" spans="1:38" s="22" customFormat="1" x14ac:dyDescent="0.2">
      <c r="A2" s="28"/>
      <c r="B2" s="28"/>
      <c r="C2" s="27"/>
      <c r="D2" s="26"/>
      <c r="E2" s="26"/>
      <c r="F2" s="26"/>
      <c r="G2" s="26"/>
      <c r="H2" s="26"/>
      <c r="I2" s="26"/>
    </row>
    <row r="3" spans="1:38" s="22" customFormat="1" x14ac:dyDescent="0.2">
      <c r="A3" s="28"/>
      <c r="B3" s="28"/>
      <c r="C3" s="27"/>
      <c r="D3" s="26"/>
      <c r="E3" s="26"/>
      <c r="F3" s="26"/>
      <c r="G3" s="26"/>
      <c r="H3" s="26"/>
      <c r="I3" s="26"/>
    </row>
    <row r="4" spans="1:38" ht="11.25" customHeight="1" x14ac:dyDescent="0.2">
      <c r="A4" s="441" t="s">
        <v>120</v>
      </c>
      <c r="B4" s="444" t="s">
        <v>119</v>
      </c>
      <c r="C4" s="447" t="s">
        <v>118</v>
      </c>
      <c r="D4" s="440" t="s">
        <v>76</v>
      </c>
      <c r="E4" s="440" t="s">
        <v>117</v>
      </c>
      <c r="F4" s="440" t="s">
        <v>116</v>
      </c>
      <c r="G4" s="440" t="s">
        <v>115</v>
      </c>
      <c r="H4" s="440" t="s">
        <v>114</v>
      </c>
      <c r="I4" s="440" t="s">
        <v>64</v>
      </c>
      <c r="J4" s="102"/>
      <c r="K4" s="102"/>
    </row>
    <row r="5" spans="1:38" ht="11.25" customHeight="1" x14ac:dyDescent="0.2">
      <c r="A5" s="442"/>
      <c r="B5" s="445"/>
      <c r="C5" s="447"/>
      <c r="D5" s="440"/>
      <c r="E5" s="440"/>
      <c r="F5" s="440"/>
      <c r="G5" s="440"/>
      <c r="H5" s="440"/>
      <c r="I5" s="440"/>
      <c r="J5" s="102"/>
      <c r="K5" s="102"/>
    </row>
    <row r="6" spans="1:38" ht="47.25" customHeight="1" x14ac:dyDescent="0.2">
      <c r="A6" s="443"/>
      <c r="B6" s="446"/>
      <c r="C6" s="447"/>
      <c r="D6" s="440"/>
      <c r="E6" s="440" t="s">
        <v>113</v>
      </c>
      <c r="F6" s="440" t="s">
        <v>113</v>
      </c>
      <c r="G6" s="440" t="s">
        <v>113</v>
      </c>
      <c r="H6" s="440"/>
      <c r="I6" s="440"/>
    </row>
    <row r="7" spans="1:38" s="63" customFormat="1" ht="24" x14ac:dyDescent="0.2">
      <c r="A7" s="96" t="s">
        <v>112</v>
      </c>
      <c r="B7" s="77"/>
      <c r="C7" s="76"/>
      <c r="D7" s="86"/>
      <c r="E7" s="101"/>
      <c r="F7" s="86"/>
      <c r="G7" s="86"/>
      <c r="H7" s="100"/>
      <c r="I7" s="86"/>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row>
    <row r="8" spans="1:38" s="63" customFormat="1" ht="24" x14ac:dyDescent="0.2">
      <c r="A8" s="135" t="s">
        <v>111</v>
      </c>
      <c r="B8" s="84" t="s">
        <v>84</v>
      </c>
      <c r="C8" s="83" t="s">
        <v>110</v>
      </c>
      <c r="D8" s="97">
        <v>0</v>
      </c>
      <c r="E8" s="82">
        <f>D8/I8</f>
        <v>0</v>
      </c>
      <c r="F8" s="30">
        <v>0</v>
      </c>
      <c r="G8" s="97">
        <v>30000</v>
      </c>
      <c r="H8" s="82">
        <f>(F8+G8)/I8</f>
        <v>1</v>
      </c>
      <c r="I8" s="30">
        <f>D8+F8+G8</f>
        <v>30000</v>
      </c>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row>
    <row r="9" spans="1:38" s="63" customFormat="1" ht="25.5" customHeight="1" x14ac:dyDescent="0.2">
      <c r="A9" s="135" t="s">
        <v>109</v>
      </c>
      <c r="B9" s="84" t="s">
        <v>84</v>
      </c>
      <c r="C9" s="83" t="s">
        <v>108</v>
      </c>
      <c r="D9" s="97">
        <v>0</v>
      </c>
      <c r="E9" s="82">
        <f>D9/I9</f>
        <v>0</v>
      </c>
      <c r="F9" s="30">
        <v>0</v>
      </c>
      <c r="G9" s="97">
        <v>30000</v>
      </c>
      <c r="H9" s="82">
        <f>(F9+G9)/I9</f>
        <v>1</v>
      </c>
      <c r="I9" s="30">
        <f>D9+F9+G9</f>
        <v>30000</v>
      </c>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row>
    <row r="10" spans="1:38" s="63" customFormat="1" x14ac:dyDescent="0.2">
      <c r="A10" s="95" t="s">
        <v>107</v>
      </c>
      <c r="B10" s="94"/>
      <c r="C10" s="93"/>
      <c r="D10" s="89">
        <f>SUM(D8:D9)</f>
        <v>0</v>
      </c>
      <c r="E10" s="90">
        <f>D10/I10</f>
        <v>0</v>
      </c>
      <c r="F10" s="89">
        <f>SUM(F8:F9)</f>
        <v>0</v>
      </c>
      <c r="G10" s="89">
        <f>SUM(G8:G9)</f>
        <v>60000</v>
      </c>
      <c r="H10" s="90">
        <f>(F10+G10)/I10</f>
        <v>1</v>
      </c>
      <c r="I10" s="89">
        <f>SUM(I8:I9)</f>
        <v>60000</v>
      </c>
      <c r="J10" s="88">
        <f>I10/$I$48</f>
        <v>0.03</v>
      </c>
      <c r="K10" s="64"/>
      <c r="L10" s="64"/>
      <c r="M10" s="64"/>
      <c r="N10" s="64"/>
      <c r="O10" s="64"/>
      <c r="P10" s="64"/>
      <c r="Q10" s="64"/>
      <c r="R10" s="64"/>
      <c r="S10" s="64"/>
      <c r="T10" s="64"/>
      <c r="U10" s="64"/>
      <c r="V10" s="64"/>
      <c r="W10" s="64"/>
      <c r="X10" s="64"/>
      <c r="Y10" s="64"/>
      <c r="Z10" s="64"/>
      <c r="AA10" s="64"/>
      <c r="AB10" s="64"/>
      <c r="AC10" s="64"/>
      <c r="AD10" s="64"/>
      <c r="AE10" s="64"/>
      <c r="AF10" s="64"/>
      <c r="AG10" s="64"/>
      <c r="AH10" s="64"/>
      <c r="AI10" s="64"/>
      <c r="AJ10" s="64"/>
      <c r="AK10" s="64"/>
      <c r="AL10" s="64"/>
    </row>
    <row r="11" spans="1:38" s="63" customFormat="1" ht="25.5" customHeight="1" x14ac:dyDescent="0.2">
      <c r="A11" s="96" t="s">
        <v>106</v>
      </c>
      <c r="B11" s="77"/>
      <c r="C11" s="76"/>
      <c r="D11" s="99"/>
      <c r="E11" s="86"/>
      <c r="F11" s="86"/>
      <c r="G11" s="86"/>
      <c r="H11" s="86"/>
      <c r="I11" s="86"/>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row>
    <row r="12" spans="1:38" s="63" customFormat="1" ht="24" x14ac:dyDescent="0.2">
      <c r="A12" s="135" t="s">
        <v>181</v>
      </c>
      <c r="B12" s="84" t="s">
        <v>84</v>
      </c>
      <c r="C12" s="98" t="s">
        <v>105</v>
      </c>
      <c r="D12" s="30">
        <v>0</v>
      </c>
      <c r="E12" s="82">
        <f>D12/I12</f>
        <v>0</v>
      </c>
      <c r="F12" s="30">
        <v>0</v>
      </c>
      <c r="G12" s="30">
        <v>10000</v>
      </c>
      <c r="H12" s="82">
        <f>(F12+G12)/I12</f>
        <v>1</v>
      </c>
      <c r="I12" s="30">
        <f>D12+F12+G12</f>
        <v>10000</v>
      </c>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row>
    <row r="13" spans="1:38" s="63" customFormat="1" ht="24" x14ac:dyDescent="0.2">
      <c r="A13" s="135" t="s">
        <v>182</v>
      </c>
      <c r="B13" s="84" t="s">
        <v>84</v>
      </c>
      <c r="C13" s="98" t="s">
        <v>104</v>
      </c>
      <c r="D13" s="30">
        <v>0</v>
      </c>
      <c r="E13" s="82">
        <f>D13/I13</f>
        <v>0</v>
      </c>
      <c r="F13" s="30">
        <v>0</v>
      </c>
      <c r="G13" s="30">
        <f>167000+20000+30000+40000</f>
        <v>257000</v>
      </c>
      <c r="H13" s="82">
        <f>(F13+G13)/I13</f>
        <v>1</v>
      </c>
      <c r="I13" s="30">
        <f>D13+F13+G13</f>
        <v>257000</v>
      </c>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row>
    <row r="14" spans="1:38" s="63" customFormat="1" ht="24" x14ac:dyDescent="0.2">
      <c r="A14" s="135" t="s">
        <v>183</v>
      </c>
      <c r="B14" s="84" t="s">
        <v>84</v>
      </c>
      <c r="C14" s="98" t="s">
        <v>103</v>
      </c>
      <c r="D14" s="30">
        <v>0</v>
      </c>
      <c r="E14" s="82">
        <f>D14/I14</f>
        <v>0</v>
      </c>
      <c r="F14" s="30">
        <v>0</v>
      </c>
      <c r="G14" s="30">
        <v>30000</v>
      </c>
      <c r="H14" s="82">
        <f>(F14+G14)/I14</f>
        <v>1</v>
      </c>
      <c r="I14" s="30">
        <f>D14+F14+G14</f>
        <v>30000</v>
      </c>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row>
    <row r="15" spans="1:38" s="63" customFormat="1" ht="24" x14ac:dyDescent="0.2">
      <c r="A15" s="135" t="s">
        <v>184</v>
      </c>
      <c r="B15" s="84" t="s">
        <v>84</v>
      </c>
      <c r="C15" s="98" t="s">
        <v>102</v>
      </c>
      <c r="D15" s="30">
        <v>0</v>
      </c>
      <c r="E15" s="82">
        <f>D15/I15</f>
        <v>0</v>
      </c>
      <c r="F15" s="30">
        <v>0</v>
      </c>
      <c r="G15" s="30">
        <v>50000</v>
      </c>
      <c r="H15" s="82">
        <f>(F15+G15)/I15</f>
        <v>1</v>
      </c>
      <c r="I15" s="30">
        <f>D15+F15+G15</f>
        <v>50000</v>
      </c>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row>
    <row r="16" spans="1:38" s="63" customFormat="1" x14ac:dyDescent="0.2">
      <c r="A16" s="95" t="s">
        <v>101</v>
      </c>
      <c r="B16" s="94"/>
      <c r="C16" s="93"/>
      <c r="D16" s="89">
        <f>+SUM(D12:D15)</f>
        <v>0</v>
      </c>
      <c r="E16" s="90">
        <f>D16/I16</f>
        <v>0</v>
      </c>
      <c r="F16" s="89">
        <f>+SUM(F12:F15)</f>
        <v>0</v>
      </c>
      <c r="G16" s="89">
        <f>+SUM(G12:G15)</f>
        <v>347000</v>
      </c>
      <c r="H16" s="90">
        <f>(F16+G16)/I16</f>
        <v>1</v>
      </c>
      <c r="I16" s="89">
        <f>SUM(I12:I15)</f>
        <v>347000</v>
      </c>
      <c r="J16" s="88">
        <f>I16/$I$48</f>
        <v>0.17349999999999999</v>
      </c>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row>
    <row r="17" spans="1:38" s="63" customFormat="1" x14ac:dyDescent="0.2">
      <c r="A17" s="96" t="s">
        <v>100</v>
      </c>
      <c r="B17" s="86"/>
      <c r="C17" s="86"/>
      <c r="D17" s="86"/>
      <c r="E17" s="86"/>
      <c r="F17" s="86"/>
      <c r="G17" s="86"/>
      <c r="H17" s="86"/>
      <c r="I17" s="86"/>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row>
    <row r="18" spans="1:38" s="63" customFormat="1" ht="24" x14ac:dyDescent="0.2">
      <c r="A18" s="85" t="s">
        <v>161</v>
      </c>
      <c r="B18" s="84" t="s">
        <v>78</v>
      </c>
      <c r="C18" s="83" t="s">
        <v>99</v>
      </c>
      <c r="D18" s="30">
        <v>36000</v>
      </c>
      <c r="E18" s="82">
        <f t="shared" ref="E18:E22" si="0">D18/I18</f>
        <v>0.8</v>
      </c>
      <c r="F18" s="30">
        <v>9000</v>
      </c>
      <c r="G18" s="30"/>
      <c r="H18" s="82">
        <f t="shared" ref="H18:H22" si="1">(F18+G18)/I18</f>
        <v>0.2</v>
      </c>
      <c r="I18" s="30">
        <f>SUM(D18,F18,G18)</f>
        <v>45000</v>
      </c>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row>
    <row r="19" spans="1:38" s="63" customFormat="1" ht="24" x14ac:dyDescent="0.2">
      <c r="A19" s="135" t="s">
        <v>202</v>
      </c>
      <c r="B19" s="380" t="s">
        <v>84</v>
      </c>
      <c r="C19" s="381" t="s">
        <v>98</v>
      </c>
      <c r="D19" s="97">
        <f>416000+10000</f>
        <v>426000</v>
      </c>
      <c r="E19" s="382">
        <f t="shared" si="0"/>
        <v>0.80377358490566042</v>
      </c>
      <c r="F19" s="97">
        <f>104000-43000</f>
        <v>61000</v>
      </c>
      <c r="G19" s="97">
        <v>43000</v>
      </c>
      <c r="H19" s="382">
        <f t="shared" si="1"/>
        <v>0.19622641509433963</v>
      </c>
      <c r="I19" s="97">
        <f>D19+F19+G19</f>
        <v>530000</v>
      </c>
      <c r="J19" s="384"/>
      <c r="K19" s="38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64"/>
    </row>
    <row r="20" spans="1:38" s="63" customFormat="1" ht="24" x14ac:dyDescent="0.2">
      <c r="A20" s="135" t="s">
        <v>203</v>
      </c>
      <c r="B20" s="380" t="s">
        <v>84</v>
      </c>
      <c r="C20" s="381" t="s">
        <v>97</v>
      </c>
      <c r="D20" s="97">
        <v>98000</v>
      </c>
      <c r="E20" s="382">
        <f t="shared" si="0"/>
        <v>0.65333333333333332</v>
      </c>
      <c r="F20" s="97">
        <v>32000</v>
      </c>
      <c r="G20" s="97">
        <v>20000</v>
      </c>
      <c r="H20" s="382">
        <f t="shared" si="1"/>
        <v>0.34666666666666668</v>
      </c>
      <c r="I20" s="97">
        <f>D20+F20+G20</f>
        <v>150000</v>
      </c>
      <c r="J20" s="384"/>
      <c r="K20" s="38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c r="AK20" s="64"/>
      <c r="AL20" s="64"/>
    </row>
    <row r="21" spans="1:38" s="63" customFormat="1" ht="24" x14ac:dyDescent="0.2">
      <c r="A21" s="135" t="s">
        <v>204</v>
      </c>
      <c r="B21" s="84" t="s">
        <v>84</v>
      </c>
      <c r="C21" s="83" t="s">
        <v>96</v>
      </c>
      <c r="D21" s="97"/>
      <c r="E21" s="82">
        <f t="shared" si="0"/>
        <v>0</v>
      </c>
      <c r="F21" s="30">
        <v>188000</v>
      </c>
      <c r="G21" s="97">
        <v>0</v>
      </c>
      <c r="H21" s="82">
        <f t="shared" si="1"/>
        <v>1</v>
      </c>
      <c r="I21" s="30">
        <f>D21+F21+G21</f>
        <v>188000</v>
      </c>
      <c r="J21" s="64"/>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row>
    <row r="22" spans="1:38" s="63" customFormat="1" x14ac:dyDescent="0.2">
      <c r="A22" s="95" t="s">
        <v>95</v>
      </c>
      <c r="B22" s="94"/>
      <c r="C22" s="93"/>
      <c r="D22" s="89">
        <f>+SUM(D18:D21)</f>
        <v>560000</v>
      </c>
      <c r="E22" s="90">
        <f t="shared" si="0"/>
        <v>0.61336254107338439</v>
      </c>
      <c r="F22" s="89">
        <f>+SUM(F18:F21)</f>
        <v>290000</v>
      </c>
      <c r="G22" s="89">
        <f>+SUM(G18:G21)</f>
        <v>63000</v>
      </c>
      <c r="H22" s="90">
        <f t="shared" si="1"/>
        <v>0.38663745892661555</v>
      </c>
      <c r="I22" s="89">
        <f>SUM(I18:I21)</f>
        <v>913000</v>
      </c>
      <c r="J22" s="88">
        <f>I22/$I$48</f>
        <v>0.45650000000000002</v>
      </c>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c r="AK22" s="64"/>
      <c r="AL22" s="64"/>
    </row>
    <row r="23" spans="1:38" s="63" customFormat="1" x14ac:dyDescent="0.2">
      <c r="A23" s="96" t="s">
        <v>94</v>
      </c>
      <c r="B23" s="86"/>
      <c r="C23" s="86"/>
      <c r="D23" s="86"/>
      <c r="E23" s="86"/>
      <c r="F23" s="86"/>
      <c r="G23" s="86"/>
      <c r="H23" s="86"/>
      <c r="I23" s="86"/>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row>
    <row r="24" spans="1:38" s="63" customFormat="1" ht="24" x14ac:dyDescent="0.2">
      <c r="A24" s="135" t="s">
        <v>162</v>
      </c>
      <c r="B24" s="380" t="s">
        <v>78</v>
      </c>
      <c r="C24" s="381" t="s">
        <v>93</v>
      </c>
      <c r="D24" s="97">
        <v>30000</v>
      </c>
      <c r="E24" s="382">
        <f>D24/I24</f>
        <v>0.42857142857142855</v>
      </c>
      <c r="F24" s="97">
        <v>40000</v>
      </c>
      <c r="G24" s="97">
        <v>0</v>
      </c>
      <c r="H24" s="382">
        <f>(F24+G24)/I24</f>
        <v>0.5714285714285714</v>
      </c>
      <c r="I24" s="97">
        <f>D24+F24+G24</f>
        <v>70000</v>
      </c>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row>
    <row r="25" spans="1:38" s="63" customFormat="1" ht="25.5" customHeight="1" x14ac:dyDescent="0.2">
      <c r="A25" s="135" t="s">
        <v>163</v>
      </c>
      <c r="B25" s="380" t="s">
        <v>78</v>
      </c>
      <c r="C25" s="381" t="s">
        <v>92</v>
      </c>
      <c r="D25" s="97">
        <v>30000</v>
      </c>
      <c r="E25" s="382">
        <f>D25/I25</f>
        <v>0.5</v>
      </c>
      <c r="F25" s="97">
        <v>25000</v>
      </c>
      <c r="G25" s="97">
        <v>5000</v>
      </c>
      <c r="H25" s="382">
        <f>(F25+G25)/I25</f>
        <v>0.5</v>
      </c>
      <c r="I25" s="97">
        <f>D25+F25+G25</f>
        <v>60000</v>
      </c>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row>
    <row r="26" spans="1:38" s="63" customFormat="1" ht="25.5" customHeight="1" x14ac:dyDescent="0.2">
      <c r="A26" s="383" t="s">
        <v>164</v>
      </c>
      <c r="B26" s="380" t="s">
        <v>84</v>
      </c>
      <c r="C26" s="381" t="s">
        <v>91</v>
      </c>
      <c r="D26" s="97">
        <v>30000</v>
      </c>
      <c r="E26" s="382">
        <f>D26/I26</f>
        <v>0.4</v>
      </c>
      <c r="F26" s="97">
        <v>40000</v>
      </c>
      <c r="G26" s="97">
        <v>5000</v>
      </c>
      <c r="H26" s="382">
        <f>(F26+G26)/I26</f>
        <v>0.6</v>
      </c>
      <c r="I26" s="97">
        <f>D26+F26+G26</f>
        <v>75000</v>
      </c>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row>
    <row r="27" spans="1:38" s="63" customFormat="1" x14ac:dyDescent="0.2">
      <c r="A27" s="95" t="s">
        <v>90</v>
      </c>
      <c r="B27" s="94"/>
      <c r="C27" s="93"/>
      <c r="D27" s="89">
        <f>+SUM(D24:D26)</f>
        <v>90000</v>
      </c>
      <c r="E27" s="90">
        <f>D27/I27</f>
        <v>0.43902439024390244</v>
      </c>
      <c r="F27" s="89">
        <f>+SUM(F24:F26)</f>
        <v>105000</v>
      </c>
      <c r="G27" s="89">
        <f>+SUM(G24:G26)</f>
        <v>10000</v>
      </c>
      <c r="H27" s="90">
        <f>(F27+G27)/I27</f>
        <v>0.56097560975609762</v>
      </c>
      <c r="I27" s="89">
        <f>+SUM(I24:I26)</f>
        <v>205000</v>
      </c>
      <c r="J27" s="88">
        <f>I27/$I$48</f>
        <v>0.10249999999999999</v>
      </c>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row>
    <row r="28" spans="1:38" s="63" customFormat="1" ht="29.25" customHeight="1" x14ac:dyDescent="0.2">
      <c r="A28" s="96" t="s">
        <v>89</v>
      </c>
      <c r="B28" s="86"/>
      <c r="C28" s="86"/>
      <c r="D28" s="86"/>
      <c r="E28" s="86"/>
      <c r="F28" s="86"/>
      <c r="G28" s="86"/>
      <c r="H28" s="86"/>
      <c r="I28" s="86"/>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row>
    <row r="29" spans="1:38" s="63" customFormat="1" ht="24" x14ac:dyDescent="0.2">
      <c r="A29" s="135" t="s">
        <v>88</v>
      </c>
      <c r="B29" s="380" t="s">
        <v>84</v>
      </c>
      <c r="C29" s="381" t="s">
        <v>87</v>
      </c>
      <c r="D29" s="97">
        <v>0</v>
      </c>
      <c r="E29" s="382">
        <v>0</v>
      </c>
      <c r="F29" s="97"/>
      <c r="G29" s="97">
        <v>10000</v>
      </c>
      <c r="H29" s="382">
        <f>(F29+G29)/I29</f>
        <v>1</v>
      </c>
      <c r="I29" s="97">
        <f>D29+F29+G29</f>
        <v>10000</v>
      </c>
      <c r="J29" s="384"/>
      <c r="K29" s="38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4"/>
      <c r="AL29" s="64"/>
    </row>
    <row r="30" spans="1:38" s="63" customFormat="1" ht="24" x14ac:dyDescent="0.2">
      <c r="A30" s="135" t="s">
        <v>165</v>
      </c>
      <c r="B30" s="380" t="s">
        <v>84</v>
      </c>
      <c r="C30" s="381" t="s">
        <v>86</v>
      </c>
      <c r="D30" s="97">
        <v>70000</v>
      </c>
      <c r="E30" s="382">
        <f>D30/I30</f>
        <v>0.73684210526315785</v>
      </c>
      <c r="F30" s="97">
        <v>15000</v>
      </c>
      <c r="G30" s="97">
        <v>10000</v>
      </c>
      <c r="H30" s="382">
        <f>(F30+G30)/I30</f>
        <v>0.26315789473684209</v>
      </c>
      <c r="I30" s="97">
        <f>D30+F30+G30</f>
        <v>95000</v>
      </c>
      <c r="J30" s="384"/>
      <c r="K30" s="38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4"/>
      <c r="AL30" s="64"/>
    </row>
    <row r="31" spans="1:38" s="63" customFormat="1" ht="24" x14ac:dyDescent="0.2">
      <c r="A31" s="85" t="s">
        <v>85</v>
      </c>
      <c r="B31" s="84" t="s">
        <v>84</v>
      </c>
      <c r="C31" s="83" t="s">
        <v>83</v>
      </c>
      <c r="D31" s="97">
        <v>30000</v>
      </c>
      <c r="E31" s="82">
        <f>D31/I31</f>
        <v>0.75</v>
      </c>
      <c r="F31" s="97">
        <v>10000</v>
      </c>
      <c r="G31" s="97">
        <v>0</v>
      </c>
      <c r="H31" s="82">
        <f>(F31+G31)/I31</f>
        <v>0.25</v>
      </c>
      <c r="I31" s="30">
        <f>D31+F31+G31</f>
        <v>40000</v>
      </c>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row>
    <row r="32" spans="1:38" s="63" customFormat="1" x14ac:dyDescent="0.2">
      <c r="A32" s="95" t="s">
        <v>82</v>
      </c>
      <c r="B32" s="94"/>
      <c r="C32" s="93"/>
      <c r="D32" s="89">
        <f>+SUM(D29:D31)</f>
        <v>100000</v>
      </c>
      <c r="E32" s="90">
        <f>D32/I32</f>
        <v>0.68965517241379315</v>
      </c>
      <c r="F32" s="89">
        <f>+SUM(F29:F31)</f>
        <v>25000</v>
      </c>
      <c r="G32" s="89">
        <f>+SUM(G29:G31)</f>
        <v>20000</v>
      </c>
      <c r="H32" s="90">
        <f>(F32+G32)/I32</f>
        <v>0.31034482758620691</v>
      </c>
      <c r="I32" s="89">
        <f>+SUM(I29:I31)</f>
        <v>145000</v>
      </c>
      <c r="J32" s="88">
        <f>I32/$I$48</f>
        <v>7.2499999999999995E-2</v>
      </c>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row>
    <row r="33" spans="1:38" s="63" customFormat="1" ht="23.25" customHeight="1" x14ac:dyDescent="0.2">
      <c r="A33" s="96" t="s">
        <v>81</v>
      </c>
      <c r="B33" s="86"/>
      <c r="C33" s="86"/>
      <c r="D33" s="86"/>
      <c r="E33" s="86"/>
      <c r="F33" s="86"/>
      <c r="G33" s="86"/>
      <c r="H33" s="86"/>
      <c r="I33" s="86"/>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row>
    <row r="34" spans="1:38" s="63" customFormat="1" ht="21.95" customHeight="1" x14ac:dyDescent="0.2">
      <c r="A34" s="85" t="s">
        <v>80</v>
      </c>
      <c r="B34" s="84" t="s">
        <v>78</v>
      </c>
      <c r="C34" s="83"/>
      <c r="D34" s="30">
        <v>3000</v>
      </c>
      <c r="E34" s="82">
        <f>D34/I34</f>
        <v>0.6</v>
      </c>
      <c r="F34" s="30">
        <v>2000</v>
      </c>
      <c r="G34" s="30">
        <v>0</v>
      </c>
      <c r="H34" s="82">
        <f>(F34+G34)/I34</f>
        <v>0.4</v>
      </c>
      <c r="I34" s="30">
        <f>D34+F34+G34</f>
        <v>5000</v>
      </c>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row>
    <row r="35" spans="1:38" s="63" customFormat="1" ht="21.95" customHeight="1" x14ac:dyDescent="0.2">
      <c r="A35" s="85" t="s">
        <v>79</v>
      </c>
      <c r="B35" s="84" t="s">
        <v>78</v>
      </c>
      <c r="C35" s="83"/>
      <c r="D35" s="30">
        <v>40000</v>
      </c>
      <c r="E35" s="82">
        <f>D35/I35</f>
        <v>0.83333333333333337</v>
      </c>
      <c r="F35" s="30">
        <v>8000</v>
      </c>
      <c r="G35" s="30">
        <v>0</v>
      </c>
      <c r="H35" s="82">
        <f>(F35+G35)/I35</f>
        <v>0.16666666666666666</v>
      </c>
      <c r="I35" s="30">
        <f>D35+F35+G35</f>
        <v>48000</v>
      </c>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row>
    <row r="36" spans="1:38" s="63" customFormat="1" ht="21.95" customHeight="1" x14ac:dyDescent="0.2">
      <c r="A36" s="85" t="s">
        <v>77</v>
      </c>
      <c r="B36" s="84" t="s">
        <v>76</v>
      </c>
      <c r="C36" s="83"/>
      <c r="D36" s="30">
        <v>5000</v>
      </c>
      <c r="E36" s="82">
        <f>D36/I36</f>
        <v>0.5</v>
      </c>
      <c r="F36" s="30">
        <v>5000</v>
      </c>
      <c r="G36" s="30">
        <v>0</v>
      </c>
      <c r="H36" s="82">
        <f>(F36+G36)/I36</f>
        <v>0.5</v>
      </c>
      <c r="I36" s="30">
        <f>D36+F36+G36</f>
        <v>10000</v>
      </c>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64"/>
      <c r="AL36" s="64"/>
    </row>
    <row r="37" spans="1:38" s="63" customFormat="1" x14ac:dyDescent="0.2">
      <c r="A37" s="95" t="s">
        <v>75</v>
      </c>
      <c r="B37" s="94"/>
      <c r="C37" s="93"/>
      <c r="D37" s="89">
        <f>+SUM(D34:D36)</f>
        <v>48000</v>
      </c>
      <c r="E37" s="90">
        <f>D37/I37</f>
        <v>0.76190476190476186</v>
      </c>
      <c r="F37" s="89">
        <f>+SUM(F34:F36)</f>
        <v>15000</v>
      </c>
      <c r="G37" s="89">
        <f>+SUM(G34:G36)</f>
        <v>0</v>
      </c>
      <c r="H37" s="90">
        <f>(F37+G37)/I37</f>
        <v>0.23809523809523808</v>
      </c>
      <c r="I37" s="89">
        <f>+SUM(I34:I36)</f>
        <v>63000</v>
      </c>
      <c r="J37" s="88">
        <f>I37/$I$48</f>
        <v>3.15E-2</v>
      </c>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row>
    <row r="38" spans="1:38" s="63" customFormat="1" x14ac:dyDescent="0.2">
      <c r="A38" s="87" t="s">
        <v>74</v>
      </c>
      <c r="B38" s="86"/>
      <c r="C38" s="86"/>
      <c r="D38" s="86"/>
      <c r="E38" s="86"/>
      <c r="F38" s="86"/>
      <c r="G38" s="86"/>
      <c r="H38" s="86"/>
      <c r="I38" s="86"/>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c r="AL38" s="64"/>
    </row>
    <row r="39" spans="1:38" s="63" customFormat="1" ht="18" customHeight="1" x14ac:dyDescent="0.2">
      <c r="A39" s="85" t="s">
        <v>73</v>
      </c>
      <c r="B39" s="84"/>
      <c r="C39" s="83"/>
      <c r="D39" s="30">
        <v>50000</v>
      </c>
      <c r="E39" s="82">
        <f t="shared" ref="E39:E44" si="2">D39/I39</f>
        <v>0.7142857142857143</v>
      </c>
      <c r="F39" s="30">
        <v>20000</v>
      </c>
      <c r="G39" s="30">
        <v>0</v>
      </c>
      <c r="H39" s="82">
        <f t="shared" ref="H39:H44" si="3">(F39+G39)/I39</f>
        <v>0.2857142857142857</v>
      </c>
      <c r="I39" s="30">
        <f>D39+F39+G39</f>
        <v>70000</v>
      </c>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row>
    <row r="40" spans="1:38" s="63" customFormat="1" ht="18" customHeight="1" x14ac:dyDescent="0.2">
      <c r="A40" s="85" t="s">
        <v>72</v>
      </c>
      <c r="B40" s="84"/>
      <c r="C40" s="83"/>
      <c r="D40" s="30">
        <v>10000</v>
      </c>
      <c r="E40" s="82">
        <f t="shared" si="2"/>
        <v>0.22222222222222221</v>
      </c>
      <c r="F40" s="30">
        <v>35000</v>
      </c>
      <c r="G40" s="30">
        <v>0</v>
      </c>
      <c r="H40" s="82">
        <f t="shared" si="3"/>
        <v>0.77777777777777779</v>
      </c>
      <c r="I40" s="30">
        <f>D40+F40+G40</f>
        <v>45000</v>
      </c>
      <c r="J40" s="64"/>
      <c r="K40" s="169"/>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row>
    <row r="41" spans="1:38" s="63" customFormat="1" ht="18" customHeight="1" x14ac:dyDescent="0.2">
      <c r="A41" s="85" t="s">
        <v>71</v>
      </c>
      <c r="B41" s="92"/>
      <c r="C41" s="83"/>
      <c r="D41" s="30">
        <v>15000</v>
      </c>
      <c r="E41" s="82">
        <f t="shared" si="2"/>
        <v>1</v>
      </c>
      <c r="F41" s="30"/>
      <c r="G41" s="30">
        <v>0</v>
      </c>
      <c r="H41" s="82">
        <f t="shared" si="3"/>
        <v>0</v>
      </c>
      <c r="I41" s="30">
        <f>D41+F41+G41</f>
        <v>15000</v>
      </c>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row>
    <row r="42" spans="1:38" s="63" customFormat="1" ht="18" customHeight="1" x14ac:dyDescent="0.2">
      <c r="A42" s="85" t="s">
        <v>70</v>
      </c>
      <c r="B42" s="84"/>
      <c r="C42" s="83"/>
      <c r="D42" s="30">
        <v>37000</v>
      </c>
      <c r="E42" s="82">
        <f t="shared" si="2"/>
        <v>0.78723404255319152</v>
      </c>
      <c r="F42" s="30">
        <v>10000</v>
      </c>
      <c r="G42" s="30">
        <v>0</v>
      </c>
      <c r="H42" s="82">
        <f t="shared" si="3"/>
        <v>0.21276595744680851</v>
      </c>
      <c r="I42" s="30">
        <f>D42+F42+G42</f>
        <v>47000</v>
      </c>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4"/>
      <c r="AL42" s="64"/>
    </row>
    <row r="43" spans="1:38" s="63" customFormat="1" ht="18" customHeight="1" x14ac:dyDescent="0.2">
      <c r="A43" s="85" t="s">
        <v>69</v>
      </c>
      <c r="B43" s="84"/>
      <c r="C43" s="83"/>
      <c r="D43" s="30">
        <v>20000</v>
      </c>
      <c r="E43" s="82">
        <f t="shared" si="2"/>
        <v>1</v>
      </c>
      <c r="F43" s="30"/>
      <c r="G43" s="30">
        <v>0</v>
      </c>
      <c r="H43" s="82">
        <f t="shared" si="3"/>
        <v>0</v>
      </c>
      <c r="I43" s="30">
        <f>D43+F43+G43</f>
        <v>20000</v>
      </c>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row>
    <row r="44" spans="1:38" s="63" customFormat="1" x14ac:dyDescent="0.2">
      <c r="A44" s="91" t="s">
        <v>68</v>
      </c>
      <c r="B44" s="84"/>
      <c r="C44" s="83"/>
      <c r="D44" s="89">
        <f>+SUM(D39:D43)</f>
        <v>132000</v>
      </c>
      <c r="E44" s="90">
        <f t="shared" si="2"/>
        <v>0.67005076142131981</v>
      </c>
      <c r="F44" s="89">
        <f>SUM(F39:F43)</f>
        <v>65000</v>
      </c>
      <c r="G44" s="89">
        <f>SUM(G39:G43)</f>
        <v>0</v>
      </c>
      <c r="H44" s="90">
        <f t="shared" si="3"/>
        <v>0.32994923857868019</v>
      </c>
      <c r="I44" s="89">
        <f>+SUM(I39:I43)</f>
        <v>197000</v>
      </c>
      <c r="J44" s="88">
        <f>I44/$I$48</f>
        <v>9.8500000000000004E-2</v>
      </c>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row>
    <row r="45" spans="1:38" s="63" customFormat="1" x14ac:dyDescent="0.2">
      <c r="A45" s="87" t="s">
        <v>67</v>
      </c>
      <c r="B45" s="86"/>
      <c r="C45" s="86"/>
      <c r="D45" s="86"/>
      <c r="E45" s="86"/>
      <c r="F45" s="86"/>
      <c r="G45" s="86"/>
      <c r="H45" s="86"/>
      <c r="I45" s="86"/>
      <c r="J45" s="81"/>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row>
    <row r="46" spans="1:38" s="63" customFormat="1" ht="18" customHeight="1" x14ac:dyDescent="0.2">
      <c r="A46" s="85" t="s">
        <v>66</v>
      </c>
      <c r="B46" s="84"/>
      <c r="C46" s="83"/>
      <c r="D46" s="30">
        <f>5%*1000000</f>
        <v>50000</v>
      </c>
      <c r="E46" s="82">
        <f>D46/I46</f>
        <v>1</v>
      </c>
      <c r="F46" s="30">
        <v>0</v>
      </c>
      <c r="G46" s="30">
        <v>0</v>
      </c>
      <c r="H46" s="82">
        <f>(F46+G46)/I46</f>
        <v>0</v>
      </c>
      <c r="I46" s="30">
        <f>D46+F46+G46</f>
        <v>50000</v>
      </c>
      <c r="J46" s="81"/>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row>
    <row r="47" spans="1:38" s="63" customFormat="1" ht="18" customHeight="1" x14ac:dyDescent="0.2">
      <c r="A47" s="85" t="s">
        <v>65</v>
      </c>
      <c r="B47" s="84"/>
      <c r="C47" s="83"/>
      <c r="D47" s="30">
        <v>20000</v>
      </c>
      <c r="E47" s="82">
        <f>D47/I47</f>
        <v>1</v>
      </c>
      <c r="F47" s="30">
        <v>0</v>
      </c>
      <c r="G47" s="30">
        <v>0</v>
      </c>
      <c r="H47" s="82">
        <f>(F47+G47)/I47</f>
        <v>0</v>
      </c>
      <c r="I47" s="30">
        <f>D47+F47+G47</f>
        <v>20000</v>
      </c>
      <c r="J47" s="81"/>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row>
    <row r="48" spans="1:38" s="63" customFormat="1" x14ac:dyDescent="0.2">
      <c r="A48" s="80" t="s">
        <v>64</v>
      </c>
      <c r="B48" s="77"/>
      <c r="C48" s="76"/>
      <c r="D48" s="79">
        <f>D10+D16+D22+D27+D32+D37+D44+D46+D47</f>
        <v>1000000</v>
      </c>
      <c r="E48" s="79"/>
      <c r="F48" s="79">
        <f>F10+F16+F22+F27+F32+F37+F44+F46+F47</f>
        <v>500000</v>
      </c>
      <c r="G48" s="79">
        <f>G10+G16+G22+G27+G32+G37+G44+G46+G47</f>
        <v>500000</v>
      </c>
      <c r="H48" s="79"/>
      <c r="I48" s="79">
        <f>I10+I16+I22+I27+I32+I37+I44+I46+I47</f>
        <v>2000000</v>
      </c>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row>
    <row r="49" spans="1:38" s="63" customFormat="1" x14ac:dyDescent="0.2">
      <c r="A49" s="78" t="s">
        <v>63</v>
      </c>
      <c r="B49" s="77"/>
      <c r="C49" s="76"/>
      <c r="D49" s="75">
        <f>D48/I48</f>
        <v>0.5</v>
      </c>
      <c r="E49" s="73"/>
      <c r="F49" s="73">
        <f>F48/I48</f>
        <v>0.25</v>
      </c>
      <c r="G49" s="73">
        <f>G48/I48</f>
        <v>0.25</v>
      </c>
      <c r="H49" s="74"/>
      <c r="I49" s="73">
        <f>I48/I48</f>
        <v>1</v>
      </c>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c r="AL49" s="64"/>
    </row>
    <row r="50" spans="1:38" s="64" customFormat="1" x14ac:dyDescent="0.2">
      <c r="A50" s="70"/>
      <c r="B50" s="69"/>
      <c r="C50" s="68"/>
      <c r="D50" s="66"/>
      <c r="E50" s="65"/>
      <c r="F50" s="66"/>
      <c r="G50" s="66">
        <f>+F48+G48</f>
        <v>1000000</v>
      </c>
      <c r="H50" s="65"/>
      <c r="I50" s="66"/>
    </row>
    <row r="51" spans="1:38" s="64" customFormat="1" x14ac:dyDescent="0.2">
      <c r="A51" s="70"/>
      <c r="B51" s="69"/>
      <c r="C51" s="68"/>
      <c r="D51" s="72"/>
      <c r="E51" s="65"/>
      <c r="F51" s="66"/>
      <c r="G51" s="66"/>
      <c r="H51" s="65"/>
      <c r="I51" s="66"/>
    </row>
    <row r="52" spans="1:38" s="64" customFormat="1" x14ac:dyDescent="0.2">
      <c r="A52" s="70"/>
      <c r="B52" s="69"/>
      <c r="C52" s="68"/>
      <c r="D52" s="66"/>
      <c r="E52" s="65"/>
      <c r="F52" s="71"/>
      <c r="G52" s="66"/>
      <c r="H52" s="65"/>
      <c r="I52" s="66"/>
    </row>
    <row r="53" spans="1:38" s="64" customFormat="1" ht="12.75" thickBot="1" x14ac:dyDescent="0.25">
      <c r="A53" s="70"/>
      <c r="B53" s="69"/>
      <c r="C53" s="68"/>
      <c r="D53" s="66"/>
      <c r="E53" s="65"/>
      <c r="F53" s="66"/>
      <c r="G53" s="66"/>
      <c r="H53" s="65"/>
      <c r="I53" s="66"/>
    </row>
    <row r="54" spans="1:38" s="63" customFormat="1" ht="12.75" thickBot="1" x14ac:dyDescent="0.25">
      <c r="A54" s="61" t="s">
        <v>62</v>
      </c>
      <c r="B54" s="60"/>
      <c r="C54" s="59"/>
      <c r="D54" s="66"/>
      <c r="E54" s="65"/>
      <c r="F54" s="66"/>
      <c r="G54" s="66"/>
      <c r="H54" s="65"/>
      <c r="I54" s="66"/>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row>
    <row r="55" spans="1:38" s="63" customFormat="1" ht="12.75" thickBot="1" x14ac:dyDescent="0.25">
      <c r="A55" s="57" t="s">
        <v>61</v>
      </c>
      <c r="B55" s="56"/>
      <c r="C55" s="55"/>
      <c r="D55" s="66"/>
      <c r="E55" s="65"/>
      <c r="F55" s="66"/>
      <c r="G55" s="66"/>
      <c r="H55" s="65"/>
      <c r="I55" s="66"/>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c r="AL55" s="64"/>
    </row>
    <row r="56" spans="1:38" s="63" customFormat="1" ht="12.75" thickBot="1" x14ac:dyDescent="0.25">
      <c r="A56" s="61" t="s">
        <v>60</v>
      </c>
      <c r="B56" s="60"/>
      <c r="C56" s="59"/>
      <c r="D56" s="66"/>
      <c r="E56" s="65"/>
      <c r="F56" s="67"/>
      <c r="G56" s="26"/>
      <c r="H56" s="26"/>
      <c r="I56" s="26"/>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row>
    <row r="57" spans="1:38" s="63" customFormat="1" ht="12.75" thickBot="1" x14ac:dyDescent="0.25">
      <c r="A57" s="57" t="s">
        <v>59</v>
      </c>
      <c r="B57" s="56"/>
      <c r="C57" s="55"/>
      <c r="D57" s="66"/>
      <c r="E57" s="65"/>
      <c r="F57" s="26"/>
      <c r="G57" s="26"/>
      <c r="H57" s="26"/>
      <c r="I57" s="26"/>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row>
    <row r="58" spans="1:38" s="63" customFormat="1" ht="12.75" thickBot="1" x14ac:dyDescent="0.25">
      <c r="A58" s="61" t="s">
        <v>58</v>
      </c>
      <c r="B58" s="60"/>
      <c r="C58" s="59"/>
      <c r="D58" s="66"/>
      <c r="E58" s="65"/>
      <c r="F58" s="26"/>
      <c r="G58" s="26"/>
      <c r="H58" s="26"/>
      <c r="I58" s="26"/>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row>
    <row r="59" spans="1:38" ht="12.75" thickBot="1" x14ac:dyDescent="0.25">
      <c r="A59" s="57" t="s">
        <v>57</v>
      </c>
      <c r="B59" s="56"/>
      <c r="C59" s="55"/>
      <c r="D59" s="62"/>
      <c r="E59" s="26"/>
      <c r="F59" s="26"/>
      <c r="G59" s="26"/>
      <c r="H59" s="26"/>
      <c r="I59" s="26"/>
    </row>
    <row r="60" spans="1:38" ht="12.75" thickBot="1" x14ac:dyDescent="0.25">
      <c r="A60" s="61" t="s">
        <v>56</v>
      </c>
      <c r="B60" s="60"/>
      <c r="C60" s="59"/>
      <c r="D60" s="58"/>
      <c r="E60" s="58"/>
      <c r="F60" s="26"/>
      <c r="G60" s="26"/>
      <c r="H60" s="26"/>
      <c r="I60" s="26"/>
    </row>
    <row r="61" spans="1:38" x14ac:dyDescent="0.2">
      <c r="A61" s="57" t="s">
        <v>55</v>
      </c>
      <c r="B61" s="56"/>
      <c r="C61" s="55"/>
      <c r="D61" s="48"/>
      <c r="E61" s="48"/>
      <c r="F61" s="26"/>
      <c r="G61" s="26"/>
      <c r="H61" s="26"/>
      <c r="I61" s="26"/>
    </row>
    <row r="62" spans="1:38" x14ac:dyDescent="0.2">
      <c r="A62" s="54" t="s">
        <v>54</v>
      </c>
      <c r="B62" s="53"/>
      <c r="C62" s="52"/>
      <c r="D62" s="48"/>
      <c r="E62" s="48"/>
      <c r="F62" s="26"/>
      <c r="G62" s="26"/>
      <c r="H62" s="26"/>
      <c r="I62" s="26"/>
    </row>
    <row r="63" spans="1:38" x14ac:dyDescent="0.2">
      <c r="A63" s="54" t="s">
        <v>53</v>
      </c>
      <c r="B63" s="53"/>
      <c r="C63" s="52"/>
      <c r="D63" s="48"/>
      <c r="E63" s="48"/>
      <c r="F63" s="26"/>
      <c r="G63" s="26"/>
      <c r="H63" s="26"/>
      <c r="I63" s="26"/>
    </row>
    <row r="64" spans="1:38" x14ac:dyDescent="0.2">
      <c r="A64" s="54" t="s">
        <v>52</v>
      </c>
      <c r="B64" s="53"/>
      <c r="C64" s="52"/>
      <c r="D64" s="48"/>
      <c r="E64" s="48"/>
      <c r="F64" s="26"/>
      <c r="G64" s="26"/>
      <c r="H64" s="26"/>
      <c r="I64" s="26"/>
    </row>
    <row r="65" spans="1:38" x14ac:dyDescent="0.2">
      <c r="A65" s="54" t="s">
        <v>51</v>
      </c>
      <c r="B65" s="53"/>
      <c r="C65" s="52"/>
      <c r="D65" s="48"/>
      <c r="E65" s="48"/>
      <c r="F65" s="26"/>
      <c r="G65" s="26"/>
      <c r="H65" s="26"/>
      <c r="I65" s="26"/>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row>
    <row r="66" spans="1:38" x14ac:dyDescent="0.2">
      <c r="A66" s="54" t="s">
        <v>50</v>
      </c>
      <c r="B66" s="53"/>
      <c r="C66" s="52"/>
      <c r="D66" s="48"/>
      <c r="E66" s="48"/>
      <c r="F66" s="26"/>
      <c r="G66" s="26"/>
      <c r="H66" s="26"/>
      <c r="I66" s="26"/>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row>
    <row r="67" spans="1:38" x14ac:dyDescent="0.2">
      <c r="A67" s="54" t="s">
        <v>49</v>
      </c>
      <c r="B67" s="53"/>
      <c r="C67" s="52"/>
      <c r="D67" s="48"/>
      <c r="E67" s="48"/>
      <c r="F67" s="26"/>
      <c r="G67" s="26"/>
      <c r="H67" s="26"/>
      <c r="I67" s="26"/>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row>
    <row r="68" spans="1:38" x14ac:dyDescent="0.2">
      <c r="A68" s="54" t="s">
        <v>48</v>
      </c>
      <c r="B68" s="53"/>
      <c r="C68" s="52"/>
      <c r="D68" s="48"/>
      <c r="E68" s="48"/>
      <c r="F68" s="26"/>
      <c r="G68" s="26"/>
      <c r="H68" s="26"/>
      <c r="I68" s="26"/>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row>
    <row r="69" spans="1:38" ht="12.75" thickBot="1" x14ac:dyDescent="0.25">
      <c r="A69" s="51" t="s">
        <v>39</v>
      </c>
      <c r="B69" s="50"/>
      <c r="C69" s="49"/>
      <c r="D69" s="48"/>
      <c r="E69" s="48"/>
      <c r="F69" s="26"/>
      <c r="G69" s="26"/>
      <c r="H69" s="26"/>
      <c r="I69" s="26"/>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row>
    <row r="70" spans="1:38" ht="12.75" thickBot="1" x14ac:dyDescent="0.25">
      <c r="C70" s="47"/>
      <c r="D70" s="26"/>
      <c r="E70" s="26"/>
      <c r="F70" s="26"/>
      <c r="G70" s="26"/>
      <c r="H70" s="26"/>
      <c r="I70" s="26"/>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row>
    <row r="71" spans="1:38" ht="12.75" thickBot="1" x14ac:dyDescent="0.25">
      <c r="A71" s="46" t="s">
        <v>47</v>
      </c>
      <c r="B71" s="45"/>
      <c r="C71" s="44"/>
      <c r="D71" s="43"/>
      <c r="E71" s="26"/>
      <c r="F71" s="26"/>
      <c r="G71" s="26"/>
      <c r="H71" s="26"/>
      <c r="I71" s="26"/>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row>
    <row r="72" spans="1:38" x14ac:dyDescent="0.2">
      <c r="A72" s="42" t="s">
        <v>46</v>
      </c>
      <c r="B72" s="41"/>
      <c r="C72" s="40"/>
      <c r="D72" s="29"/>
      <c r="E72" s="26"/>
      <c r="F72" s="26"/>
      <c r="G72" s="26"/>
      <c r="H72" s="26"/>
      <c r="I72" s="26"/>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row>
    <row r="73" spans="1:38" x14ac:dyDescent="0.2">
      <c r="A73" s="39" t="s">
        <v>45</v>
      </c>
      <c r="B73" s="38"/>
      <c r="C73" s="37"/>
      <c r="D73" s="29"/>
      <c r="E73" s="26"/>
      <c r="F73" s="26"/>
      <c r="G73" s="26"/>
      <c r="H73" s="26"/>
      <c r="I73" s="26"/>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row>
    <row r="74" spans="1:38" x14ac:dyDescent="0.2">
      <c r="A74" s="39" t="s">
        <v>44</v>
      </c>
      <c r="B74" s="38"/>
      <c r="C74" s="37"/>
      <c r="D74" s="29"/>
      <c r="E74" s="26"/>
      <c r="F74" s="26"/>
      <c r="G74" s="26"/>
      <c r="H74" s="26"/>
      <c r="I74" s="26"/>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row>
    <row r="75" spans="1:38" x14ac:dyDescent="0.2">
      <c r="A75" s="39" t="s">
        <v>43</v>
      </c>
      <c r="B75" s="38"/>
      <c r="C75" s="37"/>
      <c r="D75" s="29"/>
      <c r="E75" s="26"/>
      <c r="F75" s="26"/>
      <c r="G75" s="26"/>
      <c r="H75" s="26"/>
      <c r="I75" s="26"/>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row>
    <row r="76" spans="1:38" x14ac:dyDescent="0.2">
      <c r="A76" s="39" t="s">
        <v>42</v>
      </c>
      <c r="B76" s="38"/>
      <c r="C76" s="37"/>
      <c r="D76" s="29"/>
      <c r="E76" s="26"/>
      <c r="F76" s="26"/>
      <c r="G76" s="26"/>
      <c r="H76" s="26"/>
      <c r="I76" s="26"/>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row>
    <row r="77" spans="1:38" x14ac:dyDescent="0.2">
      <c r="A77" s="39" t="s">
        <v>41</v>
      </c>
      <c r="B77" s="38"/>
      <c r="C77" s="37"/>
      <c r="D77" s="29"/>
      <c r="E77" s="26"/>
      <c r="F77" s="26"/>
      <c r="G77" s="26"/>
      <c r="H77" s="26"/>
      <c r="I77" s="26"/>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row>
    <row r="78" spans="1:38" x14ac:dyDescent="0.2">
      <c r="A78" s="36" t="s">
        <v>40</v>
      </c>
      <c r="B78" s="35"/>
      <c r="C78" s="34"/>
      <c r="D78" s="29"/>
      <c r="E78" s="26"/>
      <c r="F78" s="26"/>
      <c r="G78" s="26"/>
      <c r="H78" s="26"/>
      <c r="I78" s="26"/>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row>
    <row r="79" spans="1:38" ht="12.75" thickBot="1" x14ac:dyDescent="0.25">
      <c r="A79" s="33" t="s">
        <v>39</v>
      </c>
      <c r="B79" s="32"/>
      <c r="C79" s="31"/>
      <c r="D79" s="29"/>
      <c r="E79" s="26"/>
      <c r="F79" s="26"/>
      <c r="G79" s="26"/>
      <c r="H79" s="26"/>
      <c r="I79" s="26"/>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row>
    <row r="80" spans="1:38" s="22" customFormat="1" x14ac:dyDescent="0.2">
      <c r="A80" s="28"/>
      <c r="B80" s="28"/>
      <c r="C80" s="27"/>
      <c r="D80" s="26"/>
      <c r="E80" s="26"/>
      <c r="F80" s="26"/>
      <c r="G80" s="26"/>
      <c r="H80" s="26"/>
      <c r="I80" s="26"/>
    </row>
    <row r="81" spans="1:9" s="22" customFormat="1" x14ac:dyDescent="0.2">
      <c r="A81" s="28"/>
      <c r="B81" s="28"/>
      <c r="C81" s="27"/>
      <c r="D81" s="26"/>
      <c r="E81" s="26"/>
      <c r="F81" s="26"/>
      <c r="G81" s="26"/>
      <c r="H81" s="26"/>
      <c r="I81" s="26"/>
    </row>
    <row r="82" spans="1:9" s="22" customFormat="1" x14ac:dyDescent="0.2">
      <c r="A82" s="28"/>
      <c r="B82" s="28"/>
      <c r="C82" s="27"/>
      <c r="D82" s="26"/>
      <c r="E82" s="26"/>
      <c r="F82" s="26"/>
      <c r="G82" s="26"/>
      <c r="H82" s="26"/>
      <c r="I82" s="29"/>
    </row>
    <row r="83" spans="1:9" s="22" customFormat="1" x14ac:dyDescent="0.2">
      <c r="A83" s="28"/>
      <c r="B83" s="28"/>
      <c r="C83" s="27"/>
      <c r="D83" s="26"/>
      <c r="E83" s="26"/>
      <c r="F83" s="26"/>
      <c r="G83" s="26"/>
      <c r="H83" s="26"/>
      <c r="I83" s="29"/>
    </row>
    <row r="84" spans="1:9" s="22" customFormat="1" x14ac:dyDescent="0.2">
      <c r="A84" s="28"/>
      <c r="B84" s="28"/>
      <c r="C84" s="27"/>
      <c r="D84" s="26"/>
      <c r="E84" s="26"/>
      <c r="F84" s="26"/>
      <c r="G84" s="26"/>
      <c r="H84" s="26"/>
      <c r="I84" s="29"/>
    </row>
    <row r="85" spans="1:9" s="22" customFormat="1" x14ac:dyDescent="0.2">
      <c r="I85" s="29"/>
    </row>
    <row r="86" spans="1:9" s="22" customFormat="1" x14ac:dyDescent="0.2">
      <c r="I86" s="29"/>
    </row>
    <row r="87" spans="1:9" s="22" customFormat="1" x14ac:dyDescent="0.2">
      <c r="I87" s="29"/>
    </row>
    <row r="88" spans="1:9" s="22" customFormat="1" x14ac:dyDescent="0.2">
      <c r="B88" s="30"/>
      <c r="I88" s="29"/>
    </row>
    <row r="89" spans="1:9" s="22" customFormat="1" x14ac:dyDescent="0.2">
      <c r="I89" s="29"/>
    </row>
    <row r="90" spans="1:9" s="22" customFormat="1" x14ac:dyDescent="0.2">
      <c r="I90" s="29"/>
    </row>
    <row r="91" spans="1:9" s="22" customFormat="1" x14ac:dyDescent="0.2">
      <c r="I91" s="29"/>
    </row>
    <row r="92" spans="1:9" s="22" customFormat="1" x14ac:dyDescent="0.2">
      <c r="I92" s="29"/>
    </row>
    <row r="93" spans="1:9" s="22" customFormat="1" x14ac:dyDescent="0.2">
      <c r="I93" s="29"/>
    </row>
    <row r="94" spans="1:9" s="22" customFormat="1" x14ac:dyDescent="0.2">
      <c r="I94" s="29"/>
    </row>
    <row r="95" spans="1:9" s="22" customFormat="1" x14ac:dyDescent="0.2">
      <c r="I95" s="29"/>
    </row>
    <row r="96" spans="1:9" s="22" customFormat="1" x14ac:dyDescent="0.2">
      <c r="I96" s="29"/>
    </row>
    <row r="97" spans="1:9" s="22" customFormat="1" x14ac:dyDescent="0.2">
      <c r="I97" s="29"/>
    </row>
    <row r="98" spans="1:9" s="22" customFormat="1" x14ac:dyDescent="0.2">
      <c r="I98" s="29"/>
    </row>
    <row r="99" spans="1:9" s="22" customFormat="1" x14ac:dyDescent="0.2">
      <c r="I99" s="29"/>
    </row>
    <row r="100" spans="1:9" s="22" customFormat="1" x14ac:dyDescent="0.2">
      <c r="I100" s="29"/>
    </row>
    <row r="101" spans="1:9" s="22" customFormat="1" x14ac:dyDescent="0.2">
      <c r="I101" s="29"/>
    </row>
    <row r="102" spans="1:9" s="22" customFormat="1" x14ac:dyDescent="0.2">
      <c r="I102" s="29"/>
    </row>
    <row r="103" spans="1:9" s="22" customFormat="1" x14ac:dyDescent="0.2">
      <c r="I103" s="29"/>
    </row>
    <row r="104" spans="1:9" s="22" customFormat="1" x14ac:dyDescent="0.2">
      <c r="I104" s="29"/>
    </row>
    <row r="105" spans="1:9" s="22" customFormat="1" x14ac:dyDescent="0.2">
      <c r="I105" s="29"/>
    </row>
    <row r="106" spans="1:9" s="22" customFormat="1" x14ac:dyDescent="0.2">
      <c r="I106" s="29"/>
    </row>
    <row r="107" spans="1:9" s="22" customFormat="1" x14ac:dyDescent="0.2">
      <c r="I107" s="29"/>
    </row>
    <row r="108" spans="1:9" s="22" customFormat="1" x14ac:dyDescent="0.2">
      <c r="I108" s="29"/>
    </row>
    <row r="109" spans="1:9" s="22" customFormat="1" x14ac:dyDescent="0.2">
      <c r="I109" s="29"/>
    </row>
    <row r="110" spans="1:9" s="22" customFormat="1" x14ac:dyDescent="0.2">
      <c r="I110" s="29"/>
    </row>
    <row r="111" spans="1:9" s="22" customFormat="1" x14ac:dyDescent="0.2">
      <c r="A111" s="28"/>
      <c r="B111" s="28"/>
      <c r="C111" s="27"/>
      <c r="D111" s="26"/>
      <c r="E111" s="26"/>
      <c r="F111" s="26"/>
      <c r="G111" s="26"/>
      <c r="H111" s="26"/>
      <c r="I111" s="26"/>
    </row>
    <row r="112" spans="1:9" s="22" customFormat="1" x14ac:dyDescent="0.2">
      <c r="A112" s="28"/>
      <c r="B112" s="28"/>
      <c r="C112" s="27"/>
      <c r="D112" s="26"/>
      <c r="E112" s="26"/>
      <c r="F112" s="26"/>
      <c r="G112" s="26"/>
      <c r="H112" s="26"/>
      <c r="I112" s="26"/>
    </row>
    <row r="113" spans="1:9" s="22" customFormat="1" x14ac:dyDescent="0.2">
      <c r="A113" s="28"/>
      <c r="B113" s="28"/>
      <c r="C113" s="27"/>
      <c r="D113" s="26"/>
      <c r="E113" s="26"/>
      <c r="F113" s="26"/>
      <c r="G113" s="26"/>
      <c r="H113" s="26"/>
      <c r="I113" s="26"/>
    </row>
    <row r="114" spans="1:9" s="22" customFormat="1" x14ac:dyDescent="0.2">
      <c r="A114" s="28"/>
      <c r="B114" s="28"/>
      <c r="C114" s="27"/>
      <c r="D114" s="26"/>
      <c r="E114" s="26"/>
      <c r="F114" s="26"/>
      <c r="G114" s="26"/>
      <c r="H114" s="26"/>
      <c r="I114" s="26"/>
    </row>
    <row r="115" spans="1:9" s="22" customFormat="1" x14ac:dyDescent="0.2">
      <c r="A115" s="28"/>
      <c r="B115" s="28"/>
      <c r="C115" s="27"/>
      <c r="D115" s="26"/>
      <c r="E115" s="26"/>
      <c r="F115" s="26"/>
      <c r="G115" s="26"/>
      <c r="H115" s="26"/>
      <c r="I115" s="26"/>
    </row>
    <row r="116" spans="1:9" s="22" customFormat="1" x14ac:dyDescent="0.2">
      <c r="A116" s="28"/>
      <c r="B116" s="28"/>
      <c r="C116" s="27"/>
      <c r="D116" s="26"/>
      <c r="E116" s="26"/>
      <c r="F116" s="26"/>
      <c r="G116" s="26"/>
      <c r="H116" s="26"/>
      <c r="I116" s="26"/>
    </row>
    <row r="117" spans="1:9" s="22" customFormat="1" x14ac:dyDescent="0.2">
      <c r="A117" s="28"/>
      <c r="B117" s="28"/>
      <c r="C117" s="27"/>
      <c r="D117" s="26"/>
      <c r="E117" s="26"/>
      <c r="F117" s="26"/>
      <c r="G117" s="26"/>
      <c r="H117" s="26"/>
      <c r="I117" s="26"/>
    </row>
    <row r="118" spans="1:9" s="22" customFormat="1" x14ac:dyDescent="0.2">
      <c r="A118" s="28"/>
      <c r="B118" s="28"/>
      <c r="C118" s="27"/>
      <c r="D118" s="26"/>
      <c r="E118" s="26"/>
      <c r="F118" s="26"/>
      <c r="G118" s="26"/>
      <c r="H118" s="26"/>
      <c r="I118" s="26"/>
    </row>
    <row r="119" spans="1:9" s="22" customFormat="1" x14ac:dyDescent="0.2">
      <c r="A119" s="28"/>
      <c r="B119" s="28"/>
      <c r="C119" s="27"/>
      <c r="D119" s="26"/>
      <c r="E119" s="26"/>
      <c r="F119" s="26"/>
      <c r="G119" s="26"/>
      <c r="H119" s="26"/>
      <c r="I119" s="26"/>
    </row>
    <row r="120" spans="1:9" s="22" customFormat="1" x14ac:dyDescent="0.2">
      <c r="A120" s="28"/>
      <c r="B120" s="28"/>
      <c r="C120" s="27"/>
      <c r="D120" s="26"/>
      <c r="E120" s="26"/>
      <c r="F120" s="26"/>
      <c r="G120" s="26"/>
      <c r="H120" s="26"/>
      <c r="I120" s="26"/>
    </row>
    <row r="121" spans="1:9" s="22" customFormat="1" x14ac:dyDescent="0.2">
      <c r="A121" s="28"/>
      <c r="B121" s="28"/>
      <c r="C121" s="27"/>
      <c r="D121" s="26"/>
      <c r="E121" s="26"/>
      <c r="F121" s="26"/>
      <c r="G121" s="26"/>
      <c r="H121" s="26"/>
      <c r="I121" s="26"/>
    </row>
    <row r="122" spans="1:9" s="22" customFormat="1" x14ac:dyDescent="0.2">
      <c r="A122" s="28"/>
      <c r="B122" s="28"/>
      <c r="C122" s="27"/>
      <c r="D122" s="26"/>
      <c r="E122" s="26"/>
      <c r="F122" s="26"/>
      <c r="G122" s="26"/>
      <c r="H122" s="26"/>
      <c r="I122" s="26"/>
    </row>
    <row r="123" spans="1:9" s="22" customFormat="1" x14ac:dyDescent="0.2">
      <c r="A123" s="28"/>
      <c r="B123" s="28"/>
      <c r="C123" s="27"/>
      <c r="D123" s="26"/>
      <c r="E123" s="26"/>
      <c r="F123" s="26"/>
      <c r="G123" s="26"/>
      <c r="H123" s="26"/>
      <c r="I123" s="26"/>
    </row>
    <row r="124" spans="1:9" s="22" customFormat="1" x14ac:dyDescent="0.2">
      <c r="A124" s="28"/>
      <c r="B124" s="28"/>
      <c r="C124" s="27"/>
      <c r="D124" s="26"/>
      <c r="E124" s="26"/>
      <c r="F124" s="26"/>
      <c r="G124" s="26"/>
      <c r="H124" s="26"/>
      <c r="I124" s="26"/>
    </row>
    <row r="125" spans="1:9" s="22" customFormat="1" x14ac:dyDescent="0.2">
      <c r="A125" s="28"/>
      <c r="B125" s="28"/>
      <c r="C125" s="27"/>
      <c r="D125" s="26"/>
      <c r="E125" s="26"/>
      <c r="F125" s="26"/>
      <c r="G125" s="26"/>
      <c r="H125" s="26"/>
      <c r="I125" s="26"/>
    </row>
    <row r="126" spans="1:9" s="22" customFormat="1" x14ac:dyDescent="0.2">
      <c r="A126" s="28"/>
      <c r="B126" s="28"/>
      <c r="C126" s="27"/>
      <c r="D126" s="26"/>
      <c r="E126" s="26"/>
      <c r="F126" s="26"/>
      <c r="G126" s="26"/>
      <c r="H126" s="26"/>
      <c r="I126" s="26"/>
    </row>
    <row r="127" spans="1:9" s="22" customFormat="1" x14ac:dyDescent="0.2">
      <c r="A127" s="28"/>
      <c r="B127" s="28"/>
      <c r="C127" s="27"/>
      <c r="D127" s="26"/>
      <c r="E127" s="26"/>
      <c r="F127" s="26"/>
      <c r="G127" s="26"/>
      <c r="H127" s="26"/>
      <c r="I127" s="26"/>
    </row>
    <row r="128" spans="1:9" s="22" customFormat="1" x14ac:dyDescent="0.2">
      <c r="A128" s="28"/>
      <c r="B128" s="28"/>
      <c r="C128" s="27"/>
      <c r="D128" s="26"/>
      <c r="E128" s="26"/>
      <c r="F128" s="26"/>
      <c r="G128" s="26"/>
      <c r="H128" s="26"/>
      <c r="I128" s="26"/>
    </row>
    <row r="129" spans="1:9" s="22" customFormat="1" x14ac:dyDescent="0.2">
      <c r="A129" s="28"/>
      <c r="B129" s="28"/>
      <c r="C129" s="27"/>
      <c r="D129" s="26"/>
      <c r="E129" s="26"/>
      <c r="F129" s="26"/>
      <c r="G129" s="26"/>
      <c r="H129" s="26"/>
      <c r="I129" s="26"/>
    </row>
    <row r="130" spans="1:9" s="22" customFormat="1" x14ac:dyDescent="0.2">
      <c r="A130" s="28"/>
      <c r="B130" s="28"/>
      <c r="C130" s="27"/>
      <c r="D130" s="26"/>
      <c r="E130" s="26"/>
      <c r="F130" s="26"/>
      <c r="G130" s="26"/>
      <c r="H130" s="26"/>
      <c r="I130" s="26"/>
    </row>
    <row r="131" spans="1:9" s="22" customFormat="1" x14ac:dyDescent="0.2">
      <c r="A131" s="28"/>
      <c r="B131" s="28"/>
      <c r="C131" s="27"/>
      <c r="D131" s="26"/>
      <c r="E131" s="26"/>
      <c r="F131" s="26"/>
      <c r="G131" s="26"/>
      <c r="H131" s="26"/>
      <c r="I131" s="26"/>
    </row>
    <row r="132" spans="1:9" s="22" customFormat="1" x14ac:dyDescent="0.2">
      <c r="A132" s="28"/>
      <c r="B132" s="28"/>
      <c r="C132" s="27"/>
      <c r="D132" s="26"/>
      <c r="E132" s="26"/>
      <c r="F132" s="26"/>
      <c r="G132" s="26"/>
      <c r="H132" s="26"/>
      <c r="I132" s="26"/>
    </row>
    <row r="133" spans="1:9" s="22" customFormat="1" x14ac:dyDescent="0.2">
      <c r="A133" s="28"/>
      <c r="B133" s="28"/>
      <c r="C133" s="27"/>
      <c r="D133" s="26"/>
      <c r="E133" s="26"/>
      <c r="F133" s="26"/>
      <c r="G133" s="26"/>
      <c r="H133" s="26"/>
      <c r="I133" s="26"/>
    </row>
    <row r="134" spans="1:9" s="22" customFormat="1" x14ac:dyDescent="0.2">
      <c r="A134" s="28"/>
      <c r="B134" s="28"/>
      <c r="C134" s="27"/>
      <c r="D134" s="26"/>
      <c r="E134" s="26"/>
      <c r="F134" s="26"/>
      <c r="G134" s="26"/>
      <c r="H134" s="26"/>
      <c r="I134" s="26"/>
    </row>
    <row r="135" spans="1:9" s="22" customFormat="1" x14ac:dyDescent="0.2">
      <c r="A135" s="28"/>
      <c r="B135" s="28"/>
      <c r="C135" s="27"/>
      <c r="D135" s="26"/>
      <c r="E135" s="26"/>
      <c r="F135" s="26"/>
      <c r="G135" s="26"/>
      <c r="H135" s="26"/>
      <c r="I135" s="26"/>
    </row>
    <row r="136" spans="1:9" s="22" customFormat="1" x14ac:dyDescent="0.2">
      <c r="A136" s="28"/>
      <c r="B136" s="28"/>
      <c r="C136" s="27"/>
      <c r="D136" s="26"/>
      <c r="E136" s="26"/>
      <c r="F136" s="26"/>
      <c r="G136" s="26"/>
      <c r="H136" s="26"/>
      <c r="I136" s="26"/>
    </row>
    <row r="137" spans="1:9" s="22" customFormat="1" x14ac:dyDescent="0.2">
      <c r="A137" s="28"/>
      <c r="B137" s="28"/>
      <c r="C137" s="27"/>
      <c r="D137" s="26"/>
      <c r="E137" s="26"/>
      <c r="F137" s="26"/>
      <c r="G137" s="26"/>
      <c r="H137" s="26"/>
      <c r="I137" s="26"/>
    </row>
    <row r="138" spans="1:9" s="22" customFormat="1" x14ac:dyDescent="0.2">
      <c r="A138" s="28"/>
      <c r="B138" s="28"/>
      <c r="C138" s="27"/>
      <c r="D138" s="26"/>
      <c r="E138" s="26"/>
      <c r="F138" s="26"/>
      <c r="G138" s="26"/>
      <c r="H138" s="26"/>
      <c r="I138" s="26"/>
    </row>
    <row r="139" spans="1:9" s="22" customFormat="1" x14ac:dyDescent="0.2">
      <c r="A139" s="28"/>
      <c r="B139" s="28"/>
      <c r="C139" s="27"/>
      <c r="D139" s="26"/>
      <c r="E139" s="26"/>
      <c r="F139" s="26"/>
      <c r="G139" s="26"/>
      <c r="H139" s="26"/>
      <c r="I139" s="26"/>
    </row>
    <row r="140" spans="1:9" s="22" customFormat="1" x14ac:dyDescent="0.2">
      <c r="A140" s="28"/>
      <c r="B140" s="28"/>
      <c r="C140" s="27"/>
      <c r="D140" s="26"/>
      <c r="E140" s="26"/>
      <c r="F140" s="26"/>
      <c r="G140" s="26"/>
      <c r="H140" s="26"/>
      <c r="I140" s="26"/>
    </row>
    <row r="141" spans="1:9" s="22" customFormat="1" x14ac:dyDescent="0.2">
      <c r="A141" s="28"/>
      <c r="B141" s="28"/>
      <c r="C141" s="27"/>
      <c r="D141" s="26"/>
      <c r="E141" s="26"/>
      <c r="F141" s="26"/>
      <c r="G141" s="26"/>
      <c r="H141" s="26"/>
      <c r="I141" s="26"/>
    </row>
    <row r="142" spans="1:9" s="22" customFormat="1" x14ac:dyDescent="0.2">
      <c r="A142" s="28"/>
      <c r="B142" s="28"/>
      <c r="C142" s="27"/>
      <c r="D142" s="26"/>
      <c r="E142" s="26"/>
      <c r="F142" s="26"/>
      <c r="G142" s="26"/>
      <c r="H142" s="26"/>
      <c r="I142" s="26"/>
    </row>
    <row r="143" spans="1:9" s="22" customFormat="1" x14ac:dyDescent="0.2">
      <c r="A143" s="28"/>
      <c r="B143" s="28"/>
      <c r="C143" s="27"/>
      <c r="D143" s="26"/>
      <c r="E143" s="26"/>
      <c r="F143" s="26"/>
      <c r="G143" s="26"/>
      <c r="H143" s="26"/>
      <c r="I143" s="26"/>
    </row>
    <row r="144" spans="1:9" s="22" customFormat="1" x14ac:dyDescent="0.2">
      <c r="A144" s="28"/>
      <c r="B144" s="28"/>
      <c r="C144" s="27"/>
      <c r="D144" s="26"/>
      <c r="E144" s="26"/>
      <c r="F144" s="26"/>
      <c r="G144" s="26"/>
      <c r="H144" s="26"/>
      <c r="I144" s="26"/>
    </row>
    <row r="145" spans="1:9" s="22" customFormat="1" x14ac:dyDescent="0.2">
      <c r="A145" s="28"/>
      <c r="B145" s="28"/>
      <c r="C145" s="27"/>
      <c r="D145" s="26"/>
      <c r="E145" s="26"/>
      <c r="F145" s="26"/>
      <c r="G145" s="26"/>
      <c r="H145" s="26"/>
      <c r="I145" s="26"/>
    </row>
    <row r="146" spans="1:9" s="22" customFormat="1" x14ac:dyDescent="0.2">
      <c r="A146" s="28"/>
      <c r="B146" s="28"/>
      <c r="C146" s="27"/>
      <c r="D146" s="26"/>
      <c r="E146" s="26"/>
      <c r="F146" s="26"/>
      <c r="G146" s="26"/>
      <c r="H146" s="26"/>
      <c r="I146" s="26"/>
    </row>
    <row r="147" spans="1:9" s="22" customFormat="1" x14ac:dyDescent="0.2">
      <c r="A147" s="28"/>
      <c r="B147" s="28"/>
      <c r="C147" s="27"/>
      <c r="D147" s="26"/>
      <c r="E147" s="26"/>
      <c r="F147" s="26"/>
      <c r="G147" s="26"/>
      <c r="H147" s="26"/>
      <c r="I147" s="26"/>
    </row>
    <row r="148" spans="1:9" s="22" customFormat="1" x14ac:dyDescent="0.2">
      <c r="A148" s="28"/>
      <c r="B148" s="28"/>
      <c r="C148" s="27"/>
      <c r="D148" s="26"/>
      <c r="E148" s="26"/>
      <c r="F148" s="26"/>
      <c r="G148" s="26"/>
      <c r="H148" s="26"/>
      <c r="I148" s="26"/>
    </row>
    <row r="149" spans="1:9" s="22" customFormat="1" x14ac:dyDescent="0.2">
      <c r="A149" s="28"/>
      <c r="B149" s="28"/>
      <c r="C149" s="27"/>
      <c r="D149" s="26"/>
      <c r="E149" s="26"/>
      <c r="F149" s="26"/>
      <c r="G149" s="26"/>
      <c r="H149" s="26"/>
      <c r="I149" s="26"/>
    </row>
    <row r="150" spans="1:9" s="22" customFormat="1" x14ac:dyDescent="0.2">
      <c r="A150" s="28"/>
      <c r="B150" s="28"/>
      <c r="C150" s="27"/>
      <c r="D150" s="26"/>
      <c r="E150" s="26"/>
      <c r="F150" s="26"/>
      <c r="G150" s="26"/>
      <c r="H150" s="26"/>
      <c r="I150" s="26"/>
    </row>
    <row r="151" spans="1:9" s="22" customFormat="1" x14ac:dyDescent="0.2">
      <c r="A151" s="28"/>
      <c r="B151" s="28"/>
      <c r="C151" s="27"/>
      <c r="D151" s="26"/>
      <c r="E151" s="26"/>
      <c r="F151" s="26"/>
      <c r="G151" s="26"/>
      <c r="H151" s="26"/>
      <c r="I151" s="26"/>
    </row>
    <row r="152" spans="1:9" s="22" customFormat="1" x14ac:dyDescent="0.2">
      <c r="A152" s="28"/>
      <c r="B152" s="28"/>
      <c r="C152" s="27"/>
      <c r="D152" s="26"/>
      <c r="E152" s="26"/>
      <c r="F152" s="26"/>
      <c r="G152" s="26"/>
      <c r="H152" s="26"/>
      <c r="I152" s="26"/>
    </row>
    <row r="153" spans="1:9" s="22" customFormat="1" x14ac:dyDescent="0.2">
      <c r="A153" s="28"/>
      <c r="B153" s="28"/>
      <c r="C153" s="27"/>
      <c r="D153" s="26"/>
      <c r="E153" s="26"/>
      <c r="F153" s="26"/>
      <c r="G153" s="26"/>
      <c r="H153" s="26"/>
      <c r="I153" s="26"/>
    </row>
    <row r="154" spans="1:9" s="22" customFormat="1" x14ac:dyDescent="0.2">
      <c r="A154" s="28"/>
      <c r="B154" s="28"/>
      <c r="C154" s="27"/>
      <c r="D154" s="26"/>
      <c r="E154" s="26"/>
      <c r="F154" s="26"/>
      <c r="G154" s="26"/>
      <c r="H154" s="26"/>
      <c r="I154" s="26"/>
    </row>
    <row r="155" spans="1:9" s="22" customFormat="1" x14ac:dyDescent="0.2">
      <c r="A155" s="28"/>
      <c r="B155" s="28"/>
      <c r="C155" s="27"/>
      <c r="D155" s="26"/>
      <c r="E155" s="26"/>
      <c r="F155" s="26"/>
      <c r="G155" s="26"/>
      <c r="H155" s="26"/>
      <c r="I155" s="26"/>
    </row>
    <row r="156" spans="1:9" s="22" customFormat="1" x14ac:dyDescent="0.2">
      <c r="A156" s="28"/>
      <c r="B156" s="28"/>
      <c r="C156" s="27"/>
      <c r="D156" s="26"/>
      <c r="E156" s="26"/>
      <c r="F156" s="26"/>
      <c r="G156" s="26"/>
      <c r="H156" s="26"/>
      <c r="I156" s="26"/>
    </row>
    <row r="157" spans="1:9" s="22" customFormat="1" x14ac:dyDescent="0.2">
      <c r="A157" s="28"/>
      <c r="B157" s="28"/>
      <c r="C157" s="27"/>
      <c r="D157" s="26"/>
      <c r="E157" s="26"/>
      <c r="F157" s="26"/>
      <c r="G157" s="26"/>
      <c r="H157" s="26"/>
      <c r="I157" s="26"/>
    </row>
    <row r="158" spans="1:9" s="22" customFormat="1" x14ac:dyDescent="0.2">
      <c r="A158" s="28"/>
      <c r="B158" s="28"/>
      <c r="C158" s="27"/>
      <c r="D158" s="26"/>
      <c r="E158" s="26"/>
      <c r="F158" s="26"/>
      <c r="G158" s="26"/>
      <c r="H158" s="26"/>
      <c r="I158" s="26"/>
    </row>
    <row r="159" spans="1:9" s="22" customFormat="1" x14ac:dyDescent="0.2">
      <c r="A159" s="28"/>
      <c r="B159" s="28"/>
      <c r="C159" s="27"/>
      <c r="D159" s="26"/>
      <c r="E159" s="26"/>
      <c r="F159" s="26"/>
      <c r="G159" s="26"/>
      <c r="H159" s="26"/>
      <c r="I159" s="26"/>
    </row>
    <row r="160" spans="1:9" s="22" customFormat="1" x14ac:dyDescent="0.2">
      <c r="A160" s="28"/>
      <c r="B160" s="28"/>
      <c r="C160" s="27"/>
      <c r="D160" s="26"/>
      <c r="E160" s="26"/>
      <c r="F160" s="26"/>
      <c r="G160" s="26"/>
      <c r="H160" s="26"/>
      <c r="I160" s="26"/>
    </row>
    <row r="161" spans="1:9" s="22" customFormat="1" x14ac:dyDescent="0.2">
      <c r="A161" s="28"/>
      <c r="B161" s="28"/>
      <c r="C161" s="27"/>
      <c r="D161" s="26"/>
      <c r="E161" s="26"/>
      <c r="F161" s="26"/>
      <c r="G161" s="26"/>
      <c r="H161" s="26"/>
      <c r="I161" s="26"/>
    </row>
    <row r="162" spans="1:9" s="22" customFormat="1" x14ac:dyDescent="0.2">
      <c r="A162" s="28"/>
      <c r="B162" s="28"/>
      <c r="C162" s="27"/>
      <c r="D162" s="26"/>
      <c r="E162" s="26"/>
      <c r="F162" s="26"/>
      <c r="G162" s="26"/>
      <c r="H162" s="26"/>
      <c r="I162" s="26"/>
    </row>
    <row r="163" spans="1:9" s="22" customFormat="1" x14ac:dyDescent="0.2">
      <c r="A163" s="28"/>
      <c r="B163" s="28"/>
      <c r="C163" s="27"/>
      <c r="D163" s="26"/>
      <c r="E163" s="26"/>
      <c r="F163" s="26"/>
      <c r="G163" s="26"/>
      <c r="H163" s="26"/>
      <c r="I163" s="26"/>
    </row>
    <row r="164" spans="1:9" s="22" customFormat="1" x14ac:dyDescent="0.2">
      <c r="A164" s="28"/>
      <c r="B164" s="28"/>
      <c r="C164" s="27"/>
      <c r="D164" s="26"/>
      <c r="E164" s="26"/>
      <c r="F164" s="26"/>
      <c r="G164" s="26"/>
      <c r="H164" s="26"/>
      <c r="I164" s="26"/>
    </row>
    <row r="165" spans="1:9" s="22" customFormat="1" x14ac:dyDescent="0.2">
      <c r="A165" s="28"/>
      <c r="B165" s="28"/>
      <c r="C165" s="27"/>
      <c r="D165" s="26"/>
      <c r="E165" s="26"/>
      <c r="F165" s="26"/>
      <c r="G165" s="26"/>
      <c r="H165" s="26"/>
      <c r="I165" s="26"/>
    </row>
    <row r="166" spans="1:9" s="22" customFormat="1" x14ac:dyDescent="0.2">
      <c r="A166" s="28"/>
      <c r="B166" s="28"/>
      <c r="C166" s="27"/>
      <c r="D166" s="26"/>
      <c r="E166" s="26"/>
      <c r="F166" s="26"/>
      <c r="G166" s="26"/>
      <c r="H166" s="26"/>
      <c r="I166" s="26"/>
    </row>
    <row r="167" spans="1:9" s="22" customFormat="1" x14ac:dyDescent="0.2">
      <c r="A167" s="28"/>
      <c r="B167" s="28"/>
      <c r="C167" s="27"/>
      <c r="D167" s="26"/>
      <c r="E167" s="26"/>
      <c r="F167" s="26"/>
      <c r="G167" s="26"/>
      <c r="H167" s="26"/>
      <c r="I167" s="26"/>
    </row>
    <row r="168" spans="1:9" s="22" customFormat="1" x14ac:dyDescent="0.2">
      <c r="A168" s="28"/>
      <c r="B168" s="28"/>
      <c r="C168" s="27"/>
      <c r="D168" s="26"/>
      <c r="E168" s="26"/>
      <c r="F168" s="26"/>
      <c r="G168" s="26"/>
      <c r="H168" s="26"/>
      <c r="I168" s="26"/>
    </row>
    <row r="169" spans="1:9" s="22" customFormat="1" x14ac:dyDescent="0.2">
      <c r="A169" s="28"/>
      <c r="B169" s="28"/>
      <c r="C169" s="27"/>
      <c r="D169" s="26"/>
      <c r="E169" s="26"/>
      <c r="F169" s="26"/>
      <c r="G169" s="26"/>
      <c r="H169" s="26"/>
      <c r="I169" s="26"/>
    </row>
    <row r="170" spans="1:9" s="22" customFormat="1" x14ac:dyDescent="0.2">
      <c r="A170" s="28"/>
      <c r="B170" s="28"/>
      <c r="C170" s="27"/>
      <c r="D170" s="26"/>
      <c r="E170" s="26"/>
      <c r="F170" s="26"/>
      <c r="G170" s="26"/>
      <c r="H170" s="26"/>
      <c r="I170" s="26"/>
    </row>
    <row r="171" spans="1:9" s="22" customFormat="1" x14ac:dyDescent="0.2">
      <c r="A171" s="28"/>
      <c r="B171" s="28"/>
      <c r="C171" s="27"/>
      <c r="D171" s="26"/>
      <c r="E171" s="26"/>
      <c r="F171" s="26"/>
      <c r="G171" s="26"/>
      <c r="H171" s="26"/>
      <c r="I171" s="26"/>
    </row>
    <row r="172" spans="1:9" s="22" customFormat="1" x14ac:dyDescent="0.2">
      <c r="A172" s="28"/>
      <c r="B172" s="28"/>
      <c r="C172" s="27"/>
      <c r="D172" s="26"/>
      <c r="E172" s="26"/>
      <c r="F172" s="26"/>
      <c r="G172" s="26"/>
      <c r="H172" s="26"/>
      <c r="I172" s="26"/>
    </row>
    <row r="173" spans="1:9" s="22" customFormat="1" x14ac:dyDescent="0.2">
      <c r="A173" s="28"/>
      <c r="B173" s="28"/>
      <c r="C173" s="27"/>
      <c r="D173" s="26"/>
      <c r="E173" s="26"/>
      <c r="F173" s="26"/>
      <c r="G173" s="26"/>
      <c r="H173" s="26"/>
      <c r="I173" s="26"/>
    </row>
    <row r="174" spans="1:9" s="22" customFormat="1" x14ac:dyDescent="0.2">
      <c r="A174" s="28"/>
      <c r="B174" s="28"/>
      <c r="C174" s="27"/>
      <c r="D174" s="26"/>
      <c r="E174" s="26"/>
      <c r="F174" s="26"/>
      <c r="G174" s="26"/>
      <c r="H174" s="26"/>
      <c r="I174" s="26"/>
    </row>
    <row r="175" spans="1:9" s="22" customFormat="1" x14ac:dyDescent="0.2">
      <c r="A175" s="28"/>
      <c r="B175" s="28"/>
      <c r="C175" s="27"/>
      <c r="D175" s="26"/>
      <c r="E175" s="26"/>
      <c r="F175" s="26"/>
      <c r="G175" s="26"/>
      <c r="H175" s="26"/>
      <c r="I175" s="26"/>
    </row>
    <row r="176" spans="1:9" s="22" customFormat="1" x14ac:dyDescent="0.2">
      <c r="A176" s="28"/>
      <c r="B176" s="28"/>
      <c r="C176" s="27"/>
      <c r="D176" s="26"/>
      <c r="E176" s="26"/>
      <c r="F176" s="26"/>
      <c r="G176" s="26"/>
      <c r="H176" s="26"/>
      <c r="I176" s="26"/>
    </row>
    <row r="177" spans="1:9" s="22" customFormat="1" x14ac:dyDescent="0.2">
      <c r="A177" s="28"/>
      <c r="B177" s="28"/>
      <c r="C177" s="27"/>
      <c r="D177" s="26"/>
      <c r="E177" s="26"/>
      <c r="F177" s="26"/>
      <c r="G177" s="26"/>
      <c r="H177" s="26"/>
      <c r="I177" s="26"/>
    </row>
    <row r="178" spans="1:9" s="22" customFormat="1" x14ac:dyDescent="0.2">
      <c r="A178" s="28"/>
      <c r="B178" s="28"/>
      <c r="C178" s="27"/>
      <c r="D178" s="26"/>
      <c r="E178" s="26"/>
      <c r="F178" s="26"/>
      <c r="G178" s="26"/>
      <c r="H178" s="26"/>
      <c r="I178" s="26"/>
    </row>
    <row r="179" spans="1:9" s="22" customFormat="1" x14ac:dyDescent="0.2">
      <c r="A179" s="28"/>
      <c r="B179" s="28"/>
      <c r="C179" s="27"/>
      <c r="D179" s="26"/>
      <c r="E179" s="26"/>
      <c r="F179" s="26"/>
      <c r="G179" s="26"/>
      <c r="H179" s="26"/>
      <c r="I179" s="26"/>
    </row>
    <row r="180" spans="1:9" s="22" customFormat="1" x14ac:dyDescent="0.2">
      <c r="A180" s="28"/>
      <c r="B180" s="28"/>
      <c r="C180" s="27"/>
      <c r="D180" s="26"/>
      <c r="E180" s="26"/>
      <c r="F180" s="26"/>
      <c r="G180" s="26"/>
      <c r="H180" s="26"/>
      <c r="I180" s="26"/>
    </row>
    <row r="181" spans="1:9" s="22" customFormat="1" x14ac:dyDescent="0.2">
      <c r="A181" s="28"/>
      <c r="B181" s="28"/>
      <c r="C181" s="27"/>
      <c r="D181" s="26"/>
      <c r="E181" s="26"/>
      <c r="F181" s="26"/>
      <c r="G181" s="26"/>
      <c r="H181" s="26"/>
      <c r="I181" s="26"/>
    </row>
    <row r="182" spans="1:9" s="22" customFormat="1" x14ac:dyDescent="0.2">
      <c r="A182" s="28"/>
      <c r="B182" s="28"/>
      <c r="C182" s="27"/>
      <c r="D182" s="26"/>
      <c r="E182" s="26"/>
      <c r="F182" s="26"/>
      <c r="G182" s="26"/>
      <c r="H182" s="26"/>
      <c r="I182" s="26"/>
    </row>
    <row r="183" spans="1:9" s="22" customFormat="1" x14ac:dyDescent="0.2">
      <c r="A183" s="28"/>
      <c r="B183" s="28"/>
      <c r="C183" s="27"/>
      <c r="D183" s="26"/>
      <c r="E183" s="26"/>
      <c r="F183" s="26"/>
      <c r="G183" s="26"/>
      <c r="H183" s="26"/>
      <c r="I183" s="26"/>
    </row>
    <row r="184" spans="1:9" s="22" customFormat="1" x14ac:dyDescent="0.2">
      <c r="A184" s="28"/>
      <c r="B184" s="28"/>
      <c r="C184" s="27"/>
      <c r="D184" s="26"/>
      <c r="E184" s="26"/>
      <c r="F184" s="26"/>
      <c r="G184" s="26"/>
      <c r="H184" s="26"/>
      <c r="I184" s="26"/>
    </row>
    <row r="185" spans="1:9" s="22" customFormat="1" x14ac:dyDescent="0.2">
      <c r="A185" s="28"/>
      <c r="B185" s="28"/>
      <c r="C185" s="27"/>
      <c r="D185" s="26"/>
      <c r="E185" s="26"/>
      <c r="F185" s="26"/>
      <c r="G185" s="26"/>
      <c r="H185" s="26"/>
      <c r="I185" s="26"/>
    </row>
    <row r="186" spans="1:9" s="22" customFormat="1" x14ac:dyDescent="0.2">
      <c r="A186" s="28"/>
      <c r="B186" s="28"/>
      <c r="C186" s="27"/>
      <c r="D186" s="26"/>
      <c r="E186" s="26"/>
      <c r="F186" s="26"/>
      <c r="G186" s="26"/>
      <c r="H186" s="26"/>
      <c r="I186" s="26"/>
    </row>
    <row r="187" spans="1:9" s="22" customFormat="1" x14ac:dyDescent="0.2">
      <c r="A187" s="28"/>
      <c r="B187" s="28"/>
      <c r="C187" s="27"/>
      <c r="D187" s="26"/>
      <c r="E187" s="26"/>
      <c r="F187" s="26"/>
      <c r="G187" s="26"/>
      <c r="H187" s="26"/>
      <c r="I187" s="26"/>
    </row>
    <row r="188" spans="1:9" s="22" customFormat="1" x14ac:dyDescent="0.2">
      <c r="A188" s="28"/>
      <c r="B188" s="28"/>
      <c r="C188" s="27"/>
      <c r="D188" s="26"/>
      <c r="E188" s="26"/>
      <c r="F188" s="26"/>
      <c r="G188" s="26"/>
      <c r="H188" s="26"/>
      <c r="I188" s="26"/>
    </row>
    <row r="189" spans="1:9" s="22" customFormat="1" x14ac:dyDescent="0.2">
      <c r="A189" s="28"/>
      <c r="B189" s="28"/>
      <c r="C189" s="27"/>
      <c r="D189" s="26"/>
      <c r="E189" s="26"/>
      <c r="F189" s="26"/>
      <c r="G189" s="26"/>
      <c r="H189" s="26"/>
      <c r="I189" s="26"/>
    </row>
    <row r="190" spans="1:9" s="22" customFormat="1" x14ac:dyDescent="0.2">
      <c r="A190" s="28"/>
      <c r="B190" s="28"/>
      <c r="C190" s="27"/>
      <c r="D190" s="26"/>
      <c r="E190" s="26"/>
      <c r="F190" s="26"/>
      <c r="G190" s="26"/>
      <c r="H190" s="26"/>
      <c r="I190" s="26"/>
    </row>
    <row r="191" spans="1:9" s="22" customFormat="1" x14ac:dyDescent="0.2">
      <c r="A191" s="28"/>
      <c r="B191" s="28"/>
      <c r="C191" s="27"/>
      <c r="D191" s="26"/>
      <c r="E191" s="26"/>
      <c r="F191" s="26"/>
      <c r="G191" s="26"/>
      <c r="H191" s="26"/>
      <c r="I191" s="26"/>
    </row>
    <row r="192" spans="1:9" s="22" customFormat="1" x14ac:dyDescent="0.2">
      <c r="A192" s="28"/>
      <c r="B192" s="28"/>
      <c r="C192" s="27"/>
      <c r="D192" s="26"/>
      <c r="E192" s="26"/>
      <c r="F192" s="26"/>
      <c r="G192" s="26"/>
      <c r="H192" s="26"/>
      <c r="I192" s="26"/>
    </row>
    <row r="193" spans="1:9" s="22" customFormat="1" x14ac:dyDescent="0.2">
      <c r="A193" s="28"/>
      <c r="B193" s="28"/>
      <c r="C193" s="27"/>
      <c r="D193" s="26"/>
      <c r="E193" s="26"/>
      <c r="F193" s="26"/>
      <c r="G193" s="26"/>
      <c r="H193" s="26"/>
      <c r="I193" s="26"/>
    </row>
    <row r="194" spans="1:9" s="22" customFormat="1" x14ac:dyDescent="0.2">
      <c r="A194" s="28"/>
      <c r="B194" s="28"/>
      <c r="C194" s="27"/>
      <c r="D194" s="26"/>
      <c r="E194" s="26"/>
      <c r="F194" s="26"/>
      <c r="G194" s="26"/>
      <c r="H194" s="26"/>
      <c r="I194" s="26"/>
    </row>
    <row r="195" spans="1:9" s="22" customFormat="1" x14ac:dyDescent="0.2">
      <c r="A195" s="28"/>
      <c r="B195" s="28"/>
      <c r="C195" s="27"/>
      <c r="D195" s="26"/>
      <c r="E195" s="26"/>
      <c r="F195" s="26"/>
      <c r="G195" s="26"/>
      <c r="H195" s="26"/>
      <c r="I195" s="26"/>
    </row>
    <row r="196" spans="1:9" s="22" customFormat="1" x14ac:dyDescent="0.2">
      <c r="A196" s="28"/>
      <c r="B196" s="28"/>
      <c r="C196" s="27"/>
      <c r="D196" s="26"/>
      <c r="E196" s="26"/>
      <c r="F196" s="26"/>
      <c r="G196" s="26"/>
      <c r="H196" s="26"/>
      <c r="I196" s="26"/>
    </row>
    <row r="197" spans="1:9" s="22" customFormat="1" x14ac:dyDescent="0.2">
      <c r="A197" s="28"/>
      <c r="B197" s="28"/>
      <c r="C197" s="27"/>
      <c r="D197" s="26"/>
      <c r="E197" s="26"/>
      <c r="F197" s="26"/>
      <c r="G197" s="26"/>
      <c r="H197" s="26"/>
      <c r="I197" s="26"/>
    </row>
    <row r="198" spans="1:9" s="22" customFormat="1" x14ac:dyDescent="0.2">
      <c r="A198" s="28"/>
      <c r="B198" s="28"/>
      <c r="C198" s="27"/>
      <c r="D198" s="26"/>
      <c r="E198" s="26"/>
      <c r="F198" s="26"/>
      <c r="G198" s="26"/>
      <c r="H198" s="26"/>
      <c r="I198" s="26"/>
    </row>
    <row r="199" spans="1:9" s="22" customFormat="1" x14ac:dyDescent="0.2">
      <c r="A199" s="28"/>
      <c r="B199" s="28"/>
      <c r="C199" s="27"/>
      <c r="D199" s="26"/>
      <c r="E199" s="26"/>
      <c r="F199" s="26"/>
      <c r="G199" s="26"/>
      <c r="H199" s="26"/>
      <c r="I199" s="26"/>
    </row>
    <row r="200" spans="1:9" s="22" customFormat="1" x14ac:dyDescent="0.2">
      <c r="A200" s="28"/>
      <c r="B200" s="28"/>
      <c r="C200" s="27"/>
      <c r="D200" s="26"/>
      <c r="E200" s="26"/>
      <c r="F200" s="26"/>
      <c r="G200" s="26"/>
      <c r="H200" s="26"/>
      <c r="I200" s="26"/>
    </row>
    <row r="201" spans="1:9" s="22" customFormat="1" x14ac:dyDescent="0.2">
      <c r="A201" s="28"/>
      <c r="B201" s="28"/>
      <c r="C201" s="27"/>
      <c r="D201" s="26"/>
      <c r="E201" s="26"/>
      <c r="F201" s="26"/>
      <c r="G201" s="26"/>
      <c r="H201" s="26"/>
      <c r="I201" s="26"/>
    </row>
    <row r="202" spans="1:9" s="22" customFormat="1" x14ac:dyDescent="0.2">
      <c r="A202" s="28"/>
      <c r="B202" s="28"/>
      <c r="C202" s="27"/>
      <c r="D202" s="26"/>
      <c r="E202" s="26"/>
      <c r="F202" s="26"/>
      <c r="G202" s="26"/>
      <c r="H202" s="26"/>
      <c r="I202" s="26"/>
    </row>
    <row r="203" spans="1:9" s="22" customFormat="1" x14ac:dyDescent="0.2">
      <c r="A203" s="28"/>
      <c r="B203" s="28"/>
      <c r="C203" s="27"/>
      <c r="D203" s="26"/>
      <c r="E203" s="26"/>
      <c r="F203" s="26"/>
      <c r="G203" s="26"/>
      <c r="H203" s="26"/>
      <c r="I203" s="26"/>
    </row>
    <row r="204" spans="1:9" s="22" customFormat="1" x14ac:dyDescent="0.2">
      <c r="A204" s="28"/>
      <c r="B204" s="28"/>
      <c r="C204" s="27"/>
      <c r="D204" s="26"/>
      <c r="E204" s="26"/>
      <c r="F204" s="26"/>
      <c r="G204" s="26"/>
      <c r="H204" s="26"/>
      <c r="I204" s="26"/>
    </row>
    <row r="205" spans="1:9" s="22" customFormat="1" x14ac:dyDescent="0.2">
      <c r="A205" s="28"/>
      <c r="B205" s="28"/>
      <c r="C205" s="27"/>
      <c r="D205" s="26"/>
      <c r="E205" s="26"/>
      <c r="F205" s="26"/>
      <c r="G205" s="26"/>
      <c r="H205" s="26"/>
      <c r="I205" s="26"/>
    </row>
    <row r="206" spans="1:9" s="22" customFormat="1" x14ac:dyDescent="0.2">
      <c r="A206" s="28"/>
      <c r="B206" s="28"/>
      <c r="C206" s="27"/>
      <c r="D206" s="26"/>
      <c r="E206" s="26"/>
      <c r="F206" s="26"/>
      <c r="G206" s="26"/>
      <c r="H206" s="26"/>
      <c r="I206" s="26"/>
    </row>
    <row r="207" spans="1:9" s="22" customFormat="1" x14ac:dyDescent="0.2">
      <c r="A207" s="28"/>
      <c r="B207" s="28"/>
      <c r="C207" s="27"/>
      <c r="D207" s="26"/>
      <c r="E207" s="26"/>
      <c r="F207" s="26"/>
      <c r="G207" s="26"/>
      <c r="H207" s="26"/>
      <c r="I207" s="26"/>
    </row>
    <row r="208" spans="1:9" s="22" customFormat="1" x14ac:dyDescent="0.2">
      <c r="A208" s="28"/>
      <c r="B208" s="28"/>
      <c r="C208" s="27"/>
      <c r="D208" s="26"/>
      <c r="E208" s="26"/>
      <c r="F208" s="26"/>
      <c r="G208" s="26"/>
      <c r="H208" s="26"/>
      <c r="I208" s="26"/>
    </row>
    <row r="209" spans="1:9" s="22" customFormat="1" x14ac:dyDescent="0.2">
      <c r="A209" s="28"/>
      <c r="B209" s="28"/>
      <c r="C209" s="27"/>
      <c r="D209" s="26"/>
      <c r="E209" s="26"/>
      <c r="F209" s="26"/>
      <c r="G209" s="26"/>
      <c r="H209" s="26"/>
      <c r="I209" s="26"/>
    </row>
    <row r="210" spans="1:9" s="22" customFormat="1" x14ac:dyDescent="0.2">
      <c r="A210" s="28"/>
      <c r="B210" s="28"/>
      <c r="C210" s="27"/>
      <c r="D210" s="26"/>
      <c r="E210" s="26"/>
      <c r="F210" s="26"/>
      <c r="G210" s="26"/>
      <c r="H210" s="26"/>
      <c r="I210" s="26"/>
    </row>
    <row r="211" spans="1:9" s="22" customFormat="1" x14ac:dyDescent="0.2">
      <c r="A211" s="28"/>
      <c r="B211" s="28"/>
      <c r="C211" s="27"/>
      <c r="D211" s="26"/>
      <c r="E211" s="26"/>
      <c r="F211" s="26"/>
      <c r="G211" s="26"/>
      <c r="H211" s="26"/>
      <c r="I211" s="26"/>
    </row>
    <row r="212" spans="1:9" s="22" customFormat="1" x14ac:dyDescent="0.2">
      <c r="A212" s="28"/>
      <c r="B212" s="28"/>
      <c r="C212" s="27"/>
      <c r="D212" s="26"/>
      <c r="E212" s="26"/>
      <c r="F212" s="26"/>
      <c r="G212" s="26"/>
      <c r="H212" s="26"/>
      <c r="I212" s="26"/>
    </row>
    <row r="213" spans="1:9" s="22" customFormat="1" x14ac:dyDescent="0.2">
      <c r="A213" s="28"/>
      <c r="B213" s="28"/>
      <c r="C213" s="27"/>
      <c r="D213" s="26"/>
      <c r="E213" s="26"/>
      <c r="F213" s="26"/>
      <c r="G213" s="26"/>
      <c r="H213" s="26"/>
      <c r="I213" s="26"/>
    </row>
    <row r="214" spans="1:9" s="22" customFormat="1" x14ac:dyDescent="0.2">
      <c r="A214" s="28"/>
      <c r="B214" s="28"/>
      <c r="C214" s="27"/>
      <c r="D214" s="26"/>
      <c r="E214" s="26"/>
      <c r="F214" s="26"/>
      <c r="G214" s="26"/>
      <c r="H214" s="26"/>
      <c r="I214" s="26"/>
    </row>
    <row r="215" spans="1:9" s="22" customFormat="1" x14ac:dyDescent="0.2">
      <c r="A215" s="28"/>
      <c r="B215" s="28"/>
      <c r="C215" s="27"/>
      <c r="D215" s="26"/>
      <c r="E215" s="26"/>
      <c r="F215" s="26"/>
      <c r="G215" s="26"/>
      <c r="H215" s="26"/>
      <c r="I215" s="26"/>
    </row>
    <row r="216" spans="1:9" s="22" customFormat="1" x14ac:dyDescent="0.2">
      <c r="A216" s="28"/>
      <c r="B216" s="28"/>
      <c r="C216" s="27"/>
      <c r="D216" s="26"/>
      <c r="E216" s="26"/>
      <c r="F216" s="26"/>
      <c r="G216" s="26"/>
      <c r="H216" s="26"/>
      <c r="I216" s="26"/>
    </row>
    <row r="217" spans="1:9" s="22" customFormat="1" x14ac:dyDescent="0.2">
      <c r="A217" s="28"/>
      <c r="B217" s="28"/>
      <c r="C217" s="27"/>
      <c r="D217" s="26"/>
      <c r="E217" s="26"/>
      <c r="F217" s="26"/>
      <c r="G217" s="26"/>
      <c r="H217" s="26"/>
      <c r="I217" s="26"/>
    </row>
    <row r="218" spans="1:9" s="22" customFormat="1" x14ac:dyDescent="0.2">
      <c r="A218" s="28"/>
      <c r="B218" s="28"/>
      <c r="C218" s="27"/>
      <c r="D218" s="26"/>
      <c r="E218" s="26"/>
      <c r="F218" s="26"/>
      <c r="G218" s="26"/>
      <c r="H218" s="26"/>
      <c r="I218" s="26"/>
    </row>
    <row r="219" spans="1:9" s="22" customFormat="1" x14ac:dyDescent="0.2">
      <c r="A219" s="28"/>
      <c r="B219" s="28"/>
      <c r="C219" s="27"/>
      <c r="D219" s="26"/>
      <c r="E219" s="26"/>
      <c r="F219" s="26"/>
      <c r="G219" s="26"/>
      <c r="H219" s="26"/>
      <c r="I219" s="26"/>
    </row>
    <row r="220" spans="1:9" s="22" customFormat="1" x14ac:dyDescent="0.2">
      <c r="A220" s="28"/>
      <c r="B220" s="28"/>
      <c r="C220" s="27"/>
      <c r="D220" s="26"/>
      <c r="E220" s="26"/>
      <c r="F220" s="26"/>
      <c r="G220" s="26"/>
      <c r="H220" s="26"/>
      <c r="I220" s="26"/>
    </row>
    <row r="221" spans="1:9" s="22" customFormat="1" x14ac:dyDescent="0.2">
      <c r="A221" s="28"/>
      <c r="B221" s="28"/>
      <c r="C221" s="27"/>
      <c r="D221" s="26"/>
      <c r="E221" s="26"/>
      <c r="F221" s="26"/>
      <c r="G221" s="26"/>
      <c r="H221" s="26"/>
      <c r="I221" s="26"/>
    </row>
    <row r="222" spans="1:9" s="22" customFormat="1" x14ac:dyDescent="0.2">
      <c r="A222" s="28"/>
      <c r="B222" s="28"/>
      <c r="C222" s="27"/>
      <c r="D222" s="26"/>
      <c r="E222" s="26"/>
      <c r="F222" s="26"/>
      <c r="G222" s="26"/>
      <c r="H222" s="26"/>
      <c r="I222" s="26"/>
    </row>
    <row r="223" spans="1:9" s="22" customFormat="1" x14ac:dyDescent="0.2">
      <c r="A223" s="28"/>
      <c r="B223" s="28"/>
      <c r="C223" s="27"/>
      <c r="D223" s="26"/>
      <c r="E223" s="26"/>
      <c r="F223" s="26"/>
      <c r="G223" s="26"/>
      <c r="H223" s="26"/>
      <c r="I223" s="26"/>
    </row>
    <row r="224" spans="1:9" s="22" customFormat="1" x14ac:dyDescent="0.2">
      <c r="A224" s="28"/>
      <c r="B224" s="28"/>
      <c r="C224" s="27"/>
      <c r="D224" s="26"/>
      <c r="E224" s="26"/>
      <c r="F224" s="26"/>
      <c r="G224" s="26"/>
      <c r="H224" s="26"/>
      <c r="I224" s="26"/>
    </row>
    <row r="225" spans="1:9" s="22" customFormat="1" x14ac:dyDescent="0.2">
      <c r="A225" s="28"/>
      <c r="B225" s="28"/>
      <c r="C225" s="27"/>
      <c r="D225" s="26"/>
      <c r="E225" s="26"/>
      <c r="F225" s="26"/>
      <c r="G225" s="26"/>
      <c r="H225" s="26"/>
      <c r="I225" s="26"/>
    </row>
    <row r="226" spans="1:9" s="22" customFormat="1" x14ac:dyDescent="0.2">
      <c r="A226" s="28"/>
      <c r="B226" s="28"/>
      <c r="C226" s="27"/>
      <c r="D226" s="26"/>
      <c r="E226" s="26"/>
      <c r="F226" s="26"/>
      <c r="G226" s="26"/>
      <c r="H226" s="26"/>
      <c r="I226" s="26"/>
    </row>
    <row r="227" spans="1:9" s="22" customFormat="1" x14ac:dyDescent="0.2">
      <c r="A227" s="28"/>
      <c r="B227" s="28"/>
      <c r="C227" s="27"/>
      <c r="D227" s="26"/>
      <c r="E227" s="26"/>
      <c r="F227" s="26"/>
      <c r="G227" s="26"/>
      <c r="H227" s="26"/>
      <c r="I227" s="26"/>
    </row>
    <row r="228" spans="1:9" s="22" customFormat="1" x14ac:dyDescent="0.2">
      <c r="A228" s="28"/>
      <c r="B228" s="28"/>
      <c r="C228" s="27"/>
      <c r="D228" s="26"/>
      <c r="E228" s="26"/>
      <c r="F228" s="26"/>
      <c r="G228" s="26"/>
      <c r="H228" s="26"/>
      <c r="I228" s="26"/>
    </row>
    <row r="229" spans="1:9" s="22" customFormat="1" x14ac:dyDescent="0.2">
      <c r="A229" s="28"/>
      <c r="B229" s="28"/>
      <c r="C229" s="27"/>
      <c r="D229" s="26"/>
      <c r="E229" s="26"/>
      <c r="F229" s="26"/>
      <c r="G229" s="26"/>
      <c r="H229" s="26"/>
      <c r="I229" s="26"/>
    </row>
    <row r="230" spans="1:9" s="22" customFormat="1" x14ac:dyDescent="0.2">
      <c r="A230" s="28"/>
      <c r="B230" s="28"/>
      <c r="C230" s="27"/>
      <c r="D230" s="26"/>
      <c r="E230" s="26"/>
      <c r="F230" s="26"/>
      <c r="G230" s="26"/>
      <c r="H230" s="26"/>
      <c r="I230" s="26"/>
    </row>
    <row r="231" spans="1:9" s="22" customFormat="1" x14ac:dyDescent="0.2">
      <c r="A231" s="28"/>
      <c r="B231" s="28"/>
      <c r="C231" s="27"/>
      <c r="D231" s="26"/>
      <c r="E231" s="26"/>
      <c r="F231" s="26"/>
      <c r="G231" s="26"/>
      <c r="H231" s="26"/>
      <c r="I231" s="26"/>
    </row>
    <row r="232" spans="1:9" s="22" customFormat="1" x14ac:dyDescent="0.2">
      <c r="A232" s="28"/>
      <c r="B232" s="28"/>
      <c r="C232" s="27"/>
      <c r="D232" s="26"/>
      <c r="E232" s="26"/>
      <c r="F232" s="26"/>
      <c r="G232" s="26"/>
      <c r="H232" s="26"/>
      <c r="I232" s="26"/>
    </row>
    <row r="233" spans="1:9" s="22" customFormat="1" x14ac:dyDescent="0.2">
      <c r="A233" s="28"/>
      <c r="B233" s="28"/>
      <c r="C233" s="27"/>
      <c r="D233" s="26"/>
      <c r="E233" s="26"/>
      <c r="F233" s="26"/>
      <c r="G233" s="26"/>
      <c r="H233" s="26"/>
      <c r="I233" s="26"/>
    </row>
    <row r="234" spans="1:9" s="22" customFormat="1" x14ac:dyDescent="0.2">
      <c r="A234" s="28"/>
      <c r="B234" s="28"/>
      <c r="C234" s="27"/>
      <c r="D234" s="26"/>
      <c r="E234" s="26"/>
      <c r="F234" s="26"/>
      <c r="G234" s="26"/>
      <c r="H234" s="26"/>
      <c r="I234" s="26"/>
    </row>
    <row r="235" spans="1:9" s="22" customFormat="1" x14ac:dyDescent="0.2">
      <c r="A235" s="28"/>
      <c r="B235" s="28"/>
      <c r="C235" s="27"/>
      <c r="D235" s="26"/>
      <c r="E235" s="26"/>
      <c r="F235" s="26"/>
      <c r="G235" s="26"/>
      <c r="H235" s="26"/>
      <c r="I235" s="26"/>
    </row>
    <row r="236" spans="1:9" s="22" customFormat="1" x14ac:dyDescent="0.2">
      <c r="A236" s="28"/>
      <c r="B236" s="28"/>
      <c r="C236" s="27"/>
      <c r="D236" s="26"/>
      <c r="E236" s="26"/>
      <c r="F236" s="26"/>
      <c r="G236" s="26"/>
      <c r="H236" s="26"/>
      <c r="I236" s="26"/>
    </row>
    <row r="237" spans="1:9" s="22" customFormat="1" x14ac:dyDescent="0.2">
      <c r="A237" s="28"/>
      <c r="B237" s="28"/>
      <c r="C237" s="27"/>
      <c r="D237" s="26"/>
      <c r="E237" s="26"/>
      <c r="F237" s="26"/>
      <c r="G237" s="26"/>
      <c r="H237" s="26"/>
      <c r="I237" s="26"/>
    </row>
    <row r="238" spans="1:9" s="22" customFormat="1" x14ac:dyDescent="0.2">
      <c r="A238" s="28"/>
      <c r="B238" s="28"/>
      <c r="C238" s="27"/>
      <c r="D238" s="26"/>
      <c r="E238" s="26"/>
      <c r="F238" s="26"/>
      <c r="G238" s="26"/>
      <c r="H238" s="26"/>
      <c r="I238" s="26"/>
    </row>
    <row r="239" spans="1:9" s="22" customFormat="1" x14ac:dyDescent="0.2">
      <c r="A239" s="28"/>
      <c r="B239" s="28"/>
      <c r="C239" s="27"/>
      <c r="D239" s="26"/>
      <c r="E239" s="26"/>
      <c r="F239" s="26"/>
      <c r="G239" s="26"/>
      <c r="H239" s="26"/>
      <c r="I239" s="26"/>
    </row>
    <row r="240" spans="1:9" s="22" customFormat="1" x14ac:dyDescent="0.2">
      <c r="A240" s="28"/>
      <c r="B240" s="28"/>
      <c r="C240" s="27"/>
      <c r="D240" s="26"/>
      <c r="E240" s="26"/>
      <c r="F240" s="26"/>
      <c r="G240" s="26"/>
      <c r="H240" s="26"/>
      <c r="I240" s="26"/>
    </row>
    <row r="241" spans="1:9" s="22" customFormat="1" x14ac:dyDescent="0.2">
      <c r="A241" s="28"/>
      <c r="B241" s="28"/>
      <c r="C241" s="27"/>
      <c r="D241" s="26"/>
      <c r="E241" s="26"/>
      <c r="F241" s="26"/>
      <c r="G241" s="26"/>
      <c r="H241" s="26"/>
      <c r="I241" s="26"/>
    </row>
    <row r="242" spans="1:9" s="22" customFormat="1" x14ac:dyDescent="0.2">
      <c r="A242" s="28"/>
      <c r="B242" s="28"/>
      <c r="C242" s="27"/>
      <c r="D242" s="26"/>
      <c r="E242" s="26"/>
      <c r="F242" s="26"/>
      <c r="G242" s="26"/>
      <c r="H242" s="26"/>
      <c r="I242" s="26"/>
    </row>
    <row r="243" spans="1:9" s="22" customFormat="1" x14ac:dyDescent="0.2">
      <c r="A243" s="28"/>
      <c r="B243" s="28"/>
      <c r="C243" s="27"/>
      <c r="D243" s="26"/>
      <c r="E243" s="26"/>
      <c r="F243" s="26"/>
      <c r="G243" s="26"/>
      <c r="H243" s="26"/>
      <c r="I243" s="26"/>
    </row>
    <row r="244" spans="1:9" s="22" customFormat="1" x14ac:dyDescent="0.2">
      <c r="A244" s="28"/>
      <c r="B244" s="28"/>
      <c r="C244" s="27"/>
      <c r="D244" s="26"/>
      <c r="E244" s="26"/>
      <c r="F244" s="26"/>
      <c r="G244" s="26"/>
      <c r="H244" s="26"/>
      <c r="I244" s="26"/>
    </row>
    <row r="245" spans="1:9" s="22" customFormat="1" x14ac:dyDescent="0.2">
      <c r="A245" s="28"/>
      <c r="B245" s="28"/>
      <c r="C245" s="27"/>
      <c r="D245" s="26"/>
      <c r="E245" s="26"/>
      <c r="F245" s="26"/>
      <c r="G245" s="26"/>
      <c r="H245" s="26"/>
      <c r="I245" s="26"/>
    </row>
    <row r="246" spans="1:9" s="22" customFormat="1" x14ac:dyDescent="0.2">
      <c r="A246" s="28"/>
      <c r="B246" s="28"/>
      <c r="C246" s="27"/>
      <c r="D246" s="26"/>
      <c r="E246" s="26"/>
      <c r="F246" s="26"/>
      <c r="G246" s="26"/>
      <c r="H246" s="26"/>
      <c r="I246" s="26"/>
    </row>
    <row r="247" spans="1:9" s="22" customFormat="1" x14ac:dyDescent="0.2">
      <c r="A247" s="28"/>
      <c r="B247" s="28"/>
      <c r="C247" s="27"/>
      <c r="D247" s="26"/>
      <c r="E247" s="26"/>
      <c r="F247" s="26"/>
      <c r="G247" s="26"/>
      <c r="H247" s="26"/>
      <c r="I247" s="26"/>
    </row>
    <row r="248" spans="1:9" s="22" customFormat="1" x14ac:dyDescent="0.2">
      <c r="A248" s="28"/>
      <c r="B248" s="28"/>
      <c r="C248" s="27"/>
      <c r="D248" s="26"/>
      <c r="E248" s="26"/>
      <c r="F248" s="26"/>
      <c r="G248" s="26"/>
      <c r="H248" s="26"/>
      <c r="I248" s="26"/>
    </row>
    <row r="249" spans="1:9" s="22" customFormat="1" x14ac:dyDescent="0.2">
      <c r="A249" s="28"/>
      <c r="B249" s="28"/>
      <c r="C249" s="27"/>
      <c r="D249" s="26"/>
      <c r="E249" s="26"/>
      <c r="F249" s="26"/>
      <c r="G249" s="26"/>
      <c r="H249" s="26"/>
      <c r="I249" s="26"/>
    </row>
    <row r="250" spans="1:9" s="22" customFormat="1" x14ac:dyDescent="0.2">
      <c r="A250" s="28"/>
      <c r="B250" s="28"/>
      <c r="C250" s="27"/>
      <c r="D250" s="26"/>
      <c r="E250" s="26"/>
      <c r="F250" s="26"/>
      <c r="G250" s="26"/>
      <c r="H250" s="26"/>
      <c r="I250" s="26"/>
    </row>
    <row r="251" spans="1:9" s="22" customFormat="1" x14ac:dyDescent="0.2">
      <c r="A251" s="28"/>
      <c r="B251" s="28"/>
      <c r="C251" s="27"/>
      <c r="D251" s="26"/>
      <c r="E251" s="26"/>
      <c r="F251" s="26"/>
      <c r="G251" s="26"/>
      <c r="H251" s="26"/>
      <c r="I251" s="26"/>
    </row>
    <row r="252" spans="1:9" s="22" customFormat="1" x14ac:dyDescent="0.2">
      <c r="A252" s="28"/>
      <c r="B252" s="28"/>
      <c r="C252" s="27"/>
      <c r="D252" s="26"/>
      <c r="E252" s="26"/>
      <c r="F252" s="26"/>
      <c r="G252" s="26"/>
      <c r="H252" s="26"/>
      <c r="I252" s="26"/>
    </row>
    <row r="253" spans="1:9" s="22" customFormat="1" x14ac:dyDescent="0.2">
      <c r="A253" s="28"/>
      <c r="B253" s="28"/>
      <c r="C253" s="27"/>
      <c r="D253" s="26"/>
      <c r="E253" s="26"/>
      <c r="F253" s="26"/>
      <c r="G253" s="26"/>
      <c r="H253" s="26"/>
      <c r="I253" s="26"/>
    </row>
    <row r="254" spans="1:9" s="22" customFormat="1" x14ac:dyDescent="0.2">
      <c r="A254" s="28"/>
      <c r="B254" s="28"/>
      <c r="C254" s="27"/>
      <c r="D254" s="26"/>
      <c r="E254" s="26"/>
      <c r="F254" s="26"/>
      <c r="G254" s="26"/>
      <c r="H254" s="26"/>
      <c r="I254" s="26"/>
    </row>
    <row r="255" spans="1:9" s="22" customFormat="1" x14ac:dyDescent="0.2">
      <c r="A255" s="28"/>
      <c r="B255" s="28"/>
      <c r="C255" s="27"/>
      <c r="D255" s="26"/>
      <c r="E255" s="26"/>
      <c r="F255" s="26"/>
      <c r="G255" s="26"/>
      <c r="H255" s="26"/>
      <c r="I255" s="26"/>
    </row>
    <row r="256" spans="1:9" s="22" customFormat="1" x14ac:dyDescent="0.2">
      <c r="A256" s="28"/>
      <c r="B256" s="28"/>
      <c r="C256" s="27"/>
      <c r="D256" s="26"/>
      <c r="E256" s="26"/>
      <c r="F256" s="26"/>
      <c r="G256" s="26"/>
      <c r="H256" s="26"/>
      <c r="I256" s="26"/>
    </row>
    <row r="257" spans="1:9" s="22" customFormat="1" x14ac:dyDescent="0.2">
      <c r="A257" s="28"/>
      <c r="B257" s="28"/>
      <c r="C257" s="27"/>
      <c r="D257" s="26"/>
      <c r="E257" s="26"/>
      <c r="F257" s="26"/>
      <c r="G257" s="26"/>
      <c r="H257" s="26"/>
      <c r="I257" s="26"/>
    </row>
    <row r="258" spans="1:9" s="22" customFormat="1" x14ac:dyDescent="0.2">
      <c r="A258" s="28"/>
      <c r="B258" s="28"/>
      <c r="C258" s="27"/>
      <c r="D258" s="26"/>
      <c r="E258" s="26"/>
      <c r="F258" s="26"/>
      <c r="G258" s="26"/>
      <c r="H258" s="26"/>
      <c r="I258" s="26"/>
    </row>
    <row r="259" spans="1:9" s="22" customFormat="1" x14ac:dyDescent="0.2">
      <c r="A259" s="28"/>
      <c r="B259" s="28"/>
      <c r="C259" s="27"/>
      <c r="D259" s="26"/>
      <c r="E259" s="26"/>
      <c r="F259" s="26"/>
      <c r="G259" s="26"/>
      <c r="H259" s="26"/>
      <c r="I259" s="26"/>
    </row>
    <row r="260" spans="1:9" s="22" customFormat="1" x14ac:dyDescent="0.2">
      <c r="A260" s="28"/>
      <c r="B260" s="28"/>
      <c r="C260" s="27"/>
      <c r="D260" s="26"/>
      <c r="E260" s="26"/>
      <c r="F260" s="26"/>
      <c r="G260" s="26"/>
      <c r="H260" s="26"/>
      <c r="I260" s="26"/>
    </row>
    <row r="261" spans="1:9" s="22" customFormat="1" x14ac:dyDescent="0.2">
      <c r="A261" s="28"/>
      <c r="B261" s="28"/>
      <c r="C261" s="27"/>
      <c r="D261" s="26"/>
      <c r="E261" s="26"/>
      <c r="F261" s="26"/>
      <c r="G261" s="26"/>
      <c r="H261" s="26"/>
      <c r="I261" s="26"/>
    </row>
    <row r="262" spans="1:9" s="22" customFormat="1" x14ac:dyDescent="0.2">
      <c r="A262" s="28"/>
      <c r="B262" s="28"/>
      <c r="C262" s="27"/>
      <c r="D262" s="26"/>
      <c r="E262" s="26"/>
      <c r="F262" s="26"/>
      <c r="G262" s="26"/>
      <c r="H262" s="26"/>
      <c r="I262" s="26"/>
    </row>
    <row r="263" spans="1:9" s="22" customFormat="1" x14ac:dyDescent="0.2">
      <c r="A263" s="28"/>
      <c r="B263" s="28"/>
      <c r="C263" s="27"/>
      <c r="D263" s="26"/>
      <c r="E263" s="26"/>
      <c r="F263" s="26"/>
      <c r="G263" s="26"/>
      <c r="H263" s="26"/>
      <c r="I263" s="26"/>
    </row>
    <row r="264" spans="1:9" s="22" customFormat="1" x14ac:dyDescent="0.2">
      <c r="A264" s="28"/>
      <c r="B264" s="28"/>
      <c r="C264" s="27"/>
      <c r="D264" s="26"/>
      <c r="E264" s="26"/>
      <c r="F264" s="26"/>
      <c r="G264" s="26"/>
      <c r="H264" s="26"/>
      <c r="I264" s="26"/>
    </row>
    <row r="265" spans="1:9" s="22" customFormat="1" x14ac:dyDescent="0.2">
      <c r="A265" s="28"/>
      <c r="B265" s="28"/>
      <c r="C265" s="27"/>
      <c r="D265" s="26"/>
      <c r="E265" s="26"/>
      <c r="F265" s="26"/>
      <c r="G265" s="26"/>
      <c r="H265" s="26"/>
      <c r="I265" s="26"/>
    </row>
    <row r="266" spans="1:9" s="22" customFormat="1" x14ac:dyDescent="0.2">
      <c r="A266" s="28"/>
      <c r="B266" s="28"/>
      <c r="C266" s="27"/>
      <c r="D266" s="26"/>
      <c r="E266" s="26"/>
      <c r="F266" s="26"/>
      <c r="G266" s="26"/>
      <c r="H266" s="26"/>
      <c r="I266" s="26"/>
    </row>
    <row r="267" spans="1:9" s="22" customFormat="1" x14ac:dyDescent="0.2">
      <c r="A267" s="28"/>
      <c r="B267" s="28"/>
      <c r="C267" s="27"/>
      <c r="D267" s="26"/>
      <c r="E267" s="26"/>
      <c r="F267" s="26"/>
      <c r="G267" s="26"/>
      <c r="H267" s="26"/>
      <c r="I267" s="26"/>
    </row>
    <row r="268" spans="1:9" s="22" customFormat="1" x14ac:dyDescent="0.2">
      <c r="A268" s="28"/>
      <c r="B268" s="28"/>
      <c r="C268" s="27"/>
      <c r="D268" s="26"/>
      <c r="E268" s="26"/>
      <c r="F268" s="26"/>
      <c r="G268" s="26"/>
      <c r="H268" s="26"/>
      <c r="I268" s="26"/>
    </row>
    <row r="269" spans="1:9" s="22" customFormat="1" x14ac:dyDescent="0.2">
      <c r="A269" s="28"/>
      <c r="B269" s="28"/>
      <c r="C269" s="27"/>
      <c r="D269" s="26"/>
      <c r="E269" s="26"/>
      <c r="F269" s="26"/>
      <c r="G269" s="26"/>
      <c r="H269" s="26"/>
      <c r="I269" s="26"/>
    </row>
    <row r="270" spans="1:9" s="22" customFormat="1" x14ac:dyDescent="0.2">
      <c r="A270" s="28"/>
      <c r="B270" s="28"/>
      <c r="C270" s="27"/>
      <c r="D270" s="26"/>
      <c r="E270" s="26"/>
      <c r="F270" s="26"/>
      <c r="G270" s="26"/>
      <c r="H270" s="26"/>
      <c r="I270" s="26"/>
    </row>
    <row r="271" spans="1:9" s="22" customFormat="1" x14ac:dyDescent="0.2">
      <c r="A271" s="28"/>
      <c r="B271" s="28"/>
      <c r="C271" s="27"/>
      <c r="D271" s="26"/>
      <c r="E271" s="26"/>
      <c r="F271" s="26"/>
      <c r="G271" s="26"/>
      <c r="H271" s="26"/>
      <c r="I271" s="26"/>
    </row>
    <row r="272" spans="1:9" s="22" customFormat="1" x14ac:dyDescent="0.2">
      <c r="A272" s="28"/>
      <c r="B272" s="28"/>
      <c r="C272" s="27"/>
      <c r="D272" s="26"/>
      <c r="E272" s="26"/>
      <c r="F272" s="26"/>
      <c r="G272" s="26"/>
      <c r="H272" s="26"/>
      <c r="I272" s="26"/>
    </row>
    <row r="273" spans="1:9" s="22" customFormat="1" x14ac:dyDescent="0.2">
      <c r="A273" s="28"/>
      <c r="B273" s="28"/>
      <c r="C273" s="27"/>
      <c r="D273" s="26"/>
      <c r="E273" s="26"/>
      <c r="F273" s="26"/>
      <c r="G273" s="26"/>
      <c r="H273" s="26"/>
      <c r="I273" s="26"/>
    </row>
    <row r="274" spans="1:9" s="22" customFormat="1" x14ac:dyDescent="0.2">
      <c r="A274" s="28"/>
      <c r="B274" s="28"/>
      <c r="C274" s="27"/>
      <c r="D274" s="26"/>
      <c r="E274" s="26"/>
      <c r="F274" s="26"/>
      <c r="G274" s="26"/>
      <c r="H274" s="26"/>
      <c r="I274" s="26"/>
    </row>
    <row r="275" spans="1:9" s="22" customFormat="1" x14ac:dyDescent="0.2">
      <c r="A275" s="28"/>
      <c r="B275" s="28"/>
      <c r="C275" s="27"/>
      <c r="D275" s="26"/>
      <c r="E275" s="26"/>
      <c r="F275" s="26"/>
      <c r="G275" s="26"/>
      <c r="H275" s="26"/>
      <c r="I275" s="26"/>
    </row>
    <row r="276" spans="1:9" s="22" customFormat="1" x14ac:dyDescent="0.2">
      <c r="A276" s="28"/>
      <c r="B276" s="28"/>
      <c r="C276" s="27"/>
      <c r="D276" s="26"/>
      <c r="E276" s="26"/>
      <c r="F276" s="26"/>
      <c r="G276" s="26"/>
      <c r="H276" s="26"/>
      <c r="I276" s="26"/>
    </row>
    <row r="277" spans="1:9" s="22" customFormat="1" x14ac:dyDescent="0.2">
      <c r="A277" s="28"/>
      <c r="B277" s="28"/>
      <c r="C277" s="27"/>
      <c r="D277" s="26"/>
      <c r="E277" s="26"/>
      <c r="F277" s="26"/>
      <c r="G277" s="26"/>
      <c r="H277" s="26"/>
      <c r="I277" s="26"/>
    </row>
    <row r="278" spans="1:9" s="22" customFormat="1" x14ac:dyDescent="0.2">
      <c r="A278" s="28"/>
      <c r="B278" s="28"/>
      <c r="C278" s="27"/>
      <c r="D278" s="26"/>
      <c r="E278" s="26"/>
      <c r="F278" s="26"/>
      <c r="G278" s="26"/>
      <c r="H278" s="26"/>
      <c r="I278" s="26"/>
    </row>
    <row r="279" spans="1:9" s="22" customFormat="1" x14ac:dyDescent="0.2">
      <c r="A279" s="28"/>
      <c r="B279" s="28"/>
      <c r="C279" s="27"/>
      <c r="D279" s="26"/>
      <c r="E279" s="26"/>
      <c r="F279" s="26"/>
      <c r="G279" s="26"/>
      <c r="H279" s="26"/>
      <c r="I279" s="26"/>
    </row>
    <row r="280" spans="1:9" s="22" customFormat="1" x14ac:dyDescent="0.2">
      <c r="A280" s="28"/>
      <c r="B280" s="28"/>
      <c r="C280" s="27"/>
      <c r="D280" s="26"/>
      <c r="E280" s="26"/>
      <c r="F280" s="26"/>
      <c r="G280" s="26"/>
      <c r="H280" s="26"/>
      <c r="I280" s="26"/>
    </row>
    <row r="281" spans="1:9" s="22" customFormat="1" x14ac:dyDescent="0.2">
      <c r="A281" s="28"/>
      <c r="B281" s="28"/>
      <c r="C281" s="27"/>
      <c r="D281" s="26"/>
      <c r="E281" s="26"/>
      <c r="F281" s="26"/>
      <c r="G281" s="26"/>
      <c r="H281" s="26"/>
      <c r="I281" s="26"/>
    </row>
    <row r="282" spans="1:9" s="22" customFormat="1" x14ac:dyDescent="0.2">
      <c r="A282" s="28"/>
      <c r="B282" s="28"/>
      <c r="C282" s="27"/>
      <c r="D282" s="26"/>
      <c r="E282" s="26"/>
      <c r="F282" s="26"/>
      <c r="G282" s="26"/>
      <c r="H282" s="26"/>
      <c r="I282" s="26"/>
    </row>
    <row r="283" spans="1:9" s="22" customFormat="1" x14ac:dyDescent="0.2">
      <c r="A283" s="28"/>
      <c r="B283" s="28"/>
      <c r="C283" s="27"/>
      <c r="D283" s="26"/>
      <c r="E283" s="26"/>
      <c r="F283" s="26"/>
      <c r="G283" s="26"/>
      <c r="H283" s="26"/>
      <c r="I283" s="26"/>
    </row>
    <row r="284" spans="1:9" s="22" customFormat="1" x14ac:dyDescent="0.2">
      <c r="A284" s="28"/>
      <c r="B284" s="28"/>
      <c r="C284" s="27"/>
      <c r="D284" s="26"/>
      <c r="E284" s="26"/>
      <c r="F284" s="26"/>
      <c r="G284" s="26"/>
      <c r="H284" s="26"/>
      <c r="I284" s="26"/>
    </row>
    <row r="285" spans="1:9" s="22" customFormat="1" x14ac:dyDescent="0.2">
      <c r="A285" s="28"/>
      <c r="B285" s="28"/>
      <c r="C285" s="27"/>
      <c r="D285" s="26"/>
      <c r="E285" s="26"/>
      <c r="F285" s="26"/>
      <c r="G285" s="26"/>
      <c r="H285" s="26"/>
      <c r="I285" s="26"/>
    </row>
    <row r="286" spans="1:9" s="22" customFormat="1" x14ac:dyDescent="0.2">
      <c r="A286" s="28"/>
      <c r="B286" s="28"/>
      <c r="C286" s="27"/>
      <c r="D286" s="26"/>
      <c r="E286" s="26"/>
      <c r="F286" s="26"/>
      <c r="G286" s="26"/>
      <c r="H286" s="26"/>
      <c r="I286" s="26"/>
    </row>
    <row r="287" spans="1:9" s="22" customFormat="1" x14ac:dyDescent="0.2">
      <c r="A287" s="28"/>
      <c r="B287" s="28"/>
      <c r="C287" s="27"/>
      <c r="D287" s="26"/>
      <c r="E287" s="26"/>
      <c r="F287" s="26"/>
      <c r="G287" s="26"/>
      <c r="H287" s="26"/>
      <c r="I287" s="26"/>
    </row>
    <row r="288" spans="1:9" s="22" customFormat="1" x14ac:dyDescent="0.2">
      <c r="A288" s="28"/>
      <c r="B288" s="28"/>
      <c r="C288" s="27"/>
      <c r="D288" s="26"/>
      <c r="E288" s="26"/>
      <c r="F288" s="26"/>
      <c r="G288" s="26"/>
      <c r="H288" s="26"/>
      <c r="I288" s="26"/>
    </row>
    <row r="289" spans="1:9" s="22" customFormat="1" x14ac:dyDescent="0.2">
      <c r="A289" s="28"/>
      <c r="B289" s="28"/>
      <c r="C289" s="27"/>
      <c r="D289" s="26"/>
      <c r="E289" s="26"/>
      <c r="F289" s="26"/>
      <c r="G289" s="26"/>
      <c r="H289" s="26"/>
      <c r="I289" s="26"/>
    </row>
    <row r="290" spans="1:9" s="22" customFormat="1" x14ac:dyDescent="0.2">
      <c r="A290" s="28"/>
      <c r="B290" s="28"/>
      <c r="C290" s="27"/>
      <c r="D290" s="26"/>
      <c r="E290" s="26"/>
      <c r="F290" s="26"/>
      <c r="G290" s="26"/>
      <c r="H290" s="26"/>
      <c r="I290" s="26"/>
    </row>
    <row r="291" spans="1:9" s="22" customFormat="1" x14ac:dyDescent="0.2">
      <c r="A291" s="28"/>
      <c r="B291" s="28"/>
      <c r="C291" s="27"/>
      <c r="D291" s="26"/>
      <c r="E291" s="26"/>
      <c r="F291" s="26"/>
      <c r="G291" s="26"/>
      <c r="H291" s="26"/>
      <c r="I291" s="26"/>
    </row>
    <row r="292" spans="1:9" s="22" customFormat="1" x14ac:dyDescent="0.2">
      <c r="A292" s="28"/>
      <c r="B292" s="28"/>
      <c r="C292" s="27"/>
      <c r="D292" s="26"/>
      <c r="E292" s="26"/>
      <c r="F292" s="26"/>
      <c r="G292" s="26"/>
      <c r="H292" s="26"/>
      <c r="I292" s="26"/>
    </row>
    <row r="293" spans="1:9" s="22" customFormat="1" x14ac:dyDescent="0.2">
      <c r="A293" s="28"/>
      <c r="B293" s="28"/>
      <c r="C293" s="27"/>
      <c r="D293" s="26"/>
      <c r="E293" s="26"/>
      <c r="F293" s="26"/>
      <c r="G293" s="26"/>
      <c r="H293" s="26"/>
      <c r="I293" s="26"/>
    </row>
    <row r="294" spans="1:9" s="22" customFormat="1" x14ac:dyDescent="0.2">
      <c r="A294" s="28"/>
      <c r="B294" s="28"/>
      <c r="C294" s="27"/>
      <c r="D294" s="26"/>
      <c r="E294" s="26"/>
      <c r="F294" s="26"/>
      <c r="G294" s="26"/>
      <c r="H294" s="26"/>
      <c r="I294" s="26"/>
    </row>
    <row r="295" spans="1:9" s="22" customFormat="1" x14ac:dyDescent="0.2">
      <c r="A295" s="28"/>
      <c r="B295" s="28"/>
      <c r="C295" s="27"/>
      <c r="D295" s="26"/>
      <c r="E295" s="26"/>
      <c r="F295" s="26"/>
      <c r="G295" s="26"/>
      <c r="H295" s="26"/>
      <c r="I295" s="26"/>
    </row>
    <row r="296" spans="1:9" s="22" customFormat="1" x14ac:dyDescent="0.2">
      <c r="A296" s="28"/>
      <c r="B296" s="28"/>
      <c r="C296" s="27"/>
      <c r="D296" s="26"/>
      <c r="E296" s="26"/>
      <c r="F296" s="26"/>
      <c r="G296" s="26"/>
      <c r="H296" s="26"/>
      <c r="I296" s="26"/>
    </row>
    <row r="297" spans="1:9" s="22" customFormat="1" x14ac:dyDescent="0.2">
      <c r="A297" s="28"/>
      <c r="B297" s="28"/>
      <c r="C297" s="27"/>
      <c r="D297" s="26"/>
      <c r="E297" s="26"/>
      <c r="F297" s="26"/>
      <c r="G297" s="26"/>
      <c r="H297" s="26"/>
      <c r="I297" s="26"/>
    </row>
    <row r="298" spans="1:9" s="22" customFormat="1" x14ac:dyDescent="0.2">
      <c r="A298" s="28"/>
      <c r="B298" s="28"/>
      <c r="C298" s="27"/>
      <c r="D298" s="26"/>
      <c r="E298" s="26"/>
      <c r="F298" s="26"/>
      <c r="G298" s="26"/>
      <c r="H298" s="26"/>
      <c r="I298" s="26"/>
    </row>
    <row r="299" spans="1:9" s="22" customFormat="1" x14ac:dyDescent="0.2">
      <c r="A299" s="28"/>
      <c r="B299" s="28"/>
      <c r="C299" s="27"/>
      <c r="D299" s="26"/>
      <c r="E299" s="26"/>
      <c r="F299" s="26"/>
      <c r="G299" s="26"/>
      <c r="H299" s="26"/>
      <c r="I299" s="26"/>
    </row>
    <row r="300" spans="1:9" s="22" customFormat="1" x14ac:dyDescent="0.2">
      <c r="A300" s="28"/>
      <c r="B300" s="28"/>
      <c r="C300" s="27"/>
      <c r="D300" s="26"/>
      <c r="E300" s="26"/>
      <c r="F300" s="26"/>
      <c r="G300" s="26"/>
      <c r="H300" s="26"/>
      <c r="I300" s="26"/>
    </row>
    <row r="301" spans="1:9" s="22" customFormat="1" x14ac:dyDescent="0.2">
      <c r="A301" s="28"/>
      <c r="B301" s="28"/>
      <c r="C301" s="27"/>
      <c r="D301" s="26"/>
      <c r="E301" s="26"/>
      <c r="F301" s="26"/>
      <c r="G301" s="26"/>
      <c r="H301" s="26"/>
      <c r="I301" s="26"/>
    </row>
    <row r="302" spans="1:9" s="22" customFormat="1" x14ac:dyDescent="0.2">
      <c r="A302" s="28"/>
      <c r="B302" s="28"/>
      <c r="C302" s="27"/>
      <c r="D302" s="26"/>
      <c r="E302" s="26"/>
      <c r="F302" s="26"/>
      <c r="G302" s="26"/>
      <c r="H302" s="26"/>
      <c r="I302" s="26"/>
    </row>
    <row r="303" spans="1:9" s="22" customFormat="1" x14ac:dyDescent="0.2">
      <c r="A303" s="28"/>
      <c r="B303" s="28"/>
      <c r="C303" s="27"/>
      <c r="D303" s="26"/>
      <c r="E303" s="26"/>
      <c r="F303" s="26"/>
      <c r="G303" s="26"/>
      <c r="H303" s="26"/>
      <c r="I303" s="26"/>
    </row>
    <row r="304" spans="1:9" s="22" customFormat="1" x14ac:dyDescent="0.2">
      <c r="A304" s="28"/>
      <c r="B304" s="28"/>
      <c r="C304" s="27"/>
      <c r="D304" s="26"/>
      <c r="E304" s="26"/>
      <c r="F304" s="26"/>
      <c r="G304" s="26"/>
      <c r="H304" s="26"/>
      <c r="I304" s="26"/>
    </row>
    <row r="305" spans="1:9" s="22" customFormat="1" x14ac:dyDescent="0.2">
      <c r="A305" s="28"/>
      <c r="B305" s="28"/>
      <c r="C305" s="27"/>
      <c r="D305" s="26"/>
      <c r="E305" s="26"/>
      <c r="F305" s="26"/>
      <c r="G305" s="26"/>
      <c r="H305" s="26"/>
      <c r="I305" s="26"/>
    </row>
    <row r="306" spans="1:9" s="22" customFormat="1" x14ac:dyDescent="0.2">
      <c r="A306" s="28"/>
      <c r="B306" s="28"/>
      <c r="C306" s="27"/>
      <c r="D306" s="26"/>
      <c r="E306" s="26"/>
      <c r="F306" s="26"/>
      <c r="G306" s="26"/>
      <c r="H306" s="26"/>
      <c r="I306" s="26"/>
    </row>
    <row r="307" spans="1:9" s="22" customFormat="1" x14ac:dyDescent="0.2">
      <c r="A307" s="28"/>
      <c r="B307" s="28"/>
      <c r="C307" s="27"/>
      <c r="D307" s="26"/>
      <c r="E307" s="26"/>
      <c r="F307" s="26"/>
      <c r="G307" s="26"/>
      <c r="H307" s="26"/>
      <c r="I307" s="26"/>
    </row>
    <row r="308" spans="1:9" s="22" customFormat="1" x14ac:dyDescent="0.2">
      <c r="A308" s="28"/>
      <c r="B308" s="28"/>
      <c r="C308" s="27"/>
      <c r="D308" s="26"/>
      <c r="E308" s="26"/>
      <c r="F308" s="26"/>
      <c r="G308" s="26"/>
      <c r="H308" s="26"/>
      <c r="I308" s="26"/>
    </row>
    <row r="309" spans="1:9" s="22" customFormat="1" x14ac:dyDescent="0.2">
      <c r="A309" s="28"/>
      <c r="B309" s="28"/>
      <c r="C309" s="27"/>
      <c r="D309" s="26"/>
      <c r="E309" s="26"/>
      <c r="F309" s="26"/>
      <c r="G309" s="26"/>
      <c r="H309" s="26"/>
      <c r="I309" s="26"/>
    </row>
    <row r="310" spans="1:9" s="22" customFormat="1" x14ac:dyDescent="0.2">
      <c r="A310" s="28"/>
      <c r="B310" s="28"/>
      <c r="C310" s="27"/>
      <c r="D310" s="26"/>
      <c r="E310" s="26"/>
      <c r="F310" s="26"/>
      <c r="G310" s="26"/>
      <c r="H310" s="26"/>
      <c r="I310" s="26"/>
    </row>
    <row r="311" spans="1:9" s="22" customFormat="1" x14ac:dyDescent="0.2">
      <c r="A311" s="28"/>
      <c r="B311" s="28"/>
      <c r="C311" s="27"/>
      <c r="D311" s="26"/>
      <c r="E311" s="26"/>
      <c r="F311" s="26"/>
      <c r="G311" s="26"/>
      <c r="H311" s="26"/>
      <c r="I311" s="26"/>
    </row>
    <row r="312" spans="1:9" s="22" customFormat="1" x14ac:dyDescent="0.2">
      <c r="A312" s="28"/>
      <c r="B312" s="28"/>
      <c r="C312" s="27"/>
      <c r="D312" s="26"/>
      <c r="E312" s="26"/>
      <c r="F312" s="26"/>
      <c r="G312" s="26"/>
      <c r="H312" s="26"/>
      <c r="I312" s="26"/>
    </row>
    <row r="313" spans="1:9" s="22" customFormat="1" x14ac:dyDescent="0.2">
      <c r="A313" s="28"/>
      <c r="B313" s="28"/>
      <c r="C313" s="27"/>
      <c r="D313" s="26"/>
      <c r="E313" s="26"/>
      <c r="F313" s="26"/>
      <c r="G313" s="26"/>
      <c r="H313" s="26"/>
      <c r="I313" s="26"/>
    </row>
    <row r="314" spans="1:9" s="22" customFormat="1" x14ac:dyDescent="0.2">
      <c r="A314" s="28"/>
      <c r="B314" s="28"/>
      <c r="C314" s="27"/>
      <c r="D314" s="26"/>
      <c r="E314" s="26"/>
      <c r="F314" s="26"/>
      <c r="G314" s="26"/>
      <c r="H314" s="26"/>
      <c r="I314" s="26"/>
    </row>
    <row r="315" spans="1:9" s="22" customFormat="1" x14ac:dyDescent="0.2">
      <c r="A315" s="28"/>
      <c r="B315" s="28"/>
      <c r="C315" s="27"/>
      <c r="D315" s="26"/>
      <c r="E315" s="26"/>
      <c r="F315" s="26"/>
      <c r="G315" s="26"/>
      <c r="H315" s="26"/>
      <c r="I315" s="26"/>
    </row>
    <row r="316" spans="1:9" s="22" customFormat="1" x14ac:dyDescent="0.2">
      <c r="A316" s="28"/>
      <c r="B316" s="28"/>
      <c r="C316" s="27"/>
      <c r="D316" s="26"/>
      <c r="E316" s="26"/>
      <c r="F316" s="26"/>
      <c r="G316" s="26"/>
      <c r="H316" s="26"/>
      <c r="I316" s="26"/>
    </row>
  </sheetData>
  <mergeCells count="9">
    <mergeCell ref="G4:G6"/>
    <mergeCell ref="H4:H6"/>
    <mergeCell ref="I4:I6"/>
    <mergeCell ref="D4:D6"/>
    <mergeCell ref="A4:A6"/>
    <mergeCell ref="B4:B6"/>
    <mergeCell ref="C4:C6"/>
    <mergeCell ref="E4:E6"/>
    <mergeCell ref="F4:F6"/>
  </mergeCells>
  <pageMargins left="0.70866141732283472" right="0.70866141732283472" top="0.74803149606299213" bottom="0.74803149606299213" header="0.31496062992125984" footer="0.31496062992125984"/>
  <pageSetup paperSize="9" scale="54" orientation="landscape" horizontalDpi="300" verticalDpi="300" r:id="rId1"/>
  <rowBreaks count="2" manualBreakCount="2">
    <brk id="22" max="16383" man="1"/>
    <brk id="49" max="16383" man="1"/>
  </rowBreaks>
  <colBreaks count="1" manualBreakCount="1">
    <brk id="10"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ae61f9b1-e23d-4f49-b3d7-56b991556c4b" ContentTypeId="0x0101001A458A224826124E8B45B1D613300CFC"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BCF8896E1841C842949D0F901AA0D771" ma:contentTypeVersion="6" ma:contentTypeDescription="A content type to manage public (operations) IDB documents" ma:contentTypeScope="" ma:versionID="0102ec3d50b4e7ef566a89942b7337f4">
  <xsd:schema xmlns:xsd="http://www.w3.org/2001/XMLSchema" xmlns:xs="http://www.w3.org/2001/XMLSchema" xmlns:p="http://schemas.microsoft.com/office/2006/metadata/properties" xmlns:ns2="cdc7663a-08f0-4737-9e8c-148ce897a09c" targetNamespace="http://schemas.microsoft.com/office/2006/metadata/properties" ma:root="true" ma:fieldsID="4a2b00a3559290db0aee23e76ac17fb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04e1e40-5c2d-4772-8def-99c6b9ea1318}" ma:internalName="TaxCatchAll" ma:showField="CatchAllData"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04e1e40-5c2d-4772-8def-99c6b9ea1318}" ma:internalName="TaxCatchAllLabel" ma:readOnly="true" ma:showField="CatchAllDataLabel"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TaxKeywordTaxHTField" ma:index="55" nillable="true" ma:taxonomy="true" ma:internalName="TaxKeywordTaxHTField" ma:taxonomyFieldName="TaxKeyword" ma:displayName="Tags" ma:fieldId="{23f27201-bee3-471e-b2e7-b64fd8b7ca38}" ma:taxonomyMulti="true" ma:sspId="ae61f9b1-e23d-4f49-b3d7-56b991556c4b"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40238195</IDBDocs_x0020_Number>
    <TaxCatchAll xmlns="cdc7663a-08f0-4737-9e8c-148ce897a09c">
      <Value>5</Value>
      <Value>81</Value>
    </TaxCatchAll>
    <Issue_x0020_Date xmlns="cdc7663a-08f0-4737-9e8c-148ce897a09c" xsi:nil="true"/>
    <Phase xmlns="cdc7663a-08f0-4737-9e8c-148ce897a09c" xsi:nil="true"/>
    <SISCOR_x0020_Number xmlns="cdc7663a-08f0-4737-9e8c-148ce897a09c" xsi:nil="true"/>
    <Disclosed xmlns="cdc7663a-08f0-4737-9e8c-148ce897a09c">false</Disclosed>
    <Publication_x0020_Type xmlns="cdc7663a-08f0-4737-9e8c-148ce897a09c" xsi:nil="true"/>
    <Division_x0020_or_x0020_Unit xmlns="cdc7663a-08f0-4737-9e8c-148ce897a09c">MIF/CME</Division_x0020_or_x0020_Unit>
    <Approval_x0020_Number xmlns="cdc7663a-08f0-4737-9e8c-148ce897a09c" xsi:nil="true"/>
    <Document_x0020_Author xmlns="cdc7663a-08f0-4737-9e8c-148ce897a09c">Rodriguez Gonzalez, Ericka</Document_x0020_Author>
    <Disclosure_x0020_Activity xmlns="cdc7663a-08f0-4737-9e8c-148ce897a09c">Procurement Plan</Disclosure_x0020_Activity>
    <Fiscal_x0020_Year_x0020_IDB xmlns="cdc7663a-08f0-4737-9e8c-148ce897a09c">2016</Fiscal_x0020_Year_x0020_IDB>
    <Webtopic xmlns="cdc7663a-08f0-4737-9e8c-148ce897a09c">Generic</Webtopic>
    <Other_x0020_Author xmlns="cdc7663a-08f0-4737-9e8c-148ce897a09c" xsi:nil="true"/>
    <Abstract xmlns="cdc7663a-08f0-4737-9e8c-148ce897a09c">Plan de Adquisiciones Banamex 2016</Abstract>
    <Project_x0020_Number xmlns="cdc7663a-08f0-4737-9e8c-148ce897a09c">N/A</Project_x0020_Number>
    <Package_x0020_Code xmlns="cdc7663a-08f0-4737-9e8c-148ce897a09c" xsi:nil="true"/>
    <Key_x0020_Document xmlns="cdc7663a-08f0-4737-9e8c-148ce897a09c">false</Key_x0020_Document>
    <Migration_x0020_Info xmlns="cdc7663a-08f0-4737-9e8c-148ce897a09c">&lt;Data&gt;&lt;APPLICATION&gt;MS EXCEL&lt;/APPLICATION&gt;&lt;STAGE_CODE&gt;PA&lt;/STAGE_CODE&gt;&lt;USER_STAGE&gt;Procurement Plan&lt;/USER_STAGE&gt;&lt;PD_OBJ_TYPE&gt;0&lt;/PD_OBJ_TYPE&gt;&lt;MAKERECORD&gt;N&lt;/MAKERECORD&gt;&lt;PD_FILEPT_NO&gt;PO-ME-M1088-Plan&lt;/PD_FILEPT_NO&gt;&lt;PD_FILE_PART&gt;120704571&lt;/PD_FILE_PART&gt;&lt;/Data&gt;</Migration_x0020_Info>
    <Operation_x0020_Type xmlns="cdc7663a-08f0-4737-9e8c-148ce897a09c" xsi:nil="true"/>
    <KP_x0020_Topics xmlns="cdc7663a-08f0-4737-9e8c-148ce897a09c" xsi:nil="true"/>
    <Record_x0020_Number xmlns="cdc7663a-08f0-4737-9e8c-148ce897a09c" xsi:nil="true"/>
    <TaxKeywordTaxHTField xmlns="cdc7663a-08f0-4737-9e8c-148ce897a09c">
      <Terms xmlns="http://schemas.microsoft.com/office/infopath/2007/PartnerControls"/>
    </TaxKeywordTaxHTField>
    <Editor1 xmlns="cdc7663a-08f0-4737-9e8c-148ce897a09c" xsi:nil="true"/>
    <Region xmlns="cdc7663a-08f0-4737-9e8c-148ce897a09c" xsi:nil="true"/>
    <Document_x0020_Language_x0020_IDB xmlns="cdc7663a-08f0-4737-9e8c-148ce897a09c">Spanish</Document_x0020_Language_x0020_IDB>
    <Identifier xmlns="cdc7663a-08f0-4737-9e8c-148ce897a09c">Plan de Adquisiciones 2016 TECFILE</Identifier>
    <Publishing_x0020_House xmlns="cdc7663a-08f0-4737-9e8c-148ce897a09c" xsi:nil="true"/>
    <Access_x0020_to_x0020_Information_x00a0_Policy xmlns="cdc7663a-08f0-4737-9e8c-148ce897a09c">Confidential</Access_x0020_to_x0020_Information_x00a0_Policy>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Mexico</TermName>
          <TermId xmlns="http://schemas.microsoft.com/office/infopath/2007/PartnerControls">0eba6470-e7ea-46fd-a959-d4c243acaf26</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nddeef1749674d76abdbe4b239a70bc6 xmlns="cdc7663a-08f0-4737-9e8c-148ce897a09c">
      <Terms xmlns="http://schemas.microsoft.com/office/infopath/2007/PartnerControls"/>
    </nddeef1749674d76abdbe4b239a70bc6>
    <_dlc_DocId xmlns="cdc7663a-08f0-4737-9e8c-148ce897a09c" xsi:nil="true"/>
  </documentManagement>
</p:properties>
</file>

<file path=customXml/item6.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1B81CBD2-DE99-475F-A293-5195C00D2A12}"/>
</file>

<file path=customXml/itemProps2.xml><?xml version="1.0" encoding="utf-8"?>
<ds:datastoreItem xmlns:ds="http://schemas.openxmlformats.org/officeDocument/2006/customXml" ds:itemID="{27A4EDD7-DD47-4851-97D7-7A5A7A7F7A83}"/>
</file>

<file path=customXml/itemProps3.xml><?xml version="1.0" encoding="utf-8"?>
<ds:datastoreItem xmlns:ds="http://schemas.openxmlformats.org/officeDocument/2006/customXml" ds:itemID="{85411963-7417-4191-9F96-94AC4350007E}"/>
</file>

<file path=customXml/itemProps4.xml><?xml version="1.0" encoding="utf-8"?>
<ds:datastoreItem xmlns:ds="http://schemas.openxmlformats.org/officeDocument/2006/customXml" ds:itemID="{7DC32719-5437-4EF6-AD12-1457854251DC}"/>
</file>

<file path=customXml/itemProps5.xml><?xml version="1.0" encoding="utf-8"?>
<ds:datastoreItem xmlns:ds="http://schemas.openxmlformats.org/officeDocument/2006/customXml" ds:itemID="{DAA68F52-495F-4642-9E3B-D24BA4511F74}"/>
</file>

<file path=customXml/itemProps6.xml><?xml version="1.0" encoding="utf-8"?>
<ds:datastoreItem xmlns:ds="http://schemas.openxmlformats.org/officeDocument/2006/customXml" ds:itemID="{DAB4E106-40F4-4FDB-BB92-DA93F4D086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Modelo D-1 - detalle de pagos</vt:lpstr>
      <vt:lpstr>Plan de adquisiciones</vt:lpstr>
      <vt:lpstr>FOMIN Budget</vt:lpstr>
      <vt:lpstr>'FOMIN Budget'!Print_Area</vt:lpstr>
      <vt:lpstr>'Modelo D-1 - detalle de pagos'!Print_Area</vt:lpstr>
      <vt:lpstr>'Plan de adquisiciones'!Print_Area</vt:lpstr>
      <vt:lpstr>'Modelo D-1 - detalle de pagos'!Print_Titles</vt:lpstr>
      <vt:lpstr>'Plan de adquisiciones'!Print_Titles</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de Adquisiciones Banamex 2016</dc:title>
  <dc:creator>meroca</dc:creator>
  <cp:keywords/>
  <cp:lastModifiedBy>Ericka Rodríguez González</cp:lastModifiedBy>
  <cp:lastPrinted>2016-02-05T23:02:02Z</cp:lastPrinted>
  <dcterms:created xsi:type="dcterms:W3CDTF">2007-02-02T19:50:30Z</dcterms:created>
  <dcterms:modified xsi:type="dcterms:W3CDTF">2016-04-12T20:30:13Z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ContentTypeId">
    <vt:lpwstr>0x0101001A458A224826124E8B45B1D613300CFC00BCF8896E1841C842949D0F901AA0D771</vt:lpwstr>
  </property>
  <property fmtid="{D5CDD505-2E9C-101B-9397-08002B2CF9AE}" pid="4" name="TaxKeyword">
    <vt:lpwstr/>
  </property>
  <property fmtid="{D5CDD505-2E9C-101B-9397-08002B2CF9AE}" pid="5" name="Sub_x002d_Sector">
    <vt:lpwstr/>
  </property>
  <property fmtid="{D5CDD505-2E9C-101B-9397-08002B2CF9AE}" pid="8" name="Fund IDB">
    <vt:lpwstr/>
  </property>
  <property fmtid="{D5CDD505-2E9C-101B-9397-08002B2CF9AE}" pid="9" name="Country">
    <vt:lpwstr>5;#Mexico|0eba6470-e7ea-46fd-a959-d4c243acaf26</vt:lpwstr>
  </property>
  <property fmtid="{D5CDD505-2E9C-101B-9397-08002B2CF9AE}" pid="10" name="Series_x0020_Operations_x0020_IDB">
    <vt:lpwstr/>
  </property>
  <property fmtid="{D5CDD505-2E9C-101B-9397-08002B2CF9AE}" pid="11" name="Sector IDB">
    <vt:lpwstr/>
  </property>
  <property fmtid="{D5CDD505-2E9C-101B-9397-08002B2CF9AE}" pid="12" name="Function Operations IDB">
    <vt:lpwstr>81;#IDBDocs|cca77002-e150-4b2d-ab1f-1d7a7cdcae16</vt:lpwstr>
  </property>
  <property fmtid="{D5CDD505-2E9C-101B-9397-08002B2CF9AE}" pid="15" name="From:">
    <vt:lpwstr/>
  </property>
  <property fmtid="{D5CDD505-2E9C-101B-9397-08002B2CF9AE}" pid="16" name="To:">
    <vt:lpwstr/>
  </property>
  <property fmtid="{D5CDD505-2E9C-101B-9397-08002B2CF9AE}" pid="17" name="Series Operations IDB">
    <vt:lpwstr/>
  </property>
  <property fmtid="{D5CDD505-2E9C-101B-9397-08002B2CF9AE}" pid="18" name="Sub-Sector">
    <vt:lpwstr/>
  </property>
</Properties>
</file>