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velynl\Desktop\"/>
    </mc:Choice>
  </mc:AlternateContent>
  <bookViews>
    <workbookView xWindow="0" yWindow="0" windowWidth="23040" windowHeight="8568" tabRatio="675" firstSheet="1" activeTab="2"/>
  </bookViews>
  <sheets>
    <sheet name="PPTO detalle" sheetId="11" state="hidden" r:id="rId1"/>
    <sheet name="PRESUPUESTO" sheetId="1" r:id="rId2"/>
    <sheet name="Plan de Adquisiciones" sheetId="9" r:id="rId3"/>
    <sheet name="Resumen" sheetId="3" r:id="rId4"/>
    <sheet name="Tabla de Hitos" sheetId="10" r:id="rId5"/>
  </sheets>
  <definedNames>
    <definedName name="_xlnm.Print_Area" localSheetId="2">'Plan de Adquisiciones'!$B$1:$N$88</definedName>
    <definedName name="_xlnm.Print_Area" localSheetId="1">PRESUPUESTO!$B$1:$K$36</definedName>
    <definedName name="_xlnm.Print_Area" localSheetId="3">Resumen!$A$1:$D$14</definedName>
    <definedName name="_xlnm.Print_Area" localSheetId="4">'Tabla de Hitos'!$A$2:$F$14</definedName>
    <definedName name="_xlnm.Print_Titles" localSheetId="2">'Plan de Adquisiciones'!$1:$9</definedName>
    <definedName name="_xlnm.Print_Titles" localSheetId="1">PRESUPUESTO!$1:$4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6" i="9" l="1"/>
  <c r="H31" i="9"/>
  <c r="E38" i="9"/>
  <c r="J65" i="9"/>
  <c r="H65" i="9"/>
  <c r="J46" i="9"/>
  <c r="H46" i="9"/>
  <c r="J31" i="9"/>
  <c r="J10" i="9"/>
  <c r="H10" i="9"/>
  <c r="J162" i="11"/>
  <c r="K162" i="11"/>
  <c r="I54" i="9"/>
  <c r="J168" i="11"/>
  <c r="K168" i="11"/>
  <c r="J167" i="11"/>
  <c r="K167" i="11"/>
  <c r="J166" i="11"/>
  <c r="K166" i="11"/>
  <c r="O166" i="11"/>
  <c r="J165" i="11"/>
  <c r="J164" i="11"/>
  <c r="K58" i="9"/>
  <c r="O165" i="11"/>
  <c r="E59" i="9"/>
  <c r="J82" i="11"/>
  <c r="N167" i="11"/>
  <c r="N166" i="11"/>
  <c r="M166" i="11"/>
  <c r="N165" i="11"/>
  <c r="J156" i="11"/>
  <c r="K156" i="11"/>
  <c r="J157" i="11"/>
  <c r="J158" i="11"/>
  <c r="K158" i="11"/>
  <c r="J159" i="11"/>
  <c r="K159" i="11"/>
  <c r="J161" i="11"/>
  <c r="J184" i="11"/>
  <c r="J183" i="11"/>
  <c r="O183" i="11"/>
  <c r="K183" i="11"/>
  <c r="J186" i="11"/>
  <c r="J173" i="11"/>
  <c r="K173" i="11"/>
  <c r="J175" i="11"/>
  <c r="J174" i="11"/>
  <c r="J177" i="11"/>
  <c r="K177" i="11"/>
  <c r="J178" i="11"/>
  <c r="K178" i="11"/>
  <c r="J179" i="11"/>
  <c r="O179" i="11"/>
  <c r="K179" i="11"/>
  <c r="J180" i="11"/>
  <c r="K180" i="11"/>
  <c r="J182" i="11"/>
  <c r="J187" i="11"/>
  <c r="K187" i="11"/>
  <c r="J41" i="11"/>
  <c r="O41" i="11"/>
  <c r="J42" i="11"/>
  <c r="K42" i="11"/>
  <c r="J43" i="11"/>
  <c r="K43" i="11"/>
  <c r="J44" i="11"/>
  <c r="K44" i="11"/>
  <c r="J45" i="11"/>
  <c r="K45" i="11"/>
  <c r="J46" i="11"/>
  <c r="K46" i="11"/>
  <c r="J47" i="11"/>
  <c r="K47" i="11"/>
  <c r="J48" i="11"/>
  <c r="K48" i="11"/>
  <c r="J52" i="11"/>
  <c r="O52" i="11"/>
  <c r="J56" i="11"/>
  <c r="K56" i="11"/>
  <c r="I26" i="9"/>
  <c r="J57" i="11"/>
  <c r="K57" i="11"/>
  <c r="J58" i="11"/>
  <c r="K58" i="11"/>
  <c r="J59" i="11"/>
  <c r="K59" i="11"/>
  <c r="J60" i="11"/>
  <c r="K60" i="11"/>
  <c r="O60" i="11"/>
  <c r="J61" i="11"/>
  <c r="O61" i="11"/>
  <c r="J71" i="11"/>
  <c r="K71" i="11"/>
  <c r="I28" i="9"/>
  <c r="J77" i="11"/>
  <c r="J83" i="11"/>
  <c r="K83" i="11"/>
  <c r="I33" i="9"/>
  <c r="J84" i="11"/>
  <c r="J85" i="11"/>
  <c r="K85" i="11"/>
  <c r="I35" i="9"/>
  <c r="J86" i="11"/>
  <c r="J87" i="11"/>
  <c r="K87" i="11"/>
  <c r="J91" i="11"/>
  <c r="J92" i="11"/>
  <c r="K92" i="11"/>
  <c r="J93" i="11"/>
  <c r="O93" i="11"/>
  <c r="J94" i="11"/>
  <c r="J95" i="11"/>
  <c r="J96" i="11"/>
  <c r="O96" i="11"/>
  <c r="K96" i="11"/>
  <c r="J97" i="11"/>
  <c r="J98" i="11"/>
  <c r="K98" i="11"/>
  <c r="J111" i="11"/>
  <c r="O111" i="11"/>
  <c r="E45" i="9"/>
  <c r="J114" i="11"/>
  <c r="O114" i="11"/>
  <c r="K114" i="11"/>
  <c r="J115" i="11"/>
  <c r="J124" i="11"/>
  <c r="J132" i="11"/>
  <c r="K132" i="11"/>
  <c r="K139" i="11"/>
  <c r="H17" i="1"/>
  <c r="J148" i="11"/>
  <c r="K148" i="11"/>
  <c r="J150" i="11"/>
  <c r="M150" i="11"/>
  <c r="K150" i="11"/>
  <c r="J151" i="11"/>
  <c r="K151" i="11"/>
  <c r="J143" i="11"/>
  <c r="K143" i="11"/>
  <c r="K19" i="11"/>
  <c r="K39" i="11"/>
  <c r="K109" i="11"/>
  <c r="H31" i="1"/>
  <c r="B10" i="3"/>
  <c r="H30" i="1"/>
  <c r="B11" i="3"/>
  <c r="N164" i="11"/>
  <c r="J176" i="11"/>
  <c r="L176" i="11"/>
  <c r="J163" i="11"/>
  <c r="J160" i="11"/>
  <c r="L160" i="11"/>
  <c r="K52" i="9"/>
  <c r="L154" i="11"/>
  <c r="L146" i="11"/>
  <c r="J181" i="11"/>
  <c r="J123" i="11"/>
  <c r="N123" i="11"/>
  <c r="L139" i="11"/>
  <c r="L119" i="11"/>
  <c r="I15" i="1"/>
  <c r="L109" i="11"/>
  <c r="L102" i="11"/>
  <c r="I14" i="1"/>
  <c r="J21" i="11"/>
  <c r="M21" i="11"/>
  <c r="L21" i="11"/>
  <c r="J22" i="11"/>
  <c r="J23" i="11"/>
  <c r="M23" i="11"/>
  <c r="L23" i="11"/>
  <c r="J24" i="11"/>
  <c r="J25" i="11"/>
  <c r="L25" i="11"/>
  <c r="J26" i="11"/>
  <c r="M26" i="11"/>
  <c r="J27" i="11"/>
  <c r="L27" i="11"/>
  <c r="J28" i="11"/>
  <c r="M28" i="11"/>
  <c r="J29" i="11"/>
  <c r="O29" i="11"/>
  <c r="J4" i="11"/>
  <c r="J5" i="11"/>
  <c r="L5" i="11"/>
  <c r="K24" i="9"/>
  <c r="J6" i="11"/>
  <c r="L6" i="11"/>
  <c r="J7" i="11"/>
  <c r="L7" i="11"/>
  <c r="K17" i="9"/>
  <c r="J8" i="11"/>
  <c r="L8" i="11"/>
  <c r="J9" i="11"/>
  <c r="L9" i="11"/>
  <c r="K12" i="9"/>
  <c r="J10" i="11"/>
  <c r="J11" i="11"/>
  <c r="J12" i="11"/>
  <c r="L12" i="11"/>
  <c r="L13" i="11"/>
  <c r="L14" i="11"/>
  <c r="J15" i="11"/>
  <c r="J16" i="11"/>
  <c r="O16" i="11"/>
  <c r="L16" i="11"/>
  <c r="J17" i="11"/>
  <c r="L17" i="11"/>
  <c r="J18" i="11"/>
  <c r="L18" i="11"/>
  <c r="L72" i="11"/>
  <c r="L78" i="11"/>
  <c r="I10" i="1"/>
  <c r="L69" i="11"/>
  <c r="I9" i="1"/>
  <c r="L54" i="11"/>
  <c r="I8" i="1"/>
  <c r="J169" i="11"/>
  <c r="J155" i="11"/>
  <c r="J185" i="11"/>
  <c r="O185" i="11"/>
  <c r="J149" i="11"/>
  <c r="J152" i="11"/>
  <c r="J153" i="11"/>
  <c r="J154" i="11"/>
  <c r="E21" i="1"/>
  <c r="G21" i="1"/>
  <c r="J146" i="11"/>
  <c r="J120" i="11"/>
  <c r="J121" i="11"/>
  <c r="J122" i="11"/>
  <c r="J125" i="11"/>
  <c r="O125" i="11"/>
  <c r="J126" i="11"/>
  <c r="J127" i="11"/>
  <c r="J128" i="11"/>
  <c r="J88" i="11"/>
  <c r="J40" i="11"/>
  <c r="J49" i="11"/>
  <c r="J53" i="11"/>
  <c r="J133" i="11"/>
  <c r="O133" i="11"/>
  <c r="J134" i="11"/>
  <c r="O134" i="11"/>
  <c r="J135" i="11"/>
  <c r="J136" i="11"/>
  <c r="J137" i="11"/>
  <c r="O137" i="11"/>
  <c r="J130" i="11"/>
  <c r="J112" i="11"/>
  <c r="O112" i="11"/>
  <c r="J113" i="11"/>
  <c r="O113" i="11"/>
  <c r="J116" i="11"/>
  <c r="J117" i="11"/>
  <c r="J118" i="11"/>
  <c r="O118" i="11"/>
  <c r="J99" i="11"/>
  <c r="O99" i="11"/>
  <c r="J100" i="11"/>
  <c r="J101" i="11"/>
  <c r="J70" i="11"/>
  <c r="J73" i="11"/>
  <c r="J74" i="11"/>
  <c r="J75" i="11"/>
  <c r="J76" i="11"/>
  <c r="J78" i="11"/>
  <c r="O78" i="11"/>
  <c r="E10" i="1"/>
  <c r="G10" i="1"/>
  <c r="J55" i="11"/>
  <c r="J62" i="11"/>
  <c r="J63" i="11"/>
  <c r="O63" i="11"/>
  <c r="J64" i="11"/>
  <c r="J65" i="11"/>
  <c r="J66" i="11"/>
  <c r="J67" i="11"/>
  <c r="O67" i="11"/>
  <c r="J20" i="11"/>
  <c r="J31" i="11"/>
  <c r="O31" i="11"/>
  <c r="J32" i="11"/>
  <c r="J35" i="11"/>
  <c r="O35" i="11"/>
  <c r="J36" i="11"/>
  <c r="O36" i="11"/>
  <c r="J37" i="11"/>
  <c r="O37" i="11"/>
  <c r="J38" i="11"/>
  <c r="O38" i="11"/>
  <c r="J104" i="11"/>
  <c r="J105" i="11"/>
  <c r="J106" i="11"/>
  <c r="J107" i="11"/>
  <c r="J109" i="11"/>
  <c r="O109" i="11"/>
  <c r="I20" i="1"/>
  <c r="I21" i="1"/>
  <c r="I26" i="1"/>
  <c r="I25" i="1"/>
  <c r="I28" i="1"/>
  <c r="I29" i="1"/>
  <c r="C10" i="3"/>
  <c r="C11" i="3"/>
  <c r="D11" i="3"/>
  <c r="C12" i="3"/>
  <c r="B12" i="3"/>
  <c r="E20" i="1"/>
  <c r="G20" i="1"/>
  <c r="E25" i="1"/>
  <c r="G25" i="1"/>
  <c r="E26" i="1"/>
  <c r="G26" i="1"/>
  <c r="E28" i="1"/>
  <c r="G28" i="1"/>
  <c r="N187" i="11"/>
  <c r="K28" i="1"/>
  <c r="N186" i="11"/>
  <c r="N183" i="11"/>
  <c r="N175" i="11"/>
  <c r="K26" i="1"/>
  <c r="N174" i="11"/>
  <c r="N173" i="11"/>
  <c r="K25" i="1"/>
  <c r="M186" i="11"/>
  <c r="M183" i="11"/>
  <c r="M173" i="11"/>
  <c r="N156" i="11"/>
  <c r="N161" i="11"/>
  <c r="N160" i="11"/>
  <c r="N157" i="11"/>
  <c r="N158" i="11"/>
  <c r="N159" i="11"/>
  <c r="N162" i="11"/>
  <c r="N168" i="11"/>
  <c r="N169" i="11"/>
  <c r="N155" i="11"/>
  <c r="N148" i="11"/>
  <c r="N150" i="11"/>
  <c r="N149" i="11"/>
  <c r="N151" i="11"/>
  <c r="N152" i="11"/>
  <c r="N153" i="11"/>
  <c r="N147" i="11"/>
  <c r="N143" i="11"/>
  <c r="N144" i="11"/>
  <c r="N145" i="11"/>
  <c r="N142" i="11"/>
  <c r="M163" i="11"/>
  <c r="M156" i="11"/>
  <c r="M160" i="11"/>
  <c r="M158" i="11"/>
  <c r="M159" i="11"/>
  <c r="M162" i="11"/>
  <c r="M169" i="11"/>
  <c r="M155" i="11"/>
  <c r="M148" i="11"/>
  <c r="M149" i="11"/>
  <c r="M151" i="11"/>
  <c r="M147" i="11"/>
  <c r="M152" i="11"/>
  <c r="M153" i="11"/>
  <c r="M154" i="11"/>
  <c r="J21" i="1"/>
  <c r="M143" i="11"/>
  <c r="M144" i="11"/>
  <c r="M145" i="11"/>
  <c r="M142" i="11"/>
  <c r="M146" i="11"/>
  <c r="J20" i="1"/>
  <c r="N131" i="11"/>
  <c r="N132" i="11"/>
  <c r="N133" i="11"/>
  <c r="N130" i="11"/>
  <c r="N134" i="11"/>
  <c r="N135" i="11"/>
  <c r="N136" i="11"/>
  <c r="N137" i="11"/>
  <c r="N138" i="11"/>
  <c r="N139" i="11"/>
  <c r="K17" i="1"/>
  <c r="N124" i="11"/>
  <c r="N120" i="11"/>
  <c r="N121" i="11"/>
  <c r="N122" i="11"/>
  <c r="N125" i="11"/>
  <c r="N126" i="11"/>
  <c r="N127" i="11"/>
  <c r="N128" i="11"/>
  <c r="N111" i="11"/>
  <c r="N112" i="11"/>
  <c r="N113" i="11"/>
  <c r="N114" i="11"/>
  <c r="N115" i="11"/>
  <c r="N116" i="11"/>
  <c r="N117" i="11"/>
  <c r="N118" i="11"/>
  <c r="N110" i="11"/>
  <c r="N91" i="11"/>
  <c r="N92" i="11"/>
  <c r="N93" i="11"/>
  <c r="N94" i="11"/>
  <c r="N95" i="11"/>
  <c r="N96" i="11"/>
  <c r="N97" i="11"/>
  <c r="N98" i="11"/>
  <c r="N99" i="11"/>
  <c r="N100" i="11"/>
  <c r="N101" i="11"/>
  <c r="N90" i="11"/>
  <c r="N102" i="11"/>
  <c r="K14" i="1"/>
  <c r="N87" i="11"/>
  <c r="N83" i="11"/>
  <c r="N84" i="11"/>
  <c r="N85" i="11"/>
  <c r="N86" i="11"/>
  <c r="N88" i="11"/>
  <c r="N81" i="11"/>
  <c r="M131" i="11"/>
  <c r="M132" i="11"/>
  <c r="M133" i="11"/>
  <c r="M134" i="11"/>
  <c r="M135" i="11"/>
  <c r="M136" i="11"/>
  <c r="M137" i="11"/>
  <c r="M138" i="11"/>
  <c r="M130" i="11"/>
  <c r="M139" i="11"/>
  <c r="J17" i="1"/>
  <c r="M120" i="11"/>
  <c r="M121" i="11"/>
  <c r="M122" i="11"/>
  <c r="M123" i="11"/>
  <c r="M125" i="11"/>
  <c r="M126" i="11"/>
  <c r="M127" i="11"/>
  <c r="M128" i="11"/>
  <c r="M112" i="11"/>
  <c r="M113" i="11"/>
  <c r="M114" i="11"/>
  <c r="M116" i="11"/>
  <c r="M117" i="11"/>
  <c r="M118" i="11"/>
  <c r="M110" i="11"/>
  <c r="M92" i="11"/>
  <c r="M98" i="11"/>
  <c r="M99" i="11"/>
  <c r="M100" i="11"/>
  <c r="M101" i="11"/>
  <c r="M90" i="11"/>
  <c r="M87" i="11"/>
  <c r="M82" i="11"/>
  <c r="M83" i="11"/>
  <c r="M85" i="11"/>
  <c r="M88" i="11"/>
  <c r="M81" i="11"/>
  <c r="N70" i="11"/>
  <c r="N71" i="11"/>
  <c r="N72" i="11"/>
  <c r="N73" i="11"/>
  <c r="N74" i="11"/>
  <c r="N75" i="11"/>
  <c r="N76" i="11"/>
  <c r="N77" i="11"/>
  <c r="N55" i="11"/>
  <c r="N56" i="11"/>
  <c r="N57" i="11"/>
  <c r="N58" i="11"/>
  <c r="N59" i="11"/>
  <c r="N60" i="11"/>
  <c r="N61" i="11"/>
  <c r="N62" i="11"/>
  <c r="N63" i="11"/>
  <c r="N64" i="11"/>
  <c r="N65" i="11"/>
  <c r="N66" i="11"/>
  <c r="N67" i="11"/>
  <c r="N68" i="11"/>
  <c r="N52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3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18" i="11"/>
  <c r="N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17" i="11"/>
  <c r="M70" i="11"/>
  <c r="M71" i="11"/>
  <c r="M72" i="11"/>
  <c r="M73" i="11"/>
  <c r="M74" i="11"/>
  <c r="M75" i="11"/>
  <c r="M76" i="11"/>
  <c r="M55" i="11"/>
  <c r="M56" i="11"/>
  <c r="M57" i="11"/>
  <c r="M59" i="11"/>
  <c r="M62" i="11"/>
  <c r="M63" i="11"/>
  <c r="M64" i="11"/>
  <c r="M65" i="11"/>
  <c r="M66" i="11"/>
  <c r="M67" i="11"/>
  <c r="M68" i="11"/>
  <c r="M40" i="11"/>
  <c r="M42" i="11"/>
  <c r="M43" i="11"/>
  <c r="M44" i="11"/>
  <c r="M45" i="11"/>
  <c r="M46" i="11"/>
  <c r="M47" i="11"/>
  <c r="M48" i="11"/>
  <c r="M49" i="11"/>
  <c r="M50" i="11"/>
  <c r="M51" i="11"/>
  <c r="M53" i="11"/>
  <c r="M20" i="11"/>
  <c r="M22" i="11"/>
  <c r="M25" i="11"/>
  <c r="M27" i="11"/>
  <c r="M30" i="11"/>
  <c r="M31" i="11"/>
  <c r="M32" i="11"/>
  <c r="M33" i="11"/>
  <c r="M34" i="11"/>
  <c r="M35" i="11"/>
  <c r="M36" i="11"/>
  <c r="M37" i="11"/>
  <c r="M38" i="11"/>
  <c r="M18" i="11"/>
  <c r="M4" i="11"/>
  <c r="M5" i="11"/>
  <c r="M6" i="11"/>
  <c r="M7" i="11"/>
  <c r="M8" i="11"/>
  <c r="M12" i="11"/>
  <c r="M13" i="11"/>
  <c r="M14" i="11"/>
  <c r="M16" i="11"/>
  <c r="M17" i="11"/>
  <c r="O148" i="11"/>
  <c r="E63" i="9"/>
  <c r="O143" i="11"/>
  <c r="E62" i="9"/>
  <c r="E61" i="9"/>
  <c r="O87" i="11"/>
  <c r="O156" i="11"/>
  <c r="E49" i="9"/>
  <c r="O150" i="11"/>
  <c r="O160" i="11"/>
  <c r="E52" i="9"/>
  <c r="O10" i="11"/>
  <c r="O18" i="11"/>
  <c r="O6" i="11"/>
  <c r="O27" i="11"/>
  <c r="O7" i="11"/>
  <c r="E17" i="9"/>
  <c r="E16" i="9"/>
  <c r="O23" i="11"/>
  <c r="O25" i="11"/>
  <c r="E21" i="9"/>
  <c r="E20" i="9"/>
  <c r="O5" i="11"/>
  <c r="E24" i="9"/>
  <c r="O56" i="11"/>
  <c r="E26" i="9"/>
  <c r="O57" i="11"/>
  <c r="E27" i="9"/>
  <c r="O72" i="11"/>
  <c r="E29" i="9"/>
  <c r="O83" i="11"/>
  <c r="E33" i="9"/>
  <c r="E32" i="9"/>
  <c r="O85" i="11"/>
  <c r="O92" i="11"/>
  <c r="O95" i="11"/>
  <c r="O98" i="11"/>
  <c r="O115" i="11"/>
  <c r="O132" i="11"/>
  <c r="E44" i="9"/>
  <c r="O82" i="11"/>
  <c r="E41" i="9"/>
  <c r="O151" i="11"/>
  <c r="O157" i="11"/>
  <c r="E50" i="9"/>
  <c r="O158" i="11"/>
  <c r="O159" i="11"/>
  <c r="O162" i="11"/>
  <c r="O173" i="11"/>
  <c r="E70" i="9"/>
  <c r="E69" i="9"/>
  <c r="E65" i="9"/>
  <c r="K70" i="9"/>
  <c r="I70" i="9"/>
  <c r="K63" i="9"/>
  <c r="I63" i="9"/>
  <c r="K62" i="9"/>
  <c r="K50" i="9"/>
  <c r="K51" i="9"/>
  <c r="K53" i="9"/>
  <c r="K54" i="9"/>
  <c r="I51" i="9"/>
  <c r="I52" i="9"/>
  <c r="K49" i="9"/>
  <c r="I49" i="9"/>
  <c r="K48" i="9"/>
  <c r="I48" i="9"/>
  <c r="I42" i="9"/>
  <c r="K44" i="9"/>
  <c r="I44" i="9"/>
  <c r="K35" i="9"/>
  <c r="K36" i="9"/>
  <c r="K33" i="9"/>
  <c r="K29" i="9"/>
  <c r="I29" i="9"/>
  <c r="K28" i="9"/>
  <c r="K27" i="9"/>
  <c r="I27" i="9"/>
  <c r="K26" i="9"/>
  <c r="I24" i="9"/>
  <c r="I18" i="9"/>
  <c r="I17" i="9"/>
  <c r="I12" i="9"/>
  <c r="O46" i="11"/>
  <c r="N176" i="11"/>
  <c r="N177" i="11"/>
  <c r="N178" i="11"/>
  <c r="N179" i="11"/>
  <c r="N180" i="11"/>
  <c r="N181" i="11"/>
  <c r="N182" i="11"/>
  <c r="M176" i="11"/>
  <c r="M177" i="11"/>
  <c r="M178" i="11"/>
  <c r="M179" i="11"/>
  <c r="M180" i="11"/>
  <c r="M181" i="11"/>
  <c r="M182" i="11"/>
  <c r="N184" i="11"/>
  <c r="N185" i="11"/>
  <c r="N104" i="11"/>
  <c r="N105" i="11"/>
  <c r="N106" i="11"/>
  <c r="N107" i="11"/>
  <c r="N108" i="11"/>
  <c r="N103" i="11"/>
  <c r="D10" i="3"/>
  <c r="M184" i="11"/>
  <c r="M185" i="11"/>
  <c r="M104" i="11"/>
  <c r="M105" i="11"/>
  <c r="M106" i="11"/>
  <c r="M107" i="11"/>
  <c r="M108" i="11"/>
  <c r="M103" i="11"/>
  <c r="M109" i="11"/>
  <c r="O4" i="11"/>
  <c r="O8" i="11"/>
  <c r="O17" i="11"/>
  <c r="O32" i="11"/>
  <c r="O42" i="11"/>
  <c r="O43" i="11"/>
  <c r="O44" i="11"/>
  <c r="O45" i="11"/>
  <c r="O47" i="11"/>
  <c r="O48" i="11"/>
  <c r="O49" i="11"/>
  <c r="O50" i="11"/>
  <c r="O51" i="11"/>
  <c r="O53" i="11"/>
  <c r="O55" i="11"/>
  <c r="O58" i="11"/>
  <c r="O59" i="11"/>
  <c r="O62" i="11"/>
  <c r="O64" i="11"/>
  <c r="O65" i="11"/>
  <c r="O66" i="11"/>
  <c r="O68" i="11"/>
  <c r="O73" i="11"/>
  <c r="O74" i="11"/>
  <c r="O75" i="11"/>
  <c r="O76" i="11"/>
  <c r="O81" i="11"/>
  <c r="O88" i="11"/>
  <c r="O90" i="11"/>
  <c r="O100" i="11"/>
  <c r="O101" i="11"/>
  <c r="O103" i="11"/>
  <c r="O104" i="11"/>
  <c r="O105" i="11"/>
  <c r="O106" i="11"/>
  <c r="O107" i="11"/>
  <c r="O108" i="11"/>
  <c r="O110" i="11"/>
  <c r="O116" i="11"/>
  <c r="O117" i="11"/>
  <c r="O120" i="11"/>
  <c r="O121" i="11"/>
  <c r="O122" i="11"/>
  <c r="O126" i="11"/>
  <c r="O127" i="11"/>
  <c r="O128" i="11"/>
  <c r="O130" i="11"/>
  <c r="O131" i="11"/>
  <c r="O135" i="11"/>
  <c r="O136" i="11"/>
  <c r="O138" i="11"/>
  <c r="O142" i="11"/>
  <c r="O144" i="11"/>
  <c r="O145" i="11"/>
  <c r="O146" i="11"/>
  <c r="O147" i="11"/>
  <c r="O149" i="11"/>
  <c r="O152" i="11"/>
  <c r="O153" i="11"/>
  <c r="O169" i="11"/>
  <c r="O176" i="11"/>
  <c r="O177" i="11"/>
  <c r="O178" i="11"/>
  <c r="O180" i="11"/>
  <c r="A2" i="3"/>
  <c r="A11" i="3"/>
  <c r="A12" i="3"/>
  <c r="A10" i="3"/>
  <c r="A4" i="3"/>
  <c r="A5" i="3"/>
  <c r="A6" i="3"/>
  <c r="L26" i="11"/>
  <c r="K13" i="9"/>
  <c r="H6" i="1"/>
  <c r="N69" i="11"/>
  <c r="K9" i="1"/>
  <c r="J54" i="11"/>
  <c r="O54" i="11"/>
  <c r="O40" i="11"/>
  <c r="K41" i="11"/>
  <c r="K21" i="9"/>
  <c r="M41" i="11"/>
  <c r="M58" i="11"/>
  <c r="L181" i="11"/>
  <c r="O181" i="11"/>
  <c r="K182" i="11"/>
  <c r="O182" i="11"/>
  <c r="N78" i="11"/>
  <c r="K10" i="1"/>
  <c r="M84" i="11"/>
  <c r="K84" i="11"/>
  <c r="I34" i="9"/>
  <c r="K34" i="9"/>
  <c r="O84" i="11"/>
  <c r="K52" i="11"/>
  <c r="M52" i="11"/>
  <c r="J25" i="1"/>
  <c r="L10" i="11"/>
  <c r="M10" i="11"/>
  <c r="L188" i="11"/>
  <c r="K97" i="11"/>
  <c r="O97" i="11"/>
  <c r="M97" i="11"/>
  <c r="K161" i="11"/>
  <c r="I53" i="9"/>
  <c r="M161" i="11"/>
  <c r="O161" i="11"/>
  <c r="E53" i="9"/>
  <c r="L4" i="11"/>
  <c r="O12" i="11"/>
  <c r="M60" i="11"/>
  <c r="J89" i="11"/>
  <c r="N82" i="11"/>
  <c r="O20" i="11"/>
  <c r="O71" i="11"/>
  <c r="E28" i="9"/>
  <c r="N129" i="11"/>
  <c r="K16" i="1"/>
  <c r="N154" i="11"/>
  <c r="K21" i="1"/>
  <c r="L163" i="11"/>
  <c r="L170" i="11"/>
  <c r="I22" i="1"/>
  <c r="J69" i="11"/>
  <c r="E9" i="1"/>
  <c r="G9" i="1"/>
  <c r="M167" i="11"/>
  <c r="O167" i="11"/>
  <c r="O69" i="11"/>
  <c r="L171" i="11"/>
  <c r="M54" i="11"/>
  <c r="J8" i="1"/>
  <c r="E47" i="9"/>
  <c r="C7" i="3"/>
  <c r="M11" i="11"/>
  <c r="O11" i="11"/>
  <c r="L24" i="11"/>
  <c r="O24" i="11"/>
  <c r="O124" i="11"/>
  <c r="E43" i="9"/>
  <c r="O123" i="11"/>
  <c r="E42" i="9"/>
  <c r="E40" i="9"/>
  <c r="E31" i="9"/>
  <c r="K43" i="9"/>
  <c r="H28" i="1"/>
  <c r="I67" i="9"/>
  <c r="K174" i="11"/>
  <c r="K175" i="11"/>
  <c r="K184" i="11"/>
  <c r="K186" i="11"/>
  <c r="K188" i="11"/>
  <c r="M174" i="11"/>
  <c r="J188" i="11"/>
  <c r="O174" i="11"/>
  <c r="E13" i="1"/>
  <c r="G13" i="1"/>
  <c r="O89" i="11"/>
  <c r="J19" i="11"/>
  <c r="M24" i="11"/>
  <c r="M29" i="11"/>
  <c r="M39" i="11"/>
  <c r="J7" i="1"/>
  <c r="N89" i="11"/>
  <c r="K13" i="1"/>
  <c r="H7" i="1"/>
  <c r="M77" i="11"/>
  <c r="M78" i="11"/>
  <c r="J10" i="1"/>
  <c r="K14" i="9"/>
  <c r="K77" i="11"/>
  <c r="E8" i="1"/>
  <c r="G8" i="1"/>
  <c r="L11" i="11"/>
  <c r="L15" i="11"/>
  <c r="L19" i="11"/>
  <c r="I6" i="1"/>
  <c r="O154" i="11"/>
  <c r="O70" i="11"/>
  <c r="K25" i="9"/>
  <c r="N19" i="11"/>
  <c r="K6" i="1"/>
  <c r="N39" i="11"/>
  <c r="K7" i="1"/>
  <c r="N54" i="11"/>
  <c r="K8" i="1"/>
  <c r="K11" i="1"/>
  <c r="M96" i="11"/>
  <c r="M157" i="11"/>
  <c r="M164" i="11"/>
  <c r="M165" i="11"/>
  <c r="M168" i="11"/>
  <c r="M170" i="11"/>
  <c r="J22" i="1"/>
  <c r="J23" i="1"/>
  <c r="N146" i="11"/>
  <c r="K20" i="1"/>
  <c r="K29" i="1"/>
  <c r="M15" i="11"/>
  <c r="O15" i="11"/>
  <c r="M9" i="11"/>
  <c r="M19" i="11"/>
  <c r="J6" i="1"/>
  <c r="O9" i="11"/>
  <c r="L123" i="11"/>
  <c r="I62" i="9"/>
  <c r="K146" i="11"/>
  <c r="H20" i="1"/>
  <c r="O94" i="11"/>
  <c r="M94" i="11"/>
  <c r="K94" i="11"/>
  <c r="K91" i="11"/>
  <c r="O91" i="11"/>
  <c r="M91" i="11"/>
  <c r="L29" i="11"/>
  <c r="J119" i="11"/>
  <c r="M111" i="11"/>
  <c r="M115" i="11"/>
  <c r="M119" i="11"/>
  <c r="J15" i="1"/>
  <c r="K111" i="11"/>
  <c r="K93" i="11"/>
  <c r="M93" i="11"/>
  <c r="K61" i="11"/>
  <c r="K69" i="11"/>
  <c r="H9" i="1"/>
  <c r="M61" i="11"/>
  <c r="M69" i="11"/>
  <c r="J9" i="1"/>
  <c r="M124" i="11"/>
  <c r="J170" i="11"/>
  <c r="O155" i="11"/>
  <c r="O26" i="11"/>
  <c r="I13" i="9"/>
  <c r="I17" i="1"/>
  <c r="K115" i="11"/>
  <c r="M187" i="11"/>
  <c r="J28" i="1"/>
  <c r="O187" i="11"/>
  <c r="K67" i="9"/>
  <c r="M175" i="11"/>
  <c r="J26" i="1"/>
  <c r="H26" i="1"/>
  <c r="O175" i="11"/>
  <c r="L82" i="11"/>
  <c r="I41" i="9"/>
  <c r="K164" i="11"/>
  <c r="I58" i="9"/>
  <c r="O168" i="11"/>
  <c r="K124" i="11"/>
  <c r="J39" i="11"/>
  <c r="J102" i="11"/>
  <c r="I21" i="9"/>
  <c r="K54" i="11"/>
  <c r="H8" i="1"/>
  <c r="N109" i="11"/>
  <c r="I25" i="9"/>
  <c r="O21" i="11"/>
  <c r="E25" i="9"/>
  <c r="E23" i="9"/>
  <c r="O77" i="11"/>
  <c r="E14" i="9"/>
  <c r="E11" i="9"/>
  <c r="E10" i="9"/>
  <c r="M129" i="11"/>
  <c r="J16" i="1"/>
  <c r="N163" i="11"/>
  <c r="N170" i="11"/>
  <c r="K22" i="1"/>
  <c r="N188" i="11"/>
  <c r="G29" i="1"/>
  <c r="D12" i="3"/>
  <c r="I23" i="1"/>
  <c r="C6" i="3"/>
  <c r="J129" i="11"/>
  <c r="O163" i="11"/>
  <c r="K86" i="11"/>
  <c r="O86" i="11"/>
  <c r="M86" i="11"/>
  <c r="M89" i="11"/>
  <c r="J13" i="1"/>
  <c r="H25" i="1"/>
  <c r="H29" i="1"/>
  <c r="K157" i="11"/>
  <c r="O164" i="11"/>
  <c r="E58" i="9"/>
  <c r="E57" i="9"/>
  <c r="L22" i="11"/>
  <c r="K18" i="9"/>
  <c r="O22" i="11"/>
  <c r="K154" i="11"/>
  <c r="H21" i="1"/>
  <c r="O186" i="11"/>
  <c r="N119" i="11"/>
  <c r="K15" i="1"/>
  <c r="J139" i="11"/>
  <c r="L28" i="11"/>
  <c r="O28" i="11"/>
  <c r="K95" i="11"/>
  <c r="M95" i="11"/>
  <c r="O184" i="11"/>
  <c r="K165" i="11"/>
  <c r="J11" i="1"/>
  <c r="E14" i="1"/>
  <c r="G14" i="1"/>
  <c r="E15" i="1"/>
  <c r="G15" i="1"/>
  <c r="E16" i="1"/>
  <c r="G16" i="1"/>
  <c r="E17" i="1"/>
  <c r="G17" i="1"/>
  <c r="G18" i="1"/>
  <c r="E22" i="1"/>
  <c r="G22" i="1"/>
  <c r="G23" i="1"/>
  <c r="E6" i="1"/>
  <c r="G6" i="1"/>
  <c r="E7" i="1"/>
  <c r="G7" i="1"/>
  <c r="G11" i="1"/>
  <c r="G33" i="1"/>
  <c r="G34" i="1"/>
  <c r="O102" i="11"/>
  <c r="L89" i="11"/>
  <c r="I13" i="1"/>
  <c r="K41" i="9"/>
  <c r="O39" i="11"/>
  <c r="J79" i="11"/>
  <c r="O79" i="11"/>
  <c r="B7" i="3"/>
  <c r="E7" i="3"/>
  <c r="K129" i="11"/>
  <c r="I43" i="9"/>
  <c r="J171" i="11"/>
  <c r="O171" i="11"/>
  <c r="O170" i="11"/>
  <c r="M102" i="11"/>
  <c r="J14" i="1"/>
  <c r="J18" i="1"/>
  <c r="O19" i="11"/>
  <c r="O188" i="11"/>
  <c r="J190" i="11"/>
  <c r="K170" i="11"/>
  <c r="I50" i="9"/>
  <c r="O129" i="11"/>
  <c r="K119" i="11"/>
  <c r="H15" i="1"/>
  <c r="K102" i="11"/>
  <c r="H14" i="1"/>
  <c r="K18" i="1"/>
  <c r="I36" i="9"/>
  <c r="K89" i="11"/>
  <c r="H13" i="1"/>
  <c r="L39" i="11"/>
  <c r="J140" i="11"/>
  <c r="O140" i="11"/>
  <c r="O139" i="11"/>
  <c r="J29" i="1"/>
  <c r="O119" i="11"/>
  <c r="K42" i="9"/>
  <c r="L129" i="11"/>
  <c r="K23" i="1"/>
  <c r="K33" i="1"/>
  <c r="K78" i="11"/>
  <c r="I14" i="9"/>
  <c r="M188" i="11"/>
  <c r="E46" i="9"/>
  <c r="E82" i="9"/>
  <c r="I7" i="1"/>
  <c r="I11" i="1"/>
  <c r="C4" i="3"/>
  <c r="L79" i="11"/>
  <c r="I16" i="1"/>
  <c r="I18" i="1"/>
  <c r="L140" i="11"/>
  <c r="K171" i="11"/>
  <c r="H22" i="1"/>
  <c r="H23" i="1"/>
  <c r="H16" i="1"/>
  <c r="K140" i="11"/>
  <c r="J33" i="1"/>
  <c r="H18" i="1"/>
  <c r="B5" i="3"/>
  <c r="H10" i="1"/>
  <c r="H11" i="1"/>
  <c r="B4" i="3"/>
  <c r="K79" i="11"/>
  <c r="D7" i="3"/>
  <c r="O190" i="11"/>
  <c r="J192" i="11"/>
  <c r="K200" i="11"/>
  <c r="C5" i="3"/>
  <c r="D5" i="3"/>
  <c r="I33" i="1"/>
  <c r="I34" i="1"/>
  <c r="J191" i="11"/>
  <c r="O191" i="11"/>
  <c r="O192" i="11"/>
  <c r="E4" i="3"/>
  <c r="L195" i="11"/>
  <c r="B6" i="3"/>
  <c r="H33" i="1"/>
  <c r="J195" i="11"/>
  <c r="C8" i="3"/>
  <c r="D4" i="3"/>
  <c r="E5" i="3"/>
  <c r="H34" i="1"/>
  <c r="H37" i="1"/>
  <c r="E6" i="3"/>
  <c r="D6" i="3"/>
  <c r="D8" i="3"/>
  <c r="B8" i="3"/>
  <c r="C13" i="3"/>
  <c r="D13" i="3"/>
  <c r="D14" i="3"/>
  <c r="D9" i="3"/>
  <c r="F7" i="3"/>
  <c r="F4" i="3"/>
  <c r="C9" i="3"/>
  <c r="F5" i="3"/>
  <c r="C14" i="3"/>
  <c r="E8" i="3"/>
  <c r="B9" i="3"/>
  <c r="E9" i="3"/>
  <c r="B13" i="3"/>
  <c r="F6" i="3"/>
  <c r="G13" i="3"/>
  <c r="E13" i="3"/>
  <c r="B14" i="3"/>
  <c r="E14" i="3"/>
  <c r="H13" i="3"/>
</calcChain>
</file>

<file path=xl/sharedStrings.xml><?xml version="1.0" encoding="utf-8"?>
<sst xmlns="http://schemas.openxmlformats.org/spreadsheetml/2006/main" count="657" uniqueCount="337">
  <si>
    <t>Categorías presupuestarias</t>
  </si>
  <si>
    <t xml:space="preserve"> </t>
  </si>
  <si>
    <t>FOMIN</t>
  </si>
  <si>
    <t>TOTAL</t>
  </si>
  <si>
    <t>Imprevistos</t>
  </si>
  <si>
    <t>APORTE LOCAL</t>
  </si>
  <si>
    <t xml:space="preserve">Subtotal </t>
  </si>
  <si>
    <t>UNIDAD DE MEDIDA</t>
  </si>
  <si>
    <t>COSTO UNITARIO</t>
  </si>
  <si>
    <t>COSTO TOTAL</t>
  </si>
  <si>
    <t>Administración del proyecto</t>
  </si>
  <si>
    <t>Administración del proyecto - Unidad coordinadora</t>
  </si>
  <si>
    <t>Efectivo (pecuniario)</t>
  </si>
  <si>
    <t>Especie (valorizado)</t>
  </si>
  <si>
    <t>Reparticion de recursos</t>
  </si>
  <si>
    <t xml:space="preserve">Porcentaje de Financiamiento </t>
  </si>
  <si>
    <t>Subtotal Administración</t>
  </si>
  <si>
    <t>Banco Interamericano de Desarrollo - VPC/PDP-</t>
  </si>
  <si>
    <t>Período del Plan:</t>
  </si>
  <si>
    <t>Monto límite para revisión ex post de adquisiciones:</t>
  </si>
  <si>
    <t>No. Item</t>
  </si>
  <si>
    <t>Ref. POA</t>
  </si>
  <si>
    <t>Descripción de las adquisiciones (1)</t>
  </si>
  <si>
    <t>Costo estimado de la Adquisición         (US$)</t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</si>
  <si>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</si>
  <si>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Revisión  de adquisiciones (Ex ante-Ex Post) (3)</t>
  </si>
  <si>
    <t>Fuente de Financiamiento y porcentaje</t>
  </si>
  <si>
    <t xml:space="preserve">Fecha estimada del Anuncio de Adquisición o del Inicio de la contratación </t>
  </si>
  <si>
    <t>Revisión técnica del JEP (4)</t>
  </si>
  <si>
    <t>Comentarios</t>
  </si>
  <si>
    <t>BID/MIF %</t>
  </si>
  <si>
    <t>Local / Otro %</t>
  </si>
  <si>
    <t xml:space="preserve">Servicios diferentes a consultoría  </t>
  </si>
  <si>
    <t>Consultorias</t>
  </si>
  <si>
    <t>Total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</si>
  <si>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</si>
  <si>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</si>
  <si>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</si>
  <si>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</si>
  <si>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</si>
  <si>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</si>
  <si>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País: CHILE</t>
  </si>
  <si>
    <t>Bienes y servicios (monto en U$S): N/A</t>
  </si>
  <si>
    <t>Consultorias (monto en U$S): N/A</t>
  </si>
  <si>
    <t>Empresas Consultoras</t>
  </si>
  <si>
    <t>Consultores Individuales</t>
  </si>
  <si>
    <t>Bienes</t>
  </si>
  <si>
    <t>COMPONENTE 1</t>
  </si>
  <si>
    <t>COMPONENTE 2</t>
  </si>
  <si>
    <t>COMPONENTE 3</t>
  </si>
  <si>
    <t>EVALUACION Y AUDITORIA</t>
  </si>
  <si>
    <t>verficacion matematica</t>
  </si>
  <si>
    <t>HITO</t>
  </si>
  <si>
    <t>COMPONENTE</t>
  </si>
  <si>
    <t>DESCRIPCION</t>
  </si>
  <si>
    <t>PLAZO</t>
  </si>
  <si>
    <t>MEDIOS DE VERIFICACION</t>
  </si>
  <si>
    <t>RESPONSABLE</t>
  </si>
  <si>
    <t>Subtotal Componente 1</t>
  </si>
  <si>
    <t>Subtotal Componente 2</t>
  </si>
  <si>
    <t>Subtotal Componente 3</t>
  </si>
  <si>
    <t>Línea de Base, Monitoreo y Evaluaciones</t>
  </si>
  <si>
    <t>Revisiones ex post</t>
  </si>
  <si>
    <t>Presupuesto Detallado</t>
  </si>
  <si>
    <t>PLAN DE ADQUISICIONES  DE COOPERACIONES TECNICAS NO REEMBOLSABLES</t>
  </si>
  <si>
    <t xml:space="preserve">Porcentajes </t>
  </si>
  <si>
    <t xml:space="preserve">APORTE LOCAL </t>
  </si>
  <si>
    <t>CANT</t>
  </si>
  <si>
    <t xml:space="preserve">TOTAL </t>
  </si>
  <si>
    <t>AE / MIF CCH</t>
  </si>
  <si>
    <t>Meses</t>
  </si>
  <si>
    <t>CCIN</t>
  </si>
  <si>
    <t>Revisiones Ex Post</t>
  </si>
  <si>
    <t>SBCC</t>
  </si>
  <si>
    <t>N/A</t>
  </si>
  <si>
    <t>Evaluacion Final</t>
  </si>
  <si>
    <t>BANCO CONTRATA</t>
  </si>
  <si>
    <t>Sistema Informacion del Proyecto</t>
  </si>
  <si>
    <t>AE</t>
  </si>
  <si>
    <t>Sistema Monitoreo del Proyecto</t>
  </si>
  <si>
    <t>Ref</t>
  </si>
  <si>
    <t>ANEXO II- Presupuesto Detallado  CH-M1069</t>
  </si>
  <si>
    <t>T/C</t>
  </si>
  <si>
    <t xml:space="preserve">Componente I:  Adecuación del sistema de comercialización y gestión del destino </t>
  </si>
  <si>
    <t xml:space="preserve">Componente 2: Potenciar la oferta de productos turísticos territoriales diferenciados </t>
  </si>
  <si>
    <t>GL</t>
  </si>
  <si>
    <t>Número del Proyecto: CH-M1069</t>
  </si>
  <si>
    <t>Nombre del Proyecto: Turismo Rural Sostenible Comunitario: Una alternativa para una mayor inclusión económica de emprendedores indígenas Aymaras en la Comuna de Camarones (Región XV - Arica y Parinacota)</t>
  </si>
  <si>
    <t>Firmas Consultoras</t>
  </si>
  <si>
    <t>Ex Ante</t>
  </si>
  <si>
    <t>Mes 1</t>
  </si>
  <si>
    <t>Pasajes</t>
  </si>
  <si>
    <t>Sistema Monitoreo</t>
  </si>
  <si>
    <t xml:space="preserve"> CH-M1069</t>
  </si>
  <si>
    <t>• Documentos Entregados al BID/FOMIN
•  Cumplimiento en sistema del Banco</t>
  </si>
  <si>
    <t>CH-M1069</t>
  </si>
  <si>
    <t>Turismo Rural Sostenible Comunitario: Una alternativa para una mayor inclusión económica de emprendedores indígenas Aymaras en la Comuna de Camarones (Región XV - Arica y Parinacota)</t>
  </si>
  <si>
    <t>TABLA DE HITOS GATILLADORES DE DESEMBOLSOS</t>
  </si>
  <si>
    <t>Implementar el Centro de Imformación turistico-patrimonial y punto de venta en Codpa (prototipo).</t>
  </si>
  <si>
    <t>Diseñar, normatizar e implementar Señalética Patrimonial en la comuna.</t>
  </si>
  <si>
    <t>Elaboración de ordenanzas comunitarias para la gestión patrimonial y turistica de la comuna.</t>
  </si>
  <si>
    <t>Perfiles de inversión para Municipalidad y Gobierno Regional.</t>
  </si>
  <si>
    <t>CTCC Operador de oferta local + oferta en operadores nacionales e internacionales.</t>
  </si>
  <si>
    <t>Viaje de promoción inversiones privadas, aliadas a emprendedores CTCC.</t>
  </si>
  <si>
    <t>Unificar plataforma de información y venta.</t>
  </si>
  <si>
    <t>Definir oferta gastronómica de alto nivel.</t>
  </si>
  <si>
    <t xml:space="preserve">Componente 3: Gestión de Conocimiento y Comunicación Estratégica </t>
  </si>
  <si>
    <t>Definir y fortalecer el rol y Plan Estratégico institucional de CTCC al 2020.</t>
  </si>
  <si>
    <t>Marketing estratégico y operativo para destino y CTCC. Campaña de Turismo Responsable en Camarones. Arte digital y redes.</t>
  </si>
  <si>
    <t>Coordinación general</t>
  </si>
  <si>
    <t>Arriendo camionetas</t>
  </si>
  <si>
    <t>Combustible</t>
  </si>
  <si>
    <t>Viático alimentación equipo</t>
  </si>
  <si>
    <t>Viático alojamiento equipo</t>
  </si>
  <si>
    <t>Registro audiovisual + edición</t>
  </si>
  <si>
    <t>Material de oficina.</t>
  </si>
  <si>
    <t>Propuesta de elaboración de FOMIN en 12 meses</t>
  </si>
  <si>
    <t>*Capacitación Implementada en todo el proceso del proyecto. Con cada una de las componentes.</t>
  </si>
  <si>
    <t>TOTAL  Turismo Rural Sostenible Comunitario  c/Margen</t>
  </si>
  <si>
    <t>Margen</t>
  </si>
  <si>
    <t>TOTAL  Turismo Rural Sostenible Comunitario  s/Margen</t>
  </si>
  <si>
    <t>TOTAL GESTIÓN</t>
  </si>
  <si>
    <t>Mes</t>
  </si>
  <si>
    <t>Material de oficina</t>
  </si>
  <si>
    <t>Fotocopias / Impresiones</t>
  </si>
  <si>
    <t>Gastos generales</t>
  </si>
  <si>
    <t>Año</t>
  </si>
  <si>
    <t>Registro audiovisual + edición.</t>
  </si>
  <si>
    <t>Difusión</t>
  </si>
  <si>
    <t>Operaciones</t>
  </si>
  <si>
    <t>Asistente contable</t>
  </si>
  <si>
    <t>Asistente proyecto (comunicación comunidad)</t>
  </si>
  <si>
    <t>Coordinación General</t>
  </si>
  <si>
    <t>Personas</t>
  </si>
  <si>
    <t>Gestión</t>
  </si>
  <si>
    <t>3.3:Implementar Escuela de Capacitaciones a benficiarios y emprendedores en las 3 componentes del proyecto.</t>
  </si>
  <si>
    <t>OK</t>
  </si>
  <si>
    <t>SUBTOTAL - Plan MK</t>
  </si>
  <si>
    <t>Campaña</t>
  </si>
  <si>
    <t>Campaña Instagram</t>
  </si>
  <si>
    <t>Campaña Facebook</t>
  </si>
  <si>
    <t>Asesoría</t>
  </si>
  <si>
    <t>Asesoría Evoluzion</t>
  </si>
  <si>
    <t>3.2: Mkt estratégico y operativo para destino y CCTC. Campaña Turismo Responsable en Camarones. Arte digital y redes</t>
  </si>
  <si>
    <t>SUBTOTAL - PEI - Rol CTCC</t>
  </si>
  <si>
    <t>Asesoría Estratégica Symnetics (Yael Senerman)</t>
  </si>
  <si>
    <t>3.1: Definir y fortalecer el del rol y el PEI de CTCC al 2020</t>
  </si>
  <si>
    <t>Componente 3: Gestión de conocimiento y comunicación estratégica.</t>
  </si>
  <si>
    <t>SUBTOTAL - Oferta Gastronómica</t>
  </si>
  <si>
    <t>Asesoría (Andrés Ugáz)</t>
  </si>
  <si>
    <t>Escuela de Capacitación: gastronomía de alto nivel.</t>
  </si>
  <si>
    <t>2.6: Definir oferta gastronómica de alto nivel</t>
  </si>
  <si>
    <t>SUBTOTAL - Hotel Escuela</t>
  </si>
  <si>
    <t>Asesor hotelero</t>
  </si>
  <si>
    <t>Asesor (arquitecto)</t>
  </si>
  <si>
    <t>Escuela de Capacitación: Hotel Escuela</t>
  </si>
  <si>
    <t xml:space="preserve">2.5: Proyecto Hotel escuela en Camarones. </t>
  </si>
  <si>
    <t>SUBTOTAL - Plataforma</t>
  </si>
  <si>
    <t>Dominio</t>
  </si>
  <si>
    <t>Dominio 3 años</t>
  </si>
  <si>
    <t>Hosting</t>
  </si>
  <si>
    <t>Hosting 3 años</t>
  </si>
  <si>
    <t>Foto</t>
  </si>
  <si>
    <t>Diseño</t>
  </si>
  <si>
    <t>Desarrollo sitio web (agencia externa)</t>
  </si>
  <si>
    <t>2.4: Unificar plataforma de información y venta</t>
  </si>
  <si>
    <t>SUBTOTAL - Producto turístico piloto</t>
  </si>
  <si>
    <t>2.3: Potencializar un producto turístico piloto de la región.</t>
  </si>
  <si>
    <t>SUBTOTAL - Viaje</t>
  </si>
  <si>
    <t>Día</t>
  </si>
  <si>
    <t>Viaje 2 Guía local</t>
  </si>
  <si>
    <t>Viaje 1 Guía local</t>
  </si>
  <si>
    <t>Persona</t>
  </si>
  <si>
    <t>Viaje 2 Alojamiento</t>
  </si>
  <si>
    <t>Viaje 1 Alojamientio</t>
  </si>
  <si>
    <t>Viaje 2 Alimentación</t>
  </si>
  <si>
    <t>Viaje 1 Alimentación</t>
  </si>
  <si>
    <t xml:space="preserve">             </t>
  </si>
  <si>
    <t>Viaje 2 Van de turismo</t>
  </si>
  <si>
    <t>Viaje 1 Van de turismo</t>
  </si>
  <si>
    <t>2.2:Viaje de promo inversiones privadas, aliadas a emprendedores CCTC.</t>
  </si>
  <si>
    <t>SUBTOTAL - Operadores Turísticos</t>
  </si>
  <si>
    <t>Folleto</t>
  </si>
  <si>
    <t>Traslados</t>
  </si>
  <si>
    <t>Alimentación 2 personas</t>
  </si>
  <si>
    <t>Noche</t>
  </si>
  <si>
    <t>Alojamiento 2 personas</t>
  </si>
  <si>
    <t>Pasaje</t>
  </si>
  <si>
    <t>2.1: CCTC Operador oferta local + Oferta en operadores nacionales e internacionales.</t>
  </si>
  <si>
    <t>Componente 2: Potenciar la oferta de productos turisticos territoriales diferenciados.</t>
  </si>
  <si>
    <t>SUBTOTAL - Perfiles de inversión</t>
  </si>
  <si>
    <t>Perfiles</t>
  </si>
  <si>
    <t>Impresiones</t>
  </si>
  <si>
    <t>Asesor (ingeniero)</t>
  </si>
  <si>
    <t>1.5: Perfiles de inversiones para Municipalidad y Gobierno Regional (ingeniero comercial - venta)</t>
  </si>
  <si>
    <t>SUBTOTAL - Comités Patrimoniales</t>
  </si>
  <si>
    <t>Alojamiento 8 personas</t>
  </si>
  <si>
    <t>Alimentación 8 personas</t>
  </si>
  <si>
    <t>Pasajes bus Arica-Valle del Colca-Arica (viaje aprendizaje)</t>
  </si>
  <si>
    <t>Asesoría legal (estatutos, personalidad juridica y otros)</t>
  </si>
  <si>
    <t>1.4: Fortalecimiento a los comites patrimoniales. Gira tecnológica de comités patrimoniales (Cinthia)</t>
  </si>
  <si>
    <t>SUBTOTAL - Plan Turístico - Ordenanzas</t>
  </si>
  <si>
    <t>Territorium</t>
  </si>
  <si>
    <t>Diseño e impresión de folleto informativo</t>
  </si>
  <si>
    <t>Arriendo camioneta</t>
  </si>
  <si>
    <t>HH</t>
  </si>
  <si>
    <t>Asesor en gestión patrimonial, planificación.</t>
  </si>
  <si>
    <t>1.3: Elaboración de ordenanzas comunitarias para la gestión patrimonial y turística de la Comuna.</t>
  </si>
  <si>
    <t>SUBTOTAL - Señaletica Patrimonial</t>
  </si>
  <si>
    <t xml:space="preserve">Alojamiento (4 personas) </t>
  </si>
  <si>
    <t>Pensión completa x4</t>
  </si>
  <si>
    <t>Alimentación (4 personas)</t>
  </si>
  <si>
    <t>Traslado</t>
  </si>
  <si>
    <t>Flete</t>
  </si>
  <si>
    <t>Material</t>
  </si>
  <si>
    <t>Maestro ayudante</t>
  </si>
  <si>
    <t>Cantería</t>
  </si>
  <si>
    <t>Carpintería</t>
  </si>
  <si>
    <t>Diseño señalética (arquitecto)</t>
  </si>
  <si>
    <t>1.2: Diseñar, normatizar e implementar Señalética patrimonial en la comuna (40 unidades)</t>
  </si>
  <si>
    <t>SUBTOTAL - Centro de Información turístico - patrimonial</t>
  </si>
  <si>
    <t>Impresión material difusión (folletería)</t>
  </si>
  <si>
    <t>Ornamentación tienda (cuadros, iluminación, etc)</t>
  </si>
  <si>
    <t>Equipo</t>
  </si>
  <si>
    <t>Sistema de audio</t>
  </si>
  <si>
    <t>Pantalla led</t>
  </si>
  <si>
    <t>Materiales</t>
  </si>
  <si>
    <t>Carpintería (mesas, estantes, sillas, etc)</t>
  </si>
  <si>
    <t>Diseño tienda (arquitecto)</t>
  </si>
  <si>
    <t>Tipo cambio</t>
  </si>
  <si>
    <t>Honorarios encargado tienda plan piloto</t>
  </si>
  <si>
    <t>1.1: Implementar el Centro de Información turístico-patrimonial y un punto de venta en la comuna. (Prototipo).</t>
  </si>
  <si>
    <t>Componente 1: Adecuación del sistema de comercialización y gestión del destino.</t>
  </si>
  <si>
    <t>COSTO TOTAL DOLARES</t>
  </si>
  <si>
    <t>CANTIDAD</t>
  </si>
  <si>
    <t>UNIDAD</t>
  </si>
  <si>
    <t>ÍTEM</t>
  </si>
  <si>
    <t>CUENTA</t>
  </si>
  <si>
    <t>INICIATIVA</t>
  </si>
  <si>
    <t>FOMIN - Turismo Rural Sostenible Comunitario: Una alternativa para una mayor inclusión económica de emprendedores indígenas Aymaras en la Comuna de Camarones</t>
  </si>
  <si>
    <t>1.1</t>
  </si>
  <si>
    <t>1.2</t>
  </si>
  <si>
    <t>1.3</t>
  </si>
  <si>
    <t>TOTAL COMPONENTE 1</t>
  </si>
  <si>
    <t>SUBTOTAL - Capacitaciones</t>
  </si>
  <si>
    <t>TOTAL COMPONENTE 3</t>
  </si>
  <si>
    <t>Pecunario</t>
  </si>
  <si>
    <t>Valorizado</t>
  </si>
  <si>
    <t>Pecunario/ Valorizado</t>
  </si>
  <si>
    <t xml:space="preserve">Pasaje aéreo  </t>
  </si>
  <si>
    <t>Asesoría FAMSV</t>
  </si>
  <si>
    <t>Arriendo salón para capacitaciones (CIPADES)</t>
  </si>
  <si>
    <t>Transporte (bus-flete)</t>
  </si>
  <si>
    <t>Coffee break</t>
  </si>
  <si>
    <t>Maestro Oficial A</t>
  </si>
  <si>
    <t>Asesoría (Tito Gana, Lat. 90)</t>
  </si>
  <si>
    <t>Arquitecto (diseño tienda)</t>
  </si>
  <si>
    <t>Arquitecto (diseño señalética)</t>
  </si>
  <si>
    <t>Asesor legal (estatutos, P. Juridica)</t>
  </si>
  <si>
    <t>Asesor FAMSV</t>
  </si>
  <si>
    <t>Asesor Desarrollo Sostenible.</t>
  </si>
  <si>
    <t>Asesor Desarrollo Sostenible</t>
  </si>
  <si>
    <t>Patente comercial y municipal.</t>
  </si>
  <si>
    <t>Impresiones / fotocopias.</t>
  </si>
  <si>
    <t>Pasaje aéreo Stgo-Arica-Stgo</t>
  </si>
  <si>
    <t>Asesoría Tito Gana (Latitud 90)</t>
  </si>
  <si>
    <t>Asesoría arquitecto</t>
  </si>
  <si>
    <t>Asesor hotelería</t>
  </si>
  <si>
    <t>Transporte pasajeros</t>
  </si>
  <si>
    <t>Alimentación (coffee)</t>
  </si>
  <si>
    <t>Asistente proyecto (coordinación comunidades)</t>
  </si>
  <si>
    <t>GESTIÓN</t>
  </si>
  <si>
    <t>Implementar Escuela de Capacitaciones a benficiarios y emprendedores en las 3 componentes del proyecto.</t>
  </si>
  <si>
    <t>COSTO TOTAL (US$)</t>
  </si>
  <si>
    <t>COSTO UNITARIO (US$)</t>
  </si>
  <si>
    <t>TOTAL COMPONENTE 2</t>
  </si>
  <si>
    <t>TOTAL FOMIN</t>
  </si>
  <si>
    <t>TOTAL APORTE LOCAL</t>
  </si>
  <si>
    <t>Arriendo oficina FAMSV</t>
  </si>
  <si>
    <t>Folletería/Papelería</t>
  </si>
  <si>
    <t>llegar a</t>
  </si>
  <si>
    <t>CD</t>
  </si>
  <si>
    <t>SD</t>
  </si>
  <si>
    <t>EX POST</t>
  </si>
  <si>
    <t>mes 6</t>
  </si>
  <si>
    <t>Ordenanzas comunitaria de gestión patrimonial y turísticas para el pueblo de Codpa, aprobada por Comité Patrimonial y pre-aprobada por Municipalidad de Camarones.</t>
  </si>
  <si>
    <t>Gira tecnológica con Comités Patrimoniales de Codpa, Pachama y Socoroma realizada.</t>
  </si>
  <si>
    <t>Proyecto Hotel Escuela en Camarones.</t>
  </si>
  <si>
    <t>mes 8</t>
  </si>
  <si>
    <t>Carta gastronómica local aprobada por CTCC.</t>
  </si>
  <si>
    <t>Plan estratégico institucional al 2020 de CTCC, aprobado por CTCC.</t>
  </si>
  <si>
    <t>Campaña de Turismo Responsable en Camarones, aprobada por CTCC.</t>
  </si>
  <si>
    <t>mes 7</t>
  </si>
  <si>
    <t>subir sueldo</t>
  </si>
  <si>
    <t>Apoyo de especialistas FAMSV</t>
  </si>
  <si>
    <t>4 meses aporte famsv</t>
  </si>
  <si>
    <t>conformación y sesiones de directorio de proyecto.</t>
  </si>
  <si>
    <t>Condiciones previas al primer desembolso.</t>
  </si>
  <si>
    <t>mes 0</t>
  </si>
  <si>
    <t>mes 3</t>
  </si>
  <si>
    <t>Conformación de directorio del proyecto.</t>
  </si>
  <si>
    <t>mes 2</t>
  </si>
  <si>
    <t>Plataforma de apoyo para beneficiarios capacitación, online.</t>
  </si>
  <si>
    <t>mes 5</t>
  </si>
  <si>
    <t>Alumnos</t>
  </si>
  <si>
    <t>Kit estudio (carpeta, material estudio, etc)</t>
  </si>
  <si>
    <t>6 meses</t>
  </si>
  <si>
    <t>ok</t>
  </si>
  <si>
    <t>ampliar a nivel comunal.
Cambiar fecha al mes 3</t>
  </si>
  <si>
    <t xml:space="preserve">Arriendo de vehiculos </t>
  </si>
  <si>
    <t>Implementación y equipamiento Centro Turístico Patrimonial de Codpa</t>
  </si>
  <si>
    <t>Materiales, transporte y gastos asociados a obra.</t>
  </si>
  <si>
    <t>Asesoría Gestión Patrimonial y planificación (Territorium)</t>
  </si>
  <si>
    <t>Fortalecimiento de comités patrimoniales y Gira Tecnológica Comités Patrimoniales</t>
  </si>
  <si>
    <t>2,1-2,2-2,4</t>
  </si>
  <si>
    <t>Alojamiento y alimentación</t>
  </si>
  <si>
    <t>Programador web</t>
  </si>
  <si>
    <t>Viático alimentación y alojamiento del equipo.</t>
  </si>
  <si>
    <t>1 solo viaje con 4 tour operadores potentes.</t>
  </si>
  <si>
    <t>conseguir contraparte de pasaje / sky y/o lan para reportaje en revista.</t>
  </si>
  <si>
    <t>Folletería y material de estudio.</t>
  </si>
  <si>
    <t>Campaña redes sociales.</t>
  </si>
  <si>
    <t>Mano de obra Habilitación  Centro Turistico</t>
  </si>
  <si>
    <t>Diseño e Implementación Señalética Patrimonial en la Comuna.</t>
  </si>
  <si>
    <t>LOCAL</t>
  </si>
  <si>
    <t>Mantenimiento Pagina Web (hosting y dominio)</t>
  </si>
  <si>
    <t xml:space="preserve">Consultorias Individuales </t>
  </si>
  <si>
    <t xml:space="preserve">Asesoría estratégica </t>
  </si>
  <si>
    <t xml:space="preserve">Asesoría Mkt estratégico y operativo </t>
  </si>
  <si>
    <t>Preparado por: Álvaro Merino</t>
  </si>
  <si>
    <t>Fecha: 21 de diciembre 2016</t>
  </si>
  <si>
    <t>Agencia Ejecutora (AE):   Fundación Altiplano Monseñor Salas Valdés (FAMSV)</t>
  </si>
  <si>
    <t>Compra equipamiento (impresora)</t>
  </si>
  <si>
    <t>2,1-2,5-2,6</t>
  </si>
  <si>
    <t>Compra y arriendo de insumos para talleres</t>
  </si>
  <si>
    <t>Asesoría en gastronomía.</t>
  </si>
  <si>
    <t>Gastos gira tecnológica Comités Patrimoniales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</si>
</sst>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8" formatCode="&quot;$&quot;#,##0.00_);[Red]\(&quot;$&quot;#,##0.00\)"/>
    <numFmt numFmtId="43" formatCode="_(* #,##0.00_);_(* \(#,##0.00\);_(* &quot;-&quot;??_);_(@_)"/>
    <numFmt numFmtId="164" formatCode="&quot;$&quot;#,##0;&quot;$&quot;\-#,##0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([$$-409]* #,##0.00_);_([$$-409]* \(#,##0.00\);_([$$-409]* &quot;-&quot;??_);_(@_)"/>
    <numFmt numFmtId="168" formatCode="[$$-409]#,##0.00"/>
    <numFmt numFmtId="169" formatCode="#,##0.00_Q"/>
    <numFmt numFmtId="170" formatCode="[$$-409]#,##0"/>
    <numFmt numFmtId="171" formatCode="#,##0.0"/>
    <numFmt numFmtId="172" formatCode="_-[$$-1004]* #,##0.00_ ;_-[$$-1004]* \-#,##0.00\ ;_-[$$-1004]* &quot;-&quot;??_ ;_-@_ "/>
    <numFmt numFmtId="173" formatCode="_([$$-540A]* #,##0_);_([$$-540A]* \(#,##0\);_([$$-540A]* &quot;-&quot;??_);_(@_)"/>
    <numFmt numFmtId="174" formatCode="[$-340A]d&quot; de &quot;mmmm&quot; de &quot;yyyy;@"/>
    <numFmt numFmtId="175" formatCode="#,##0_Q"/>
    <numFmt numFmtId="176" formatCode="_-* #,##0_-;\-* #,##0_-;_-* &quot;-&quot;??_-;_-@_-"/>
    <numFmt numFmtId="177" formatCode="_-* #,##0.00000_-;\-* #,##0.00000_-;_-* &quot;-&quot;??_-;_-@_-"/>
    <numFmt numFmtId="178" formatCode="&quot;$&quot;\ #,##0"/>
    <numFmt numFmtId="179" formatCode="[$USD]\ #,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color indexed="9"/>
      <name val="Calibri"/>
      <family val="2"/>
    </font>
    <font>
      <b/>
      <sz val="10"/>
      <color rgb="FF92D050"/>
      <name val="Calibri"/>
      <family val="2"/>
    </font>
    <font>
      <sz val="10"/>
      <color rgb="FF92D050"/>
      <name val="Calibri"/>
      <family val="2"/>
    </font>
    <font>
      <sz val="10"/>
      <color rgb="FFFF0000"/>
      <name val="Calibri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8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sz val="11"/>
      <name val="Calibri"/>
      <family val="2"/>
    </font>
    <font>
      <sz val="11"/>
      <color rgb="FFFF0000"/>
      <name val="Calibri"/>
      <scheme val="minor"/>
    </font>
    <font>
      <sz val="11"/>
      <name val="Calibri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6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4" fillId="0" borderId="0"/>
    <xf numFmtId="9" fontId="3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65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6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wrapText="1"/>
    </xf>
    <xf numFmtId="0" fontId="7" fillId="0" borderId="0" xfId="0" applyFont="1"/>
    <xf numFmtId="0" fontId="4" fillId="0" borderId="3" xfId="0" applyFont="1" applyBorder="1" applyAlignment="1">
      <alignment horizontal="left" wrapText="1"/>
    </xf>
    <xf numFmtId="3" fontId="4" fillId="0" borderId="0" xfId="0" applyNumberFormat="1" applyFont="1" applyAlignment="1">
      <alignment wrapText="1"/>
    </xf>
    <xf numFmtId="0" fontId="8" fillId="0" borderId="0" xfId="0" applyFont="1" applyAlignment="1">
      <alignment horizontal="center" vertical="center" wrapText="1"/>
    </xf>
    <xf numFmtId="172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9" fontId="10" fillId="0" borderId="0" xfId="1" applyFont="1"/>
    <xf numFmtId="0" fontId="3" fillId="0" borderId="0" xfId="0" applyFont="1" applyAlignment="1">
      <alignment horizontal="center" vertical="center" wrapText="1"/>
    </xf>
    <xf numFmtId="9" fontId="5" fillId="6" borderId="2" xfId="1" applyNumberFormat="1" applyFont="1" applyFill="1" applyBorder="1" applyAlignment="1">
      <alignment wrapText="1"/>
    </xf>
    <xf numFmtId="0" fontId="11" fillId="0" borderId="0" xfId="0" applyFont="1"/>
    <xf numFmtId="0" fontId="14" fillId="0" borderId="1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0" borderId="0" xfId="0" applyFont="1" applyBorder="1"/>
    <xf numFmtId="0" fontId="14" fillId="0" borderId="0" xfId="0" applyFont="1" applyBorder="1" applyAlignment="1"/>
    <xf numFmtId="0" fontId="15" fillId="0" borderId="0" xfId="0" applyFont="1" applyBorder="1"/>
    <xf numFmtId="0" fontId="15" fillId="0" borderId="25" xfId="0" applyFont="1" applyBorder="1"/>
    <xf numFmtId="0" fontId="15" fillId="0" borderId="40" xfId="0" applyFont="1" applyBorder="1"/>
    <xf numFmtId="0" fontId="15" fillId="0" borderId="31" xfId="0" applyFont="1" applyBorder="1"/>
    <xf numFmtId="0" fontId="15" fillId="0" borderId="41" xfId="0" applyFont="1" applyBorder="1"/>
    <xf numFmtId="0" fontId="14" fillId="0" borderId="13" xfId="0" applyFont="1" applyBorder="1"/>
    <xf numFmtId="0" fontId="15" fillId="0" borderId="2" xfId="0" applyFont="1" applyBorder="1"/>
    <xf numFmtId="0" fontId="15" fillId="0" borderId="19" xfId="0" applyFont="1" applyBorder="1"/>
    <xf numFmtId="0" fontId="15" fillId="0" borderId="3" xfId="0" applyFont="1" applyBorder="1"/>
    <xf numFmtId="0" fontId="15" fillId="0" borderId="9" xfId="0" applyFont="1" applyBorder="1"/>
    <xf numFmtId="0" fontId="15" fillId="0" borderId="28" xfId="0" applyFont="1" applyBorder="1"/>
    <xf numFmtId="0" fontId="15" fillId="0" borderId="15" xfId="0" applyFont="1" applyBorder="1"/>
    <xf numFmtId="0" fontId="15" fillId="0" borderId="19" xfId="0" applyFont="1" applyBorder="1" applyAlignment="1">
      <alignment wrapText="1"/>
    </xf>
    <xf numFmtId="0" fontId="15" fillId="0" borderId="2" xfId="0" applyFont="1" applyBorder="1" applyAlignment="1">
      <alignment horizontal="center"/>
    </xf>
    <xf numFmtId="0" fontId="14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4" fillId="0" borderId="2" xfId="0" applyFont="1" applyBorder="1" applyAlignment="1"/>
    <xf numFmtId="0" fontId="15" fillId="0" borderId="2" xfId="0" applyFont="1" applyBorder="1" applyAlignment="1">
      <alignment horizontal="center" wrapText="1"/>
    </xf>
    <xf numFmtId="0" fontId="15" fillId="0" borderId="26" xfId="0" applyFont="1" applyBorder="1"/>
    <xf numFmtId="0" fontId="15" fillId="0" borderId="9" xfId="0" applyFont="1" applyBorder="1" applyAlignment="1">
      <alignment wrapText="1"/>
    </xf>
    <xf numFmtId="0" fontId="15" fillId="0" borderId="8" xfId="0" applyFont="1" applyBorder="1"/>
    <xf numFmtId="0" fontId="15" fillId="0" borderId="9" xfId="0" applyFont="1" applyBorder="1" applyAlignment="1">
      <alignment horizontal="center"/>
    </xf>
    <xf numFmtId="0" fontId="15" fillId="0" borderId="9" xfId="0" applyFont="1" applyBorder="1" applyAlignment="1">
      <alignment horizontal="center" wrapText="1"/>
    </xf>
    <xf numFmtId="0" fontId="15" fillId="0" borderId="28" xfId="0" applyFont="1" applyBorder="1" applyAlignment="1">
      <alignment wrapText="1"/>
    </xf>
    <xf numFmtId="174" fontId="15" fillId="0" borderId="2" xfId="0" applyNumberFormat="1" applyFont="1" applyFill="1" applyBorder="1" applyAlignment="1">
      <alignment horizontal="center"/>
    </xf>
    <xf numFmtId="174" fontId="15" fillId="0" borderId="2" xfId="0" applyNumberFormat="1" applyFont="1" applyFill="1" applyBorder="1" applyAlignment="1">
      <alignment horizontal="center" wrapText="1"/>
    </xf>
    <xf numFmtId="174" fontId="15" fillId="0" borderId="9" xfId="0" applyNumberFormat="1" applyFont="1" applyFill="1" applyBorder="1" applyAlignment="1">
      <alignment horizontal="center"/>
    </xf>
    <xf numFmtId="40" fontId="15" fillId="0" borderId="9" xfId="0" applyNumberFormat="1" applyFont="1" applyFill="1" applyBorder="1"/>
    <xf numFmtId="40" fontId="14" fillId="0" borderId="12" xfId="0" applyNumberFormat="1" applyFont="1" applyBorder="1"/>
    <xf numFmtId="0" fontId="4" fillId="0" borderId="7" xfId="0" applyFont="1" applyBorder="1" applyAlignment="1">
      <alignment wrapText="1"/>
    </xf>
    <xf numFmtId="0" fontId="3" fillId="5" borderId="3" xfId="0" applyFont="1" applyFill="1" applyBorder="1" applyAlignment="1">
      <alignment horizontal="right"/>
    </xf>
    <xf numFmtId="9" fontId="3" fillId="6" borderId="3" xfId="1" applyFont="1" applyFill="1" applyBorder="1" applyAlignment="1">
      <alignment wrapText="1"/>
    </xf>
    <xf numFmtId="9" fontId="3" fillId="6" borderId="19" xfId="1" applyFont="1" applyFill="1" applyBorder="1" applyAlignment="1">
      <alignment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3" fillId="8" borderId="3" xfId="0" applyFont="1" applyFill="1" applyBorder="1" applyAlignment="1">
      <alignment horizontal="right" wrapText="1"/>
    </xf>
    <xf numFmtId="0" fontId="24" fillId="0" borderId="0" xfId="0" applyFont="1" applyBorder="1" applyAlignment="1">
      <alignment vertical="center"/>
    </xf>
    <xf numFmtId="0" fontId="15" fillId="0" borderId="4" xfId="0" applyFont="1" applyBorder="1"/>
    <xf numFmtId="0" fontId="15" fillId="0" borderId="47" xfId="0" applyFont="1" applyBorder="1"/>
    <xf numFmtId="0" fontId="15" fillId="0" borderId="5" xfId="0" applyFont="1" applyBorder="1" applyAlignment="1">
      <alignment wrapText="1"/>
    </xf>
    <xf numFmtId="40" fontId="15" fillId="0" borderId="5" xfId="0" applyNumberFormat="1" applyFont="1" applyFill="1" applyBorder="1"/>
    <xf numFmtId="0" fontId="15" fillId="0" borderId="5" xfId="0" applyFont="1" applyBorder="1" applyAlignment="1">
      <alignment horizontal="center"/>
    </xf>
    <xf numFmtId="174" fontId="15" fillId="0" borderId="5" xfId="0" applyNumberFormat="1" applyFont="1" applyFill="1" applyBorder="1" applyAlignment="1">
      <alignment horizontal="center"/>
    </xf>
    <xf numFmtId="0" fontId="15" fillId="0" borderId="5" xfId="0" applyFont="1" applyBorder="1" applyAlignment="1">
      <alignment horizontal="center" wrapText="1"/>
    </xf>
    <xf numFmtId="0" fontId="15" fillId="0" borderId="24" xfId="0" applyFont="1" applyBorder="1" applyAlignment="1">
      <alignment wrapText="1"/>
    </xf>
    <xf numFmtId="0" fontId="15" fillId="0" borderId="26" xfId="0" applyFont="1" applyBorder="1" applyAlignment="1">
      <alignment horizontal="center"/>
    </xf>
    <xf numFmtId="0" fontId="14" fillId="0" borderId="2" xfId="0" applyFont="1" applyBorder="1"/>
    <xf numFmtId="0" fontId="16" fillId="9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4" fillId="0" borderId="28" xfId="0" applyFont="1" applyBorder="1"/>
    <xf numFmtId="0" fontId="14" fillId="0" borderId="19" xfId="0" applyFont="1" applyBorder="1" applyAlignment="1">
      <alignment wrapText="1"/>
    </xf>
    <xf numFmtId="0" fontId="15" fillId="0" borderId="0" xfId="0" applyFont="1"/>
    <xf numFmtId="0" fontId="26" fillId="0" borderId="0" xfId="0" applyFont="1" applyAlignment="1">
      <alignment horizontal="center"/>
    </xf>
    <xf numFmtId="0" fontId="26" fillId="0" borderId="0" xfId="0" applyFont="1"/>
    <xf numFmtId="3" fontId="15" fillId="0" borderId="2" xfId="0" applyNumberFormat="1" applyFont="1" applyFill="1" applyBorder="1" applyAlignment="1">
      <alignment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justify" vertical="center" wrapText="1"/>
    </xf>
    <xf numFmtId="0" fontId="15" fillId="0" borderId="6" xfId="0" applyFont="1" applyFill="1" applyBorder="1" applyAlignment="1">
      <alignment horizontal="justify" vertical="center" wrapText="1"/>
    </xf>
    <xf numFmtId="0" fontId="15" fillId="0" borderId="0" xfId="0" applyFont="1" applyAlignment="1">
      <alignment horizontal="center"/>
    </xf>
    <xf numFmtId="0" fontId="15" fillId="0" borderId="2" xfId="0" applyFont="1" applyFill="1" applyBorder="1" applyAlignment="1">
      <alignment vertical="center" wrapText="1"/>
    </xf>
    <xf numFmtId="40" fontId="27" fillId="0" borderId="0" xfId="0" applyNumberFormat="1" applyFont="1"/>
    <xf numFmtId="40" fontId="26" fillId="0" borderId="0" xfId="0" applyNumberFormat="1" applyFont="1"/>
    <xf numFmtId="0" fontId="27" fillId="0" borderId="0" xfId="0" applyFont="1"/>
    <xf numFmtId="0" fontId="28" fillId="0" borderId="0" xfId="0" applyFont="1"/>
    <xf numFmtId="0" fontId="15" fillId="0" borderId="48" xfId="0" applyFont="1" applyBorder="1" applyAlignment="1">
      <alignment horizontal="center" wrapText="1"/>
    </xf>
    <xf numFmtId="0" fontId="15" fillId="0" borderId="11" xfId="0" applyFont="1" applyBorder="1" applyAlignment="1">
      <alignment wrapText="1"/>
    </xf>
    <xf numFmtId="0" fontId="14" fillId="2" borderId="12" xfId="0" applyFont="1" applyFill="1" applyBorder="1" applyAlignment="1">
      <alignment horizontal="center" wrapText="1"/>
    </xf>
    <xf numFmtId="168" fontId="14" fillId="2" borderId="12" xfId="0" applyNumberFormat="1" applyFont="1" applyFill="1" applyBorder="1" applyAlignment="1">
      <alignment horizontal="center" wrapText="1"/>
    </xf>
    <xf numFmtId="3" fontId="14" fillId="2" borderId="12" xfId="0" applyNumberFormat="1" applyFont="1" applyFill="1" applyBorder="1" applyAlignment="1">
      <alignment horizontal="center" wrapText="1"/>
    </xf>
    <xf numFmtId="169" fontId="14" fillId="2" borderId="12" xfId="0" applyNumberFormat="1" applyFont="1" applyFill="1" applyBorder="1" applyAlignment="1">
      <alignment horizontal="center" wrapText="1"/>
    </xf>
    <xf numFmtId="168" fontId="14" fillId="2" borderId="15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0" fontId="14" fillId="0" borderId="11" xfId="0" applyFont="1" applyBorder="1" applyAlignment="1">
      <alignment horizontal="center" vertical="center"/>
    </xf>
    <xf numFmtId="171" fontId="15" fillId="0" borderId="7" xfId="0" applyNumberFormat="1" applyFont="1" applyFill="1" applyBorder="1" applyAlignment="1">
      <alignment horizontal="center" vertical="center" wrapText="1"/>
    </xf>
    <xf numFmtId="3" fontId="15" fillId="0" borderId="13" xfId="0" applyNumberFormat="1" applyFont="1" applyFill="1" applyBorder="1" applyAlignment="1">
      <alignment vertical="center" wrapText="1"/>
    </xf>
    <xf numFmtId="3" fontId="15" fillId="0" borderId="2" xfId="0" applyNumberFormat="1" applyFont="1" applyFill="1" applyBorder="1" applyAlignment="1">
      <alignment horizontal="right" vertical="center"/>
    </xf>
    <xf numFmtId="175" fontId="14" fillId="0" borderId="2" xfId="0" applyNumberFormat="1" applyFont="1" applyFill="1" applyBorder="1" applyAlignment="1">
      <alignment horizontal="right" vertical="center"/>
    </xf>
    <xf numFmtId="175" fontId="15" fillId="0" borderId="2" xfId="0" applyNumberFormat="1" applyFont="1" applyFill="1" applyBorder="1" applyAlignment="1">
      <alignment horizontal="right" vertical="center"/>
    </xf>
    <xf numFmtId="175" fontId="15" fillId="0" borderId="17" xfId="0" applyNumberFormat="1" applyFont="1" applyFill="1" applyBorder="1" applyAlignment="1">
      <alignment horizontal="right" vertical="center"/>
    </xf>
    <xf numFmtId="175" fontId="15" fillId="0" borderId="7" xfId="0" applyNumberFormat="1" applyFont="1" applyFill="1" applyBorder="1" applyAlignment="1">
      <alignment vertical="center"/>
    </xf>
    <xf numFmtId="171" fontId="15" fillId="0" borderId="3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wrapText="1"/>
    </xf>
    <xf numFmtId="3" fontId="14" fillId="2" borderId="5" xfId="0" applyNumberFormat="1" applyFont="1" applyFill="1" applyBorder="1" applyAlignment="1">
      <alignment wrapText="1"/>
    </xf>
    <xf numFmtId="3" fontId="14" fillId="2" borderId="5" xfId="0" applyNumberFormat="1" applyFont="1" applyFill="1" applyBorder="1" applyAlignment="1">
      <alignment horizontal="right"/>
    </xf>
    <xf numFmtId="175" fontId="14" fillId="2" borderId="5" xfId="0" applyNumberFormat="1" applyFont="1" applyFill="1" applyBorder="1" applyAlignment="1">
      <alignment horizontal="right"/>
    </xf>
    <xf numFmtId="175" fontId="14" fillId="2" borderId="24" xfId="0" applyNumberFormat="1" applyFont="1" applyFill="1" applyBorder="1" applyAlignment="1">
      <alignment horizontal="right"/>
    </xf>
    <xf numFmtId="0" fontId="15" fillId="0" borderId="3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justify" vertical="center" wrapText="1"/>
    </xf>
    <xf numFmtId="3" fontId="15" fillId="0" borderId="6" xfId="0" applyNumberFormat="1" applyFont="1" applyFill="1" applyBorder="1" applyAlignment="1">
      <alignment vertical="center" wrapText="1"/>
    </xf>
    <xf numFmtId="3" fontId="15" fillId="0" borderId="6" xfId="0" applyNumberFormat="1" applyFont="1" applyFill="1" applyBorder="1" applyAlignment="1">
      <alignment horizontal="right" vertical="center"/>
    </xf>
    <xf numFmtId="175" fontId="14" fillId="0" borderId="6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53" xfId="0" applyFont="1" applyFill="1" applyBorder="1" applyAlignment="1">
      <alignment horizontal="justify" vertical="center" wrapText="1"/>
    </xf>
    <xf numFmtId="3" fontId="15" fillId="0" borderId="20" xfId="0" applyNumberFormat="1" applyFont="1" applyFill="1" applyBorder="1" applyAlignment="1">
      <alignment vertical="center" wrapText="1"/>
    </xf>
    <xf numFmtId="3" fontId="15" fillId="0" borderId="20" xfId="0" applyNumberFormat="1" applyFont="1" applyFill="1" applyBorder="1" applyAlignment="1">
      <alignment horizontal="right" vertical="center"/>
    </xf>
    <xf numFmtId="175" fontId="15" fillId="0" borderId="2" xfId="0" applyNumberFormat="1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3" fontId="14" fillId="2" borderId="9" xfId="0" applyNumberFormat="1" applyFont="1" applyFill="1" applyBorder="1" applyAlignment="1">
      <alignment wrapText="1"/>
    </xf>
    <xf numFmtId="3" fontId="14" fillId="2" borderId="9" xfId="0" applyNumberFormat="1" applyFont="1" applyFill="1" applyBorder="1" applyAlignment="1">
      <alignment horizontal="right"/>
    </xf>
    <xf numFmtId="175" fontId="14" fillId="2" borderId="9" xfId="0" applyNumberFormat="1" applyFont="1" applyFill="1" applyBorder="1" applyAlignment="1">
      <alignment horizontal="right"/>
    </xf>
    <xf numFmtId="175" fontId="14" fillId="2" borderId="18" xfId="0" applyNumberFormat="1" applyFont="1" applyFill="1" applyBorder="1" applyAlignment="1">
      <alignment horizontal="right"/>
    </xf>
    <xf numFmtId="175" fontId="14" fillId="2" borderId="8" xfId="0" applyNumberFormat="1" applyFont="1" applyFill="1" applyBorder="1" applyAlignment="1">
      <alignment horizontal="right"/>
    </xf>
    <xf numFmtId="175" fontId="14" fillId="2" borderId="28" xfId="0" applyNumberFormat="1" applyFont="1" applyFill="1" applyBorder="1" applyAlignment="1">
      <alignment horizontal="right"/>
    </xf>
    <xf numFmtId="175" fontId="15" fillId="0" borderId="2" xfId="1" applyNumberFormat="1" applyFont="1" applyBorder="1" applyAlignment="1">
      <alignment vertical="center"/>
    </xf>
    <xf numFmtId="0" fontId="14" fillId="0" borderId="46" xfId="0" applyFont="1" applyBorder="1" applyAlignment="1">
      <alignment horizontal="center" vertical="center"/>
    </xf>
    <xf numFmtId="0" fontId="15" fillId="0" borderId="0" xfId="0" applyFont="1" applyFill="1"/>
    <xf numFmtId="175" fontId="15" fillId="0" borderId="6" xfId="1" applyNumberFormat="1" applyFont="1" applyBorder="1" applyAlignment="1">
      <alignment vertical="center"/>
    </xf>
    <xf numFmtId="0" fontId="14" fillId="7" borderId="3" xfId="0" applyFont="1" applyFill="1" applyBorder="1" applyAlignment="1">
      <alignment horizontal="center"/>
    </xf>
    <xf numFmtId="0" fontId="14" fillId="7" borderId="2" xfId="0" applyFont="1" applyFill="1" applyBorder="1"/>
    <xf numFmtId="3" fontId="15" fillId="7" borderId="2" xfId="0" applyNumberFormat="1" applyFont="1" applyFill="1" applyBorder="1" applyAlignment="1">
      <alignment wrapText="1"/>
    </xf>
    <xf numFmtId="170" fontId="15" fillId="7" borderId="2" xfId="0" applyNumberFormat="1" applyFont="1" applyFill="1" applyBorder="1" applyAlignment="1">
      <alignment horizontal="right"/>
    </xf>
    <xf numFmtId="171" fontId="15" fillId="7" borderId="2" xfId="0" applyNumberFormat="1" applyFont="1" applyFill="1" applyBorder="1" applyAlignment="1">
      <alignment horizontal="right"/>
    </xf>
    <xf numFmtId="175" fontId="14" fillId="7" borderId="2" xfId="0" applyNumberFormat="1" applyFont="1" applyFill="1" applyBorder="1" applyAlignment="1">
      <alignment horizontal="right"/>
    </xf>
    <xf numFmtId="175" fontId="15" fillId="7" borderId="6" xfId="0" applyNumberFormat="1" applyFont="1" applyFill="1" applyBorder="1" applyAlignment="1">
      <alignment horizontal="right"/>
    </xf>
    <xf numFmtId="175" fontId="15" fillId="7" borderId="2" xfId="0" applyNumberFormat="1" applyFont="1" applyFill="1" applyBorder="1" applyAlignment="1">
      <alignment horizontal="right"/>
    </xf>
    <xf numFmtId="175" fontId="15" fillId="7" borderId="2" xfId="1" applyNumberFormat="1" applyFont="1" applyFill="1" applyBorder="1"/>
    <xf numFmtId="175" fontId="15" fillId="7" borderId="19" xfId="1" applyNumberFormat="1" applyFont="1" applyFill="1" applyBorder="1"/>
    <xf numFmtId="0" fontId="14" fillId="7" borderId="3" xfId="0" applyFont="1" applyFill="1" applyBorder="1" applyAlignment="1">
      <alignment horizontal="center" wrapText="1"/>
    </xf>
    <xf numFmtId="0" fontId="14" fillId="7" borderId="2" xfId="0" applyFont="1" applyFill="1" applyBorder="1" applyAlignment="1">
      <alignment horizontal="left" wrapText="1"/>
    </xf>
    <xf numFmtId="170" fontId="14" fillId="7" borderId="2" xfId="0" applyNumberFormat="1" applyFont="1" applyFill="1" applyBorder="1" applyAlignment="1">
      <alignment horizontal="right"/>
    </xf>
    <xf numFmtId="171" fontId="14" fillId="7" borderId="2" xfId="0" applyNumberFormat="1" applyFont="1" applyFill="1" applyBorder="1" applyAlignment="1">
      <alignment horizontal="right"/>
    </xf>
    <xf numFmtId="175" fontId="14" fillId="7" borderId="2" xfId="1" applyNumberFormat="1" applyFont="1" applyFill="1" applyBorder="1"/>
    <xf numFmtId="175" fontId="14" fillId="7" borderId="19" xfId="1" applyNumberFormat="1" applyFont="1" applyFill="1" applyBorder="1"/>
    <xf numFmtId="0" fontId="14" fillId="2" borderId="32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center" wrapText="1"/>
    </xf>
    <xf numFmtId="170" fontId="14" fillId="2" borderId="33" xfId="0" applyNumberFormat="1" applyFont="1" applyFill="1" applyBorder="1" applyAlignment="1">
      <alignment horizontal="center" wrapText="1"/>
    </xf>
    <xf numFmtId="3" fontId="14" fillId="2" borderId="33" xfId="0" applyNumberFormat="1" applyFont="1" applyFill="1" applyBorder="1" applyAlignment="1">
      <alignment horizontal="center" wrapText="1"/>
    </xf>
    <xf numFmtId="175" fontId="14" fillId="2" borderId="34" xfId="0" applyNumberFormat="1" applyFont="1" applyFill="1" applyBorder="1" applyAlignment="1">
      <alignment horizontal="right" wrapText="1"/>
    </xf>
    <xf numFmtId="0" fontId="14" fillId="2" borderId="11" xfId="0" applyFont="1" applyFill="1" applyBorder="1" applyAlignment="1">
      <alignment horizontal="center" wrapText="1"/>
    </xf>
    <xf numFmtId="170" fontId="14" fillId="2" borderId="12" xfId="0" applyNumberFormat="1" applyFont="1" applyFill="1" applyBorder="1" applyAlignment="1">
      <alignment horizontal="center" wrapText="1"/>
    </xf>
    <xf numFmtId="9" fontId="14" fillId="2" borderId="12" xfId="1" applyFont="1" applyFill="1" applyBorder="1" applyAlignment="1">
      <alignment horizontal="center" wrapText="1"/>
    </xf>
    <xf numFmtId="0" fontId="14" fillId="2" borderId="15" xfId="0" applyFont="1" applyFill="1" applyBorder="1" applyAlignment="1">
      <alignment horizontal="center" wrapText="1"/>
    </xf>
    <xf numFmtId="0" fontId="15" fillId="0" borderId="0" xfId="0" applyFont="1" applyBorder="1" applyAlignment="1">
      <alignment wrapText="1"/>
    </xf>
    <xf numFmtId="168" fontId="15" fillId="0" borderId="0" xfId="0" applyNumberFormat="1" applyFont="1" applyBorder="1" applyAlignment="1">
      <alignment horizontal="right"/>
    </xf>
    <xf numFmtId="3" fontId="15" fillId="0" borderId="0" xfId="0" applyNumberFormat="1" applyFont="1" applyBorder="1" applyAlignment="1">
      <alignment horizontal="right"/>
    </xf>
    <xf numFmtId="169" fontId="14" fillId="0" borderId="0" xfId="0" applyNumberFormat="1" applyFont="1" applyBorder="1" applyAlignment="1">
      <alignment horizontal="right"/>
    </xf>
    <xf numFmtId="168" fontId="14" fillId="0" borderId="0" xfId="0" applyNumberFormat="1" applyFont="1" applyFill="1" applyBorder="1" applyAlignment="1">
      <alignment horizontal="right"/>
    </xf>
    <xf numFmtId="177" fontId="15" fillId="0" borderId="0" xfId="3" applyNumberFormat="1" applyFont="1"/>
    <xf numFmtId="168" fontId="15" fillId="0" borderId="0" xfId="0" applyNumberFormat="1" applyFont="1"/>
    <xf numFmtId="0" fontId="15" fillId="0" borderId="0" xfId="0" applyFont="1" applyAlignment="1">
      <alignment horizontal="left" vertical="top" wrapText="1"/>
    </xf>
    <xf numFmtId="168" fontId="15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169" fontId="14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right"/>
    </xf>
    <xf numFmtId="0" fontId="24" fillId="7" borderId="0" xfId="0" applyFont="1" applyFill="1" applyBorder="1" applyAlignment="1"/>
    <xf numFmtId="0" fontId="24" fillId="0" borderId="0" xfId="0" applyFont="1" applyBorder="1" applyAlignment="1"/>
    <xf numFmtId="0" fontId="24" fillId="0" borderId="0" xfId="0" applyFont="1" applyAlignment="1"/>
    <xf numFmtId="0" fontId="29" fillId="7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24" fillId="7" borderId="0" xfId="0" applyFont="1" applyFill="1" applyBorder="1"/>
    <xf numFmtId="0" fontId="24" fillId="0" borderId="0" xfId="0" applyFont="1" applyBorder="1"/>
    <xf numFmtId="0" fontId="24" fillId="0" borderId="2" xfId="0" applyFont="1" applyBorder="1"/>
    <xf numFmtId="0" fontId="12" fillId="0" borderId="2" xfId="0" applyFont="1" applyFill="1" applyBorder="1" applyAlignment="1">
      <alignment horizontal="center" vertical="center"/>
    </xf>
    <xf numFmtId="0" fontId="29" fillId="7" borderId="0" xfId="0" applyFont="1" applyFill="1" applyAlignment="1">
      <alignment horizontal="center" vertical="center"/>
    </xf>
    <xf numFmtId="0" fontId="24" fillId="7" borderId="0" xfId="0" applyFont="1" applyFill="1" applyAlignment="1">
      <alignment vertical="center" wrapText="1"/>
    </xf>
    <xf numFmtId="0" fontId="24" fillId="7" borderId="0" xfId="0" applyFont="1" applyFill="1" applyAlignment="1">
      <alignment vertical="center"/>
    </xf>
    <xf numFmtId="0" fontId="24" fillId="7" borderId="0" xfId="0" applyFont="1" applyFill="1" applyAlignment="1"/>
    <xf numFmtId="8" fontId="24" fillId="0" borderId="0" xfId="0" applyNumberFormat="1" applyFont="1" applyAlignment="1">
      <alignment vertical="center"/>
    </xf>
    <xf numFmtId="8" fontId="24" fillId="0" borderId="0" xfId="0" applyNumberFormat="1" applyFont="1" applyAlignment="1">
      <alignment vertical="center" wrapText="1"/>
    </xf>
    <xf numFmtId="0" fontId="29" fillId="3" borderId="0" xfId="0" applyFont="1" applyFill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171" fontId="15" fillId="0" borderId="8" xfId="0" applyNumberFormat="1" applyFont="1" applyFill="1" applyBorder="1" applyAlignment="1">
      <alignment horizontal="center" vertical="center" wrapText="1"/>
    </xf>
    <xf numFmtId="3" fontId="15" fillId="0" borderId="26" xfId="0" applyNumberFormat="1" applyFont="1" applyFill="1" applyBorder="1" applyAlignment="1">
      <alignment vertical="center" wrapText="1"/>
    </xf>
    <xf numFmtId="3" fontId="15" fillId="0" borderId="9" xfId="0" applyNumberFormat="1" applyFont="1" applyFill="1" applyBorder="1" applyAlignment="1">
      <alignment horizontal="right" vertical="center"/>
    </xf>
    <xf numFmtId="0" fontId="34" fillId="0" borderId="0" xfId="6" applyFont="1" applyAlignment="1"/>
    <xf numFmtId="164" fontId="35" fillId="11" borderId="2" xfId="6" applyNumberFormat="1" applyFont="1" applyFill="1" applyBorder="1"/>
    <xf numFmtId="0" fontId="36" fillId="0" borderId="2" xfId="6" applyFont="1" applyBorder="1" applyAlignment="1"/>
    <xf numFmtId="0" fontId="37" fillId="0" borderId="0" xfId="6" applyFont="1"/>
    <xf numFmtId="164" fontId="34" fillId="0" borderId="9" xfId="6" applyNumberFormat="1" applyFont="1" applyBorder="1"/>
    <xf numFmtId="0" fontId="34" fillId="0" borderId="20" xfId="6" applyFont="1" applyBorder="1"/>
    <xf numFmtId="9" fontId="0" fillId="0" borderId="20" xfId="7" applyFont="1" applyBorder="1"/>
    <xf numFmtId="178" fontId="35" fillId="8" borderId="53" xfId="6" applyNumberFormat="1" applyFont="1" applyFill="1" applyBorder="1"/>
    <xf numFmtId="0" fontId="34" fillId="0" borderId="0" xfId="6" applyFont="1" applyFill="1" applyBorder="1" applyAlignment="1"/>
    <xf numFmtId="178" fontId="35" fillId="0" borderId="0" xfId="6" applyNumberFormat="1" applyFont="1" applyFill="1" applyBorder="1" applyAlignment="1"/>
    <xf numFmtId="0" fontId="35" fillId="0" borderId="0" xfId="6" applyFont="1" applyFill="1" applyBorder="1" applyAlignment="1"/>
    <xf numFmtId="0" fontId="35" fillId="0" borderId="0" xfId="6" applyFont="1" applyFill="1" applyBorder="1" applyAlignment="1">
      <alignment horizontal="center" vertical="center" wrapText="1"/>
    </xf>
    <xf numFmtId="178" fontId="36" fillId="0" borderId="48" xfId="6" applyNumberFormat="1" applyFont="1" applyBorder="1" applyAlignment="1"/>
    <xf numFmtId="178" fontId="35" fillId="0" borderId="43" xfId="6" applyNumberFormat="1" applyFont="1" applyFill="1" applyBorder="1" applyAlignment="1"/>
    <xf numFmtId="178" fontId="34" fillId="0" borderId="17" xfId="6" applyNumberFormat="1" applyFont="1" applyBorder="1" applyAlignment="1"/>
    <xf numFmtId="164" fontId="34" fillId="0" borderId="2" xfId="6" applyNumberFormat="1" applyFont="1" applyBorder="1" applyAlignment="1">
      <alignment horizontal="right"/>
    </xf>
    <xf numFmtId="0" fontId="34" fillId="0" borderId="2" xfId="6" applyFont="1" applyBorder="1" applyAlignment="1">
      <alignment horizontal="right"/>
    </xf>
    <xf numFmtId="0" fontId="34" fillId="0" borderId="2" xfId="6" applyFont="1" applyBorder="1" applyAlignment="1">
      <alignment horizontal="center"/>
    </xf>
    <xf numFmtId="0" fontId="34" fillId="0" borderId="2" xfId="6" applyFont="1" applyBorder="1" applyAlignment="1">
      <alignment horizontal="left"/>
    </xf>
    <xf numFmtId="178" fontId="34" fillId="0" borderId="2" xfId="6" applyNumberFormat="1" applyFont="1" applyBorder="1" applyAlignment="1">
      <alignment horizontal="right"/>
    </xf>
    <xf numFmtId="0" fontId="34" fillId="0" borderId="2" xfId="6" applyFont="1" applyBorder="1" applyAlignment="1"/>
    <xf numFmtId="178" fontId="34" fillId="0" borderId="2" xfId="6" applyNumberFormat="1" applyFont="1" applyFill="1" applyBorder="1" applyAlignment="1">
      <alignment horizontal="right"/>
    </xf>
    <xf numFmtId="0" fontId="34" fillId="0" borderId="2" xfId="6" applyFont="1" applyFill="1" applyBorder="1" applyAlignment="1"/>
    <xf numFmtId="178" fontId="34" fillId="0" borderId="6" xfId="6" applyNumberFormat="1" applyFont="1" applyFill="1" applyBorder="1" applyAlignment="1">
      <alignment horizontal="right"/>
    </xf>
    <xf numFmtId="0" fontId="34" fillId="0" borderId="6" xfId="6" applyFont="1" applyBorder="1" applyAlignment="1"/>
    <xf numFmtId="0" fontId="34" fillId="0" borderId="6" xfId="6" applyFont="1" applyBorder="1" applyAlignment="1">
      <alignment horizontal="center"/>
    </xf>
    <xf numFmtId="0" fontId="34" fillId="0" borderId="6" xfId="6" applyFont="1" applyBorder="1"/>
    <xf numFmtId="178" fontId="34" fillId="0" borderId="58" xfId="6" applyNumberFormat="1" applyFont="1" applyBorder="1" applyAlignment="1"/>
    <xf numFmtId="178" fontId="34" fillId="0" borderId="59" xfId="6" applyNumberFormat="1" applyFont="1" applyFill="1" applyBorder="1" applyAlignment="1">
      <alignment horizontal="right"/>
    </xf>
    <xf numFmtId="0" fontId="34" fillId="0" borderId="59" xfId="6" applyFont="1" applyBorder="1" applyAlignment="1"/>
    <xf numFmtId="0" fontId="34" fillId="0" borderId="59" xfId="6" applyFont="1" applyBorder="1" applyAlignment="1">
      <alignment horizontal="center"/>
    </xf>
    <xf numFmtId="0" fontId="34" fillId="0" borderId="59" xfId="6" applyFont="1" applyBorder="1"/>
    <xf numFmtId="0" fontId="34" fillId="0" borderId="5" xfId="6" applyFont="1" applyBorder="1" applyAlignment="1"/>
    <xf numFmtId="0" fontId="34" fillId="0" borderId="4" xfId="6" applyFont="1" applyBorder="1" applyAlignment="1">
      <alignment vertical="center" wrapText="1"/>
    </xf>
    <xf numFmtId="0" fontId="34" fillId="0" borderId="17" xfId="6" applyFont="1" applyBorder="1" applyAlignment="1"/>
    <xf numFmtId="0" fontId="34" fillId="0" borderId="3" xfId="6" applyFont="1" applyBorder="1" applyAlignment="1">
      <alignment vertical="center"/>
    </xf>
    <xf numFmtId="0" fontId="34" fillId="0" borderId="62" xfId="6" applyFont="1" applyBorder="1" applyAlignment="1">
      <alignment vertical="center"/>
    </xf>
    <xf numFmtId="178" fontId="34" fillId="0" borderId="18" xfId="6" applyNumberFormat="1" applyFont="1" applyBorder="1" applyAlignment="1"/>
    <xf numFmtId="164" fontId="34" fillId="0" borderId="9" xfId="6" applyNumberFormat="1" applyFont="1" applyBorder="1" applyAlignment="1">
      <alignment horizontal="right"/>
    </xf>
    <xf numFmtId="0" fontId="34" fillId="0" borderId="9" xfId="6" applyFont="1" applyBorder="1" applyAlignment="1"/>
    <xf numFmtId="0" fontId="34" fillId="0" borderId="65" xfId="6" applyFont="1" applyFill="1" applyBorder="1" applyAlignment="1"/>
    <xf numFmtId="0" fontId="34" fillId="0" borderId="5" xfId="6" applyFont="1" applyFill="1" applyBorder="1" applyAlignment="1"/>
    <xf numFmtId="0" fontId="34" fillId="0" borderId="17" xfId="6" applyFont="1" applyFill="1" applyBorder="1" applyAlignment="1"/>
    <xf numFmtId="0" fontId="34" fillId="0" borderId="66" xfId="6" applyFont="1" applyFill="1" applyBorder="1" applyAlignment="1"/>
    <xf numFmtId="0" fontId="34" fillId="0" borderId="59" xfId="6" applyFont="1" applyFill="1" applyBorder="1" applyAlignment="1"/>
    <xf numFmtId="178" fontId="36" fillId="0" borderId="48" xfId="6" applyNumberFormat="1" applyFont="1" applyFill="1" applyBorder="1" applyAlignment="1"/>
    <xf numFmtId="0" fontId="38" fillId="0" borderId="2" xfId="6" applyFont="1" applyBorder="1" applyAlignment="1"/>
    <xf numFmtId="0" fontId="38" fillId="0" borderId="6" xfId="6" applyFont="1" applyBorder="1" applyAlignment="1"/>
    <xf numFmtId="178" fontId="34" fillId="0" borderId="19" xfId="6" applyNumberFormat="1" applyFont="1" applyBorder="1" applyAlignment="1"/>
    <xf numFmtId="0" fontId="34" fillId="0" borderId="48" xfId="6" applyFont="1" applyBorder="1" applyAlignment="1"/>
    <xf numFmtId="0" fontId="34" fillId="0" borderId="9" xfId="6" applyFont="1" applyFill="1" applyBorder="1" applyAlignment="1"/>
    <xf numFmtId="0" fontId="34" fillId="0" borderId="6" xfId="6" applyFont="1" applyFill="1" applyBorder="1" applyAlignment="1"/>
    <xf numFmtId="0" fontId="34" fillId="0" borderId="24" xfId="6" applyFont="1" applyBorder="1" applyAlignment="1"/>
    <xf numFmtId="0" fontId="34" fillId="0" borderId="61" xfId="6" applyFont="1" applyBorder="1" applyAlignment="1"/>
    <xf numFmtId="0" fontId="34" fillId="0" borderId="4" xfId="6" applyFont="1" applyFill="1" applyBorder="1" applyAlignment="1">
      <alignment vertical="center" wrapText="1"/>
    </xf>
    <xf numFmtId="0" fontId="34" fillId="0" borderId="62" xfId="6" applyFont="1" applyFill="1" applyBorder="1" applyAlignment="1">
      <alignment vertical="center"/>
    </xf>
    <xf numFmtId="178" fontId="36" fillId="0" borderId="55" xfId="6" applyNumberFormat="1" applyFont="1" applyFill="1" applyBorder="1" applyAlignment="1"/>
    <xf numFmtId="178" fontId="34" fillId="0" borderId="2" xfId="6" applyNumberFormat="1" applyFont="1" applyBorder="1" applyAlignment="1"/>
    <xf numFmtId="0" fontId="38" fillId="0" borderId="2" xfId="6" applyFont="1" applyFill="1" applyBorder="1" applyAlignment="1"/>
    <xf numFmtId="178" fontId="34" fillId="0" borderId="17" xfId="6" applyNumberFormat="1" applyFont="1" applyFill="1" applyBorder="1" applyAlignment="1"/>
    <xf numFmtId="164" fontId="34" fillId="0" borderId="6" xfId="6" applyNumberFormat="1" applyFont="1" applyFill="1" applyBorder="1" applyAlignment="1">
      <alignment horizontal="right"/>
    </xf>
    <xf numFmtId="178" fontId="34" fillId="0" borderId="58" xfId="6" applyNumberFormat="1" applyFont="1" applyFill="1" applyBorder="1" applyAlignment="1"/>
    <xf numFmtId="164" fontId="34" fillId="0" borderId="59" xfId="6" applyNumberFormat="1" applyFont="1" applyFill="1" applyBorder="1" applyAlignment="1">
      <alignment horizontal="right"/>
    </xf>
    <xf numFmtId="178" fontId="36" fillId="0" borderId="44" xfId="6" applyNumberFormat="1" applyFont="1" applyBorder="1" applyAlignment="1"/>
    <xf numFmtId="0" fontId="34" fillId="0" borderId="26" xfId="6" applyFont="1" applyFill="1" applyBorder="1" applyAlignment="1">
      <alignment vertical="center" wrapText="1"/>
    </xf>
    <xf numFmtId="0" fontId="38" fillId="0" borderId="6" xfId="6" applyFont="1" applyFill="1" applyBorder="1" applyAlignment="1"/>
    <xf numFmtId="164" fontId="34" fillId="0" borderId="6" xfId="6" applyNumberFormat="1" applyFont="1" applyBorder="1" applyAlignment="1">
      <alignment horizontal="right"/>
    </xf>
    <xf numFmtId="0" fontId="34" fillId="0" borderId="60" xfId="6" applyFont="1" applyFill="1" applyBorder="1" applyAlignment="1">
      <alignment horizontal="center" vertical="center"/>
    </xf>
    <xf numFmtId="178" fontId="34" fillId="0" borderId="65" xfId="6" applyNumberFormat="1" applyFont="1" applyBorder="1" applyAlignment="1"/>
    <xf numFmtId="164" fontId="34" fillId="0" borderId="5" xfId="6" applyNumberFormat="1" applyFont="1" applyBorder="1" applyAlignment="1">
      <alignment horizontal="right"/>
    </xf>
    <xf numFmtId="178" fontId="34" fillId="0" borderId="54" xfId="6" applyNumberFormat="1" applyFont="1" applyBorder="1" applyAlignment="1"/>
    <xf numFmtId="178" fontId="34" fillId="0" borderId="54" xfId="6" applyNumberFormat="1" applyFont="1" applyFill="1" applyBorder="1" applyAlignment="1"/>
    <xf numFmtId="0" fontId="34" fillId="0" borderId="62" xfId="6" applyFont="1" applyFill="1" applyBorder="1" applyAlignment="1">
      <alignment horizontal="center" vertical="center"/>
    </xf>
    <xf numFmtId="178" fontId="36" fillId="0" borderId="52" xfId="6" applyNumberFormat="1" applyFont="1" applyBorder="1" applyAlignment="1"/>
    <xf numFmtId="164" fontId="34" fillId="0" borderId="2" xfId="6" applyNumberFormat="1" applyFont="1" applyFill="1" applyBorder="1" applyAlignment="1">
      <alignment horizontal="right"/>
    </xf>
    <xf numFmtId="164" fontId="34" fillId="0" borderId="59" xfId="6" applyNumberFormat="1" applyFont="1" applyBorder="1" applyAlignment="1">
      <alignment horizontal="right"/>
    </xf>
    <xf numFmtId="0" fontId="39" fillId="0" borderId="48" xfId="6" applyFont="1" applyBorder="1" applyAlignment="1">
      <alignment horizontal="center" vertical="center"/>
    </xf>
    <xf numFmtId="178" fontId="34" fillId="0" borderId="0" xfId="6" applyNumberFormat="1" applyFont="1" applyBorder="1" applyAlignment="1"/>
    <xf numFmtId="0" fontId="34" fillId="0" borderId="0" xfId="6" applyFont="1" applyBorder="1" applyAlignment="1"/>
    <xf numFmtId="0" fontId="34" fillId="0" borderId="23" xfId="6" applyFont="1" applyFill="1" applyBorder="1" applyAlignment="1"/>
    <xf numFmtId="178" fontId="35" fillId="0" borderId="21" xfId="6" applyNumberFormat="1" applyFont="1" applyFill="1" applyBorder="1" applyAlignment="1"/>
    <xf numFmtId="178" fontId="35" fillId="8" borderId="0" xfId="6" applyNumberFormat="1" applyFont="1" applyFill="1" applyBorder="1"/>
    <xf numFmtId="164" fontId="34" fillId="0" borderId="0" xfId="6" applyNumberFormat="1" applyFont="1" applyBorder="1"/>
    <xf numFmtId="164" fontId="35" fillId="11" borderId="0" xfId="6" applyNumberFormat="1" applyFont="1" applyFill="1" applyBorder="1"/>
    <xf numFmtId="0" fontId="35" fillId="0" borderId="0" xfId="6" applyFont="1" applyBorder="1" applyAlignment="1">
      <alignment horizontal="left" vertical="center" wrapText="1"/>
    </xf>
    <xf numFmtId="0" fontId="37" fillId="0" borderId="0" xfId="6" applyFont="1" applyFill="1" applyBorder="1" applyAlignment="1">
      <alignment horizontal="justify" vertical="center"/>
    </xf>
    <xf numFmtId="0" fontId="36" fillId="0" borderId="0" xfId="6" applyFont="1" applyFill="1" applyBorder="1" applyAlignment="1">
      <alignment horizontal="right" vertical="center"/>
    </xf>
    <xf numFmtId="0" fontId="37" fillId="0" borderId="0" xfId="6" applyFont="1" applyBorder="1" applyAlignment="1">
      <alignment horizontal="justify" vertical="center"/>
    </xf>
    <xf numFmtId="178" fontId="40" fillId="0" borderId="48" xfId="6" applyNumberFormat="1" applyFont="1" applyBorder="1" applyAlignment="1"/>
    <xf numFmtId="179" fontId="34" fillId="0" borderId="0" xfId="6" applyNumberFormat="1" applyFont="1" applyAlignment="1"/>
    <xf numFmtId="0" fontId="34" fillId="0" borderId="53" xfId="6" applyFont="1" applyBorder="1" applyAlignment="1">
      <alignment horizontal="center"/>
    </xf>
    <xf numFmtId="0" fontId="33" fillId="0" borderId="57" xfId="6" applyFont="1" applyBorder="1" applyAlignment="1">
      <alignment horizontal="center" vertical="center"/>
    </xf>
    <xf numFmtId="0" fontId="33" fillId="0" borderId="32" xfId="6" applyFont="1" applyBorder="1" applyAlignment="1">
      <alignment horizontal="center" vertical="center"/>
    </xf>
    <xf numFmtId="0" fontId="33" fillId="0" borderId="67" xfId="6" applyFont="1" applyBorder="1" applyAlignment="1">
      <alignment horizontal="center" vertical="center"/>
    </xf>
    <xf numFmtId="0" fontId="33" fillId="0" borderId="33" xfId="6" applyFont="1" applyBorder="1" applyAlignment="1">
      <alignment horizontal="center" vertical="center"/>
    </xf>
    <xf numFmtId="0" fontId="33" fillId="0" borderId="33" xfId="6" applyFont="1" applyBorder="1" applyAlignment="1">
      <alignment horizontal="center" vertical="center" wrapText="1"/>
    </xf>
    <xf numFmtId="0" fontId="33" fillId="0" borderId="34" xfId="6" applyFont="1" applyBorder="1" applyAlignment="1">
      <alignment horizontal="center" vertical="center" wrapText="1"/>
    </xf>
    <xf numFmtId="0" fontId="33" fillId="0" borderId="48" xfId="6" applyFont="1" applyBorder="1" applyAlignment="1">
      <alignment horizontal="center" vertical="center" wrapText="1"/>
    </xf>
    <xf numFmtId="0" fontId="33" fillId="0" borderId="22" xfId="6" applyFont="1" applyBorder="1" applyAlignment="1">
      <alignment horizontal="center" vertical="center" wrapText="1"/>
    </xf>
    <xf numFmtId="0" fontId="33" fillId="0" borderId="48" xfId="6" applyFont="1" applyFill="1" applyBorder="1" applyAlignment="1">
      <alignment horizontal="center" vertical="center" wrapText="1"/>
    </xf>
    <xf numFmtId="178" fontId="36" fillId="0" borderId="29" xfId="6" applyNumberFormat="1" applyFont="1" applyBorder="1" applyAlignment="1"/>
    <xf numFmtId="0" fontId="33" fillId="0" borderId="67" xfId="6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/>
    </xf>
    <xf numFmtId="0" fontId="15" fillId="0" borderId="6" xfId="0" applyFont="1" applyFill="1" applyBorder="1"/>
    <xf numFmtId="0" fontId="15" fillId="0" borderId="2" xfId="0" applyFont="1" applyFill="1" applyBorder="1"/>
    <xf numFmtId="176" fontId="15" fillId="0" borderId="2" xfId="3" applyNumberFormat="1" applyFont="1" applyFill="1" applyBorder="1"/>
    <xf numFmtId="0" fontId="34" fillId="0" borderId="2" xfId="6" applyFont="1" applyFill="1" applyBorder="1"/>
    <xf numFmtId="176" fontId="15" fillId="0" borderId="6" xfId="3" applyNumberFormat="1" applyFont="1" applyFill="1" applyBorder="1"/>
    <xf numFmtId="178" fontId="34" fillId="0" borderId="2" xfId="6" applyNumberFormat="1" applyFont="1" applyFill="1" applyBorder="1" applyAlignment="1"/>
    <xf numFmtId="178" fontId="34" fillId="0" borderId="6" xfId="6" applyNumberFormat="1" applyFont="1" applyFill="1" applyBorder="1" applyAlignment="1"/>
    <xf numFmtId="178" fontId="34" fillId="0" borderId="66" xfId="6" applyNumberFormat="1" applyFont="1" applyBorder="1" applyAlignment="1"/>
    <xf numFmtId="178" fontId="34" fillId="0" borderId="6" xfId="6" applyNumberFormat="1" applyFont="1" applyBorder="1" applyAlignment="1"/>
    <xf numFmtId="178" fontId="34" fillId="0" borderId="9" xfId="6" applyNumberFormat="1" applyFont="1" applyBorder="1" applyAlignment="1"/>
    <xf numFmtId="178" fontId="36" fillId="0" borderId="22" xfId="6" applyNumberFormat="1" applyFont="1" applyBorder="1" applyAlignment="1"/>
    <xf numFmtId="178" fontId="34" fillId="0" borderId="9" xfId="6" applyNumberFormat="1" applyFont="1" applyFill="1" applyBorder="1" applyAlignment="1"/>
    <xf numFmtId="0" fontId="34" fillId="0" borderId="8" xfId="6" applyFont="1" applyFill="1" applyBorder="1" applyAlignment="1">
      <alignment vertical="center" wrapText="1"/>
    </xf>
    <xf numFmtId="0" fontId="34" fillId="0" borderId="33" xfId="6" applyFont="1" applyFill="1" applyBorder="1" applyAlignment="1"/>
    <xf numFmtId="0" fontId="34" fillId="0" borderId="18" xfId="6" applyFont="1" applyFill="1" applyBorder="1" applyAlignment="1"/>
    <xf numFmtId="0" fontId="34" fillId="0" borderId="7" xfId="6" applyFont="1" applyFill="1" applyBorder="1" applyAlignment="1">
      <alignment vertical="center"/>
    </xf>
    <xf numFmtId="0" fontId="34" fillId="0" borderId="58" xfId="6" applyFont="1" applyFill="1" applyBorder="1" applyAlignment="1"/>
    <xf numFmtId="0" fontId="34" fillId="0" borderId="8" xfId="6" applyFont="1" applyBorder="1" applyAlignment="1">
      <alignment vertical="center" wrapText="1"/>
    </xf>
    <xf numFmtId="0" fontId="34" fillId="0" borderId="33" xfId="6" applyFont="1" applyBorder="1" applyAlignment="1"/>
    <xf numFmtId="0" fontId="34" fillId="0" borderId="7" xfId="6" applyFont="1" applyBorder="1" applyAlignment="1">
      <alignment vertical="center"/>
    </xf>
    <xf numFmtId="178" fontId="36" fillId="0" borderId="2" xfId="6" applyNumberFormat="1" applyFont="1" applyFill="1" applyBorder="1" applyAlignment="1"/>
    <xf numFmtId="178" fontId="34" fillId="0" borderId="29" xfId="6" applyNumberFormat="1" applyFont="1" applyBorder="1" applyAlignment="1"/>
    <xf numFmtId="178" fontId="34" fillId="0" borderId="48" xfId="6" applyNumberFormat="1" applyFont="1" applyBorder="1" applyAlignment="1"/>
    <xf numFmtId="178" fontId="34" fillId="0" borderId="59" xfId="6" applyNumberFormat="1" applyFont="1" applyBorder="1" applyAlignment="1"/>
    <xf numFmtId="0" fontId="32" fillId="0" borderId="9" xfId="6" applyFont="1" applyBorder="1"/>
    <xf numFmtId="0" fontId="34" fillId="0" borderId="33" xfId="6" applyFont="1" applyBorder="1"/>
    <xf numFmtId="0" fontId="32" fillId="0" borderId="9" xfId="6" applyFont="1" applyBorder="1" applyAlignment="1">
      <alignment horizontal="center"/>
    </xf>
    <xf numFmtId="0" fontId="32" fillId="0" borderId="9" xfId="6" applyFont="1" applyBorder="1" applyAlignment="1"/>
    <xf numFmtId="178" fontId="32" fillId="0" borderId="9" xfId="6" applyNumberFormat="1" applyFont="1" applyBorder="1" applyAlignment="1">
      <alignment horizontal="right"/>
    </xf>
    <xf numFmtId="178" fontId="34" fillId="0" borderId="33" xfId="6" applyNumberFormat="1" applyFont="1" applyBorder="1" applyAlignment="1"/>
    <xf numFmtId="0" fontId="15" fillId="0" borderId="5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/>
    </xf>
    <xf numFmtId="0" fontId="15" fillId="0" borderId="49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9" xfId="0" applyFont="1" applyFill="1" applyBorder="1" applyAlignment="1">
      <alignment horizontal="justify" vertical="center" wrapText="1"/>
    </xf>
    <xf numFmtId="0" fontId="14" fillId="0" borderId="3" xfId="0" applyFont="1" applyBorder="1" applyAlignment="1">
      <alignment horizontal="center"/>
    </xf>
    <xf numFmtId="164" fontId="34" fillId="0" borderId="25" xfId="6" applyNumberFormat="1" applyFont="1" applyBorder="1" applyAlignment="1">
      <alignment horizontal="left"/>
    </xf>
    <xf numFmtId="164" fontId="34" fillId="0" borderId="64" xfId="6" applyNumberFormat="1" applyFont="1" applyBorder="1" applyAlignment="1">
      <alignment horizontal="left"/>
    </xf>
    <xf numFmtId="164" fontId="36" fillId="0" borderId="48" xfId="6" applyNumberFormat="1" applyFont="1" applyBorder="1" applyAlignment="1">
      <alignment horizontal="left"/>
    </xf>
    <xf numFmtId="164" fontId="34" fillId="0" borderId="45" xfId="6" applyNumberFormat="1" applyFont="1" applyBorder="1" applyAlignment="1">
      <alignment horizontal="left"/>
    </xf>
    <xf numFmtId="164" fontId="34" fillId="0" borderId="68" xfId="6" applyNumberFormat="1" applyFont="1" applyBorder="1" applyAlignment="1">
      <alignment horizontal="left"/>
    </xf>
    <xf numFmtId="164" fontId="36" fillId="0" borderId="57" xfId="6" applyNumberFormat="1" applyFont="1" applyBorder="1" applyAlignment="1">
      <alignment horizontal="left"/>
    </xf>
    <xf numFmtId="164" fontId="36" fillId="0" borderId="0" xfId="6" applyNumberFormat="1" applyFont="1" applyAlignment="1">
      <alignment horizontal="left"/>
    </xf>
    <xf numFmtId="164" fontId="34" fillId="0" borderId="57" xfId="6" applyNumberFormat="1" applyFont="1" applyBorder="1" applyAlignment="1">
      <alignment horizontal="left"/>
    </xf>
    <xf numFmtId="164" fontId="36" fillId="0" borderId="55" xfId="6" applyNumberFormat="1" applyFont="1" applyBorder="1" applyAlignment="1">
      <alignment horizontal="left"/>
    </xf>
    <xf numFmtId="164" fontId="36" fillId="0" borderId="22" xfId="6" applyNumberFormat="1" applyFont="1" applyBorder="1" applyAlignment="1">
      <alignment horizontal="left"/>
    </xf>
    <xf numFmtId="164" fontId="34" fillId="0" borderId="0" xfId="6" applyNumberFormat="1" applyFont="1" applyAlignment="1">
      <alignment horizontal="left"/>
    </xf>
    <xf numFmtId="164" fontId="34" fillId="0" borderId="55" xfId="6" applyNumberFormat="1" applyFont="1" applyBorder="1" applyAlignment="1">
      <alignment horizontal="left"/>
    </xf>
    <xf numFmtId="164" fontId="34" fillId="0" borderId="56" xfId="6" applyNumberFormat="1" applyFont="1" applyBorder="1" applyAlignment="1">
      <alignment horizontal="left"/>
    </xf>
    <xf numFmtId="164" fontId="36" fillId="0" borderId="0" xfId="6" applyNumberFormat="1" applyFont="1" applyAlignment="1"/>
    <xf numFmtId="164" fontId="34" fillId="0" borderId="0" xfId="6" applyNumberFormat="1" applyFont="1" applyAlignment="1"/>
    <xf numFmtId="0" fontId="15" fillId="0" borderId="8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vertical="center" wrapText="1"/>
    </xf>
    <xf numFmtId="3" fontId="15" fillId="0" borderId="9" xfId="0" applyNumberFormat="1" applyFont="1" applyFill="1" applyBorder="1" applyAlignment="1">
      <alignment vertical="center" wrapText="1"/>
    </xf>
    <xf numFmtId="9" fontId="15" fillId="0" borderId="2" xfId="1" applyFont="1" applyBorder="1"/>
    <xf numFmtId="38" fontId="15" fillId="0" borderId="2" xfId="0" applyNumberFormat="1" applyFont="1" applyFill="1" applyBorder="1"/>
    <xf numFmtId="38" fontId="15" fillId="0" borderId="9" xfId="0" applyNumberFormat="1" applyFont="1" applyFill="1" applyBorder="1"/>
    <xf numFmtId="178" fontId="34" fillId="0" borderId="6" xfId="26" applyNumberFormat="1" applyFont="1" applyFill="1" applyBorder="1" applyAlignment="1"/>
    <xf numFmtId="178" fontId="34" fillId="0" borderId="2" xfId="26" applyNumberFormat="1" applyFont="1" applyFill="1" applyBorder="1" applyAlignment="1"/>
    <xf numFmtId="178" fontId="34" fillId="0" borderId="9" xfId="26" applyNumberFormat="1" applyFont="1" applyFill="1" applyBorder="1" applyAlignment="1"/>
    <xf numFmtId="178" fontId="34" fillId="0" borderId="23" xfId="6" applyNumberFormat="1" applyFont="1" applyFill="1" applyBorder="1" applyAlignment="1"/>
    <xf numFmtId="178" fontId="34" fillId="0" borderId="0" xfId="6" applyNumberFormat="1" applyFont="1" applyFill="1" applyBorder="1" applyAlignment="1"/>
    <xf numFmtId="173" fontId="4" fillId="0" borderId="0" xfId="0" applyNumberFormat="1" applyFont="1"/>
    <xf numFmtId="3" fontId="4" fillId="0" borderId="6" xfId="0" applyNumberFormat="1" applyFont="1" applyBorder="1" applyAlignment="1">
      <alignment wrapText="1"/>
    </xf>
    <xf numFmtId="3" fontId="4" fillId="0" borderId="16" xfId="0" applyNumberFormat="1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3" fontId="4" fillId="0" borderId="19" xfId="0" applyNumberFormat="1" applyFont="1" applyBorder="1" applyAlignment="1">
      <alignment wrapText="1"/>
    </xf>
    <xf numFmtId="3" fontId="5" fillId="5" borderId="2" xfId="0" applyNumberFormat="1" applyFont="1" applyFill="1" applyBorder="1" applyAlignment="1">
      <alignment wrapText="1"/>
    </xf>
    <xf numFmtId="3" fontId="5" fillId="5" borderId="19" xfId="0" applyNumberFormat="1" applyFont="1" applyFill="1" applyBorder="1" applyAlignment="1">
      <alignment wrapText="1"/>
    </xf>
    <xf numFmtId="3" fontId="5" fillId="8" borderId="2" xfId="0" applyNumberFormat="1" applyFont="1" applyFill="1" applyBorder="1" applyAlignment="1">
      <alignment wrapText="1"/>
    </xf>
    <xf numFmtId="3" fontId="3" fillId="8" borderId="2" xfId="0" applyNumberFormat="1" applyFont="1" applyFill="1" applyBorder="1" applyAlignment="1">
      <alignment wrapText="1"/>
    </xf>
    <xf numFmtId="3" fontId="5" fillId="8" borderId="19" xfId="0" applyNumberFormat="1" applyFont="1" applyFill="1" applyBorder="1" applyAlignment="1">
      <alignment wrapText="1"/>
    </xf>
    <xf numFmtId="3" fontId="3" fillId="2" borderId="12" xfId="0" applyNumberFormat="1" applyFont="1" applyFill="1" applyBorder="1" applyAlignment="1">
      <alignment horizontal="center" vertical="center" wrapText="1"/>
    </xf>
    <xf numFmtId="167" fontId="3" fillId="2" borderId="43" xfId="0" applyNumberFormat="1" applyFont="1" applyFill="1" applyBorder="1" applyAlignment="1">
      <alignment horizontal="center" wrapText="1"/>
    </xf>
    <xf numFmtId="3" fontId="3" fillId="2" borderId="15" xfId="0" applyNumberFormat="1" applyFont="1" applyFill="1" applyBorder="1" applyAlignment="1">
      <alignment horizontal="center" vertical="center" wrapText="1"/>
    </xf>
    <xf numFmtId="168" fontId="16" fillId="2" borderId="12" xfId="0" applyNumberFormat="1" applyFont="1" applyFill="1" applyBorder="1" applyAlignment="1">
      <alignment horizontal="center" wrapText="1"/>
    </xf>
    <xf numFmtId="3" fontId="15" fillId="7" borderId="2" xfId="0" applyNumberFormat="1" applyFont="1" applyFill="1" applyBorder="1" applyAlignment="1">
      <alignment horizontal="right" vertical="center"/>
    </xf>
    <xf numFmtId="3" fontId="15" fillId="7" borderId="9" xfId="0" applyNumberFormat="1" applyFont="1" applyFill="1" applyBorder="1" applyAlignment="1">
      <alignment horizontal="right" vertical="center"/>
    </xf>
    <xf numFmtId="3" fontId="15" fillId="7" borderId="6" xfId="0" applyNumberFormat="1" applyFont="1" applyFill="1" applyBorder="1" applyAlignment="1">
      <alignment horizontal="right" vertical="center"/>
    </xf>
    <xf numFmtId="3" fontId="15" fillId="7" borderId="20" xfId="0" applyNumberFormat="1" applyFont="1" applyFill="1" applyBorder="1" applyAlignment="1">
      <alignment horizontal="right" vertical="center"/>
    </xf>
    <xf numFmtId="3" fontId="15" fillId="7" borderId="6" xfId="3" applyNumberFormat="1" applyFont="1" applyFill="1" applyBorder="1"/>
    <xf numFmtId="178" fontId="34" fillId="0" borderId="0" xfId="6" applyNumberFormat="1" applyFont="1" applyAlignment="1"/>
    <xf numFmtId="0" fontId="40" fillId="0" borderId="2" xfId="6" applyFont="1" applyBorder="1" applyAlignment="1">
      <alignment vertical="center"/>
    </xf>
    <xf numFmtId="0" fontId="40" fillId="0" borderId="2" xfId="6" applyFont="1" applyBorder="1" applyAlignment="1">
      <alignment vertical="center" wrapText="1"/>
    </xf>
    <xf numFmtId="178" fontId="34" fillId="0" borderId="2" xfId="6" applyNumberFormat="1" applyFont="1" applyBorder="1" applyAlignment="1">
      <alignment vertical="center"/>
    </xf>
    <xf numFmtId="0" fontId="34" fillId="0" borderId="2" xfId="6" applyFont="1" applyFill="1" applyBorder="1" applyAlignment="1">
      <alignment horizontal="left"/>
    </xf>
    <xf numFmtId="0" fontId="34" fillId="0" borderId="59" xfId="6" applyFont="1" applyFill="1" applyBorder="1"/>
    <xf numFmtId="164" fontId="34" fillId="0" borderId="25" xfId="6" applyNumberFormat="1" applyFont="1" applyFill="1" applyBorder="1" applyAlignment="1">
      <alignment horizontal="left"/>
    </xf>
    <xf numFmtId="0" fontId="15" fillId="0" borderId="9" xfId="0" applyFont="1" applyFill="1" applyBorder="1" applyAlignment="1">
      <alignment horizontal="center"/>
    </xf>
    <xf numFmtId="0" fontId="15" fillId="0" borderId="9" xfId="0" applyFont="1" applyFill="1" applyBorder="1"/>
    <xf numFmtId="9" fontId="15" fillId="0" borderId="2" xfId="1" applyFont="1" applyFill="1" applyBorder="1"/>
    <xf numFmtId="0" fontId="34" fillId="0" borderId="6" xfId="6" applyFont="1" applyBorder="1" applyAlignment="1">
      <alignment horizontal="left"/>
    </xf>
    <xf numFmtId="0" fontId="36" fillId="0" borderId="0" xfId="6" applyFont="1" applyAlignment="1"/>
    <xf numFmtId="0" fontId="41" fillId="0" borderId="2" xfId="0" applyFont="1" applyBorder="1"/>
    <xf numFmtId="0" fontId="14" fillId="0" borderId="3" xfId="0" applyFont="1" applyFill="1" applyBorder="1" applyAlignment="1">
      <alignment horizontal="center" vertical="center" wrapText="1" shrinkToFit="1"/>
    </xf>
    <xf numFmtId="0" fontId="15" fillId="0" borderId="2" xfId="0" applyFont="1" applyFill="1" applyBorder="1" applyAlignment="1">
      <alignment horizontal="left" vertical="center" wrapText="1" shrinkToFit="1"/>
    </xf>
    <xf numFmtId="0" fontId="15" fillId="0" borderId="2" xfId="0" applyFont="1" applyFill="1" applyBorder="1" applyAlignment="1">
      <alignment horizontal="center" vertical="center" wrapText="1" shrinkToFit="1"/>
    </xf>
    <xf numFmtId="0" fontId="13" fillId="0" borderId="2" xfId="0" applyFont="1" applyFill="1" applyBorder="1" applyAlignment="1">
      <alignment horizontal="left" vertical="center" wrapText="1" shrinkToFit="1"/>
    </xf>
    <xf numFmtId="0" fontId="24" fillId="7" borderId="0" xfId="0" applyFont="1" applyFill="1" applyBorder="1" applyAlignment="1">
      <alignment wrapText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9" xfId="0" applyFont="1" applyFill="1" applyBorder="1" applyAlignment="1">
      <alignment horizontal="center" vertical="center" wrapText="1"/>
    </xf>
    <xf numFmtId="0" fontId="15" fillId="0" borderId="21" xfId="0" applyFont="1" applyBorder="1" applyAlignment="1"/>
    <xf numFmtId="0" fontId="15" fillId="0" borderId="3" xfId="0" applyFont="1" applyBorder="1" applyAlignment="1">
      <alignment horizontal="center"/>
    </xf>
    <xf numFmtId="2" fontId="15" fillId="0" borderId="3" xfId="0" applyNumberFormat="1" applyFont="1" applyBorder="1" applyAlignment="1">
      <alignment horizontal="center"/>
    </xf>
    <xf numFmtId="0" fontId="14" fillId="8" borderId="3" xfId="0" applyFont="1" applyFill="1" applyBorder="1" applyAlignment="1">
      <alignment horizontal="center"/>
    </xf>
    <xf numFmtId="0" fontId="14" fillId="8" borderId="13" xfId="0" applyFont="1" applyFill="1" applyBorder="1"/>
    <xf numFmtId="0" fontId="14" fillId="8" borderId="2" xfId="0" applyFont="1" applyFill="1" applyBorder="1" applyAlignment="1">
      <alignment wrapText="1"/>
    </xf>
    <xf numFmtId="0" fontId="15" fillId="8" borderId="2" xfId="0" applyFont="1" applyFill="1" applyBorder="1" applyAlignment="1">
      <alignment horizontal="center"/>
    </xf>
    <xf numFmtId="0" fontId="15" fillId="8" borderId="2" xfId="0" applyFont="1" applyFill="1" applyBorder="1"/>
    <xf numFmtId="9" fontId="15" fillId="8" borderId="2" xfId="1" applyFont="1" applyFill="1" applyBorder="1"/>
    <xf numFmtId="174" fontId="15" fillId="8" borderId="2" xfId="0" applyNumberFormat="1" applyFont="1" applyFill="1" applyBorder="1" applyAlignment="1">
      <alignment horizontal="center"/>
    </xf>
    <xf numFmtId="0" fontId="15" fillId="8" borderId="19" xfId="0" applyFont="1" applyFill="1" applyBorder="1"/>
    <xf numFmtId="0" fontId="15" fillId="8" borderId="3" xfId="0" applyFont="1" applyFill="1" applyBorder="1" applyAlignment="1">
      <alignment horizontal="center"/>
    </xf>
    <xf numFmtId="3" fontId="15" fillId="8" borderId="2" xfId="0" applyNumberFormat="1" applyFont="1" applyFill="1" applyBorder="1" applyAlignment="1">
      <alignment vertical="center" wrapText="1"/>
    </xf>
    <xf numFmtId="0" fontId="15" fillId="8" borderId="19" xfId="0" applyFont="1" applyFill="1" applyBorder="1" applyAlignment="1">
      <alignment wrapText="1"/>
    </xf>
    <xf numFmtId="0" fontId="26" fillId="8" borderId="0" xfId="0" applyFont="1" applyFill="1"/>
    <xf numFmtId="0" fontId="14" fillId="8" borderId="2" xfId="0" applyFont="1" applyFill="1" applyBorder="1"/>
    <xf numFmtId="0" fontId="14" fillId="8" borderId="2" xfId="0" applyFont="1" applyFill="1" applyBorder="1" applyAlignment="1"/>
    <xf numFmtId="0" fontId="14" fillId="8" borderId="2" xfId="0" applyFont="1" applyFill="1" applyBorder="1" applyAlignment="1">
      <alignment vertical="top" wrapText="1"/>
    </xf>
    <xf numFmtId="0" fontId="14" fillId="12" borderId="3" xfId="0" applyFont="1" applyFill="1" applyBorder="1" applyAlignment="1">
      <alignment horizontal="center"/>
    </xf>
    <xf numFmtId="0" fontId="14" fillId="12" borderId="13" xfId="0" applyFont="1" applyFill="1" applyBorder="1"/>
    <xf numFmtId="0" fontId="14" fillId="12" borderId="2" xfId="0" applyFont="1" applyFill="1" applyBorder="1" applyAlignment="1">
      <alignment wrapText="1"/>
    </xf>
    <xf numFmtId="0" fontId="15" fillId="12" borderId="2" xfId="0" applyFont="1" applyFill="1" applyBorder="1"/>
    <xf numFmtId="174" fontId="15" fillId="12" borderId="2" xfId="0" applyNumberFormat="1" applyFont="1" applyFill="1" applyBorder="1" applyAlignment="1">
      <alignment horizontal="center"/>
    </xf>
    <xf numFmtId="0" fontId="15" fillId="12" borderId="2" xfId="0" applyFont="1" applyFill="1" applyBorder="1" applyAlignment="1">
      <alignment horizontal="center"/>
    </xf>
    <xf numFmtId="0" fontId="15" fillId="12" borderId="19" xfId="0" applyFont="1" applyFill="1" applyBorder="1"/>
    <xf numFmtId="38" fontId="14" fillId="8" borderId="2" xfId="0" applyNumberFormat="1" applyFont="1" applyFill="1" applyBorder="1"/>
    <xf numFmtId="40" fontId="15" fillId="0" borderId="2" xfId="0" applyNumberFormat="1" applyFont="1" applyFill="1" applyBorder="1"/>
    <xf numFmtId="2" fontId="15" fillId="0" borderId="2" xfId="1" applyNumberFormat="1" applyFont="1" applyBorder="1"/>
    <xf numFmtId="2" fontId="15" fillId="13" borderId="2" xfId="1" applyNumberFormat="1" applyFont="1" applyFill="1" applyBorder="1"/>
    <xf numFmtId="2" fontId="15" fillId="8" borderId="2" xfId="1" applyNumberFormat="1" applyFont="1" applyFill="1" applyBorder="1"/>
    <xf numFmtId="40" fontId="15" fillId="8" borderId="2" xfId="0" applyNumberFormat="1" applyFont="1" applyFill="1" applyBorder="1"/>
    <xf numFmtId="40" fontId="14" fillId="8" borderId="2" xfId="0" applyNumberFormat="1" applyFont="1" applyFill="1" applyBorder="1"/>
    <xf numFmtId="38" fontId="14" fillId="12" borderId="2" xfId="0" applyNumberFormat="1" applyFont="1" applyFill="1" applyBorder="1"/>
    <xf numFmtId="40" fontId="14" fillId="12" borderId="2" xfId="0" applyNumberFormat="1" applyFont="1" applyFill="1" applyBorder="1"/>
    <xf numFmtId="9" fontId="15" fillId="12" borderId="2" xfId="1" applyFont="1" applyFill="1" applyBorder="1"/>
    <xf numFmtId="0" fontId="11" fillId="8" borderId="2" xfId="0" applyFont="1" applyFill="1" applyBorder="1"/>
    <xf numFmtId="40" fontId="15" fillId="9" borderId="2" xfId="0" applyNumberFormat="1" applyFont="1" applyFill="1" applyBorder="1"/>
    <xf numFmtId="2" fontId="15" fillId="9" borderId="2" xfId="1" applyNumberFormat="1" applyFont="1" applyFill="1" applyBorder="1"/>
    <xf numFmtId="0" fontId="14" fillId="13" borderId="2" xfId="0" applyFont="1" applyFill="1" applyBorder="1" applyAlignment="1">
      <alignment wrapText="1"/>
    </xf>
    <xf numFmtId="0" fontId="15" fillId="13" borderId="2" xfId="0" applyFont="1" applyFill="1" applyBorder="1"/>
    <xf numFmtId="40" fontId="15" fillId="13" borderId="2" xfId="0" applyNumberFormat="1" applyFont="1" applyFill="1" applyBorder="1"/>
    <xf numFmtId="9" fontId="15" fillId="13" borderId="2" xfId="1" applyFont="1" applyFill="1" applyBorder="1"/>
    <xf numFmtId="174" fontId="15" fillId="13" borderId="2" xfId="0" applyNumberFormat="1" applyFont="1" applyFill="1" applyBorder="1" applyAlignment="1">
      <alignment horizontal="center"/>
    </xf>
    <xf numFmtId="0" fontId="15" fillId="13" borderId="2" xfId="0" applyFont="1" applyFill="1" applyBorder="1" applyAlignment="1">
      <alignment horizontal="center"/>
    </xf>
    <xf numFmtId="0" fontId="15" fillId="13" borderId="19" xfId="0" applyFont="1" applyFill="1" applyBorder="1"/>
    <xf numFmtId="0" fontId="15" fillId="8" borderId="2" xfId="0" applyFont="1" applyFill="1" applyBorder="1" applyAlignment="1">
      <alignment vertical="center" wrapText="1"/>
    </xf>
    <xf numFmtId="0" fontId="14" fillId="12" borderId="8" xfId="0" applyFont="1" applyFill="1" applyBorder="1" applyAlignment="1">
      <alignment horizontal="center"/>
    </xf>
    <xf numFmtId="0" fontId="14" fillId="12" borderId="37" xfId="0" applyFont="1" applyFill="1" applyBorder="1" applyAlignment="1">
      <alignment horizontal="left" vertical="center"/>
    </xf>
    <xf numFmtId="0" fontId="14" fillId="12" borderId="9" xfId="0" applyFont="1" applyFill="1" applyBorder="1" applyAlignment="1">
      <alignment vertical="center" wrapText="1"/>
    </xf>
    <xf numFmtId="0" fontId="15" fillId="12" borderId="9" xfId="0" applyFont="1" applyFill="1" applyBorder="1" applyAlignment="1">
      <alignment horizontal="center"/>
    </xf>
    <xf numFmtId="0" fontId="15" fillId="12" borderId="9" xfId="0" applyFont="1" applyFill="1" applyBorder="1"/>
    <xf numFmtId="174" fontId="15" fillId="12" borderId="9" xfId="0" applyNumberFormat="1" applyFont="1" applyFill="1" applyBorder="1" applyAlignment="1">
      <alignment horizontal="center"/>
    </xf>
    <xf numFmtId="0" fontId="15" fillId="12" borderId="28" xfId="0" applyFont="1" applyFill="1" applyBorder="1"/>
    <xf numFmtId="0" fontId="15" fillId="9" borderId="9" xfId="0" applyFont="1" applyFill="1" applyBorder="1" applyAlignment="1">
      <alignment horizontal="center"/>
    </xf>
    <xf numFmtId="174" fontId="15" fillId="9" borderId="9" xfId="0" applyNumberFormat="1" applyFont="1" applyFill="1" applyBorder="1" applyAlignment="1">
      <alignment horizontal="center"/>
    </xf>
    <xf numFmtId="0" fontId="15" fillId="13" borderId="8" xfId="0" applyFont="1" applyFill="1" applyBorder="1"/>
    <xf numFmtId="0" fontId="14" fillId="13" borderId="37" xfId="0" applyFont="1" applyFill="1" applyBorder="1" applyAlignment="1">
      <alignment horizontal="left" vertical="center"/>
    </xf>
    <xf numFmtId="0" fontId="15" fillId="13" borderId="9" xfId="0" applyFont="1" applyFill="1" applyBorder="1" applyAlignment="1">
      <alignment vertical="center" wrapText="1"/>
    </xf>
    <xf numFmtId="0" fontId="15" fillId="13" borderId="9" xfId="0" applyFont="1" applyFill="1" applyBorder="1" applyAlignment="1">
      <alignment horizontal="center"/>
    </xf>
    <xf numFmtId="0" fontId="15" fillId="13" borderId="9" xfId="0" applyFont="1" applyFill="1" applyBorder="1"/>
    <xf numFmtId="174" fontId="15" fillId="13" borderId="9" xfId="0" applyNumberFormat="1" applyFont="1" applyFill="1" applyBorder="1" applyAlignment="1">
      <alignment horizontal="center"/>
    </xf>
    <xf numFmtId="0" fontId="15" fillId="13" borderId="28" xfId="0" applyFont="1" applyFill="1" applyBorder="1"/>
    <xf numFmtId="0" fontId="15" fillId="13" borderId="3" xfId="0" applyFont="1" applyFill="1" applyBorder="1"/>
    <xf numFmtId="0" fontId="14" fillId="13" borderId="2" xfId="0" applyFont="1" applyFill="1" applyBorder="1" applyAlignment="1"/>
    <xf numFmtId="0" fontId="14" fillId="9" borderId="8" xfId="0" applyFont="1" applyFill="1" applyBorder="1"/>
    <xf numFmtId="0" fontId="14" fillId="9" borderId="26" xfId="0" applyFont="1" applyFill="1" applyBorder="1"/>
    <xf numFmtId="0" fontId="14" fillId="9" borderId="9" xfId="0" applyFont="1" applyFill="1" applyBorder="1" applyAlignment="1">
      <alignment wrapText="1"/>
    </xf>
    <xf numFmtId="40" fontId="15" fillId="9" borderId="9" xfId="0" applyNumberFormat="1" applyFont="1" applyFill="1" applyBorder="1"/>
    <xf numFmtId="0" fontId="15" fillId="9" borderId="9" xfId="0" applyFont="1" applyFill="1" applyBorder="1" applyAlignment="1">
      <alignment horizontal="center" wrapText="1"/>
    </xf>
    <xf numFmtId="0" fontId="15" fillId="9" borderId="28" xfId="0" applyFont="1" applyFill="1" applyBorder="1" applyAlignment="1">
      <alignment wrapText="1"/>
    </xf>
    <xf numFmtId="0" fontId="26" fillId="7" borderId="0" xfId="0" applyFont="1" applyFill="1"/>
    <xf numFmtId="38" fontId="14" fillId="13" borderId="2" xfId="0" applyNumberFormat="1" applyFont="1" applyFill="1" applyBorder="1"/>
    <xf numFmtId="38" fontId="14" fillId="13" borderId="9" xfId="0" applyNumberFormat="1" applyFont="1" applyFill="1" applyBorder="1"/>
    <xf numFmtId="38" fontId="14" fillId="12" borderId="9" xfId="0" applyNumberFormat="1" applyFont="1" applyFill="1" applyBorder="1"/>
    <xf numFmtId="3" fontId="43" fillId="0" borderId="2" xfId="0" applyNumberFormat="1" applyFont="1" applyFill="1" applyBorder="1" applyAlignment="1">
      <alignment vertical="center" wrapText="1"/>
    </xf>
    <xf numFmtId="0" fontId="35" fillId="8" borderId="0" xfId="6" applyFont="1" applyFill="1" applyBorder="1" applyAlignment="1">
      <alignment horizontal="right"/>
    </xf>
    <xf numFmtId="0" fontId="35" fillId="8" borderId="25" xfId="6" applyFont="1" applyFill="1" applyBorder="1" applyAlignment="1">
      <alignment horizontal="right"/>
    </xf>
    <xf numFmtId="0" fontId="36" fillId="0" borderId="29" xfId="6" applyFont="1" applyFill="1" applyBorder="1" applyAlignment="1">
      <alignment horizontal="right" vertical="center"/>
    </xf>
    <xf numFmtId="0" fontId="36" fillId="0" borderId="21" xfId="6" applyFont="1" applyFill="1" applyBorder="1" applyAlignment="1">
      <alignment horizontal="right" vertical="center"/>
    </xf>
    <xf numFmtId="0" fontId="36" fillId="0" borderId="22" xfId="6" applyFont="1" applyFill="1" applyBorder="1" applyAlignment="1">
      <alignment horizontal="right" vertical="center"/>
    </xf>
    <xf numFmtId="0" fontId="37" fillId="0" borderId="57" xfId="6" applyFont="1" applyBorder="1" applyAlignment="1">
      <alignment horizontal="justify" vertical="center"/>
    </xf>
    <xf numFmtId="0" fontId="37" fillId="0" borderId="56" xfId="6" applyFont="1" applyBorder="1" applyAlignment="1">
      <alignment horizontal="justify" vertical="center"/>
    </xf>
    <xf numFmtId="0" fontId="37" fillId="0" borderId="55" xfId="6" applyFont="1" applyBorder="1" applyAlignment="1">
      <alignment horizontal="justify" vertical="center"/>
    </xf>
    <xf numFmtId="0" fontId="40" fillId="0" borderId="63" xfId="6" applyFont="1" applyFill="1" applyBorder="1" applyAlignment="1">
      <alignment horizontal="right" vertical="center"/>
    </xf>
    <xf numFmtId="0" fontId="36" fillId="0" borderId="30" xfId="6" applyFont="1" applyFill="1" applyBorder="1" applyAlignment="1">
      <alignment horizontal="right" vertical="center"/>
    </xf>
    <xf numFmtId="0" fontId="36" fillId="0" borderId="64" xfId="6" applyFont="1" applyFill="1" applyBorder="1" applyAlignment="1">
      <alignment horizontal="right" vertical="center"/>
    </xf>
    <xf numFmtId="0" fontId="35" fillId="0" borderId="62" xfId="6" applyFont="1" applyBorder="1" applyAlignment="1">
      <alignment horizontal="center" vertical="center" wrapText="1"/>
    </xf>
    <xf numFmtId="0" fontId="35" fillId="0" borderId="61" xfId="6" applyFont="1" applyBorder="1" applyAlignment="1">
      <alignment horizontal="center" vertical="center" wrapText="1"/>
    </xf>
    <xf numFmtId="0" fontId="35" fillId="0" borderId="7" xfId="6" applyFont="1" applyBorder="1" applyAlignment="1">
      <alignment horizontal="center" vertical="center" wrapText="1"/>
    </xf>
    <xf numFmtId="0" fontId="35" fillId="0" borderId="16" xfId="6" applyFont="1" applyBorder="1" applyAlignment="1">
      <alignment horizontal="center" vertical="center" wrapText="1"/>
    </xf>
    <xf numFmtId="0" fontId="35" fillId="0" borderId="3" xfId="6" applyFont="1" applyBorder="1" applyAlignment="1">
      <alignment horizontal="center" vertical="center" wrapText="1"/>
    </xf>
    <xf numFmtId="0" fontId="35" fillId="0" borderId="19" xfId="6" applyFont="1" applyBorder="1" applyAlignment="1">
      <alignment horizontal="center" vertical="center" wrapText="1"/>
    </xf>
    <xf numFmtId="0" fontId="35" fillId="0" borderId="4" xfId="6" applyFont="1" applyBorder="1" applyAlignment="1">
      <alignment horizontal="center" vertical="center" wrapText="1"/>
    </xf>
    <xf numFmtId="0" fontId="35" fillId="0" borderId="24" xfId="6" applyFont="1" applyBorder="1" applyAlignment="1">
      <alignment horizontal="center" vertical="center" wrapText="1"/>
    </xf>
    <xf numFmtId="0" fontId="34" fillId="0" borderId="60" xfId="6" applyFont="1" applyBorder="1" applyAlignment="1">
      <alignment horizontal="center" vertical="center"/>
    </xf>
    <xf numFmtId="0" fontId="34" fillId="0" borderId="27" xfId="6" applyFont="1" applyBorder="1" applyAlignment="1">
      <alignment horizontal="center" vertical="center"/>
    </xf>
    <xf numFmtId="0" fontId="34" fillId="0" borderId="13" xfId="6" applyFont="1" applyBorder="1" applyAlignment="1">
      <alignment horizontal="center" vertical="center"/>
    </xf>
    <xf numFmtId="0" fontId="34" fillId="0" borderId="8" xfId="6" applyFont="1" applyBorder="1" applyAlignment="1">
      <alignment horizontal="center" vertical="center"/>
    </xf>
    <xf numFmtId="0" fontId="34" fillId="0" borderId="10" xfId="6" applyFont="1" applyBorder="1" applyAlignment="1">
      <alignment horizontal="center" vertical="center"/>
    </xf>
    <xf numFmtId="0" fontId="34" fillId="0" borderId="7" xfId="6" applyFont="1" applyBorder="1" applyAlignment="1">
      <alignment horizontal="center" vertical="center"/>
    </xf>
    <xf numFmtId="0" fontId="34" fillId="0" borderId="8" xfId="6" applyFont="1" applyBorder="1" applyAlignment="1">
      <alignment horizontal="center" vertical="center" wrapText="1"/>
    </xf>
    <xf numFmtId="0" fontId="34" fillId="0" borderId="10" xfId="6" applyFont="1" applyBorder="1" applyAlignment="1">
      <alignment horizontal="center" vertical="center" wrapText="1"/>
    </xf>
    <xf numFmtId="0" fontId="36" fillId="0" borderId="11" xfId="6" applyFont="1" applyFill="1" applyBorder="1" applyAlignment="1">
      <alignment horizontal="right" vertical="center"/>
    </xf>
    <xf numFmtId="0" fontId="36" fillId="0" borderId="12" xfId="6" applyFont="1" applyFill="1" applyBorder="1" applyAlignment="1">
      <alignment horizontal="right" vertical="center"/>
    </xf>
    <xf numFmtId="0" fontId="35" fillId="0" borderId="57" xfId="6" applyFont="1" applyBorder="1" applyAlignment="1">
      <alignment horizontal="left" vertical="center" wrapText="1"/>
    </xf>
    <xf numFmtId="0" fontId="35" fillId="0" borderId="56" xfId="6" applyFont="1" applyBorder="1" applyAlignment="1">
      <alignment horizontal="left" vertical="center" wrapText="1"/>
    </xf>
    <xf numFmtId="0" fontId="35" fillId="0" borderId="55" xfId="6" applyFont="1" applyBorder="1" applyAlignment="1">
      <alignment horizontal="left" vertical="center" wrapText="1"/>
    </xf>
    <xf numFmtId="0" fontId="36" fillId="0" borderId="63" xfId="6" applyFont="1" applyFill="1" applyBorder="1" applyAlignment="1">
      <alignment horizontal="right" vertical="center"/>
    </xf>
    <xf numFmtId="0" fontId="40" fillId="0" borderId="29" xfId="6" applyFont="1" applyFill="1" applyBorder="1" applyAlignment="1">
      <alignment horizontal="center" vertical="center"/>
    </xf>
    <xf numFmtId="0" fontId="36" fillId="0" borderId="21" xfId="6" applyFont="1" applyFill="1" applyBorder="1" applyAlignment="1">
      <alignment horizontal="center" vertical="center"/>
    </xf>
    <xf numFmtId="0" fontId="36" fillId="0" borderId="22" xfId="6" applyFont="1" applyFill="1" applyBorder="1" applyAlignment="1">
      <alignment horizontal="center" vertical="center"/>
    </xf>
    <xf numFmtId="0" fontId="34" fillId="0" borderId="0" xfId="6" applyFont="1" applyAlignment="1">
      <alignment horizontal="center"/>
    </xf>
    <xf numFmtId="0" fontId="34" fillId="0" borderId="53" xfId="6" applyFont="1" applyBorder="1" applyAlignment="1">
      <alignment horizontal="center"/>
    </xf>
    <xf numFmtId="0" fontId="37" fillId="0" borderId="44" xfId="6" applyFont="1" applyBorder="1" applyAlignment="1">
      <alignment horizontal="justify" vertical="center"/>
    </xf>
    <xf numFmtId="0" fontId="37" fillId="0" borderId="1" xfId="6" applyFont="1" applyBorder="1" applyAlignment="1">
      <alignment horizontal="justify" vertical="center"/>
    </xf>
    <xf numFmtId="0" fontId="34" fillId="0" borderId="32" xfId="6" applyFont="1" applyBorder="1" applyAlignment="1">
      <alignment horizontal="center" vertical="center"/>
    </xf>
    <xf numFmtId="0" fontId="36" fillId="0" borderId="2" xfId="6" applyFont="1" applyFill="1" applyBorder="1" applyAlignment="1">
      <alignment horizontal="right" vertical="center"/>
    </xf>
    <xf numFmtId="0" fontId="34" fillId="0" borderId="23" xfId="6" applyFont="1" applyBorder="1" applyAlignment="1">
      <alignment horizontal="center"/>
    </xf>
    <xf numFmtId="0" fontId="35" fillId="0" borderId="23" xfId="6" applyFont="1" applyBorder="1" applyAlignment="1">
      <alignment horizontal="center" vertical="distributed"/>
    </xf>
    <xf numFmtId="0" fontId="35" fillId="0" borderId="0" xfId="6" applyFont="1" applyBorder="1" applyAlignment="1">
      <alignment horizontal="center" vertical="distributed"/>
    </xf>
    <xf numFmtId="0" fontId="36" fillId="0" borderId="25" xfId="6" applyFont="1" applyFill="1" applyBorder="1" applyAlignment="1">
      <alignment horizontal="right" vertical="center"/>
    </xf>
    <xf numFmtId="0" fontId="37" fillId="0" borderId="63" xfId="6" applyFont="1" applyBorder="1" applyAlignment="1">
      <alignment horizontal="justify" vertical="center"/>
    </xf>
    <xf numFmtId="0" fontId="40" fillId="0" borderId="63" xfId="6" applyFont="1" applyFill="1" applyBorder="1" applyAlignment="1">
      <alignment horizontal="center" vertical="center"/>
    </xf>
    <xf numFmtId="0" fontId="36" fillId="0" borderId="30" xfId="6" applyFont="1" applyFill="1" applyBorder="1" applyAlignment="1">
      <alignment horizontal="center" vertical="center"/>
    </xf>
    <xf numFmtId="0" fontId="36" fillId="0" borderId="64" xfId="6" applyFont="1" applyFill="1" applyBorder="1" applyAlignment="1">
      <alignment horizontal="center" vertical="center"/>
    </xf>
    <xf numFmtId="0" fontId="34" fillId="0" borderId="3" xfId="6" applyFont="1" applyFill="1" applyBorder="1" applyAlignment="1">
      <alignment horizontal="center" vertical="center"/>
    </xf>
    <xf numFmtId="0" fontId="37" fillId="0" borderId="57" xfId="6" applyFont="1" applyFill="1" applyBorder="1" applyAlignment="1">
      <alignment horizontal="justify" vertical="center"/>
    </xf>
    <xf numFmtId="0" fontId="37" fillId="0" borderId="56" xfId="6" applyFont="1" applyFill="1" applyBorder="1" applyAlignment="1">
      <alignment horizontal="justify" vertical="center"/>
    </xf>
    <xf numFmtId="0" fontId="37" fillId="0" borderId="55" xfId="6" applyFont="1" applyFill="1" applyBorder="1" applyAlignment="1">
      <alignment horizontal="justify" vertical="center"/>
    </xf>
    <xf numFmtId="0" fontId="34" fillId="0" borderId="8" xfId="6" applyFont="1" applyFill="1" applyBorder="1" applyAlignment="1">
      <alignment horizontal="center" vertical="center"/>
    </xf>
    <xf numFmtId="0" fontId="34" fillId="0" borderId="10" xfId="6" applyFont="1" applyFill="1" applyBorder="1" applyAlignment="1">
      <alignment horizontal="center" vertical="center"/>
    </xf>
    <xf numFmtId="0" fontId="34" fillId="0" borderId="7" xfId="6" applyFont="1" applyFill="1" applyBorder="1" applyAlignment="1">
      <alignment horizontal="center" vertical="center"/>
    </xf>
    <xf numFmtId="0" fontId="39" fillId="0" borderId="29" xfId="6" applyFont="1" applyBorder="1" applyAlignment="1">
      <alignment horizontal="center"/>
    </xf>
    <xf numFmtId="0" fontId="39" fillId="0" borderId="21" xfId="6" applyFont="1" applyBorder="1" applyAlignment="1">
      <alignment horizontal="center"/>
    </xf>
    <xf numFmtId="0" fontId="39" fillId="0" borderId="22" xfId="6" applyFont="1" applyBorder="1" applyAlignment="1">
      <alignment horizontal="center"/>
    </xf>
    <xf numFmtId="0" fontId="36" fillId="0" borderId="44" xfId="6" applyFont="1" applyFill="1" applyBorder="1" applyAlignment="1">
      <alignment horizontal="right" vertical="center"/>
    </xf>
    <xf numFmtId="0" fontId="36" fillId="0" borderId="23" xfId="6" applyFont="1" applyFill="1" applyBorder="1" applyAlignment="1">
      <alignment horizontal="right" vertical="center"/>
    </xf>
    <xf numFmtId="0" fontId="36" fillId="0" borderId="45" xfId="6" applyFont="1" applyFill="1" applyBorder="1" applyAlignment="1">
      <alignment horizontal="right" vertical="center"/>
    </xf>
    <xf numFmtId="0" fontId="37" fillId="0" borderId="44" xfId="6" applyFont="1" applyFill="1" applyBorder="1" applyAlignment="1">
      <alignment horizontal="justify" vertical="center"/>
    </xf>
    <xf numFmtId="0" fontId="37" fillId="0" borderId="1" xfId="6" applyFont="1" applyFill="1" applyBorder="1" applyAlignment="1">
      <alignment horizontal="justify" vertical="center"/>
    </xf>
    <xf numFmtId="168" fontId="29" fillId="2" borderId="29" xfId="0" applyNumberFormat="1" applyFont="1" applyFill="1" applyBorder="1" applyAlignment="1">
      <alignment horizontal="center"/>
    </xf>
    <xf numFmtId="168" fontId="29" fillId="2" borderId="21" xfId="0" applyNumberFormat="1" applyFont="1" applyFill="1" applyBorder="1" applyAlignment="1">
      <alignment horizontal="center"/>
    </xf>
    <xf numFmtId="168" fontId="29" fillId="2" borderId="22" xfId="0" applyNumberFormat="1" applyFont="1" applyFill="1" applyBorder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 wrapText="1"/>
    </xf>
    <xf numFmtId="168" fontId="14" fillId="4" borderId="46" xfId="0" applyNumberFormat="1" applyFont="1" applyFill="1" applyBorder="1" applyAlignment="1">
      <alignment wrapText="1"/>
    </xf>
    <xf numFmtId="168" fontId="15" fillId="4" borderId="50" xfId="0" applyNumberFormat="1" applyFont="1" applyFill="1" applyBorder="1" applyAlignment="1"/>
    <xf numFmtId="168" fontId="14" fillId="4" borderId="44" xfId="0" applyNumberFormat="1" applyFont="1" applyFill="1" applyBorder="1" applyAlignment="1"/>
    <xf numFmtId="168" fontId="14" fillId="4" borderId="23" xfId="0" applyNumberFormat="1" applyFont="1" applyFill="1" applyBorder="1" applyAlignment="1"/>
    <xf numFmtId="168" fontId="14" fillId="4" borderId="50" xfId="0" applyNumberFormat="1" applyFont="1" applyFill="1" applyBorder="1" applyAlignment="1">
      <alignment wrapText="1"/>
    </xf>
    <xf numFmtId="168" fontId="14" fillId="4" borderId="51" xfId="0" applyNumberFormat="1" applyFont="1" applyFill="1" applyBorder="1" applyAlignment="1">
      <alignment wrapText="1"/>
    </xf>
    <xf numFmtId="168" fontId="14" fillId="4" borderId="23" xfId="0" applyNumberFormat="1" applyFont="1" applyFill="1" applyBorder="1" applyAlignment="1">
      <alignment wrapText="1"/>
    </xf>
    <xf numFmtId="168" fontId="14" fillId="4" borderId="45" xfId="0" applyNumberFormat="1" applyFont="1" applyFill="1" applyBorder="1" applyAlignment="1">
      <alignment wrapText="1"/>
    </xf>
    <xf numFmtId="168" fontId="14" fillId="4" borderId="21" xfId="0" applyNumberFormat="1" applyFont="1" applyFill="1" applyBorder="1" applyAlignment="1">
      <alignment horizontal="center" wrapText="1"/>
    </xf>
    <xf numFmtId="168" fontId="14" fillId="4" borderId="22" xfId="0" applyNumberFormat="1" applyFont="1" applyFill="1" applyBorder="1" applyAlignment="1">
      <alignment horizontal="center" wrapText="1"/>
    </xf>
    <xf numFmtId="168" fontId="14" fillId="4" borderId="21" xfId="0" applyNumberFormat="1" applyFont="1" applyFill="1" applyBorder="1" applyAlignment="1">
      <alignment wrapText="1"/>
    </xf>
    <xf numFmtId="168" fontId="15" fillId="4" borderId="21" xfId="0" applyNumberFormat="1" applyFont="1" applyFill="1" applyBorder="1" applyAlignment="1"/>
    <xf numFmtId="0" fontId="17" fillId="9" borderId="39" xfId="0" applyFont="1" applyFill="1" applyBorder="1" applyAlignment="1"/>
    <xf numFmtId="0" fontId="17" fillId="9" borderId="37" xfId="0" applyFont="1" applyFill="1" applyBorder="1" applyAlignment="1"/>
    <xf numFmtId="0" fontId="18" fillId="9" borderId="37" xfId="0" applyFont="1" applyFill="1" applyBorder="1" applyAlignment="1"/>
    <xf numFmtId="0" fontId="18" fillId="9" borderId="38" xfId="0" applyFont="1" applyFill="1" applyBorder="1" applyAlignment="1"/>
    <xf numFmtId="0" fontId="12" fillId="9" borderId="35" xfId="0" applyFont="1" applyFill="1" applyBorder="1" applyAlignment="1">
      <alignment horizontal="center"/>
    </xf>
    <xf numFmtId="0" fontId="12" fillId="9" borderId="36" xfId="0" applyFont="1" applyFill="1" applyBorder="1" applyAlignment="1">
      <alignment horizontal="center"/>
    </xf>
    <xf numFmtId="0" fontId="13" fillId="9" borderId="36" xfId="0" applyFont="1" applyFill="1" applyBorder="1" applyAlignment="1">
      <alignment horizontal="center"/>
    </xf>
    <xf numFmtId="0" fontId="12" fillId="9" borderId="14" xfId="0" applyFont="1" applyFill="1" applyBorder="1" applyAlignment="1">
      <alignment horizontal="center"/>
    </xf>
    <xf numFmtId="0" fontId="14" fillId="0" borderId="8" xfId="0" applyFont="1" applyBorder="1" applyAlignment="1">
      <alignment horizontal="left"/>
    </xf>
    <xf numFmtId="0" fontId="14" fillId="0" borderId="26" xfId="0" applyFont="1" applyBorder="1" applyAlignment="1">
      <alignment horizontal="left"/>
    </xf>
    <xf numFmtId="0" fontId="15" fillId="0" borderId="9" xfId="0" applyFont="1" applyBorder="1" applyAlignment="1"/>
    <xf numFmtId="0" fontId="14" fillId="0" borderId="18" xfId="0" applyFont="1" applyBorder="1" applyAlignment="1">
      <alignment horizontal="left" wrapText="1"/>
    </xf>
    <xf numFmtId="0" fontId="14" fillId="0" borderId="37" xfId="0" applyFont="1" applyBorder="1" applyAlignment="1">
      <alignment horizontal="left" wrapText="1"/>
    </xf>
    <xf numFmtId="0" fontId="15" fillId="0" borderId="37" xfId="0" applyFont="1" applyBorder="1" applyAlignment="1">
      <alignment wrapText="1"/>
    </xf>
    <xf numFmtId="0" fontId="15" fillId="0" borderId="38" xfId="0" applyFont="1" applyBorder="1" applyAlignment="1">
      <alignment wrapText="1"/>
    </xf>
    <xf numFmtId="0" fontId="14" fillId="0" borderId="7" xfId="0" applyFont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15" fillId="0" borderId="6" xfId="0" applyFont="1" applyBorder="1" applyAlignment="1">
      <alignment horizontal="left"/>
    </xf>
    <xf numFmtId="0" fontId="14" fillId="0" borderId="54" xfId="0" applyFont="1" applyBorder="1" applyAlignment="1">
      <alignment horizontal="left" wrapText="1"/>
    </xf>
    <xf numFmtId="0" fontId="14" fillId="0" borderId="31" xfId="0" applyFont="1" applyBorder="1" applyAlignment="1">
      <alignment horizontal="left" wrapText="1"/>
    </xf>
    <xf numFmtId="0" fontId="15" fillId="0" borderId="31" xfId="0" applyFont="1" applyBorder="1" applyAlignment="1">
      <alignment horizontal="left" wrapText="1"/>
    </xf>
    <xf numFmtId="0" fontId="15" fillId="0" borderId="41" xfId="0" applyFont="1" applyBorder="1" applyAlignment="1">
      <alignment horizontal="left" wrapText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9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8" xfId="0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5" fillId="0" borderId="42" xfId="0" applyFont="1" applyBorder="1" applyAlignment="1">
      <alignment horizontal="center"/>
    </xf>
    <xf numFmtId="0" fontId="14" fillId="0" borderId="43" xfId="0" applyFont="1" applyBorder="1" applyAlignment="1"/>
    <xf numFmtId="0" fontId="15" fillId="0" borderId="21" xfId="0" applyFont="1" applyBorder="1" applyAlignment="1"/>
    <xf numFmtId="0" fontId="15" fillId="0" borderId="42" xfId="0" applyFont="1" applyBorder="1" applyAlignment="1"/>
    <xf numFmtId="0" fontId="16" fillId="9" borderId="8" xfId="0" applyFont="1" applyFill="1" applyBorder="1" applyAlignment="1">
      <alignment horizontal="left" vertical="center" wrapText="1"/>
    </xf>
    <xf numFmtId="0" fontId="16" fillId="9" borderId="10" xfId="0" applyFont="1" applyFill="1" applyBorder="1" applyAlignment="1">
      <alignment horizontal="left" vertical="center" wrapText="1"/>
    </xf>
    <xf numFmtId="0" fontId="20" fillId="0" borderId="29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vertical="top" wrapText="1"/>
    </xf>
    <xf numFmtId="0" fontId="20" fillId="0" borderId="22" xfId="0" applyFont="1" applyBorder="1" applyAlignment="1">
      <alignment horizontal="left" vertical="top" wrapText="1"/>
    </xf>
    <xf numFmtId="0" fontId="21" fillId="0" borderId="29" xfId="0" applyFont="1" applyBorder="1" applyAlignment="1">
      <alignment horizontal="left" vertical="top" wrapText="1"/>
    </xf>
    <xf numFmtId="0" fontId="21" fillId="0" borderId="21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20" fillId="0" borderId="29" xfId="0" applyFont="1" applyBorder="1" applyAlignment="1">
      <alignment horizontal="left" wrapText="1"/>
    </xf>
    <xf numFmtId="0" fontId="20" fillId="0" borderId="21" xfId="0" applyFont="1" applyBorder="1" applyAlignment="1">
      <alignment horizontal="left" wrapText="1"/>
    </xf>
    <xf numFmtId="0" fontId="11" fillId="0" borderId="21" xfId="0" applyFont="1" applyBorder="1" applyAlignment="1">
      <alignment horizontal="left" wrapText="1"/>
    </xf>
    <xf numFmtId="0" fontId="11" fillId="0" borderId="22" xfId="0" applyFont="1" applyBorder="1" applyAlignment="1">
      <alignment horizontal="left" wrapText="1"/>
    </xf>
    <xf numFmtId="0" fontId="20" fillId="0" borderId="1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vertical="center"/>
    </xf>
    <xf numFmtId="0" fontId="12" fillId="3" borderId="23" xfId="0" applyFont="1" applyFill="1" applyBorder="1" applyAlignment="1">
      <alignment horizontal="center"/>
    </xf>
    <xf numFmtId="0" fontId="12" fillId="3" borderId="44" xfId="0" applyFont="1" applyFill="1" applyBorder="1" applyAlignment="1">
      <alignment horizontal="right" vertical="center" wrapText="1"/>
    </xf>
    <xf numFmtId="0" fontId="12" fillId="3" borderId="23" xfId="0" applyFont="1" applyFill="1" applyBorder="1" applyAlignment="1">
      <alignment horizontal="right" vertical="center" wrapText="1"/>
    </xf>
    <xf numFmtId="0" fontId="12" fillId="3" borderId="45" xfId="0" applyFont="1" applyFill="1" applyBorder="1" applyAlignment="1">
      <alignment horizontal="right" vertical="center" wrapText="1"/>
    </xf>
    <xf numFmtId="0" fontId="12" fillId="3" borderId="10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 wrapText="1" shrinkToFit="1"/>
    </xf>
    <xf numFmtId="0" fontId="23" fillId="10" borderId="2" xfId="0" applyFont="1" applyFill="1" applyBorder="1" applyAlignment="1">
      <alignment horizontal="center" vertical="center" wrapText="1" shrinkToFit="1"/>
    </xf>
    <xf numFmtId="0" fontId="23" fillId="10" borderId="19" xfId="0" applyFont="1" applyFill="1" applyBorder="1" applyAlignment="1">
      <alignment horizontal="center" vertical="center" wrapText="1" shrinkToFit="1"/>
    </xf>
    <xf numFmtId="0" fontId="12" fillId="3" borderId="7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2" xfId="0" applyFont="1" applyFill="1" applyBorder="1" applyAlignment="1">
      <alignment wrapText="1"/>
    </xf>
    <xf numFmtId="38" fontId="15" fillId="7" borderId="2" xfId="0" applyNumberFormat="1" applyFont="1" applyFill="1" applyBorder="1"/>
    <xf numFmtId="0" fontId="15" fillId="7" borderId="2" xfId="0" applyFont="1" applyFill="1" applyBorder="1" applyAlignment="1">
      <alignment horizontal="center"/>
    </xf>
    <xf numFmtId="0" fontId="41" fillId="7" borderId="2" xfId="0" applyFont="1" applyFill="1" applyBorder="1"/>
    <xf numFmtId="40" fontId="15" fillId="7" borderId="2" xfId="0" applyNumberFormat="1" applyFont="1" applyFill="1" applyBorder="1"/>
    <xf numFmtId="9" fontId="15" fillId="7" borderId="2" xfId="1" applyFont="1" applyFill="1" applyBorder="1"/>
    <xf numFmtId="2" fontId="15" fillId="7" borderId="2" xfId="1" applyNumberFormat="1" applyFont="1" applyFill="1" applyBorder="1"/>
    <xf numFmtId="174" fontId="15" fillId="7" borderId="2" xfId="0" applyNumberFormat="1" applyFont="1" applyFill="1" applyBorder="1" applyAlignment="1">
      <alignment horizontal="center"/>
    </xf>
    <xf numFmtId="0" fontId="15" fillId="7" borderId="19" xfId="0" applyFont="1" applyFill="1" applyBorder="1"/>
    <xf numFmtId="0" fontId="15" fillId="7" borderId="8" xfId="0" applyFont="1" applyFill="1" applyBorder="1" applyAlignment="1">
      <alignment horizontal="center"/>
    </xf>
    <xf numFmtId="0" fontId="15" fillId="7" borderId="37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vertical="center" wrapText="1"/>
    </xf>
    <xf numFmtId="38" fontId="15" fillId="7" borderId="9" xfId="0" applyNumberFormat="1" applyFont="1" applyFill="1" applyBorder="1"/>
    <xf numFmtId="0" fontId="15" fillId="7" borderId="9" xfId="0" applyFont="1" applyFill="1" applyBorder="1" applyAlignment="1">
      <alignment horizontal="center"/>
    </xf>
    <xf numFmtId="174" fontId="15" fillId="7" borderId="9" xfId="0" applyNumberFormat="1" applyFont="1" applyFill="1" applyBorder="1" applyAlignment="1">
      <alignment horizontal="center"/>
    </xf>
    <xf numFmtId="0" fontId="15" fillId="7" borderId="28" xfId="0" applyFont="1" applyFill="1" applyBorder="1"/>
    <xf numFmtId="2" fontId="15" fillId="7" borderId="3" xfId="0" applyNumberFormat="1" applyFont="1" applyFill="1" applyBorder="1" applyAlignment="1">
      <alignment horizontal="center"/>
    </xf>
    <xf numFmtId="0" fontId="15" fillId="7" borderId="9" xfId="0" applyFont="1" applyFill="1" applyBorder="1" applyAlignment="1">
      <alignment horizontal="justify" vertical="center" wrapText="1"/>
    </xf>
    <xf numFmtId="2" fontId="43" fillId="7" borderId="2" xfId="1" applyNumberFormat="1" applyFont="1" applyFill="1" applyBorder="1"/>
    <xf numFmtId="0" fontId="15" fillId="7" borderId="8" xfId="0" applyFont="1" applyFill="1" applyBorder="1"/>
    <xf numFmtId="0" fontId="14" fillId="7" borderId="37" xfId="0" applyFont="1" applyFill="1" applyBorder="1" applyAlignment="1">
      <alignment horizontal="left" vertical="center"/>
    </xf>
    <xf numFmtId="0" fontId="43" fillId="7" borderId="9" xfId="0" applyFont="1" applyFill="1" applyBorder="1" applyAlignment="1">
      <alignment vertical="center" wrapText="1"/>
    </xf>
    <xf numFmtId="0" fontId="41" fillId="7" borderId="9" xfId="0" applyFont="1" applyFill="1" applyBorder="1"/>
    <xf numFmtId="38" fontId="43" fillId="7" borderId="9" xfId="0" applyNumberFormat="1" applyFont="1" applyFill="1" applyBorder="1"/>
    <xf numFmtId="40" fontId="43" fillId="7" borderId="9" xfId="0" applyNumberFormat="1" applyFont="1" applyFill="1" applyBorder="1"/>
    <xf numFmtId="0" fontId="43" fillId="7" borderId="2" xfId="0" applyFont="1" applyFill="1" applyBorder="1" applyAlignment="1">
      <alignment wrapText="1"/>
    </xf>
    <xf numFmtId="38" fontId="42" fillId="7" borderId="2" xfId="0" applyNumberFormat="1" applyFont="1" applyFill="1" applyBorder="1"/>
    <xf numFmtId="0" fontId="15" fillId="7" borderId="2" xfId="0" applyFont="1" applyFill="1" applyBorder="1"/>
  </cellXfs>
  <cellStyles count="65">
    <cellStyle name="Comma" xfId="3" builtinId="3"/>
    <cellStyle name="Comma 2" xfId="2"/>
    <cellStyle name="Currency" xfId="26" builtinId="4"/>
    <cellStyle name="Followed Hyperlink" xfId="5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4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  <cellStyle name="Normal 2" xfId="6"/>
    <cellStyle name="Percent" xfId="1" builtinId="5"/>
    <cellStyle name="Porcentaje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0"/>
  <sheetViews>
    <sheetView topLeftCell="C1" workbookViewId="0">
      <pane ySplit="3" topLeftCell="A149" activePane="bottomLeft" state="frozen"/>
      <selection pane="bottomLeft" activeCell="L163" sqref="L163"/>
    </sheetView>
  </sheetViews>
  <sheetFormatPr defaultColWidth="10.77734375" defaultRowHeight="13.2"/>
  <cols>
    <col min="1" max="1" width="3.44140625" style="196" customWidth="1"/>
    <col min="2" max="2" width="14.109375" style="196" customWidth="1"/>
    <col min="3" max="3" width="24.6640625" style="196" customWidth="1"/>
    <col min="4" max="4" width="14.33203125" style="196" bestFit="1" customWidth="1"/>
    <col min="5" max="5" width="45.6640625" style="196" customWidth="1"/>
    <col min="6" max="6" width="12.109375" style="196" customWidth="1"/>
    <col min="7" max="7" width="16.77734375" style="196" bestFit="1" customWidth="1"/>
    <col min="8" max="8" width="10.77734375" style="196"/>
    <col min="9" max="10" width="13.33203125" style="196" bestFit="1" customWidth="1"/>
    <col min="11" max="11" width="11.44140625" style="196" customWidth="1"/>
    <col min="12" max="12" width="11.77734375" style="196" customWidth="1"/>
    <col min="13" max="13" width="12.44140625" style="196" customWidth="1"/>
    <col min="14" max="14" width="11.77734375" style="196" bestFit="1" customWidth="1"/>
    <col min="15" max="15" width="14.44140625" style="196" bestFit="1" customWidth="1"/>
    <col min="16" max="16" width="11.44140625" style="196" bestFit="1" customWidth="1"/>
    <col min="17" max="16384" width="10.77734375" style="196"/>
  </cols>
  <sheetData>
    <row r="1" spans="2:17" ht="13.8" thickBot="1"/>
    <row r="2" spans="2:17" ht="16.2" thickBot="1">
      <c r="B2" s="532" t="s">
        <v>239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4"/>
    </row>
    <row r="3" spans="2:17" ht="33.75" customHeight="1" thickBot="1">
      <c r="B3" s="272" t="s">
        <v>53</v>
      </c>
      <c r="C3" s="272" t="s">
        <v>238</v>
      </c>
      <c r="D3" s="287" t="s">
        <v>237</v>
      </c>
      <c r="E3" s="288" t="s">
        <v>236</v>
      </c>
      <c r="F3" s="297" t="s">
        <v>248</v>
      </c>
      <c r="G3" s="289" t="s">
        <v>235</v>
      </c>
      <c r="H3" s="290" t="s">
        <v>234</v>
      </c>
      <c r="I3" s="291" t="s">
        <v>8</v>
      </c>
      <c r="J3" s="292" t="s">
        <v>9</v>
      </c>
      <c r="K3" s="293" t="s">
        <v>2</v>
      </c>
      <c r="L3" s="294" t="s">
        <v>5</v>
      </c>
      <c r="M3" s="294" t="s">
        <v>246</v>
      </c>
      <c r="N3" s="294" t="s">
        <v>247</v>
      </c>
      <c r="O3" s="295" t="s">
        <v>233</v>
      </c>
    </row>
    <row r="4" spans="2:17" ht="13.95" customHeight="1" thickBot="1">
      <c r="B4" s="504" t="s">
        <v>232</v>
      </c>
      <c r="C4" s="513" t="s">
        <v>231</v>
      </c>
      <c r="D4" s="232" t="s">
        <v>133</v>
      </c>
      <c r="E4" s="225" t="s">
        <v>230</v>
      </c>
      <c r="F4" s="225" t="s">
        <v>246</v>
      </c>
      <c r="G4" s="225" t="s">
        <v>122</v>
      </c>
      <c r="H4" s="225">
        <v>6</v>
      </c>
      <c r="I4" s="271">
        <v>260000</v>
      </c>
      <c r="J4" s="306">
        <f t="shared" ref="J4:J12" si="0">H4*I4</f>
        <v>1560000</v>
      </c>
      <c r="K4" s="307"/>
      <c r="L4" s="307">
        <f>J4</f>
        <v>1560000</v>
      </c>
      <c r="M4" s="307">
        <f>IF(F4="pecunario",J4,0)</f>
        <v>1560000</v>
      </c>
      <c r="N4" s="307">
        <f>IF(F4="valorizado",J4,0)</f>
        <v>0</v>
      </c>
      <c r="O4" s="335">
        <f t="shared" ref="O4:O12" si="1">J4/$Q$4</f>
        <v>2363.6363636363635</v>
      </c>
      <c r="P4" s="196" t="s">
        <v>229</v>
      </c>
      <c r="Q4" s="196">
        <v>660</v>
      </c>
    </row>
    <row r="5" spans="2:17" ht="13.95" customHeight="1" thickBot="1">
      <c r="B5" s="505"/>
      <c r="C5" s="514"/>
      <c r="D5" s="497" t="s">
        <v>129</v>
      </c>
      <c r="E5" s="220" t="s">
        <v>228</v>
      </c>
      <c r="F5" s="225" t="s">
        <v>246</v>
      </c>
      <c r="G5" s="220" t="s">
        <v>205</v>
      </c>
      <c r="H5" s="220">
        <v>320</v>
      </c>
      <c r="I5" s="211">
        <v>6759</v>
      </c>
      <c r="J5" s="210">
        <f t="shared" si="0"/>
        <v>2162880</v>
      </c>
      <c r="K5" s="253"/>
      <c r="L5" s="307">
        <f t="shared" ref="L5:L18" si="2">J5</f>
        <v>2162880</v>
      </c>
      <c r="M5" s="253">
        <f t="shared" ref="M5:M18" si="3">IF(F5="pecunario",J5,0)</f>
        <v>2162880</v>
      </c>
      <c r="N5" s="253">
        <f t="shared" ref="N5:N18" si="4">IF(F5="valorizado",J5,0)</f>
        <v>0</v>
      </c>
      <c r="O5" s="335">
        <f t="shared" si="1"/>
        <v>3277.090909090909</v>
      </c>
    </row>
    <row r="6" spans="2:17" ht="13.95" customHeight="1" thickBot="1">
      <c r="B6" s="505"/>
      <c r="C6" s="514"/>
      <c r="D6" s="498"/>
      <c r="E6" s="220" t="s">
        <v>213</v>
      </c>
      <c r="F6" s="225" t="s">
        <v>246</v>
      </c>
      <c r="G6" s="220" t="s">
        <v>213</v>
      </c>
      <c r="H6" s="220">
        <v>4</v>
      </c>
      <c r="I6" s="211">
        <v>150000</v>
      </c>
      <c r="J6" s="210">
        <f t="shared" si="0"/>
        <v>600000</v>
      </c>
      <c r="K6" s="253"/>
      <c r="L6" s="307">
        <f t="shared" si="2"/>
        <v>600000</v>
      </c>
      <c r="M6" s="253">
        <f t="shared" si="3"/>
        <v>600000</v>
      </c>
      <c r="N6" s="253">
        <f t="shared" si="4"/>
        <v>0</v>
      </c>
      <c r="O6" s="335">
        <f t="shared" si="1"/>
        <v>909.09090909090912</v>
      </c>
    </row>
    <row r="7" spans="2:17" ht="13.95" customHeight="1" thickBot="1">
      <c r="B7" s="505"/>
      <c r="C7" s="514"/>
      <c r="D7" s="498"/>
      <c r="E7" s="220" t="s">
        <v>227</v>
      </c>
      <c r="F7" s="225" t="s">
        <v>246</v>
      </c>
      <c r="G7" s="220" t="s">
        <v>205</v>
      </c>
      <c r="H7" s="220">
        <v>320</v>
      </c>
      <c r="I7" s="211">
        <v>3936.5</v>
      </c>
      <c r="J7" s="210">
        <f t="shared" si="0"/>
        <v>1259680</v>
      </c>
      <c r="K7" s="253"/>
      <c r="L7" s="307">
        <f t="shared" si="2"/>
        <v>1259680</v>
      </c>
      <c r="M7" s="253">
        <f t="shared" si="3"/>
        <v>1259680</v>
      </c>
      <c r="N7" s="253">
        <f t="shared" si="4"/>
        <v>0</v>
      </c>
      <c r="O7" s="335">
        <f t="shared" si="1"/>
        <v>1908.6060606060605</v>
      </c>
    </row>
    <row r="8" spans="2:17" ht="13.95" customHeight="1" thickBot="1">
      <c r="B8" s="505"/>
      <c r="C8" s="514"/>
      <c r="D8" s="498"/>
      <c r="E8" s="216" t="s">
        <v>226</v>
      </c>
      <c r="F8" s="225" t="s">
        <v>246</v>
      </c>
      <c r="G8" s="216"/>
      <c r="H8" s="216">
        <v>1</v>
      </c>
      <c r="I8" s="211">
        <v>600000</v>
      </c>
      <c r="J8" s="210">
        <f t="shared" si="0"/>
        <v>600000</v>
      </c>
      <c r="K8" s="253"/>
      <c r="L8" s="307">
        <f t="shared" si="2"/>
        <v>600000</v>
      </c>
      <c r="M8" s="253">
        <f t="shared" si="3"/>
        <v>600000</v>
      </c>
      <c r="N8" s="253">
        <f t="shared" si="4"/>
        <v>0</v>
      </c>
      <c r="O8" s="335">
        <f t="shared" si="1"/>
        <v>909.09090909090912</v>
      </c>
      <c r="Q8" s="196" t="s">
        <v>246</v>
      </c>
    </row>
    <row r="9" spans="2:17" ht="13.95" customHeight="1" thickBot="1">
      <c r="B9" s="505"/>
      <c r="C9" s="514"/>
      <c r="D9" s="498"/>
      <c r="E9" s="216" t="s">
        <v>225</v>
      </c>
      <c r="F9" s="225" t="s">
        <v>246</v>
      </c>
      <c r="G9" s="216" t="s">
        <v>223</v>
      </c>
      <c r="H9" s="216">
        <v>1</v>
      </c>
      <c r="I9" s="211">
        <v>300000</v>
      </c>
      <c r="J9" s="210">
        <f t="shared" si="0"/>
        <v>300000</v>
      </c>
      <c r="K9" s="253"/>
      <c r="L9" s="307">
        <f t="shared" si="2"/>
        <v>300000</v>
      </c>
      <c r="M9" s="253">
        <f t="shared" si="3"/>
        <v>300000</v>
      </c>
      <c r="N9" s="253">
        <f t="shared" si="4"/>
        <v>0</v>
      </c>
      <c r="O9" s="335">
        <f t="shared" si="1"/>
        <v>454.54545454545456</v>
      </c>
      <c r="Q9" s="196" t="s">
        <v>247</v>
      </c>
    </row>
    <row r="10" spans="2:17" ht="13.95" customHeight="1" thickBot="1">
      <c r="B10" s="505"/>
      <c r="C10" s="514"/>
      <c r="D10" s="498"/>
      <c r="E10" s="216" t="s">
        <v>224</v>
      </c>
      <c r="F10" s="225" t="s">
        <v>246</v>
      </c>
      <c r="G10" s="216" t="s">
        <v>223</v>
      </c>
      <c r="H10" s="216">
        <v>1</v>
      </c>
      <c r="I10" s="211">
        <v>200000</v>
      </c>
      <c r="J10" s="210">
        <f t="shared" si="0"/>
        <v>200000</v>
      </c>
      <c r="K10" s="253"/>
      <c r="L10" s="307">
        <f t="shared" si="2"/>
        <v>200000</v>
      </c>
      <c r="M10" s="253">
        <f t="shared" si="3"/>
        <v>200000</v>
      </c>
      <c r="N10" s="253">
        <f t="shared" si="4"/>
        <v>0</v>
      </c>
      <c r="O10" s="335">
        <f t="shared" si="1"/>
        <v>303.030303030303</v>
      </c>
    </row>
    <row r="11" spans="2:17" ht="13.95" customHeight="1" thickBot="1">
      <c r="B11" s="505"/>
      <c r="C11" s="514"/>
      <c r="D11" s="498"/>
      <c r="E11" s="216" t="s">
        <v>204</v>
      </c>
      <c r="F11" s="225" t="s">
        <v>246</v>
      </c>
      <c r="G11" s="216" t="s">
        <v>169</v>
      </c>
      <c r="H11" s="216">
        <v>7</v>
      </c>
      <c r="I11" s="211">
        <v>70000</v>
      </c>
      <c r="J11" s="210">
        <f t="shared" si="0"/>
        <v>490000</v>
      </c>
      <c r="K11" s="253"/>
      <c r="L11" s="307">
        <f t="shared" si="2"/>
        <v>490000</v>
      </c>
      <c r="M11" s="253">
        <f t="shared" si="3"/>
        <v>490000</v>
      </c>
      <c r="N11" s="253">
        <f t="shared" si="4"/>
        <v>0</v>
      </c>
      <c r="O11" s="335">
        <f t="shared" si="1"/>
        <v>742.42424242424238</v>
      </c>
    </row>
    <row r="12" spans="2:17" ht="13.95" customHeight="1" thickBot="1">
      <c r="B12" s="505"/>
      <c r="C12" s="514"/>
      <c r="D12" s="498"/>
      <c r="E12" s="216"/>
      <c r="F12" s="225"/>
      <c r="G12" s="216"/>
      <c r="H12" s="216"/>
      <c r="I12" s="211"/>
      <c r="J12" s="210">
        <f t="shared" si="0"/>
        <v>0</v>
      </c>
      <c r="K12" s="253"/>
      <c r="L12" s="307">
        <f t="shared" si="2"/>
        <v>0</v>
      </c>
      <c r="M12" s="253">
        <f t="shared" si="3"/>
        <v>0</v>
      </c>
      <c r="N12" s="253">
        <f t="shared" si="4"/>
        <v>0</v>
      </c>
      <c r="O12" s="335">
        <f t="shared" si="1"/>
        <v>0</v>
      </c>
    </row>
    <row r="13" spans="2:17" ht="13.95" customHeight="1" thickBot="1">
      <c r="B13" s="505"/>
      <c r="C13" s="514"/>
      <c r="D13" s="498"/>
      <c r="E13" s="216"/>
      <c r="F13" s="225"/>
      <c r="G13" s="216"/>
      <c r="H13" s="216"/>
      <c r="I13" s="211"/>
      <c r="J13" s="210"/>
      <c r="K13" s="253"/>
      <c r="L13" s="307">
        <f t="shared" si="2"/>
        <v>0</v>
      </c>
      <c r="M13" s="253">
        <f t="shared" si="3"/>
        <v>0</v>
      </c>
      <c r="N13" s="253">
        <f t="shared" si="4"/>
        <v>0</v>
      </c>
      <c r="O13" s="335"/>
    </row>
    <row r="14" spans="2:17" ht="13.95" customHeight="1" thickBot="1">
      <c r="B14" s="505"/>
      <c r="C14" s="514"/>
      <c r="D14" s="499"/>
      <c r="E14" s="216"/>
      <c r="F14" s="225"/>
      <c r="G14" s="216"/>
      <c r="H14" s="216"/>
      <c r="I14" s="211"/>
      <c r="J14" s="210"/>
      <c r="K14" s="253"/>
      <c r="L14" s="307">
        <f t="shared" si="2"/>
        <v>0</v>
      </c>
      <c r="M14" s="253">
        <f t="shared" si="3"/>
        <v>0</v>
      </c>
      <c r="N14" s="253">
        <f t="shared" si="4"/>
        <v>0</v>
      </c>
      <c r="O14" s="335"/>
    </row>
    <row r="15" spans="2:17" ht="13.95" customHeight="1" thickBot="1">
      <c r="B15" s="505"/>
      <c r="C15" s="514"/>
      <c r="D15" s="497" t="s">
        <v>128</v>
      </c>
      <c r="E15" s="218" t="s">
        <v>222</v>
      </c>
      <c r="F15" s="225" t="s">
        <v>246</v>
      </c>
      <c r="G15" s="218"/>
      <c r="H15" s="218">
        <v>1</v>
      </c>
      <c r="I15" s="211">
        <v>300000</v>
      </c>
      <c r="J15" s="210">
        <f>H15*I15</f>
        <v>300000</v>
      </c>
      <c r="K15" s="253"/>
      <c r="L15" s="307">
        <f t="shared" si="2"/>
        <v>300000</v>
      </c>
      <c r="M15" s="253">
        <f t="shared" si="3"/>
        <v>300000</v>
      </c>
      <c r="N15" s="253">
        <f t="shared" si="4"/>
        <v>0</v>
      </c>
      <c r="O15" s="335">
        <f t="shared" ref="O15:O29" si="5">J15/$Q$4</f>
        <v>454.54545454545456</v>
      </c>
    </row>
    <row r="16" spans="2:17" ht="13.95" customHeight="1" thickBot="1">
      <c r="B16" s="505"/>
      <c r="C16" s="514"/>
      <c r="D16" s="498"/>
      <c r="E16" s="218" t="s">
        <v>221</v>
      </c>
      <c r="F16" s="225" t="s">
        <v>246</v>
      </c>
      <c r="G16" s="218" t="s">
        <v>182</v>
      </c>
      <c r="H16" s="218">
        <v>1000</v>
      </c>
      <c r="I16" s="270">
        <v>500</v>
      </c>
      <c r="J16" s="210">
        <f>H16*I16</f>
        <v>500000</v>
      </c>
      <c r="K16" s="253"/>
      <c r="L16" s="307">
        <f t="shared" si="2"/>
        <v>500000</v>
      </c>
      <c r="M16" s="253">
        <f t="shared" si="3"/>
        <v>500000</v>
      </c>
      <c r="N16" s="253">
        <f t="shared" si="4"/>
        <v>0</v>
      </c>
      <c r="O16" s="335">
        <f t="shared" si="5"/>
        <v>757.57575757575762</v>
      </c>
    </row>
    <row r="17" spans="2:16" ht="13.95" customHeight="1" thickBot="1">
      <c r="B17" s="505"/>
      <c r="C17" s="514"/>
      <c r="D17" s="499"/>
      <c r="E17" s="218"/>
      <c r="F17" s="225"/>
      <c r="G17" s="218"/>
      <c r="H17" s="218">
        <v>0</v>
      </c>
      <c r="I17" s="211">
        <v>3000</v>
      </c>
      <c r="J17" s="210">
        <f>H17*I17</f>
        <v>0</v>
      </c>
      <c r="K17" s="253"/>
      <c r="L17" s="307">
        <f t="shared" si="2"/>
        <v>0</v>
      </c>
      <c r="M17" s="253">
        <f t="shared" si="3"/>
        <v>0</v>
      </c>
      <c r="N17" s="253">
        <f t="shared" si="4"/>
        <v>0</v>
      </c>
      <c r="O17" s="335">
        <f t="shared" si="5"/>
        <v>0</v>
      </c>
    </row>
    <row r="18" spans="2:16" ht="27.75" customHeight="1" thickBot="1">
      <c r="B18" s="505"/>
      <c r="C18" s="514"/>
      <c r="D18" s="229" t="s">
        <v>125</v>
      </c>
      <c r="E18" s="228" t="s">
        <v>262</v>
      </c>
      <c r="F18" s="240" t="s">
        <v>246</v>
      </c>
      <c r="G18" s="228"/>
      <c r="H18" s="228">
        <v>1</v>
      </c>
      <c r="I18" s="265">
        <v>100000</v>
      </c>
      <c r="J18" s="264">
        <f>H18*I18</f>
        <v>100000</v>
      </c>
      <c r="K18" s="308"/>
      <c r="L18" s="307">
        <f t="shared" si="2"/>
        <v>100000</v>
      </c>
      <c r="M18" s="308">
        <f t="shared" si="3"/>
        <v>100000</v>
      </c>
      <c r="N18" s="308">
        <f t="shared" si="4"/>
        <v>0</v>
      </c>
      <c r="O18" s="336">
        <f t="shared" si="5"/>
        <v>151.5151515151515</v>
      </c>
    </row>
    <row r="19" spans="2:16" ht="13.8" thickBot="1">
      <c r="B19" s="505"/>
      <c r="C19" s="482"/>
      <c r="D19" s="535" t="s">
        <v>220</v>
      </c>
      <c r="E19" s="536"/>
      <c r="F19" s="536"/>
      <c r="G19" s="536"/>
      <c r="H19" s="536"/>
      <c r="I19" s="537"/>
      <c r="J19" s="269">
        <f>SUM(J4:J18)</f>
        <v>8072560</v>
      </c>
      <c r="K19" s="208">
        <f>SUM(K4:K18)</f>
        <v>0</v>
      </c>
      <c r="L19" s="309">
        <f>SUM(L4:L18)</f>
        <v>8072560</v>
      </c>
      <c r="M19" s="309">
        <f>SUM(M4:M18)</f>
        <v>8072560</v>
      </c>
      <c r="N19" s="309">
        <f>SUM(N4:N18)</f>
        <v>0</v>
      </c>
      <c r="O19" s="340">
        <f t="shared" si="5"/>
        <v>12231.151515151516</v>
      </c>
      <c r="P19" s="196" t="s">
        <v>136</v>
      </c>
    </row>
    <row r="20" spans="2:16" ht="13.95" customHeight="1" thickBot="1">
      <c r="B20" s="505"/>
      <c r="C20" s="538" t="s">
        <v>219</v>
      </c>
      <c r="D20" s="268" t="s">
        <v>133</v>
      </c>
      <c r="E20" s="240"/>
      <c r="F20" s="240"/>
      <c r="G20" s="240"/>
      <c r="H20" s="240"/>
      <c r="I20" s="258"/>
      <c r="J20" s="257">
        <f t="shared" ref="J20:J29" si="6">H20*I20</f>
        <v>0</v>
      </c>
      <c r="K20" s="305"/>
      <c r="L20" s="305"/>
      <c r="M20" s="305">
        <f>IF(F20="pecunario",J20,0)</f>
        <v>0</v>
      </c>
      <c r="N20" s="305">
        <f>IF(F20="valorizado",J20,0)</f>
        <v>0</v>
      </c>
      <c r="O20" s="338">
        <f t="shared" si="5"/>
        <v>0</v>
      </c>
    </row>
    <row r="21" spans="2:16" ht="13.95" customHeight="1" thickBot="1">
      <c r="B21" s="505"/>
      <c r="C21" s="539"/>
      <c r="D21" s="529" t="s">
        <v>129</v>
      </c>
      <c r="E21" s="218" t="s">
        <v>218</v>
      </c>
      <c r="F21" s="240" t="s">
        <v>246</v>
      </c>
      <c r="G21" s="218" t="s">
        <v>205</v>
      </c>
      <c r="H21" s="218">
        <v>320</v>
      </c>
      <c r="I21" s="218">
        <v>6759</v>
      </c>
      <c r="J21" s="255">
        <f t="shared" si="6"/>
        <v>2162880</v>
      </c>
      <c r="K21" s="304"/>
      <c r="L21" s="304">
        <f>J21</f>
        <v>2162880</v>
      </c>
      <c r="M21" s="304">
        <f t="shared" ref="M21:M38" si="7">IF(F21="pecunario",J21,0)</f>
        <v>2162880</v>
      </c>
      <c r="N21" s="304">
        <f t="shared" ref="N21:N38" si="8">IF(F21="valorizado",J21,0)</f>
        <v>0</v>
      </c>
      <c r="O21" s="335">
        <f t="shared" si="5"/>
        <v>3277.090909090909</v>
      </c>
    </row>
    <row r="22" spans="2:16" ht="13.95" customHeight="1" thickBot="1">
      <c r="B22" s="505"/>
      <c r="C22" s="539"/>
      <c r="D22" s="530"/>
      <c r="E22" s="218" t="s">
        <v>217</v>
      </c>
      <c r="F22" s="240" t="s">
        <v>246</v>
      </c>
      <c r="G22" s="218" t="s">
        <v>205</v>
      </c>
      <c r="H22" s="218">
        <v>320</v>
      </c>
      <c r="I22" s="218">
        <v>3936.5</v>
      </c>
      <c r="J22" s="255">
        <f t="shared" si="6"/>
        <v>1259680</v>
      </c>
      <c r="K22" s="304"/>
      <c r="L22" s="304">
        <f t="shared" ref="L22:L29" si="9">J22</f>
        <v>1259680</v>
      </c>
      <c r="M22" s="304">
        <f t="shared" si="7"/>
        <v>1259680</v>
      </c>
      <c r="N22" s="304">
        <f t="shared" si="8"/>
        <v>0</v>
      </c>
      <c r="O22" s="335">
        <f t="shared" si="5"/>
        <v>1908.6060606060605</v>
      </c>
    </row>
    <row r="23" spans="2:16" ht="13.95" customHeight="1" thickBot="1">
      <c r="B23" s="505"/>
      <c r="C23" s="539"/>
      <c r="D23" s="530"/>
      <c r="E23" s="218" t="s">
        <v>216</v>
      </c>
      <c r="F23" s="240" t="s">
        <v>246</v>
      </c>
      <c r="G23" s="218" t="s">
        <v>205</v>
      </c>
      <c r="H23" s="218">
        <v>320</v>
      </c>
      <c r="I23" s="218">
        <v>3937.5</v>
      </c>
      <c r="J23" s="255">
        <f t="shared" si="6"/>
        <v>1260000</v>
      </c>
      <c r="K23" s="304"/>
      <c r="L23" s="304">
        <f t="shared" si="9"/>
        <v>1260000</v>
      </c>
      <c r="M23" s="304">
        <f t="shared" si="7"/>
        <v>1260000</v>
      </c>
      <c r="N23" s="304">
        <f t="shared" si="8"/>
        <v>0</v>
      </c>
      <c r="O23" s="335">
        <f t="shared" si="5"/>
        <v>1909.090909090909</v>
      </c>
    </row>
    <row r="24" spans="2:16" ht="13.95" customHeight="1" thickBot="1">
      <c r="B24" s="505"/>
      <c r="C24" s="539"/>
      <c r="D24" s="530"/>
      <c r="E24" s="218" t="s">
        <v>254</v>
      </c>
      <c r="F24" s="240" t="s">
        <v>246</v>
      </c>
      <c r="G24" s="218" t="s">
        <v>205</v>
      </c>
      <c r="H24" s="218">
        <v>320</v>
      </c>
      <c r="I24" s="218">
        <v>3937.5</v>
      </c>
      <c r="J24" s="267">
        <f t="shared" si="6"/>
        <v>1260000</v>
      </c>
      <c r="K24" s="304"/>
      <c r="L24" s="304">
        <f t="shared" si="9"/>
        <v>1260000</v>
      </c>
      <c r="M24" s="304">
        <f t="shared" si="7"/>
        <v>1260000</v>
      </c>
      <c r="N24" s="304">
        <f t="shared" si="8"/>
        <v>0</v>
      </c>
      <c r="O24" s="335">
        <f t="shared" si="5"/>
        <v>1909.090909090909</v>
      </c>
    </row>
    <row r="25" spans="2:16" ht="13.95" customHeight="1" thickBot="1">
      <c r="B25" s="505"/>
      <c r="C25" s="539"/>
      <c r="D25" s="530"/>
      <c r="E25" s="218" t="s">
        <v>215</v>
      </c>
      <c r="F25" s="240" t="s">
        <v>246</v>
      </c>
      <c r="G25" s="218" t="s">
        <v>205</v>
      </c>
      <c r="H25" s="218">
        <v>320</v>
      </c>
      <c r="I25" s="218">
        <v>2362</v>
      </c>
      <c r="J25" s="267">
        <f t="shared" si="6"/>
        <v>755840</v>
      </c>
      <c r="K25" s="304"/>
      <c r="L25" s="304">
        <f t="shared" si="9"/>
        <v>755840</v>
      </c>
      <c r="M25" s="304">
        <f t="shared" si="7"/>
        <v>755840</v>
      </c>
      <c r="N25" s="304">
        <f t="shared" si="8"/>
        <v>0</v>
      </c>
      <c r="O25" s="335">
        <f t="shared" si="5"/>
        <v>1145.2121212121212</v>
      </c>
    </row>
    <row r="26" spans="2:16" ht="13.95" customHeight="1" thickBot="1">
      <c r="B26" s="505"/>
      <c r="C26" s="539"/>
      <c r="D26" s="530"/>
      <c r="E26" s="218" t="s">
        <v>214</v>
      </c>
      <c r="F26" s="240" t="s">
        <v>246</v>
      </c>
      <c r="G26" s="218"/>
      <c r="H26" s="218">
        <v>1</v>
      </c>
      <c r="I26" s="218">
        <v>9000000</v>
      </c>
      <c r="J26" s="267">
        <f t="shared" si="6"/>
        <v>9000000</v>
      </c>
      <c r="K26" s="304"/>
      <c r="L26" s="304">
        <f t="shared" si="9"/>
        <v>9000000</v>
      </c>
      <c r="M26" s="304">
        <f t="shared" si="7"/>
        <v>9000000</v>
      </c>
      <c r="N26" s="304">
        <f t="shared" si="8"/>
        <v>0</v>
      </c>
      <c r="O26" s="335">
        <f t="shared" si="5"/>
        <v>13636.363636363636</v>
      </c>
    </row>
    <row r="27" spans="2:16" ht="13.95" customHeight="1" thickBot="1">
      <c r="B27" s="505"/>
      <c r="C27" s="539"/>
      <c r="D27" s="530"/>
      <c r="E27" s="218" t="s">
        <v>213</v>
      </c>
      <c r="F27" s="240" t="s">
        <v>246</v>
      </c>
      <c r="G27" s="218" t="s">
        <v>212</v>
      </c>
      <c r="H27" s="218">
        <v>12</v>
      </c>
      <c r="I27" s="218">
        <v>120000</v>
      </c>
      <c r="J27" s="255">
        <f t="shared" si="6"/>
        <v>1440000</v>
      </c>
      <c r="K27" s="304"/>
      <c r="L27" s="304">
        <f t="shared" si="9"/>
        <v>1440000</v>
      </c>
      <c r="M27" s="304">
        <f t="shared" si="7"/>
        <v>1440000</v>
      </c>
      <c r="N27" s="304">
        <f t="shared" si="8"/>
        <v>0</v>
      </c>
      <c r="O27" s="335">
        <f t="shared" si="5"/>
        <v>2181.818181818182</v>
      </c>
    </row>
    <row r="28" spans="2:16" ht="13.95" customHeight="1" thickBot="1">
      <c r="B28" s="505"/>
      <c r="C28" s="539"/>
      <c r="D28" s="530"/>
      <c r="E28" s="218" t="s">
        <v>211</v>
      </c>
      <c r="F28" s="240" t="s">
        <v>246</v>
      </c>
      <c r="G28" s="218" t="s">
        <v>210</v>
      </c>
      <c r="H28" s="218">
        <v>28</v>
      </c>
      <c r="I28" s="211">
        <v>36000</v>
      </c>
      <c r="J28" s="210">
        <f t="shared" si="6"/>
        <v>1008000</v>
      </c>
      <c r="K28" s="253"/>
      <c r="L28" s="304">
        <f t="shared" si="9"/>
        <v>1008000</v>
      </c>
      <c r="M28" s="304">
        <f t="shared" si="7"/>
        <v>1008000</v>
      </c>
      <c r="N28" s="304">
        <f t="shared" si="8"/>
        <v>0</v>
      </c>
      <c r="O28" s="335">
        <f t="shared" si="5"/>
        <v>1527.2727272727273</v>
      </c>
    </row>
    <row r="29" spans="2:16" ht="13.95" customHeight="1" thickBot="1">
      <c r="B29" s="505"/>
      <c r="C29" s="539"/>
      <c r="D29" s="530"/>
      <c r="E29" s="218" t="s">
        <v>209</v>
      </c>
      <c r="F29" s="240" t="s">
        <v>246</v>
      </c>
      <c r="G29" s="218" t="s">
        <v>122</v>
      </c>
      <c r="H29" s="218">
        <v>1</v>
      </c>
      <c r="I29" s="211">
        <v>350000</v>
      </c>
      <c r="J29" s="210">
        <f t="shared" si="6"/>
        <v>350000</v>
      </c>
      <c r="K29" s="253"/>
      <c r="L29" s="304">
        <f t="shared" si="9"/>
        <v>350000</v>
      </c>
      <c r="M29" s="304">
        <f t="shared" si="7"/>
        <v>350000</v>
      </c>
      <c r="N29" s="304">
        <f t="shared" si="8"/>
        <v>0</v>
      </c>
      <c r="O29" s="335">
        <f t="shared" si="5"/>
        <v>530.30303030303025</v>
      </c>
    </row>
    <row r="30" spans="2:16" ht="13.95" customHeight="1" thickBot="1">
      <c r="B30" s="505"/>
      <c r="C30" s="539"/>
      <c r="D30" s="530"/>
      <c r="E30" s="254"/>
      <c r="F30" s="240"/>
      <c r="G30" s="218"/>
      <c r="H30" s="218"/>
      <c r="I30" s="211"/>
      <c r="J30" s="210"/>
      <c r="K30" s="253"/>
      <c r="L30" s="253"/>
      <c r="M30" s="304">
        <f t="shared" si="7"/>
        <v>0</v>
      </c>
      <c r="N30" s="304">
        <f t="shared" si="8"/>
        <v>0</v>
      </c>
      <c r="O30" s="335"/>
    </row>
    <row r="31" spans="2:16" ht="13.95" customHeight="1" thickBot="1">
      <c r="B31" s="505"/>
      <c r="C31" s="539"/>
      <c r="D31" s="530"/>
      <c r="E31" s="218"/>
      <c r="F31" s="240"/>
      <c r="G31" s="218"/>
      <c r="H31" s="218"/>
      <c r="I31" s="211"/>
      <c r="J31" s="210">
        <f>H31*I31</f>
        <v>0</v>
      </c>
      <c r="K31" s="253"/>
      <c r="L31" s="253"/>
      <c r="M31" s="304">
        <f t="shared" si="7"/>
        <v>0</v>
      </c>
      <c r="N31" s="304">
        <f t="shared" si="8"/>
        <v>0</v>
      </c>
      <c r="O31" s="335">
        <f>J31/$Q$4</f>
        <v>0</v>
      </c>
    </row>
    <row r="32" spans="2:16" ht="13.95" customHeight="1" thickBot="1">
      <c r="B32" s="505"/>
      <c r="C32" s="539"/>
      <c r="D32" s="530"/>
      <c r="E32" s="246"/>
      <c r="F32" s="240"/>
      <c r="G32" s="246"/>
      <c r="H32" s="246"/>
      <c r="I32" s="234"/>
      <c r="J32" s="233">
        <f>H32*I32</f>
        <v>0</v>
      </c>
      <c r="K32" s="253"/>
      <c r="L32" s="253"/>
      <c r="M32" s="304">
        <f t="shared" si="7"/>
        <v>0</v>
      </c>
      <c r="N32" s="304">
        <f t="shared" si="8"/>
        <v>0</v>
      </c>
      <c r="O32" s="335">
        <f>J32/$Q$4</f>
        <v>0</v>
      </c>
    </row>
    <row r="33" spans="2:15" ht="13.95" customHeight="1" thickBot="1">
      <c r="B33" s="505"/>
      <c r="C33" s="539"/>
      <c r="D33" s="530"/>
      <c r="E33" s="216"/>
      <c r="F33" s="240"/>
      <c r="G33" s="216"/>
      <c r="H33" s="216"/>
      <c r="I33" s="216"/>
      <c r="J33" s="230"/>
      <c r="K33" s="216"/>
      <c r="L33" s="216"/>
      <c r="M33" s="304">
        <f t="shared" si="7"/>
        <v>0</v>
      </c>
      <c r="N33" s="304">
        <f t="shared" si="8"/>
        <v>0</v>
      </c>
      <c r="O33" s="335"/>
    </row>
    <row r="34" spans="2:15" ht="13.95" customHeight="1" thickBot="1">
      <c r="B34" s="505"/>
      <c r="C34" s="539"/>
      <c r="D34" s="530"/>
      <c r="E34" s="216"/>
      <c r="F34" s="240"/>
      <c r="G34" s="216"/>
      <c r="H34" s="216"/>
      <c r="I34" s="216"/>
      <c r="J34" s="230"/>
      <c r="K34" s="216"/>
      <c r="L34" s="216"/>
      <c r="M34" s="304">
        <f t="shared" si="7"/>
        <v>0</v>
      </c>
      <c r="N34" s="304">
        <f t="shared" si="8"/>
        <v>0</v>
      </c>
      <c r="O34" s="335"/>
    </row>
    <row r="35" spans="2:15" ht="13.95" customHeight="1" thickBot="1">
      <c r="B35" s="505"/>
      <c r="C35" s="539"/>
      <c r="D35" s="531"/>
      <c r="E35" s="218"/>
      <c r="F35" s="240"/>
      <c r="G35" s="216"/>
      <c r="H35" s="218"/>
      <c r="I35" s="211"/>
      <c r="J35" s="210">
        <f>H35*I35</f>
        <v>0</v>
      </c>
      <c r="K35" s="253"/>
      <c r="L35" s="253"/>
      <c r="M35" s="304">
        <f t="shared" si="7"/>
        <v>0</v>
      </c>
      <c r="N35" s="304">
        <f t="shared" si="8"/>
        <v>0</v>
      </c>
      <c r="O35" s="335">
        <f t="shared" ref="O35:O46" si="10">J35/$Q$4</f>
        <v>0</v>
      </c>
    </row>
    <row r="36" spans="2:15" ht="13.95" customHeight="1" thickBot="1">
      <c r="B36" s="505"/>
      <c r="C36" s="539"/>
      <c r="D36" s="525" t="s">
        <v>128</v>
      </c>
      <c r="E36" s="247"/>
      <c r="F36" s="240"/>
      <c r="G36" s="247"/>
      <c r="H36" s="247">
        <v>0</v>
      </c>
      <c r="I36" s="262">
        <v>0</v>
      </c>
      <c r="J36" s="266">
        <f>H36*I36</f>
        <v>0</v>
      </c>
      <c r="K36" s="253"/>
      <c r="L36" s="253"/>
      <c r="M36" s="304">
        <f t="shared" si="7"/>
        <v>0</v>
      </c>
      <c r="N36" s="304">
        <f t="shared" si="8"/>
        <v>0</v>
      </c>
      <c r="O36" s="335">
        <f t="shared" si="10"/>
        <v>0</v>
      </c>
    </row>
    <row r="37" spans="2:15" ht="13.95" customHeight="1" thickBot="1">
      <c r="B37" s="505"/>
      <c r="C37" s="539"/>
      <c r="D37" s="525"/>
      <c r="E37" s="218"/>
      <c r="F37" s="240"/>
      <c r="G37" s="218"/>
      <c r="H37" s="218">
        <v>0</v>
      </c>
      <c r="I37" s="211">
        <v>0</v>
      </c>
      <c r="J37" s="210">
        <f>H37*I37</f>
        <v>0</v>
      </c>
      <c r="K37" s="253"/>
      <c r="L37" s="253"/>
      <c r="M37" s="304">
        <f t="shared" si="7"/>
        <v>0</v>
      </c>
      <c r="N37" s="304">
        <f t="shared" si="8"/>
        <v>0</v>
      </c>
      <c r="O37" s="335">
        <f t="shared" si="10"/>
        <v>0</v>
      </c>
    </row>
    <row r="38" spans="2:15" ht="13.95" customHeight="1" thickBot="1">
      <c r="B38" s="505"/>
      <c r="C38" s="539"/>
      <c r="D38" s="250" t="s">
        <v>125</v>
      </c>
      <c r="E38" s="237"/>
      <c r="F38" s="240"/>
      <c r="G38" s="237"/>
      <c r="H38" s="237">
        <v>0</v>
      </c>
      <c r="I38" s="265">
        <v>0</v>
      </c>
      <c r="J38" s="264">
        <f>H38*I38</f>
        <v>0</v>
      </c>
      <c r="K38" s="308"/>
      <c r="L38" s="308"/>
      <c r="M38" s="310">
        <f t="shared" si="7"/>
        <v>0</v>
      </c>
      <c r="N38" s="310">
        <f t="shared" si="8"/>
        <v>0</v>
      </c>
      <c r="O38" s="336">
        <f t="shared" si="10"/>
        <v>0</v>
      </c>
    </row>
    <row r="39" spans="2:15" ht="13.8" thickBot="1">
      <c r="B39" s="505"/>
      <c r="C39" s="528"/>
      <c r="D39" s="507" t="s">
        <v>208</v>
      </c>
      <c r="E39" s="484"/>
      <c r="F39" s="484"/>
      <c r="G39" s="484"/>
      <c r="H39" s="484"/>
      <c r="I39" s="485"/>
      <c r="J39" s="252">
        <f>SUM(J20:J38)</f>
        <v>18496400</v>
      </c>
      <c r="K39" s="241">
        <f>SUM(K20:K38)</f>
        <v>0</v>
      </c>
      <c r="L39" s="241">
        <f>SUM(L20:L38)</f>
        <v>18496400</v>
      </c>
      <c r="M39" s="241">
        <f>SUM(M20:M38)</f>
        <v>18496400</v>
      </c>
      <c r="N39" s="241">
        <f>SUM(N20:N38)</f>
        <v>0</v>
      </c>
      <c r="O39" s="337">
        <f t="shared" si="10"/>
        <v>28024.848484848484</v>
      </c>
    </row>
    <row r="40" spans="2:15" ht="13.95" customHeight="1" thickBot="1">
      <c r="B40" s="505"/>
      <c r="C40" s="526" t="s">
        <v>207</v>
      </c>
      <c r="D40" s="263" t="s">
        <v>133</v>
      </c>
      <c r="E40" s="240"/>
      <c r="F40" s="240"/>
      <c r="G40" s="240"/>
      <c r="H40" s="240"/>
      <c r="I40" s="211"/>
      <c r="J40" s="210">
        <f t="shared" ref="J40:J46" si="11">H40*I40</f>
        <v>0</v>
      </c>
      <c r="K40" s="307"/>
      <c r="L40" s="307"/>
      <c r="M40" s="307">
        <f>IF(F40="pecunario",J40,0)</f>
        <v>0</v>
      </c>
      <c r="N40" s="307">
        <f>IF(F40="valorizado",J40,0)</f>
        <v>0</v>
      </c>
      <c r="O40" s="338">
        <f t="shared" si="10"/>
        <v>0</v>
      </c>
    </row>
    <row r="41" spans="2:15" ht="13.95" customHeight="1" thickBot="1">
      <c r="B41" s="505"/>
      <c r="C41" s="527"/>
      <c r="D41" s="529" t="s">
        <v>129</v>
      </c>
      <c r="E41" s="247" t="s">
        <v>206</v>
      </c>
      <c r="F41" s="240" t="s">
        <v>246</v>
      </c>
      <c r="G41" s="247" t="s">
        <v>141</v>
      </c>
      <c r="H41" s="247">
        <v>1</v>
      </c>
      <c r="I41" s="262">
        <v>2600000</v>
      </c>
      <c r="J41" s="210">
        <f t="shared" si="11"/>
        <v>2600000</v>
      </c>
      <c r="K41" s="253">
        <f t="shared" ref="K41:K48" si="12">J41</f>
        <v>2600000</v>
      </c>
      <c r="L41" s="253"/>
      <c r="M41" s="253">
        <f t="shared" ref="M41:M53" si="13">IF(F41="pecunario",J41,0)</f>
        <v>2600000</v>
      </c>
      <c r="N41" s="253">
        <f t="shared" ref="N41:N53" si="14">IF(F41="valorizado",J41,0)</f>
        <v>0</v>
      </c>
      <c r="O41" s="335">
        <f t="shared" si="10"/>
        <v>3939.3939393939395</v>
      </c>
    </row>
    <row r="42" spans="2:15" ht="13.95" customHeight="1" thickBot="1">
      <c r="B42" s="505"/>
      <c r="C42" s="527"/>
      <c r="D42" s="530"/>
      <c r="E42" s="247"/>
      <c r="F42" s="240"/>
      <c r="G42" s="247"/>
      <c r="H42" s="247"/>
      <c r="I42" s="247"/>
      <c r="J42" s="210">
        <f t="shared" si="11"/>
        <v>0</v>
      </c>
      <c r="K42" s="253">
        <f t="shared" si="12"/>
        <v>0</v>
      </c>
      <c r="L42" s="253"/>
      <c r="M42" s="253">
        <f t="shared" si="13"/>
        <v>0</v>
      </c>
      <c r="N42" s="253">
        <f t="shared" si="14"/>
        <v>0</v>
      </c>
      <c r="O42" s="339">
        <f t="shared" si="10"/>
        <v>0</v>
      </c>
    </row>
    <row r="43" spans="2:15" ht="13.95" customHeight="1" thickBot="1">
      <c r="B43" s="505"/>
      <c r="C43" s="527"/>
      <c r="D43" s="530"/>
      <c r="E43" s="247"/>
      <c r="F43" s="240"/>
      <c r="G43" s="247"/>
      <c r="H43" s="247"/>
      <c r="I43" s="247">
        <v>0</v>
      </c>
      <c r="J43" s="210">
        <f t="shared" si="11"/>
        <v>0</v>
      </c>
      <c r="K43" s="253">
        <f t="shared" si="12"/>
        <v>0</v>
      </c>
      <c r="L43" s="253"/>
      <c r="M43" s="253">
        <f t="shared" si="13"/>
        <v>0</v>
      </c>
      <c r="N43" s="253">
        <f t="shared" si="14"/>
        <v>0</v>
      </c>
      <c r="O43" s="339">
        <f t="shared" si="10"/>
        <v>0</v>
      </c>
    </row>
    <row r="44" spans="2:15" ht="13.95" customHeight="1" thickBot="1">
      <c r="B44" s="505"/>
      <c r="C44" s="527"/>
      <c r="D44" s="530"/>
      <c r="E44" s="247"/>
      <c r="F44" s="240"/>
      <c r="G44" s="247"/>
      <c r="H44" s="247"/>
      <c r="I44" s="247">
        <v>0</v>
      </c>
      <c r="J44" s="210">
        <f t="shared" si="11"/>
        <v>0</v>
      </c>
      <c r="K44" s="253">
        <f t="shared" si="12"/>
        <v>0</v>
      </c>
      <c r="L44" s="253"/>
      <c r="M44" s="253">
        <f t="shared" si="13"/>
        <v>0</v>
      </c>
      <c r="N44" s="253">
        <f t="shared" si="14"/>
        <v>0</v>
      </c>
      <c r="O44" s="339">
        <f t="shared" si="10"/>
        <v>0</v>
      </c>
    </row>
    <row r="45" spans="2:15" ht="13.95" customHeight="1" thickBot="1">
      <c r="B45" s="505"/>
      <c r="C45" s="527"/>
      <c r="D45" s="530"/>
      <c r="E45" s="247"/>
      <c r="F45" s="240"/>
      <c r="G45" s="247"/>
      <c r="H45" s="247"/>
      <c r="I45" s="247">
        <v>0</v>
      </c>
      <c r="J45" s="210">
        <f t="shared" si="11"/>
        <v>0</v>
      </c>
      <c r="K45" s="253">
        <f t="shared" si="12"/>
        <v>0</v>
      </c>
      <c r="L45" s="253"/>
      <c r="M45" s="253">
        <f t="shared" si="13"/>
        <v>0</v>
      </c>
      <c r="N45" s="253">
        <f t="shared" si="14"/>
        <v>0</v>
      </c>
      <c r="O45" s="339">
        <f t="shared" si="10"/>
        <v>0</v>
      </c>
    </row>
    <row r="46" spans="2:15" ht="13.95" customHeight="1" thickBot="1">
      <c r="B46" s="505"/>
      <c r="C46" s="527"/>
      <c r="D46" s="530"/>
      <c r="E46" s="261"/>
      <c r="F46" s="240"/>
      <c r="G46" s="247"/>
      <c r="H46" s="247"/>
      <c r="I46" s="247">
        <v>0</v>
      </c>
      <c r="J46" s="210">
        <f t="shared" si="11"/>
        <v>0</v>
      </c>
      <c r="K46" s="253">
        <f t="shared" si="12"/>
        <v>0</v>
      </c>
      <c r="L46" s="253"/>
      <c r="M46" s="253">
        <f t="shared" si="13"/>
        <v>0</v>
      </c>
      <c r="N46" s="253">
        <f t="shared" si="14"/>
        <v>0</v>
      </c>
      <c r="O46" s="339">
        <f t="shared" si="10"/>
        <v>0</v>
      </c>
    </row>
    <row r="47" spans="2:15" ht="13.95" customHeight="1" thickBot="1">
      <c r="B47" s="505"/>
      <c r="C47" s="527"/>
      <c r="D47" s="530"/>
      <c r="E47" s="247"/>
      <c r="F47" s="240"/>
      <c r="G47" s="247"/>
      <c r="H47" s="247"/>
      <c r="I47" s="247">
        <v>0</v>
      </c>
      <c r="J47" s="210">
        <f>H47*I47</f>
        <v>0</v>
      </c>
      <c r="K47" s="253">
        <f t="shared" si="12"/>
        <v>0</v>
      </c>
      <c r="L47" s="253"/>
      <c r="M47" s="253">
        <f t="shared" si="13"/>
        <v>0</v>
      </c>
      <c r="N47" s="253">
        <f t="shared" si="14"/>
        <v>0</v>
      </c>
      <c r="O47" s="339">
        <f t="shared" ref="O47:O79" si="15">J47/$Q$4</f>
        <v>0</v>
      </c>
    </row>
    <row r="48" spans="2:15" ht="13.95" customHeight="1" thickBot="1">
      <c r="B48" s="505"/>
      <c r="C48" s="527"/>
      <c r="D48" s="530"/>
      <c r="E48" s="247"/>
      <c r="F48" s="240"/>
      <c r="G48" s="247"/>
      <c r="H48" s="247"/>
      <c r="I48" s="247">
        <v>0</v>
      </c>
      <c r="J48" s="210">
        <f>H48*I48</f>
        <v>0</v>
      </c>
      <c r="K48" s="253">
        <f t="shared" si="12"/>
        <v>0</v>
      </c>
      <c r="L48" s="253"/>
      <c r="M48" s="253">
        <f t="shared" si="13"/>
        <v>0</v>
      </c>
      <c r="N48" s="253">
        <f t="shared" si="14"/>
        <v>0</v>
      </c>
      <c r="O48" s="339">
        <f t="shared" si="15"/>
        <v>0</v>
      </c>
    </row>
    <row r="49" spans="2:16" ht="13.95" customHeight="1" thickBot="1">
      <c r="B49" s="505"/>
      <c r="C49" s="527"/>
      <c r="D49" s="531"/>
      <c r="E49" s="247"/>
      <c r="F49" s="240"/>
      <c r="G49" s="247"/>
      <c r="H49" s="247"/>
      <c r="I49" s="247"/>
      <c r="J49" s="210">
        <f>H49*I49</f>
        <v>0</v>
      </c>
      <c r="K49" s="253"/>
      <c r="L49" s="253"/>
      <c r="M49" s="253">
        <f t="shared" si="13"/>
        <v>0</v>
      </c>
      <c r="N49" s="253">
        <f t="shared" si="14"/>
        <v>0</v>
      </c>
      <c r="O49" s="339">
        <f t="shared" si="15"/>
        <v>0</v>
      </c>
    </row>
    <row r="50" spans="2:16" ht="13.95" customHeight="1" thickBot="1">
      <c r="B50" s="505"/>
      <c r="C50" s="527"/>
      <c r="D50" s="529" t="s">
        <v>128</v>
      </c>
      <c r="E50" s="216"/>
      <c r="F50" s="240"/>
      <c r="G50" s="216"/>
      <c r="H50" s="216"/>
      <c r="I50" s="216"/>
      <c r="J50" s="230"/>
      <c r="K50" s="216"/>
      <c r="L50" s="216"/>
      <c r="M50" s="253">
        <f t="shared" si="13"/>
        <v>0</v>
      </c>
      <c r="N50" s="253">
        <f t="shared" si="14"/>
        <v>0</v>
      </c>
      <c r="O50" s="339">
        <f t="shared" si="15"/>
        <v>0</v>
      </c>
    </row>
    <row r="51" spans="2:16" ht="13.95" customHeight="1" thickBot="1">
      <c r="B51" s="505"/>
      <c r="C51" s="527"/>
      <c r="D51" s="530"/>
      <c r="E51" s="216"/>
      <c r="F51" s="240"/>
      <c r="G51" s="216"/>
      <c r="H51" s="216"/>
      <c r="I51" s="216"/>
      <c r="J51" s="230"/>
      <c r="K51" s="216"/>
      <c r="L51" s="216"/>
      <c r="M51" s="253">
        <f t="shared" si="13"/>
        <v>0</v>
      </c>
      <c r="N51" s="253">
        <f t="shared" si="14"/>
        <v>0</v>
      </c>
      <c r="O51" s="339">
        <f t="shared" si="15"/>
        <v>0</v>
      </c>
    </row>
    <row r="52" spans="2:16" ht="13.95" customHeight="1" thickBot="1">
      <c r="B52" s="505"/>
      <c r="C52" s="527"/>
      <c r="D52" s="531"/>
      <c r="E52" s="218" t="s">
        <v>203</v>
      </c>
      <c r="F52" s="240" t="s">
        <v>246</v>
      </c>
      <c r="G52" s="218" t="s">
        <v>182</v>
      </c>
      <c r="H52" s="218">
        <v>0</v>
      </c>
      <c r="I52" s="211">
        <v>700</v>
      </c>
      <c r="J52" s="210">
        <f>H52*I52</f>
        <v>0</v>
      </c>
      <c r="K52" s="253">
        <f>J52</f>
        <v>0</v>
      </c>
      <c r="L52" s="253"/>
      <c r="M52" s="253">
        <f t="shared" si="13"/>
        <v>0</v>
      </c>
      <c r="N52" s="253">
        <f t="shared" si="14"/>
        <v>0</v>
      </c>
      <c r="O52" s="339">
        <f t="shared" si="15"/>
        <v>0</v>
      </c>
      <c r="P52" s="196" t="s">
        <v>202</v>
      </c>
    </row>
    <row r="53" spans="2:16" ht="13.95" customHeight="1" thickBot="1">
      <c r="B53" s="505"/>
      <c r="C53" s="527"/>
      <c r="D53" s="260" t="s">
        <v>125</v>
      </c>
      <c r="E53" s="246"/>
      <c r="F53" s="240"/>
      <c r="G53" s="246"/>
      <c r="H53" s="246">
        <v>0</v>
      </c>
      <c r="I53" s="234">
        <v>0</v>
      </c>
      <c r="J53" s="233">
        <f>H53*I53</f>
        <v>0</v>
      </c>
      <c r="K53" s="308"/>
      <c r="L53" s="308"/>
      <c r="M53" s="308">
        <f t="shared" si="13"/>
        <v>0</v>
      </c>
      <c r="N53" s="308">
        <f t="shared" si="14"/>
        <v>0</v>
      </c>
      <c r="O53" s="336">
        <f t="shared" si="15"/>
        <v>0</v>
      </c>
    </row>
    <row r="54" spans="2:16" ht="13.8" thickBot="1">
      <c r="B54" s="505"/>
      <c r="C54" s="528"/>
      <c r="D54" s="536" t="s">
        <v>201</v>
      </c>
      <c r="E54" s="536"/>
      <c r="F54" s="536"/>
      <c r="G54" s="536"/>
      <c r="H54" s="536"/>
      <c r="I54" s="537"/>
      <c r="J54" s="259">
        <f>SUM(J40:J53)</f>
        <v>2600000</v>
      </c>
      <c r="K54" s="296">
        <f>SUM(K40:K53)</f>
        <v>2600000</v>
      </c>
      <c r="L54" s="296">
        <f>SUM(L40:L53)</f>
        <v>0</v>
      </c>
      <c r="M54" s="296">
        <f>SUM(M40:M53)</f>
        <v>2600000</v>
      </c>
      <c r="N54" s="208">
        <f>SUM(N40:N53)</f>
        <v>0</v>
      </c>
      <c r="O54" s="340">
        <f t="shared" si="15"/>
        <v>3939.3939393939395</v>
      </c>
    </row>
    <row r="55" spans="2:16" ht="13.95" customHeight="1" thickBot="1">
      <c r="B55" s="505"/>
      <c r="C55" s="538" t="s">
        <v>200</v>
      </c>
      <c r="D55" s="251" t="s">
        <v>133</v>
      </c>
      <c r="E55" s="240"/>
      <c r="F55" s="240"/>
      <c r="G55" s="240"/>
      <c r="H55" s="240"/>
      <c r="I55" s="258"/>
      <c r="J55" s="257">
        <f t="shared" ref="J55:J67" si="16">H55*I55</f>
        <v>0</v>
      </c>
      <c r="K55" s="305"/>
      <c r="L55" s="305"/>
      <c r="M55" s="305">
        <f>IF(F55="pecunario",J55,0)</f>
        <v>0</v>
      </c>
      <c r="N55" s="305">
        <f>IF(F55="valorizado",J55,0)</f>
        <v>0</v>
      </c>
      <c r="O55" s="338">
        <f t="shared" si="15"/>
        <v>0</v>
      </c>
    </row>
    <row r="56" spans="2:16" ht="13.95" customHeight="1" thickBot="1">
      <c r="B56" s="505"/>
      <c r="C56" s="539"/>
      <c r="D56" s="529" t="s">
        <v>129</v>
      </c>
      <c r="E56" s="247" t="s">
        <v>199</v>
      </c>
      <c r="F56" s="240" t="s">
        <v>246</v>
      </c>
      <c r="G56" s="247" t="s">
        <v>122</v>
      </c>
      <c r="H56" s="247">
        <v>1</v>
      </c>
      <c r="I56" s="256">
        <v>888889</v>
      </c>
      <c r="J56" s="255">
        <f t="shared" si="16"/>
        <v>888889</v>
      </c>
      <c r="K56" s="304">
        <f>J56</f>
        <v>888889</v>
      </c>
      <c r="L56" s="304"/>
      <c r="M56" s="304">
        <f t="shared" ref="M56:M68" si="17">IF(F56="pecunario",J56,0)</f>
        <v>888889</v>
      </c>
      <c r="N56" s="304">
        <f t="shared" ref="N56:N67" si="18">IF(F56="valorizado",J56,0)</f>
        <v>0</v>
      </c>
      <c r="O56" s="335">
        <f t="shared" si="15"/>
        <v>1346.8015151515151</v>
      </c>
    </row>
    <row r="57" spans="2:16" ht="13.95" customHeight="1" thickBot="1">
      <c r="B57" s="505"/>
      <c r="C57" s="539"/>
      <c r="D57" s="530"/>
      <c r="E57" s="247" t="s">
        <v>260</v>
      </c>
      <c r="F57" s="240" t="s">
        <v>246</v>
      </c>
      <c r="G57" s="247" t="s">
        <v>122</v>
      </c>
      <c r="H57" s="247">
        <v>3</v>
      </c>
      <c r="I57" s="256">
        <v>1100000</v>
      </c>
      <c r="J57" s="255">
        <f t="shared" si="16"/>
        <v>3300000</v>
      </c>
      <c r="K57" s="304">
        <f>J57</f>
        <v>3300000</v>
      </c>
      <c r="L57" s="304"/>
      <c r="M57" s="304">
        <f t="shared" si="17"/>
        <v>3300000</v>
      </c>
      <c r="N57" s="304">
        <f t="shared" si="18"/>
        <v>0</v>
      </c>
      <c r="O57" s="335">
        <f t="shared" si="15"/>
        <v>5000</v>
      </c>
    </row>
    <row r="58" spans="2:16" ht="13.95" customHeight="1" thickBot="1">
      <c r="B58" s="505"/>
      <c r="C58" s="539"/>
      <c r="D58" s="530"/>
      <c r="E58" s="218" t="s">
        <v>198</v>
      </c>
      <c r="F58" s="240" t="s">
        <v>246</v>
      </c>
      <c r="G58" s="218" t="s">
        <v>91</v>
      </c>
      <c r="H58" s="218">
        <v>8</v>
      </c>
      <c r="I58" s="211">
        <v>40000</v>
      </c>
      <c r="J58" s="210">
        <f t="shared" si="16"/>
        <v>320000</v>
      </c>
      <c r="K58" s="304">
        <f t="shared" ref="K58:K61" si="19">J58</f>
        <v>320000</v>
      </c>
      <c r="L58" s="253"/>
      <c r="M58" s="304">
        <f t="shared" si="17"/>
        <v>320000</v>
      </c>
      <c r="N58" s="304">
        <f t="shared" si="18"/>
        <v>0</v>
      </c>
      <c r="O58" s="335">
        <f t="shared" si="15"/>
        <v>484.84848484848487</v>
      </c>
    </row>
    <row r="59" spans="2:16" ht="13.95" customHeight="1" thickBot="1">
      <c r="B59" s="505"/>
      <c r="C59" s="539"/>
      <c r="D59" s="530"/>
      <c r="E59" s="218" t="s">
        <v>197</v>
      </c>
      <c r="F59" s="240" t="s">
        <v>246</v>
      </c>
      <c r="G59" s="218" t="s">
        <v>169</v>
      </c>
      <c r="H59" s="218">
        <v>5</v>
      </c>
      <c r="I59" s="253">
        <v>160000</v>
      </c>
      <c r="J59" s="210">
        <f t="shared" si="16"/>
        <v>800000</v>
      </c>
      <c r="K59" s="304">
        <f t="shared" si="19"/>
        <v>800000</v>
      </c>
      <c r="L59" s="253"/>
      <c r="M59" s="304">
        <f t="shared" si="17"/>
        <v>800000</v>
      </c>
      <c r="N59" s="304">
        <f t="shared" si="18"/>
        <v>0</v>
      </c>
      <c r="O59" s="335">
        <f t="shared" si="15"/>
        <v>1212.121212121212</v>
      </c>
    </row>
    <row r="60" spans="2:16" ht="13.95" customHeight="1" thickBot="1">
      <c r="B60" s="505"/>
      <c r="C60" s="539"/>
      <c r="D60" s="530"/>
      <c r="E60" s="218" t="s">
        <v>196</v>
      </c>
      <c r="F60" s="240" t="s">
        <v>246</v>
      </c>
      <c r="G60" s="218" t="s">
        <v>185</v>
      </c>
      <c r="H60" s="218">
        <v>4</v>
      </c>
      <c r="I60" s="253">
        <v>120000</v>
      </c>
      <c r="J60" s="210">
        <f t="shared" si="16"/>
        <v>480000</v>
      </c>
      <c r="K60" s="304">
        <f t="shared" si="19"/>
        <v>480000</v>
      </c>
      <c r="L60" s="253"/>
      <c r="M60" s="304">
        <f t="shared" si="17"/>
        <v>480000</v>
      </c>
      <c r="N60" s="304">
        <f t="shared" si="18"/>
        <v>0</v>
      </c>
      <c r="O60" s="335">
        <f t="shared" si="15"/>
        <v>727.27272727272725</v>
      </c>
    </row>
    <row r="61" spans="2:16" ht="13.95" customHeight="1" thickBot="1">
      <c r="B61" s="505"/>
      <c r="C61" s="539"/>
      <c r="D61" s="530"/>
      <c r="E61" s="218" t="s">
        <v>4</v>
      </c>
      <c r="F61" s="240" t="s">
        <v>246</v>
      </c>
      <c r="G61" s="218"/>
      <c r="H61" s="218">
        <v>1</v>
      </c>
      <c r="I61" s="253">
        <v>150000</v>
      </c>
      <c r="J61" s="210">
        <f t="shared" si="16"/>
        <v>150000</v>
      </c>
      <c r="K61" s="304">
        <f t="shared" si="19"/>
        <v>150000</v>
      </c>
      <c r="L61" s="253"/>
      <c r="M61" s="304">
        <f t="shared" si="17"/>
        <v>150000</v>
      </c>
      <c r="N61" s="304">
        <f t="shared" si="18"/>
        <v>0</v>
      </c>
      <c r="O61" s="335">
        <f t="shared" si="15"/>
        <v>227.27272727272728</v>
      </c>
    </row>
    <row r="62" spans="2:16" ht="13.95" customHeight="1" thickBot="1">
      <c r="B62" s="505"/>
      <c r="C62" s="539"/>
      <c r="D62" s="530"/>
      <c r="E62" s="254"/>
      <c r="F62" s="240"/>
      <c r="G62" s="218"/>
      <c r="H62" s="218"/>
      <c r="I62" s="253"/>
      <c r="J62" s="210">
        <f t="shared" si="16"/>
        <v>0</v>
      </c>
      <c r="K62" s="253"/>
      <c r="L62" s="253"/>
      <c r="M62" s="304">
        <f t="shared" si="17"/>
        <v>0</v>
      </c>
      <c r="N62" s="304">
        <f t="shared" si="18"/>
        <v>0</v>
      </c>
      <c r="O62" s="335">
        <f t="shared" si="15"/>
        <v>0</v>
      </c>
    </row>
    <row r="63" spans="2:16" ht="13.95" customHeight="1" thickBot="1">
      <c r="B63" s="505"/>
      <c r="C63" s="539"/>
      <c r="D63" s="530"/>
      <c r="E63" s="247"/>
      <c r="F63" s="240"/>
      <c r="G63" s="218"/>
      <c r="H63" s="218"/>
      <c r="I63" s="253"/>
      <c r="J63" s="210">
        <f t="shared" si="16"/>
        <v>0</v>
      </c>
      <c r="K63" s="253"/>
      <c r="L63" s="253"/>
      <c r="M63" s="304">
        <f t="shared" si="17"/>
        <v>0</v>
      </c>
      <c r="N63" s="304">
        <f t="shared" si="18"/>
        <v>0</v>
      </c>
      <c r="O63" s="335">
        <f t="shared" si="15"/>
        <v>0</v>
      </c>
    </row>
    <row r="64" spans="2:16" ht="13.95" customHeight="1" thickBot="1">
      <c r="B64" s="505"/>
      <c r="C64" s="539"/>
      <c r="D64" s="530"/>
      <c r="E64" s="218"/>
      <c r="F64" s="240"/>
      <c r="G64" s="218"/>
      <c r="H64" s="218"/>
      <c r="I64" s="253"/>
      <c r="J64" s="210">
        <f t="shared" si="16"/>
        <v>0</v>
      </c>
      <c r="K64" s="253"/>
      <c r="L64" s="253"/>
      <c r="M64" s="304">
        <f t="shared" si="17"/>
        <v>0</v>
      </c>
      <c r="N64" s="304">
        <f t="shared" si="18"/>
        <v>0</v>
      </c>
      <c r="O64" s="335">
        <f t="shared" si="15"/>
        <v>0</v>
      </c>
    </row>
    <row r="65" spans="2:17" ht="13.95" customHeight="1" thickBot="1">
      <c r="B65" s="505"/>
      <c r="C65" s="539"/>
      <c r="D65" s="531"/>
      <c r="E65" s="218"/>
      <c r="F65" s="240"/>
      <c r="G65" s="218"/>
      <c r="H65" s="218"/>
      <c r="I65" s="253"/>
      <c r="J65" s="210">
        <f t="shared" si="16"/>
        <v>0</v>
      </c>
      <c r="K65" s="253"/>
      <c r="L65" s="253"/>
      <c r="M65" s="304">
        <f t="shared" si="17"/>
        <v>0</v>
      </c>
      <c r="N65" s="304">
        <f t="shared" si="18"/>
        <v>0</v>
      </c>
      <c r="O65" s="335">
        <f t="shared" si="15"/>
        <v>0</v>
      </c>
    </row>
    <row r="66" spans="2:17" ht="13.95" customHeight="1" thickBot="1">
      <c r="B66" s="505"/>
      <c r="C66" s="539"/>
      <c r="D66" s="525" t="s">
        <v>128</v>
      </c>
      <c r="E66" s="218"/>
      <c r="F66" s="240"/>
      <c r="G66" s="218"/>
      <c r="H66" s="218">
        <v>0</v>
      </c>
      <c r="I66" s="211">
        <v>0</v>
      </c>
      <c r="J66" s="210">
        <f t="shared" si="16"/>
        <v>0</v>
      </c>
      <c r="K66" s="253"/>
      <c r="L66" s="253"/>
      <c r="M66" s="304">
        <f t="shared" si="17"/>
        <v>0</v>
      </c>
      <c r="N66" s="304">
        <f t="shared" si="18"/>
        <v>0</v>
      </c>
      <c r="O66" s="335">
        <f t="shared" si="15"/>
        <v>0</v>
      </c>
    </row>
    <row r="67" spans="2:17" ht="13.95" customHeight="1" thickBot="1">
      <c r="B67" s="505"/>
      <c r="C67" s="539"/>
      <c r="D67" s="525"/>
      <c r="E67" s="218"/>
      <c r="F67" s="240"/>
      <c r="G67" s="218"/>
      <c r="H67" s="218">
        <v>0</v>
      </c>
      <c r="I67" s="211">
        <v>0</v>
      </c>
      <c r="J67" s="210">
        <f t="shared" si="16"/>
        <v>0</v>
      </c>
      <c r="K67" s="253"/>
      <c r="L67" s="253"/>
      <c r="M67" s="304">
        <f t="shared" si="17"/>
        <v>0</v>
      </c>
      <c r="N67" s="304">
        <f t="shared" si="18"/>
        <v>0</v>
      </c>
      <c r="O67" s="335">
        <f t="shared" si="15"/>
        <v>0</v>
      </c>
    </row>
    <row r="68" spans="2:17" ht="13.95" customHeight="1" thickBot="1">
      <c r="B68" s="505"/>
      <c r="C68" s="539"/>
      <c r="D68" s="311" t="s">
        <v>125</v>
      </c>
      <c r="E68" s="246"/>
      <c r="F68" s="312"/>
      <c r="G68" s="246"/>
      <c r="H68" s="246"/>
      <c r="I68" s="246"/>
      <c r="J68" s="313"/>
      <c r="K68" s="246"/>
      <c r="L68" s="246"/>
      <c r="M68" s="310">
        <f t="shared" si="17"/>
        <v>0</v>
      </c>
      <c r="N68" s="310">
        <f>IF(F68="valorizado",J68,0)</f>
        <v>0</v>
      </c>
      <c r="O68" s="336">
        <f t="shared" si="15"/>
        <v>0</v>
      </c>
    </row>
    <row r="69" spans="2:17" ht="13.8" thickBot="1">
      <c r="B69" s="505"/>
      <c r="C69" s="528"/>
      <c r="D69" s="477" t="s">
        <v>195</v>
      </c>
      <c r="E69" s="478"/>
      <c r="F69" s="478"/>
      <c r="G69" s="478"/>
      <c r="H69" s="478"/>
      <c r="I69" s="479"/>
      <c r="J69" s="241">
        <f>SUM(J55:J68)</f>
        <v>5938889</v>
      </c>
      <c r="K69" s="241">
        <f>SUM(K55:K68)</f>
        <v>5938889</v>
      </c>
      <c r="L69" s="241">
        <f>SUM(L55:L68)</f>
        <v>0</v>
      </c>
      <c r="M69" s="241">
        <f>SUM(M55:M68)</f>
        <v>5938889</v>
      </c>
      <c r="N69" s="241">
        <f>SUM(N55:N68)</f>
        <v>0</v>
      </c>
      <c r="O69" s="337">
        <f t="shared" si="15"/>
        <v>8998.3166666666675</v>
      </c>
    </row>
    <row r="70" spans="2:17" ht="13.95" customHeight="1" thickBot="1">
      <c r="B70" s="505"/>
      <c r="C70" s="526" t="s">
        <v>194</v>
      </c>
      <c r="D70" s="314" t="s">
        <v>133</v>
      </c>
      <c r="E70" s="247"/>
      <c r="F70" s="247"/>
      <c r="G70" s="247"/>
      <c r="H70" s="247"/>
      <c r="I70" s="247"/>
      <c r="J70" s="305">
        <f t="shared" ref="J70:J77" si="20">H70*I70</f>
        <v>0</v>
      </c>
      <c r="K70" s="305"/>
      <c r="L70" s="305"/>
      <c r="M70" s="305">
        <f>IF(F70="pecunario",J70,0)</f>
        <v>0</v>
      </c>
      <c r="N70" s="305">
        <f>IF(F70="valorizado",J70,0)</f>
        <v>0</v>
      </c>
      <c r="O70" s="338">
        <f t="shared" si="15"/>
        <v>0</v>
      </c>
    </row>
    <row r="71" spans="2:17" ht="13.95" customHeight="1" thickBot="1">
      <c r="B71" s="505"/>
      <c r="C71" s="527"/>
      <c r="D71" s="529" t="s">
        <v>129</v>
      </c>
      <c r="E71" s="247" t="s">
        <v>193</v>
      </c>
      <c r="F71" s="240" t="s">
        <v>246</v>
      </c>
      <c r="G71" s="247" t="s">
        <v>122</v>
      </c>
      <c r="H71" s="218">
        <v>3</v>
      </c>
      <c r="I71" s="218">
        <v>882000</v>
      </c>
      <c r="J71" s="253">
        <f t="shared" si="20"/>
        <v>2646000</v>
      </c>
      <c r="K71" s="253">
        <f>J71</f>
        <v>2646000</v>
      </c>
      <c r="L71" s="253"/>
      <c r="M71" s="304">
        <f t="shared" ref="M71:M77" si="21">IF(F71="pecunario",J71,0)</f>
        <v>2646000</v>
      </c>
      <c r="N71" s="304">
        <f t="shared" ref="N71:N77" si="22">IF(F71="valorizado",J71,0)</f>
        <v>0</v>
      </c>
      <c r="O71" s="335">
        <f t="shared" si="15"/>
        <v>4009.090909090909</v>
      </c>
      <c r="P71" s="196" t="s">
        <v>293</v>
      </c>
      <c r="Q71" s="196">
        <v>882</v>
      </c>
    </row>
    <row r="72" spans="2:17" ht="13.95" customHeight="1" thickBot="1">
      <c r="B72" s="505"/>
      <c r="C72" s="527"/>
      <c r="D72" s="530"/>
      <c r="E72" s="247" t="s">
        <v>250</v>
      </c>
      <c r="F72" s="240" t="s">
        <v>247</v>
      </c>
      <c r="G72" s="247" t="s">
        <v>141</v>
      </c>
      <c r="H72" s="218"/>
      <c r="I72" s="211"/>
      <c r="J72" s="253">
        <v>3000000</v>
      </c>
      <c r="K72" s="253"/>
      <c r="L72" s="253">
        <f>J72</f>
        <v>3000000</v>
      </c>
      <c r="M72" s="304">
        <f t="shared" si="21"/>
        <v>0</v>
      </c>
      <c r="N72" s="304">
        <f t="shared" si="22"/>
        <v>3000000</v>
      </c>
      <c r="O72" s="335">
        <f t="shared" si="15"/>
        <v>4545.454545454545</v>
      </c>
    </row>
    <row r="73" spans="2:17" ht="13.95" customHeight="1" thickBot="1">
      <c r="B73" s="505"/>
      <c r="C73" s="527"/>
      <c r="D73" s="530"/>
      <c r="E73" s="218"/>
      <c r="F73" s="240"/>
      <c r="G73" s="218"/>
      <c r="H73" s="218"/>
      <c r="I73" s="211"/>
      <c r="J73" s="253">
        <f t="shared" si="20"/>
        <v>0</v>
      </c>
      <c r="K73" s="253"/>
      <c r="L73" s="253"/>
      <c r="M73" s="304">
        <f t="shared" si="21"/>
        <v>0</v>
      </c>
      <c r="N73" s="304">
        <f t="shared" si="22"/>
        <v>0</v>
      </c>
      <c r="O73" s="335">
        <f t="shared" si="15"/>
        <v>0</v>
      </c>
    </row>
    <row r="74" spans="2:17" ht="13.95" customHeight="1" thickBot="1">
      <c r="B74" s="505"/>
      <c r="C74" s="527"/>
      <c r="D74" s="531"/>
      <c r="E74" s="218"/>
      <c r="F74" s="240"/>
      <c r="G74" s="218"/>
      <c r="H74" s="218"/>
      <c r="I74" s="218"/>
      <c r="J74" s="304">
        <f t="shared" si="20"/>
        <v>0</v>
      </c>
      <c r="K74" s="304"/>
      <c r="L74" s="304"/>
      <c r="M74" s="304">
        <f t="shared" si="21"/>
        <v>0</v>
      </c>
      <c r="N74" s="304">
        <f t="shared" si="22"/>
        <v>0</v>
      </c>
      <c r="O74" s="335">
        <f t="shared" si="15"/>
        <v>0</v>
      </c>
    </row>
    <row r="75" spans="2:17" ht="13.95" customHeight="1" thickBot="1">
      <c r="B75" s="505"/>
      <c r="C75" s="527"/>
      <c r="D75" s="529" t="s">
        <v>128</v>
      </c>
      <c r="E75" s="218"/>
      <c r="F75" s="240"/>
      <c r="G75" s="218"/>
      <c r="H75" s="218"/>
      <c r="I75" s="211"/>
      <c r="J75" s="253">
        <f t="shared" si="20"/>
        <v>0</v>
      </c>
      <c r="K75" s="253"/>
      <c r="L75" s="253"/>
      <c r="M75" s="304">
        <f t="shared" si="21"/>
        <v>0</v>
      </c>
      <c r="N75" s="304">
        <f t="shared" si="22"/>
        <v>0</v>
      </c>
      <c r="O75" s="335">
        <f t="shared" si="15"/>
        <v>0</v>
      </c>
    </row>
    <row r="76" spans="2:17" ht="13.95" customHeight="1" thickBot="1">
      <c r="B76" s="505"/>
      <c r="C76" s="527"/>
      <c r="D76" s="531"/>
      <c r="E76" s="218"/>
      <c r="F76" s="240"/>
      <c r="G76" s="218"/>
      <c r="H76" s="218"/>
      <c r="I76" s="211"/>
      <c r="J76" s="253">
        <f t="shared" si="20"/>
        <v>0</v>
      </c>
      <c r="K76" s="253"/>
      <c r="L76" s="253"/>
      <c r="M76" s="304">
        <f t="shared" si="21"/>
        <v>0</v>
      </c>
      <c r="N76" s="304">
        <f t="shared" si="22"/>
        <v>0</v>
      </c>
      <c r="O76" s="335">
        <f t="shared" si="15"/>
        <v>0</v>
      </c>
    </row>
    <row r="77" spans="2:17" ht="13.95" customHeight="1" thickBot="1">
      <c r="B77" s="505"/>
      <c r="C77" s="527"/>
      <c r="D77" s="250" t="s">
        <v>125</v>
      </c>
      <c r="E77" s="237" t="s">
        <v>192</v>
      </c>
      <c r="F77" s="240" t="s">
        <v>246</v>
      </c>
      <c r="G77" s="237" t="s">
        <v>191</v>
      </c>
      <c r="H77" s="218">
        <v>8</v>
      </c>
      <c r="I77" s="304">
        <v>15000</v>
      </c>
      <c r="J77" s="253">
        <f t="shared" si="20"/>
        <v>120000</v>
      </c>
      <c r="K77" s="253">
        <f>J77</f>
        <v>120000</v>
      </c>
      <c r="L77" s="253"/>
      <c r="M77" s="304">
        <f t="shared" si="21"/>
        <v>120000</v>
      </c>
      <c r="N77" s="304">
        <f t="shared" si="22"/>
        <v>0</v>
      </c>
      <c r="O77" s="336">
        <f t="shared" si="15"/>
        <v>181.81818181818181</v>
      </c>
    </row>
    <row r="78" spans="2:17" ht="13.8" thickBot="1">
      <c r="B78" s="506"/>
      <c r="C78" s="528"/>
      <c r="D78" s="507" t="s">
        <v>190</v>
      </c>
      <c r="E78" s="484"/>
      <c r="F78" s="484"/>
      <c r="G78" s="484"/>
      <c r="H78" s="484"/>
      <c r="I78" s="485"/>
      <c r="J78" s="252">
        <f>SUM(J70:J77)</f>
        <v>5766000</v>
      </c>
      <c r="K78" s="252">
        <f>SUM(K70:K77)</f>
        <v>2766000</v>
      </c>
      <c r="L78" s="252">
        <f>SUM(L70:L77)</f>
        <v>3000000</v>
      </c>
      <c r="M78" s="252">
        <f>SUM(M70:M77)</f>
        <v>2766000</v>
      </c>
      <c r="N78" s="252">
        <f>SUM(N70:N77)</f>
        <v>3000000</v>
      </c>
      <c r="O78" s="337">
        <f t="shared" si="15"/>
        <v>8736.363636363636</v>
      </c>
    </row>
    <row r="79" spans="2:17" ht="13.8" thickBot="1">
      <c r="B79" s="280"/>
      <c r="C79" s="281"/>
      <c r="D79" s="282"/>
      <c r="E79" s="282"/>
      <c r="F79" s="282"/>
      <c r="G79" s="508" t="s">
        <v>243</v>
      </c>
      <c r="H79" s="509"/>
      <c r="I79" s="510"/>
      <c r="J79" s="241">
        <f>J78+J69+J54+J39+J19</f>
        <v>40873849</v>
      </c>
      <c r="K79" s="241">
        <f t="shared" ref="K79:L79" si="23">K78+K69+K54+K39+K19</f>
        <v>11304889</v>
      </c>
      <c r="L79" s="241">
        <f t="shared" si="23"/>
        <v>29568960</v>
      </c>
      <c r="M79" s="241"/>
      <c r="N79" s="241"/>
      <c r="O79" s="337">
        <f t="shared" si="15"/>
        <v>61930.074242424242</v>
      </c>
    </row>
    <row r="80" spans="2:17" ht="33" customHeight="1" thickBot="1">
      <c r="B80" s="518"/>
      <c r="C80" s="519"/>
      <c r="O80" s="341"/>
    </row>
    <row r="81" spans="2:16" ht="16.05" customHeight="1" thickBot="1">
      <c r="B81" s="504" t="s">
        <v>189</v>
      </c>
      <c r="C81" s="480" t="s">
        <v>188</v>
      </c>
      <c r="D81" s="232" t="s">
        <v>133</v>
      </c>
      <c r="E81" s="225"/>
      <c r="F81" s="225"/>
      <c r="G81" s="240"/>
      <c r="H81" s="312"/>
      <c r="I81" s="312"/>
      <c r="J81" s="315"/>
      <c r="K81" s="275"/>
      <c r="L81" s="275"/>
      <c r="M81" s="359">
        <f>IF(F81="pecunario",J81,0)</f>
        <v>0</v>
      </c>
      <c r="N81" s="359">
        <f>IF(F81="valorizado",J81,0)</f>
        <v>0</v>
      </c>
      <c r="O81" s="342">
        <f t="shared" ref="O81:O112" si="24">J81/$Q$4</f>
        <v>0</v>
      </c>
    </row>
    <row r="82" spans="2:16" ht="16.05" customHeight="1" thickBot="1">
      <c r="B82" s="505"/>
      <c r="C82" s="481"/>
      <c r="D82" s="497" t="s">
        <v>129</v>
      </c>
      <c r="E82" s="216" t="s">
        <v>255</v>
      </c>
      <c r="F82" s="240" t="s">
        <v>247</v>
      </c>
      <c r="G82" s="247" t="s">
        <v>141</v>
      </c>
      <c r="H82" s="218">
        <v>1</v>
      </c>
      <c r="I82" s="304">
        <v>3000000</v>
      </c>
      <c r="J82" s="253">
        <f t="shared" ref="J82:J88" si="25">H82*I82</f>
        <v>3000000</v>
      </c>
      <c r="K82" s="253"/>
      <c r="L82" s="253">
        <f>J82</f>
        <v>3000000</v>
      </c>
      <c r="M82" s="304">
        <f t="shared" ref="M82:M88" si="26">IF(F82="pecunario",J82,0)</f>
        <v>0</v>
      </c>
      <c r="N82" s="304">
        <f t="shared" ref="N82:N88" si="27">IF(F82="valorizado",J82,0)</f>
        <v>3000000</v>
      </c>
      <c r="O82" s="335">
        <f t="shared" si="24"/>
        <v>4545.454545454545</v>
      </c>
    </row>
    <row r="83" spans="2:16" ht="16.05" customHeight="1" thickBot="1">
      <c r="B83" s="505"/>
      <c r="C83" s="481"/>
      <c r="D83" s="498"/>
      <c r="E83" s="220" t="s">
        <v>249</v>
      </c>
      <c r="F83" s="240" t="s">
        <v>246</v>
      </c>
      <c r="G83" s="247" t="s">
        <v>187</v>
      </c>
      <c r="H83" s="218">
        <v>2</v>
      </c>
      <c r="I83" s="304">
        <v>130000</v>
      </c>
      <c r="J83" s="253">
        <f t="shared" si="25"/>
        <v>260000</v>
      </c>
      <c r="K83" s="253">
        <f>J83</f>
        <v>260000</v>
      </c>
      <c r="L83" s="253"/>
      <c r="M83" s="304">
        <f t="shared" si="26"/>
        <v>260000</v>
      </c>
      <c r="N83" s="304">
        <f t="shared" si="27"/>
        <v>0</v>
      </c>
      <c r="O83" s="335">
        <f t="shared" si="24"/>
        <v>393.93939393939394</v>
      </c>
    </row>
    <row r="84" spans="2:16" ht="16.05" customHeight="1" thickBot="1">
      <c r="B84" s="505"/>
      <c r="C84" s="481"/>
      <c r="D84" s="498"/>
      <c r="E84" s="220" t="s">
        <v>186</v>
      </c>
      <c r="F84" s="240" t="s">
        <v>246</v>
      </c>
      <c r="G84" s="247" t="s">
        <v>185</v>
      </c>
      <c r="H84" s="218">
        <v>2</v>
      </c>
      <c r="I84" s="304">
        <v>50000</v>
      </c>
      <c r="J84" s="253">
        <f t="shared" si="25"/>
        <v>100000</v>
      </c>
      <c r="K84" s="253">
        <f t="shared" ref="K84:K86" si="28">J84</f>
        <v>100000</v>
      </c>
      <c r="L84" s="253"/>
      <c r="M84" s="304">
        <f t="shared" si="26"/>
        <v>100000</v>
      </c>
      <c r="N84" s="304">
        <f t="shared" si="27"/>
        <v>0</v>
      </c>
      <c r="O84" s="335">
        <f t="shared" si="24"/>
        <v>151.5151515151515</v>
      </c>
    </row>
    <row r="85" spans="2:16" ht="12" customHeight="1" thickBot="1">
      <c r="B85" s="505"/>
      <c r="C85" s="481"/>
      <c r="D85" s="498"/>
      <c r="E85" s="218" t="s">
        <v>184</v>
      </c>
      <c r="F85" s="240" t="s">
        <v>246</v>
      </c>
      <c r="G85" s="218" t="s">
        <v>169</v>
      </c>
      <c r="H85" s="218">
        <v>3</v>
      </c>
      <c r="I85" s="304">
        <v>40000</v>
      </c>
      <c r="J85" s="253">
        <f t="shared" si="25"/>
        <v>120000</v>
      </c>
      <c r="K85" s="253">
        <f t="shared" si="28"/>
        <v>120000</v>
      </c>
      <c r="L85" s="253"/>
      <c r="M85" s="304">
        <f t="shared" si="26"/>
        <v>120000</v>
      </c>
      <c r="N85" s="304">
        <f t="shared" si="27"/>
        <v>0</v>
      </c>
      <c r="O85" s="335">
        <f t="shared" si="24"/>
        <v>181.81818181818181</v>
      </c>
    </row>
    <row r="86" spans="2:16" ht="12" customHeight="1" thickBot="1">
      <c r="B86" s="505"/>
      <c r="C86" s="481"/>
      <c r="D86" s="499"/>
      <c r="E86" s="218" t="s">
        <v>183</v>
      </c>
      <c r="F86" s="240" t="s">
        <v>246</v>
      </c>
      <c r="G86" s="218" t="s">
        <v>169</v>
      </c>
      <c r="H86" s="218">
        <v>3</v>
      </c>
      <c r="I86" s="304">
        <v>25000</v>
      </c>
      <c r="J86" s="253">
        <f t="shared" si="25"/>
        <v>75000</v>
      </c>
      <c r="K86" s="253">
        <f t="shared" si="28"/>
        <v>75000</v>
      </c>
      <c r="L86" s="253"/>
      <c r="M86" s="304">
        <f t="shared" si="26"/>
        <v>75000</v>
      </c>
      <c r="N86" s="304">
        <f t="shared" si="27"/>
        <v>0</v>
      </c>
      <c r="O86" s="335">
        <f t="shared" si="24"/>
        <v>113.63636363636364</v>
      </c>
    </row>
    <row r="87" spans="2:16" ht="12" customHeight="1" thickBot="1">
      <c r="B87" s="505"/>
      <c r="C87" s="481"/>
      <c r="D87" s="231" t="s">
        <v>128</v>
      </c>
      <c r="E87" s="216"/>
      <c r="F87" s="240" t="s">
        <v>246</v>
      </c>
      <c r="G87" s="218" t="s">
        <v>182</v>
      </c>
      <c r="H87" s="218">
        <v>1000</v>
      </c>
      <c r="I87" s="304">
        <v>0</v>
      </c>
      <c r="J87" s="253">
        <f t="shared" si="25"/>
        <v>0</v>
      </c>
      <c r="K87" s="304">
        <f>J87</f>
        <v>0</v>
      </c>
      <c r="L87" s="304"/>
      <c r="M87" s="304">
        <f t="shared" si="26"/>
        <v>0</v>
      </c>
      <c r="N87" s="304">
        <f t="shared" si="27"/>
        <v>0</v>
      </c>
      <c r="O87" s="335">
        <f t="shared" si="24"/>
        <v>0</v>
      </c>
    </row>
    <row r="88" spans="2:16" ht="12" customHeight="1" thickBot="1">
      <c r="B88" s="505"/>
      <c r="C88" s="481"/>
      <c r="D88" s="316" t="s">
        <v>125</v>
      </c>
      <c r="E88" s="235"/>
      <c r="F88" s="317"/>
      <c r="G88" s="246"/>
      <c r="H88" s="246"/>
      <c r="I88" s="246"/>
      <c r="J88" s="308">
        <f t="shared" si="25"/>
        <v>0</v>
      </c>
      <c r="K88" s="308"/>
      <c r="L88" s="308"/>
      <c r="M88" s="310">
        <f t="shared" si="26"/>
        <v>0</v>
      </c>
      <c r="N88" s="310">
        <f t="shared" si="27"/>
        <v>0</v>
      </c>
      <c r="O88" s="336">
        <f t="shared" si="24"/>
        <v>0</v>
      </c>
    </row>
    <row r="89" spans="2:16" ht="13.8" thickBot="1">
      <c r="B89" s="505"/>
      <c r="C89" s="482"/>
      <c r="D89" s="477" t="s">
        <v>181</v>
      </c>
      <c r="E89" s="478"/>
      <c r="F89" s="478"/>
      <c r="G89" s="478"/>
      <c r="H89" s="478"/>
      <c r="I89" s="479"/>
      <c r="J89" s="241">
        <f>SUM(J81:J88)</f>
        <v>3555000</v>
      </c>
      <c r="K89" s="241">
        <f>SUM(K81:K88)</f>
        <v>555000</v>
      </c>
      <c r="L89" s="241">
        <f>SUM(L81:L88)</f>
        <v>3000000</v>
      </c>
      <c r="M89" s="241">
        <f>SUM(M81:M88)</f>
        <v>555000</v>
      </c>
      <c r="N89" s="241">
        <f>SUM(N81:N88)</f>
        <v>3000000</v>
      </c>
      <c r="O89" s="343">
        <f t="shared" si="24"/>
        <v>5386.363636363636</v>
      </c>
    </row>
    <row r="90" spans="2:16" ht="12" customHeight="1" thickBot="1">
      <c r="B90" s="505"/>
      <c r="C90" s="513" t="s">
        <v>180</v>
      </c>
      <c r="D90" s="318" t="s">
        <v>133</v>
      </c>
      <c r="E90" s="220"/>
      <c r="F90" s="220"/>
      <c r="G90" s="220"/>
      <c r="H90" s="220"/>
      <c r="I90" s="220"/>
      <c r="J90" s="220"/>
      <c r="K90" s="220"/>
      <c r="L90" s="220"/>
      <c r="M90" s="307">
        <f>IF(F90="pecunario",J90,0)</f>
        <v>0</v>
      </c>
      <c r="N90" s="307">
        <f>IF(F90="valorizado",J90,0)</f>
        <v>0</v>
      </c>
      <c r="O90" s="338">
        <f t="shared" si="24"/>
        <v>0</v>
      </c>
    </row>
    <row r="91" spans="2:16" ht="12" customHeight="1" thickBot="1">
      <c r="B91" s="505"/>
      <c r="C91" s="514"/>
      <c r="D91" s="497" t="s">
        <v>129</v>
      </c>
      <c r="E91" s="220" t="s">
        <v>179</v>
      </c>
      <c r="F91" s="225" t="s">
        <v>246</v>
      </c>
      <c r="G91" s="220" t="s">
        <v>169</v>
      </c>
      <c r="H91" s="220">
        <v>2</v>
      </c>
      <c r="I91" s="211">
        <v>180000</v>
      </c>
      <c r="J91" s="253">
        <f t="shared" ref="J91:J101" si="29">H91*I91</f>
        <v>360000</v>
      </c>
      <c r="K91" s="253">
        <f>J91</f>
        <v>360000</v>
      </c>
      <c r="L91" s="253"/>
      <c r="M91" s="253">
        <f t="shared" ref="M91:M101" si="30">IF(F91="pecunario",J91,0)</f>
        <v>360000</v>
      </c>
      <c r="N91" s="253">
        <f t="shared" ref="N91:N101" si="31">IF(F91="valorizado",J91,0)</f>
        <v>0</v>
      </c>
      <c r="O91" s="335">
        <f t="shared" si="24"/>
        <v>545.4545454545455</v>
      </c>
    </row>
    <row r="92" spans="2:16" ht="12" customHeight="1" thickBot="1">
      <c r="B92" s="505"/>
      <c r="C92" s="514"/>
      <c r="D92" s="498"/>
      <c r="E92" s="220" t="s">
        <v>178</v>
      </c>
      <c r="F92" s="225" t="s">
        <v>246</v>
      </c>
      <c r="G92" s="220" t="s">
        <v>169</v>
      </c>
      <c r="H92" s="220">
        <v>2</v>
      </c>
      <c r="I92" s="211">
        <v>180000</v>
      </c>
      <c r="J92" s="253">
        <f t="shared" si="29"/>
        <v>360000</v>
      </c>
      <c r="K92" s="253">
        <f t="shared" ref="K92:K98" si="32">J92</f>
        <v>360000</v>
      </c>
      <c r="L92" s="253"/>
      <c r="M92" s="253">
        <f t="shared" si="30"/>
        <v>360000</v>
      </c>
      <c r="N92" s="253">
        <f t="shared" si="31"/>
        <v>0</v>
      </c>
      <c r="O92" s="335">
        <f t="shared" si="24"/>
        <v>545.4545454545455</v>
      </c>
      <c r="P92" s="196" t="s">
        <v>177</v>
      </c>
    </row>
    <row r="93" spans="2:16" ht="12" customHeight="1" thickBot="1">
      <c r="B93" s="505"/>
      <c r="C93" s="514"/>
      <c r="D93" s="498"/>
      <c r="E93" s="220" t="s">
        <v>176</v>
      </c>
      <c r="F93" s="225" t="s">
        <v>246</v>
      </c>
      <c r="G93" s="220" t="s">
        <v>172</v>
      </c>
      <c r="H93" s="220">
        <v>20</v>
      </c>
      <c r="I93" s="211">
        <v>20000</v>
      </c>
      <c r="J93" s="253">
        <f t="shared" si="29"/>
        <v>400000</v>
      </c>
      <c r="K93" s="253">
        <f t="shared" si="32"/>
        <v>400000</v>
      </c>
      <c r="L93" s="253"/>
      <c r="M93" s="253">
        <f t="shared" si="30"/>
        <v>400000</v>
      </c>
      <c r="N93" s="253">
        <f t="shared" si="31"/>
        <v>0</v>
      </c>
      <c r="O93" s="335">
        <f t="shared" si="24"/>
        <v>606.06060606060601</v>
      </c>
      <c r="P93" s="196" t="s">
        <v>318</v>
      </c>
    </row>
    <row r="94" spans="2:16" ht="12" customHeight="1" thickBot="1">
      <c r="B94" s="505"/>
      <c r="C94" s="514"/>
      <c r="D94" s="498"/>
      <c r="E94" s="220" t="s">
        <v>175</v>
      </c>
      <c r="F94" s="225" t="s">
        <v>246</v>
      </c>
      <c r="G94" s="220" t="s">
        <v>172</v>
      </c>
      <c r="H94" s="220">
        <v>20</v>
      </c>
      <c r="I94" s="211">
        <v>20000</v>
      </c>
      <c r="J94" s="253">
        <f t="shared" si="29"/>
        <v>400000</v>
      </c>
      <c r="K94" s="253">
        <f t="shared" si="32"/>
        <v>400000</v>
      </c>
      <c r="L94" s="253"/>
      <c r="M94" s="253">
        <f t="shared" si="30"/>
        <v>400000</v>
      </c>
      <c r="N94" s="253">
        <f t="shared" si="31"/>
        <v>0</v>
      </c>
      <c r="O94" s="335">
        <f t="shared" si="24"/>
        <v>606.06060606060601</v>
      </c>
      <c r="P94" s="196" t="s">
        <v>319</v>
      </c>
    </row>
    <row r="95" spans="2:16" ht="12" customHeight="1" thickBot="1">
      <c r="B95" s="505"/>
      <c r="C95" s="514"/>
      <c r="D95" s="498"/>
      <c r="E95" s="220" t="s">
        <v>174</v>
      </c>
      <c r="F95" s="225" t="s">
        <v>246</v>
      </c>
      <c r="G95" s="220" t="s">
        <v>172</v>
      </c>
      <c r="H95" s="220">
        <v>20</v>
      </c>
      <c r="I95" s="211">
        <v>15000</v>
      </c>
      <c r="J95" s="253">
        <f t="shared" si="29"/>
        <v>300000</v>
      </c>
      <c r="K95" s="253">
        <f t="shared" si="32"/>
        <v>300000</v>
      </c>
      <c r="L95" s="253"/>
      <c r="M95" s="253">
        <f t="shared" si="30"/>
        <v>300000</v>
      </c>
      <c r="N95" s="253">
        <f t="shared" si="31"/>
        <v>0</v>
      </c>
      <c r="O95" s="335">
        <f t="shared" si="24"/>
        <v>454.54545454545456</v>
      </c>
    </row>
    <row r="96" spans="2:16" ht="12" customHeight="1" thickBot="1">
      <c r="B96" s="505"/>
      <c r="C96" s="514"/>
      <c r="D96" s="498"/>
      <c r="E96" s="220" t="s">
        <v>173</v>
      </c>
      <c r="F96" s="225" t="s">
        <v>246</v>
      </c>
      <c r="G96" s="220" t="s">
        <v>172</v>
      </c>
      <c r="H96" s="220">
        <v>20</v>
      </c>
      <c r="I96" s="211">
        <v>15000</v>
      </c>
      <c r="J96" s="253">
        <f t="shared" si="29"/>
        <v>300000</v>
      </c>
      <c r="K96" s="253">
        <f t="shared" si="32"/>
        <v>300000</v>
      </c>
      <c r="L96" s="253"/>
      <c r="M96" s="253">
        <f t="shared" si="30"/>
        <v>300000</v>
      </c>
      <c r="N96" s="253">
        <f t="shared" si="31"/>
        <v>0</v>
      </c>
      <c r="O96" s="335">
        <f t="shared" si="24"/>
        <v>454.54545454545456</v>
      </c>
    </row>
    <row r="97" spans="2:16" ht="13.8" thickBot="1">
      <c r="B97" s="505"/>
      <c r="C97" s="514"/>
      <c r="D97" s="498"/>
      <c r="E97" s="216" t="s">
        <v>171</v>
      </c>
      <c r="F97" s="225" t="s">
        <v>246</v>
      </c>
      <c r="G97" s="216" t="s">
        <v>169</v>
      </c>
      <c r="H97" s="216">
        <v>2</v>
      </c>
      <c r="I97" s="211">
        <v>35000</v>
      </c>
      <c r="J97" s="253">
        <f t="shared" si="29"/>
        <v>70000</v>
      </c>
      <c r="K97" s="253">
        <f t="shared" si="32"/>
        <v>70000</v>
      </c>
      <c r="L97" s="253"/>
      <c r="M97" s="253">
        <f t="shared" si="30"/>
        <v>70000</v>
      </c>
      <c r="N97" s="253">
        <f t="shared" si="31"/>
        <v>0</v>
      </c>
      <c r="O97" s="335">
        <f t="shared" si="24"/>
        <v>106.06060606060606</v>
      </c>
    </row>
    <row r="98" spans="2:16" ht="13.8" thickBot="1">
      <c r="B98" s="505"/>
      <c r="C98" s="514"/>
      <c r="D98" s="498"/>
      <c r="E98" s="216" t="s">
        <v>170</v>
      </c>
      <c r="F98" s="225" t="s">
        <v>246</v>
      </c>
      <c r="G98" s="216" t="s">
        <v>169</v>
      </c>
      <c r="H98" s="216">
        <v>2</v>
      </c>
      <c r="I98" s="211">
        <v>35000</v>
      </c>
      <c r="J98" s="253">
        <f t="shared" si="29"/>
        <v>70000</v>
      </c>
      <c r="K98" s="253">
        <f t="shared" si="32"/>
        <v>70000</v>
      </c>
      <c r="L98" s="253"/>
      <c r="M98" s="253">
        <f t="shared" si="30"/>
        <v>70000</v>
      </c>
      <c r="N98" s="253">
        <f t="shared" si="31"/>
        <v>0</v>
      </c>
      <c r="O98" s="335">
        <f t="shared" si="24"/>
        <v>106.06060606060606</v>
      </c>
    </row>
    <row r="99" spans="2:16" ht="13.8" thickBot="1">
      <c r="B99" s="505"/>
      <c r="C99" s="514"/>
      <c r="D99" s="499"/>
      <c r="E99" s="216"/>
      <c r="F99" s="225"/>
      <c r="G99" s="216"/>
      <c r="H99" s="216"/>
      <c r="I99" s="211"/>
      <c r="J99" s="253">
        <f t="shared" si="29"/>
        <v>0</v>
      </c>
      <c r="K99" s="253"/>
      <c r="L99" s="253"/>
      <c r="M99" s="253">
        <f t="shared" si="30"/>
        <v>0</v>
      </c>
      <c r="N99" s="253">
        <f t="shared" si="31"/>
        <v>0</v>
      </c>
      <c r="O99" s="335">
        <f t="shared" si="24"/>
        <v>0</v>
      </c>
    </row>
    <row r="100" spans="2:16" ht="13.8" thickBot="1">
      <c r="B100" s="505"/>
      <c r="C100" s="514"/>
      <c r="D100" s="231" t="s">
        <v>128</v>
      </c>
      <c r="E100" s="216"/>
      <c r="F100" s="225"/>
      <c r="G100" s="216"/>
      <c r="H100" s="216"/>
      <c r="I100" s="216"/>
      <c r="J100" s="253">
        <f t="shared" si="29"/>
        <v>0</v>
      </c>
      <c r="K100" s="253"/>
      <c r="L100" s="253"/>
      <c r="M100" s="253">
        <f t="shared" si="30"/>
        <v>0</v>
      </c>
      <c r="N100" s="253">
        <f t="shared" si="31"/>
        <v>0</v>
      </c>
      <c r="O100" s="335">
        <f t="shared" si="24"/>
        <v>0</v>
      </c>
    </row>
    <row r="101" spans="2:16" ht="27" thickBot="1">
      <c r="B101" s="505"/>
      <c r="C101" s="514"/>
      <c r="D101" s="316" t="s">
        <v>125</v>
      </c>
      <c r="E101" s="235"/>
      <c r="F101" s="317"/>
      <c r="G101" s="235"/>
      <c r="H101" s="235"/>
      <c r="I101" s="235"/>
      <c r="J101" s="308">
        <f t="shared" si="29"/>
        <v>0</v>
      </c>
      <c r="K101" s="308"/>
      <c r="L101" s="308"/>
      <c r="M101" s="308">
        <f t="shared" si="30"/>
        <v>0</v>
      </c>
      <c r="N101" s="308">
        <f t="shared" si="31"/>
        <v>0</v>
      </c>
      <c r="O101" s="336">
        <f t="shared" si="24"/>
        <v>0</v>
      </c>
    </row>
    <row r="102" spans="2:16" ht="13.8" thickBot="1">
      <c r="B102" s="505"/>
      <c r="C102" s="482"/>
      <c r="D102" s="477" t="s">
        <v>168</v>
      </c>
      <c r="E102" s="478"/>
      <c r="F102" s="478"/>
      <c r="G102" s="478"/>
      <c r="H102" s="478"/>
      <c r="I102" s="479"/>
      <c r="J102" s="241">
        <f>SUM(J90:J101)</f>
        <v>2260000</v>
      </c>
      <c r="K102" s="241">
        <f>SUM(K90:K101)</f>
        <v>2260000</v>
      </c>
      <c r="L102" s="241">
        <f>SUM(L90:L101)</f>
        <v>0</v>
      </c>
      <c r="M102" s="241">
        <f>SUM(M90:M101)</f>
        <v>2260000</v>
      </c>
      <c r="N102" s="241">
        <f>SUM(N90:N101)</f>
        <v>0</v>
      </c>
      <c r="O102" s="337">
        <f t="shared" si="24"/>
        <v>3424.242424242424</v>
      </c>
      <c r="P102" s="196" t="s">
        <v>136</v>
      </c>
    </row>
    <row r="103" spans="2:16" ht="13.8" thickBot="1">
      <c r="B103" s="505"/>
      <c r="C103" s="480" t="s">
        <v>167</v>
      </c>
      <c r="D103" s="232" t="s">
        <v>133</v>
      </c>
      <c r="E103" s="225"/>
      <c r="F103" s="225"/>
      <c r="G103" s="225"/>
      <c r="H103" s="225"/>
      <c r="I103" s="225"/>
      <c r="J103" s="249"/>
      <c r="K103" s="274"/>
      <c r="L103" s="220"/>
      <c r="M103" s="307">
        <f>IF(F103="pecunario",J103,0)</f>
        <v>0</v>
      </c>
      <c r="N103" s="307">
        <f>IF(F103="valorizado",J103,0)</f>
        <v>0</v>
      </c>
      <c r="O103" s="338">
        <f t="shared" si="24"/>
        <v>0</v>
      </c>
    </row>
    <row r="104" spans="2:16" ht="13.8" thickBot="1">
      <c r="B104" s="505"/>
      <c r="C104" s="481"/>
      <c r="D104" s="498"/>
      <c r="E104" s="220"/>
      <c r="F104" s="225"/>
      <c r="G104" s="220"/>
      <c r="H104" s="220">
        <v>0</v>
      </c>
      <c r="I104" s="211">
        <v>0</v>
      </c>
      <c r="J104" s="244">
        <f>H104*I104</f>
        <v>0</v>
      </c>
      <c r="K104" s="273"/>
      <c r="L104" s="253"/>
      <c r="M104" s="253">
        <f t="shared" ref="M104:M108" si="33">IF(F104="pecunario",J104,0)</f>
        <v>0</v>
      </c>
      <c r="N104" s="253">
        <f t="shared" ref="N104:N108" si="34">IF(F104="valorizado",J104,0)</f>
        <v>0</v>
      </c>
      <c r="O104" s="335">
        <f t="shared" si="24"/>
        <v>0</v>
      </c>
    </row>
    <row r="105" spans="2:16" ht="12" customHeight="1" thickBot="1">
      <c r="B105" s="505"/>
      <c r="C105" s="481"/>
      <c r="D105" s="499"/>
      <c r="E105" s="216"/>
      <c r="F105" s="225"/>
      <c r="G105" s="216"/>
      <c r="H105" s="216">
        <v>0</v>
      </c>
      <c r="I105" s="211">
        <v>0</v>
      </c>
      <c r="J105" s="244">
        <f>H105*I105</f>
        <v>0</v>
      </c>
      <c r="K105" s="273"/>
      <c r="L105" s="253"/>
      <c r="M105" s="253">
        <f t="shared" si="33"/>
        <v>0</v>
      </c>
      <c r="N105" s="253">
        <f t="shared" si="34"/>
        <v>0</v>
      </c>
      <c r="O105" s="335">
        <f t="shared" si="24"/>
        <v>0</v>
      </c>
    </row>
    <row r="106" spans="2:16" ht="12" customHeight="1" thickBot="1">
      <c r="B106" s="505"/>
      <c r="C106" s="481"/>
      <c r="D106" s="497" t="s">
        <v>128</v>
      </c>
      <c r="E106" s="218"/>
      <c r="F106" s="225"/>
      <c r="G106" s="218"/>
      <c r="H106" s="218">
        <v>0</v>
      </c>
      <c r="I106" s="211">
        <v>0</v>
      </c>
      <c r="J106" s="244">
        <f>H106*I106</f>
        <v>0</v>
      </c>
      <c r="K106" s="273"/>
      <c r="L106" s="253"/>
      <c r="M106" s="253">
        <f t="shared" si="33"/>
        <v>0</v>
      </c>
      <c r="N106" s="253">
        <f t="shared" si="34"/>
        <v>0</v>
      </c>
      <c r="O106" s="335">
        <f t="shared" si="24"/>
        <v>0</v>
      </c>
    </row>
    <row r="107" spans="2:16" ht="12" customHeight="1" thickBot="1">
      <c r="B107" s="505"/>
      <c r="C107" s="481"/>
      <c r="D107" s="499"/>
      <c r="E107" s="218"/>
      <c r="F107" s="225"/>
      <c r="G107" s="218"/>
      <c r="H107" s="218">
        <v>0</v>
      </c>
      <c r="I107" s="211">
        <v>0</v>
      </c>
      <c r="J107" s="244">
        <f>H107*I107</f>
        <v>0</v>
      </c>
      <c r="K107" s="273"/>
      <c r="L107" s="253"/>
      <c r="M107" s="253">
        <f t="shared" si="33"/>
        <v>0</v>
      </c>
      <c r="N107" s="253">
        <f t="shared" si="34"/>
        <v>0</v>
      </c>
      <c r="O107" s="335">
        <f t="shared" si="24"/>
        <v>0</v>
      </c>
    </row>
    <row r="108" spans="2:16" ht="12" customHeight="1" thickBot="1">
      <c r="B108" s="505"/>
      <c r="C108" s="481"/>
      <c r="D108" s="229" t="s">
        <v>125</v>
      </c>
      <c r="E108" s="228"/>
      <c r="F108" s="225"/>
      <c r="G108" s="228"/>
      <c r="H108" s="228"/>
      <c r="I108" s="228"/>
      <c r="J108" s="248"/>
      <c r="K108" s="274"/>
      <c r="L108" s="235"/>
      <c r="M108" s="308">
        <f t="shared" si="33"/>
        <v>0</v>
      </c>
      <c r="N108" s="308">
        <f t="shared" si="34"/>
        <v>0</v>
      </c>
      <c r="O108" s="336">
        <f t="shared" si="24"/>
        <v>0</v>
      </c>
    </row>
    <row r="109" spans="2:16" ht="13.8" thickBot="1">
      <c r="B109" s="505"/>
      <c r="C109" s="482"/>
      <c r="D109" s="507" t="s">
        <v>166</v>
      </c>
      <c r="E109" s="484"/>
      <c r="F109" s="484"/>
      <c r="G109" s="484"/>
      <c r="H109" s="484"/>
      <c r="I109" s="485"/>
      <c r="J109" s="241">
        <f>SUM(J103:J108)</f>
        <v>0</v>
      </c>
      <c r="K109" s="241">
        <f>SUM(K103:K108)</f>
        <v>0</v>
      </c>
      <c r="L109" s="241">
        <f>SUM(L103:L108)</f>
        <v>0</v>
      </c>
      <c r="M109" s="241">
        <f>SUM(M103:M108)</f>
        <v>0</v>
      </c>
      <c r="N109" s="241">
        <f>SUM(N103:N108)</f>
        <v>0</v>
      </c>
      <c r="O109" s="337">
        <f t="shared" si="24"/>
        <v>0</v>
      </c>
    </row>
    <row r="110" spans="2:16" ht="12" customHeight="1" thickBot="1">
      <c r="B110" s="505"/>
      <c r="C110" s="480" t="s">
        <v>165</v>
      </c>
      <c r="D110" s="232" t="s">
        <v>133</v>
      </c>
      <c r="E110" s="225"/>
      <c r="F110" s="225"/>
      <c r="G110" s="225"/>
      <c r="H110" s="225"/>
      <c r="I110" s="240"/>
      <c r="J110" s="247"/>
      <c r="K110" s="247"/>
      <c r="L110" s="247"/>
      <c r="M110" s="356">
        <f>IF(F110="pecunario",J110,0)</f>
        <v>0</v>
      </c>
      <c r="N110" s="305">
        <f>IF(F110="valorizado",J110,0)</f>
        <v>0</v>
      </c>
      <c r="O110" s="338">
        <f t="shared" si="24"/>
        <v>0</v>
      </c>
    </row>
    <row r="111" spans="2:16" ht="12" customHeight="1" thickBot="1">
      <c r="B111" s="505"/>
      <c r="C111" s="481"/>
      <c r="D111" s="497" t="s">
        <v>129</v>
      </c>
      <c r="E111" s="220" t="s">
        <v>164</v>
      </c>
      <c r="F111" s="225" t="s">
        <v>246</v>
      </c>
      <c r="G111" s="220" t="s">
        <v>163</v>
      </c>
      <c r="H111" s="220">
        <v>1</v>
      </c>
      <c r="I111" s="247">
        <v>2600000</v>
      </c>
      <c r="J111" s="253">
        <f t="shared" ref="J111:J118" si="35">H111*I111</f>
        <v>2600000</v>
      </c>
      <c r="K111" s="253">
        <f>J111</f>
        <v>2600000</v>
      </c>
      <c r="L111" s="253"/>
      <c r="M111" s="357">
        <f t="shared" ref="M111:M118" si="36">IF(F111="pecunario",J111,0)</f>
        <v>2600000</v>
      </c>
      <c r="N111" s="304">
        <f t="shared" ref="N111:N118" si="37">IF(F111="valorizado",J111,0)</f>
        <v>0</v>
      </c>
      <c r="O111" s="335">
        <f t="shared" si="24"/>
        <v>3939.3939393939395</v>
      </c>
    </row>
    <row r="112" spans="2:16" ht="12" customHeight="1" thickBot="1">
      <c r="B112" s="505"/>
      <c r="C112" s="481"/>
      <c r="D112" s="498"/>
      <c r="E112" s="220"/>
      <c r="F112" s="225"/>
      <c r="G112" s="220"/>
      <c r="H112" s="220"/>
      <c r="I112" s="247"/>
      <c r="J112" s="253">
        <f t="shared" si="35"/>
        <v>0</v>
      </c>
      <c r="K112" s="253"/>
      <c r="L112" s="253"/>
      <c r="M112" s="357">
        <f t="shared" si="36"/>
        <v>0</v>
      </c>
      <c r="N112" s="304">
        <f t="shared" si="37"/>
        <v>0</v>
      </c>
      <c r="O112" s="335">
        <f t="shared" si="24"/>
        <v>0</v>
      </c>
    </row>
    <row r="113" spans="2:17" ht="12" customHeight="1" thickBot="1">
      <c r="B113" s="505"/>
      <c r="C113" s="481"/>
      <c r="D113" s="498"/>
      <c r="E113" s="220"/>
      <c r="F113" s="225"/>
      <c r="G113" s="220" t="s">
        <v>162</v>
      </c>
      <c r="H113" s="220"/>
      <c r="I113" s="247"/>
      <c r="J113" s="253">
        <f t="shared" si="35"/>
        <v>0</v>
      </c>
      <c r="K113" s="253"/>
      <c r="L113" s="253"/>
      <c r="M113" s="357">
        <f t="shared" si="36"/>
        <v>0</v>
      </c>
      <c r="N113" s="304">
        <f t="shared" si="37"/>
        <v>0</v>
      </c>
      <c r="O113" s="335">
        <f t="shared" ref="O113:O139" si="38">J113/$Q$4</f>
        <v>0</v>
      </c>
    </row>
    <row r="114" spans="2:17" ht="12" customHeight="1" thickBot="1">
      <c r="B114" s="505"/>
      <c r="C114" s="481"/>
      <c r="D114" s="498"/>
      <c r="E114" s="220" t="s">
        <v>161</v>
      </c>
      <c r="F114" s="225" t="s">
        <v>246</v>
      </c>
      <c r="G114" s="220" t="s">
        <v>160</v>
      </c>
      <c r="H114" s="220">
        <v>3</v>
      </c>
      <c r="I114" s="247">
        <v>50000</v>
      </c>
      <c r="J114" s="253">
        <f t="shared" si="35"/>
        <v>150000</v>
      </c>
      <c r="K114" s="253">
        <f>J114</f>
        <v>150000</v>
      </c>
      <c r="L114" s="253"/>
      <c r="M114" s="357">
        <f t="shared" si="36"/>
        <v>150000</v>
      </c>
      <c r="N114" s="304">
        <f t="shared" si="37"/>
        <v>0</v>
      </c>
      <c r="O114" s="335">
        <f t="shared" si="38"/>
        <v>227.27272727272728</v>
      </c>
    </row>
    <row r="115" spans="2:17" ht="12" customHeight="1" thickBot="1">
      <c r="B115" s="505"/>
      <c r="C115" s="481"/>
      <c r="D115" s="499"/>
      <c r="E115" s="216" t="s">
        <v>159</v>
      </c>
      <c r="F115" s="225" t="s">
        <v>246</v>
      </c>
      <c r="G115" s="216" t="s">
        <v>158</v>
      </c>
      <c r="H115" s="216">
        <v>3</v>
      </c>
      <c r="I115" s="218">
        <v>22000</v>
      </c>
      <c r="J115" s="253">
        <f t="shared" si="35"/>
        <v>66000</v>
      </c>
      <c r="K115" s="253">
        <f>J115</f>
        <v>66000</v>
      </c>
      <c r="L115" s="253"/>
      <c r="M115" s="357">
        <f t="shared" si="36"/>
        <v>66000</v>
      </c>
      <c r="N115" s="304">
        <f t="shared" si="37"/>
        <v>0</v>
      </c>
      <c r="O115" s="335">
        <f t="shared" si="38"/>
        <v>100</v>
      </c>
    </row>
    <row r="116" spans="2:17" ht="12" customHeight="1" thickBot="1">
      <c r="B116" s="505"/>
      <c r="C116" s="481"/>
      <c r="D116" s="497" t="s">
        <v>128</v>
      </c>
      <c r="E116" s="216"/>
      <c r="F116" s="225"/>
      <c r="G116" s="216"/>
      <c r="H116" s="216"/>
      <c r="I116" s="218"/>
      <c r="J116" s="253">
        <f t="shared" si="35"/>
        <v>0</v>
      </c>
      <c r="K116" s="253"/>
      <c r="L116" s="253"/>
      <c r="M116" s="357">
        <f t="shared" si="36"/>
        <v>0</v>
      </c>
      <c r="N116" s="304">
        <f t="shared" si="37"/>
        <v>0</v>
      </c>
      <c r="O116" s="335">
        <f t="shared" si="38"/>
        <v>0</v>
      </c>
    </row>
    <row r="117" spans="2:17" ht="12" customHeight="1" thickBot="1">
      <c r="B117" s="505"/>
      <c r="C117" s="481"/>
      <c r="D117" s="499"/>
      <c r="E117" s="235"/>
      <c r="F117" s="225"/>
      <c r="G117" s="235"/>
      <c r="H117" s="235"/>
      <c r="I117" s="246"/>
      <c r="J117" s="253">
        <f t="shared" si="35"/>
        <v>0</v>
      </c>
      <c r="K117" s="253"/>
      <c r="L117" s="253"/>
      <c r="M117" s="357">
        <f t="shared" si="36"/>
        <v>0</v>
      </c>
      <c r="N117" s="304">
        <f t="shared" si="37"/>
        <v>0</v>
      </c>
      <c r="O117" s="335">
        <f t="shared" si="38"/>
        <v>0</v>
      </c>
      <c r="Q117" s="245"/>
    </row>
    <row r="118" spans="2:17" ht="12" customHeight="1" thickBot="1">
      <c r="B118" s="505"/>
      <c r="C118" s="481"/>
      <c r="D118" s="229" t="s">
        <v>125</v>
      </c>
      <c r="E118" s="228"/>
      <c r="F118" s="225"/>
      <c r="G118" s="228"/>
      <c r="H118" s="228"/>
      <c r="I118" s="228"/>
      <c r="J118" s="308">
        <f t="shared" si="35"/>
        <v>0</v>
      </c>
      <c r="K118" s="308"/>
      <c r="L118" s="308"/>
      <c r="M118" s="358">
        <f t="shared" si="36"/>
        <v>0</v>
      </c>
      <c r="N118" s="310">
        <f t="shared" si="37"/>
        <v>0</v>
      </c>
      <c r="O118" s="335">
        <f t="shared" si="38"/>
        <v>0</v>
      </c>
    </row>
    <row r="119" spans="2:17" ht="12" customHeight="1" thickBot="1">
      <c r="B119" s="505"/>
      <c r="C119" s="482"/>
      <c r="D119" s="507" t="s">
        <v>157</v>
      </c>
      <c r="E119" s="484"/>
      <c r="F119" s="484"/>
      <c r="G119" s="484"/>
      <c r="H119" s="484"/>
      <c r="I119" s="485"/>
      <c r="J119" s="241">
        <f>SUM(J110:J118)</f>
        <v>2816000</v>
      </c>
      <c r="K119" s="241">
        <f>SUM(K110:K118)</f>
        <v>2816000</v>
      </c>
      <c r="L119" s="241">
        <f>SUM(L110:L118)</f>
        <v>0</v>
      </c>
      <c r="M119" s="241">
        <f>SUM(M110:M118)</f>
        <v>2816000</v>
      </c>
      <c r="N119" s="241">
        <f>SUM(N110:N118)</f>
        <v>0</v>
      </c>
      <c r="O119" s="340">
        <f t="shared" si="38"/>
        <v>4266.666666666667</v>
      </c>
      <c r="P119" s="196" t="s">
        <v>136</v>
      </c>
    </row>
    <row r="120" spans="2:17" ht="12" customHeight="1" thickBot="1">
      <c r="B120" s="505"/>
      <c r="C120" s="480" t="s">
        <v>156</v>
      </c>
      <c r="D120" s="515" t="s">
        <v>133</v>
      </c>
      <c r="E120" s="225"/>
      <c r="F120" s="225"/>
      <c r="G120" s="225"/>
      <c r="H120" s="225">
        <v>0</v>
      </c>
      <c r="I120" s="211">
        <v>0</v>
      </c>
      <c r="J120" s="307">
        <f t="shared" ref="J120:J128" si="39">H120*I120</f>
        <v>0</v>
      </c>
      <c r="K120" s="307"/>
      <c r="L120" s="307"/>
      <c r="M120" s="307">
        <f>IF(F120="pecunario",J120,0)</f>
        <v>0</v>
      </c>
      <c r="N120" s="307">
        <f>IF(F120="valorizado",J120,0)</f>
        <v>0</v>
      </c>
      <c r="O120" s="338">
        <f t="shared" si="38"/>
        <v>0</v>
      </c>
    </row>
    <row r="121" spans="2:17" ht="12" customHeight="1" thickBot="1">
      <c r="B121" s="505"/>
      <c r="C121" s="481"/>
      <c r="D121" s="499"/>
      <c r="E121" s="220"/>
      <c r="F121" s="225"/>
      <c r="G121" s="220"/>
      <c r="H121" s="220">
        <v>0</v>
      </c>
      <c r="I121" s="211">
        <v>0</v>
      </c>
      <c r="J121" s="253">
        <f t="shared" si="39"/>
        <v>0</v>
      </c>
      <c r="K121" s="253"/>
      <c r="L121" s="253"/>
      <c r="M121" s="253">
        <f t="shared" ref="M121:M128" si="40">IF(F121="pecunario",J121,0)</f>
        <v>0</v>
      </c>
      <c r="N121" s="253">
        <f t="shared" ref="N121:N128" si="41">IF(F121="valorizado",J121,0)</f>
        <v>0</v>
      </c>
      <c r="O121" s="335">
        <f t="shared" si="38"/>
        <v>0</v>
      </c>
    </row>
    <row r="122" spans="2:17" ht="12" customHeight="1" thickBot="1">
      <c r="B122" s="505"/>
      <c r="C122" s="481"/>
      <c r="D122" s="497" t="s">
        <v>129</v>
      </c>
      <c r="E122" s="243" t="s">
        <v>155</v>
      </c>
      <c r="F122" s="225"/>
      <c r="G122" s="220"/>
      <c r="H122" s="220"/>
      <c r="I122" s="211"/>
      <c r="J122" s="253">
        <f t="shared" si="39"/>
        <v>0</v>
      </c>
      <c r="K122" s="253"/>
      <c r="L122" s="253"/>
      <c r="M122" s="253">
        <f t="shared" si="40"/>
        <v>0</v>
      </c>
      <c r="N122" s="253">
        <f t="shared" si="41"/>
        <v>0</v>
      </c>
      <c r="O122" s="335">
        <f t="shared" si="38"/>
        <v>0</v>
      </c>
    </row>
    <row r="123" spans="2:17" ht="12" customHeight="1" thickBot="1">
      <c r="B123" s="505"/>
      <c r="C123" s="481"/>
      <c r="D123" s="498"/>
      <c r="E123" s="220" t="s">
        <v>154</v>
      </c>
      <c r="F123" s="225" t="s">
        <v>247</v>
      </c>
      <c r="G123" s="220" t="s">
        <v>141</v>
      </c>
      <c r="H123" s="220">
        <v>1</v>
      </c>
      <c r="I123" s="211">
        <v>1500000</v>
      </c>
      <c r="J123" s="253">
        <f t="shared" si="39"/>
        <v>1500000</v>
      </c>
      <c r="K123" s="253"/>
      <c r="L123" s="253">
        <f>J123</f>
        <v>1500000</v>
      </c>
      <c r="M123" s="253">
        <f t="shared" si="40"/>
        <v>0</v>
      </c>
      <c r="N123" s="253">
        <f t="shared" si="41"/>
        <v>1500000</v>
      </c>
      <c r="O123" s="335">
        <f t="shared" si="38"/>
        <v>2272.7272727272725</v>
      </c>
    </row>
    <row r="124" spans="2:17" ht="12" customHeight="1" thickBot="1">
      <c r="B124" s="505"/>
      <c r="C124" s="481"/>
      <c r="D124" s="498"/>
      <c r="E124" s="220" t="s">
        <v>153</v>
      </c>
      <c r="F124" s="225" t="s">
        <v>246</v>
      </c>
      <c r="G124" s="220" t="s">
        <v>141</v>
      </c>
      <c r="H124" s="220">
        <v>1</v>
      </c>
      <c r="I124" s="211">
        <v>1400000</v>
      </c>
      <c r="J124" s="253">
        <f t="shared" si="39"/>
        <v>1400000</v>
      </c>
      <c r="K124" s="253">
        <f>J124</f>
        <v>1400000</v>
      </c>
      <c r="L124" s="253"/>
      <c r="M124" s="253">
        <f t="shared" si="40"/>
        <v>1400000</v>
      </c>
      <c r="N124" s="253">
        <f t="shared" si="41"/>
        <v>0</v>
      </c>
      <c r="O124" s="335">
        <f t="shared" si="38"/>
        <v>2121.212121212121</v>
      </c>
    </row>
    <row r="125" spans="2:17" ht="12" customHeight="1" thickBot="1">
      <c r="B125" s="505"/>
      <c r="C125" s="481"/>
      <c r="D125" s="498"/>
      <c r="E125" s="220"/>
      <c r="F125" s="225"/>
      <c r="G125" s="220"/>
      <c r="H125" s="220"/>
      <c r="I125" s="211"/>
      <c r="J125" s="253">
        <f t="shared" si="39"/>
        <v>0</v>
      </c>
      <c r="K125" s="253"/>
      <c r="L125" s="253"/>
      <c r="M125" s="253">
        <f t="shared" si="40"/>
        <v>0</v>
      </c>
      <c r="N125" s="253">
        <f t="shared" si="41"/>
        <v>0</v>
      </c>
      <c r="O125" s="335">
        <f t="shared" si="38"/>
        <v>0</v>
      </c>
    </row>
    <row r="126" spans="2:17" ht="12" customHeight="1" thickBot="1">
      <c r="B126" s="505"/>
      <c r="C126" s="481"/>
      <c r="D126" s="499"/>
      <c r="E126" s="216"/>
      <c r="F126" s="225"/>
      <c r="G126" s="216"/>
      <c r="H126" s="216"/>
      <c r="I126" s="211"/>
      <c r="J126" s="253">
        <f t="shared" si="39"/>
        <v>0</v>
      </c>
      <c r="K126" s="253"/>
      <c r="L126" s="253"/>
      <c r="M126" s="253">
        <f t="shared" si="40"/>
        <v>0</v>
      </c>
      <c r="N126" s="253">
        <f t="shared" si="41"/>
        <v>0</v>
      </c>
      <c r="O126" s="335">
        <f t="shared" si="38"/>
        <v>0</v>
      </c>
    </row>
    <row r="127" spans="2:17" ht="12" customHeight="1" thickBot="1">
      <c r="B127" s="505"/>
      <c r="C127" s="481"/>
      <c r="D127" s="231" t="s">
        <v>128</v>
      </c>
      <c r="E127" s="216"/>
      <c r="F127" s="225"/>
      <c r="G127" s="216"/>
      <c r="H127" s="216"/>
      <c r="I127" s="211"/>
      <c r="J127" s="253">
        <f t="shared" si="39"/>
        <v>0</v>
      </c>
      <c r="K127" s="253"/>
      <c r="L127" s="253"/>
      <c r="M127" s="253">
        <f t="shared" si="40"/>
        <v>0</v>
      </c>
      <c r="N127" s="253">
        <f t="shared" si="41"/>
        <v>0</v>
      </c>
      <c r="O127" s="335">
        <f t="shared" si="38"/>
        <v>0</v>
      </c>
    </row>
    <row r="128" spans="2:17" ht="12" customHeight="1" thickBot="1">
      <c r="B128" s="505"/>
      <c r="C128" s="481"/>
      <c r="D128" s="229" t="s">
        <v>125</v>
      </c>
      <c r="E128" s="228"/>
      <c r="F128" s="225"/>
      <c r="G128" s="228"/>
      <c r="H128" s="228"/>
      <c r="I128" s="211"/>
      <c r="J128" s="308">
        <f t="shared" si="39"/>
        <v>0</v>
      </c>
      <c r="K128" s="308"/>
      <c r="L128" s="308"/>
      <c r="M128" s="308">
        <f t="shared" si="40"/>
        <v>0</v>
      </c>
      <c r="N128" s="308">
        <f t="shared" si="41"/>
        <v>0</v>
      </c>
      <c r="O128" s="336">
        <f t="shared" si="38"/>
        <v>0</v>
      </c>
    </row>
    <row r="129" spans="2:16" ht="12" customHeight="1" thickBot="1">
      <c r="B129" s="505"/>
      <c r="C129" s="482"/>
      <c r="D129" s="507" t="s">
        <v>152</v>
      </c>
      <c r="E129" s="484"/>
      <c r="F129" s="484"/>
      <c r="G129" s="484"/>
      <c r="H129" s="484"/>
      <c r="I129" s="520"/>
      <c r="J129" s="296">
        <f>SUM(J120:J128)</f>
        <v>2900000</v>
      </c>
      <c r="K129" s="296">
        <f>SUM(K120:K128)</f>
        <v>1400000</v>
      </c>
      <c r="L129" s="296">
        <f>SUM(L120:L128)</f>
        <v>1500000</v>
      </c>
      <c r="M129" s="296">
        <f>SUM(M120:M128)</f>
        <v>1400000</v>
      </c>
      <c r="N129" s="208">
        <f>SUM(N120:N128)</f>
        <v>1500000</v>
      </c>
      <c r="O129" s="337">
        <f t="shared" si="38"/>
        <v>4393.939393939394</v>
      </c>
      <c r="P129" s="196" t="s">
        <v>136</v>
      </c>
    </row>
    <row r="130" spans="2:16" ht="12" customHeight="1" thickBot="1">
      <c r="B130" s="505"/>
      <c r="C130" s="480" t="s">
        <v>151</v>
      </c>
      <c r="D130" s="232" t="s">
        <v>133</v>
      </c>
      <c r="E130" s="225"/>
      <c r="F130" s="225"/>
      <c r="G130" s="225"/>
      <c r="H130" s="225"/>
      <c r="I130" s="216"/>
      <c r="J130" s="307">
        <f>H130*I130</f>
        <v>0</v>
      </c>
      <c r="K130" s="307"/>
      <c r="L130" s="307"/>
      <c r="M130" s="307">
        <f>IF(F130="pecunario",J130,0)</f>
        <v>0</v>
      </c>
      <c r="N130" s="307">
        <f>IF(F130="valorizado",J130,0)</f>
        <v>0</v>
      </c>
      <c r="O130" s="338">
        <f t="shared" si="38"/>
        <v>0</v>
      </c>
    </row>
    <row r="131" spans="2:16" ht="12" customHeight="1" thickBot="1">
      <c r="B131" s="505"/>
      <c r="C131" s="481"/>
      <c r="D131" s="497" t="s">
        <v>129</v>
      </c>
      <c r="E131" s="242" t="s">
        <v>150</v>
      </c>
      <c r="F131" s="225"/>
      <c r="G131" s="220"/>
      <c r="H131" s="220"/>
      <c r="I131" s="216"/>
      <c r="J131" s="253"/>
      <c r="K131" s="253"/>
      <c r="L131" s="253"/>
      <c r="M131" s="253">
        <f t="shared" ref="M131:M138" si="42">IF(F131="pecunario",J131,0)</f>
        <v>0</v>
      </c>
      <c r="N131" s="253">
        <f t="shared" ref="N131:N138" si="43">IF(F131="valorizado",J131,0)</f>
        <v>0</v>
      </c>
      <c r="O131" s="335">
        <f t="shared" si="38"/>
        <v>0</v>
      </c>
    </row>
    <row r="132" spans="2:16" ht="12" customHeight="1" thickBot="1">
      <c r="B132" s="505"/>
      <c r="C132" s="481"/>
      <c r="D132" s="498"/>
      <c r="E132" s="216" t="s">
        <v>149</v>
      </c>
      <c r="F132" s="225" t="s">
        <v>246</v>
      </c>
      <c r="G132" s="220" t="s">
        <v>141</v>
      </c>
      <c r="H132" s="220">
        <v>1</v>
      </c>
      <c r="I132" s="216">
        <v>2400000</v>
      </c>
      <c r="J132" s="253">
        <f t="shared" ref="J132:J137" si="44">H132*I132</f>
        <v>2400000</v>
      </c>
      <c r="K132" s="253">
        <f>J132</f>
        <v>2400000</v>
      </c>
      <c r="L132" s="253"/>
      <c r="M132" s="253">
        <f t="shared" si="42"/>
        <v>2400000</v>
      </c>
      <c r="N132" s="253">
        <f t="shared" si="43"/>
        <v>0</v>
      </c>
      <c r="O132" s="335">
        <f t="shared" si="38"/>
        <v>3636.3636363636365</v>
      </c>
    </row>
    <row r="133" spans="2:16" ht="12" customHeight="1" thickBot="1">
      <c r="B133" s="505"/>
      <c r="C133" s="481"/>
      <c r="D133" s="498"/>
      <c r="E133" s="216"/>
      <c r="F133" s="225"/>
      <c r="G133" s="220"/>
      <c r="H133" s="220"/>
      <c r="I133" s="216"/>
      <c r="J133" s="253">
        <f t="shared" si="44"/>
        <v>0</v>
      </c>
      <c r="K133" s="253"/>
      <c r="L133" s="253"/>
      <c r="M133" s="253">
        <f t="shared" si="42"/>
        <v>0</v>
      </c>
      <c r="N133" s="253">
        <f t="shared" si="43"/>
        <v>0</v>
      </c>
      <c r="O133" s="335">
        <f t="shared" si="38"/>
        <v>0</v>
      </c>
    </row>
    <row r="134" spans="2:16" ht="12" customHeight="1" thickBot="1">
      <c r="B134" s="505"/>
      <c r="C134" s="481"/>
      <c r="D134" s="498"/>
      <c r="E134" s="216"/>
      <c r="F134" s="225"/>
      <c r="G134" s="220"/>
      <c r="H134" s="220"/>
      <c r="I134" s="216"/>
      <c r="J134" s="253">
        <f t="shared" si="44"/>
        <v>0</v>
      </c>
      <c r="K134" s="253"/>
      <c r="L134" s="253"/>
      <c r="M134" s="253">
        <f t="shared" si="42"/>
        <v>0</v>
      </c>
      <c r="N134" s="253">
        <f t="shared" si="43"/>
        <v>0</v>
      </c>
      <c r="O134" s="335">
        <f t="shared" si="38"/>
        <v>0</v>
      </c>
    </row>
    <row r="135" spans="2:16" ht="12" customHeight="1" thickBot="1">
      <c r="B135" s="505"/>
      <c r="C135" s="481"/>
      <c r="D135" s="499"/>
      <c r="E135" s="216"/>
      <c r="F135" s="225"/>
      <c r="G135" s="216"/>
      <c r="H135" s="216"/>
      <c r="I135" s="216"/>
      <c r="J135" s="253">
        <f t="shared" si="44"/>
        <v>0</v>
      </c>
      <c r="K135" s="253"/>
      <c r="L135" s="253"/>
      <c r="M135" s="253">
        <f t="shared" si="42"/>
        <v>0</v>
      </c>
      <c r="N135" s="253">
        <f t="shared" si="43"/>
        <v>0</v>
      </c>
      <c r="O135" s="335">
        <f t="shared" si="38"/>
        <v>0</v>
      </c>
    </row>
    <row r="136" spans="2:16" ht="12" customHeight="1" thickBot="1">
      <c r="B136" s="505"/>
      <c r="C136" s="481"/>
      <c r="D136" s="497" t="s">
        <v>128</v>
      </c>
      <c r="E136" s="218"/>
      <c r="F136" s="225"/>
      <c r="G136" s="218"/>
      <c r="H136" s="218"/>
      <c r="I136" s="211"/>
      <c r="J136" s="253">
        <f t="shared" si="44"/>
        <v>0</v>
      </c>
      <c r="K136" s="253"/>
      <c r="L136" s="253"/>
      <c r="M136" s="253">
        <f t="shared" si="42"/>
        <v>0</v>
      </c>
      <c r="N136" s="253">
        <f t="shared" si="43"/>
        <v>0</v>
      </c>
      <c r="O136" s="335">
        <f t="shared" si="38"/>
        <v>0</v>
      </c>
    </row>
    <row r="137" spans="2:16" ht="12" customHeight="1" thickBot="1">
      <c r="B137" s="505"/>
      <c r="C137" s="481"/>
      <c r="D137" s="499"/>
      <c r="E137" s="218"/>
      <c r="F137" s="225"/>
      <c r="G137" s="218"/>
      <c r="H137" s="218"/>
      <c r="I137" s="211"/>
      <c r="J137" s="253">
        <f t="shared" si="44"/>
        <v>0</v>
      </c>
      <c r="K137" s="253"/>
      <c r="L137" s="253"/>
      <c r="M137" s="253">
        <f t="shared" si="42"/>
        <v>0</v>
      </c>
      <c r="N137" s="253">
        <f t="shared" si="43"/>
        <v>0</v>
      </c>
      <c r="O137" s="335">
        <f t="shared" si="38"/>
        <v>0</v>
      </c>
    </row>
    <row r="138" spans="2:16" ht="12" customHeight="1" thickBot="1">
      <c r="B138" s="505"/>
      <c r="C138" s="481"/>
      <c r="D138" s="316" t="s">
        <v>125</v>
      </c>
      <c r="E138" s="235"/>
      <c r="F138" s="317"/>
      <c r="G138" s="235"/>
      <c r="H138" s="235"/>
      <c r="I138" s="235"/>
      <c r="J138" s="235"/>
      <c r="K138" s="235"/>
      <c r="L138" s="235"/>
      <c r="M138" s="308">
        <f t="shared" si="42"/>
        <v>0</v>
      </c>
      <c r="N138" s="308">
        <f t="shared" si="43"/>
        <v>0</v>
      </c>
      <c r="O138" s="336">
        <f t="shared" si="38"/>
        <v>0</v>
      </c>
    </row>
    <row r="139" spans="2:16" ht="13.05" customHeight="1" thickBot="1">
      <c r="B139" s="505"/>
      <c r="C139" s="521"/>
      <c r="D139" s="516" t="s">
        <v>148</v>
      </c>
      <c r="E139" s="516"/>
      <c r="F139" s="516"/>
      <c r="G139" s="516"/>
      <c r="H139" s="516"/>
      <c r="I139" s="516"/>
      <c r="J139" s="319">
        <f>SUM(J130:J138)</f>
        <v>2400000</v>
      </c>
      <c r="K139" s="319">
        <f>SUM(K130:K138)</f>
        <v>2400000</v>
      </c>
      <c r="L139" s="319">
        <f>SUM(L130:L138)</f>
        <v>0</v>
      </c>
      <c r="M139" s="319">
        <f>SUM(M130:M138)</f>
        <v>2400000</v>
      </c>
      <c r="N139" s="319">
        <f>SUM(N130:N138)</f>
        <v>0</v>
      </c>
      <c r="O139" s="344">
        <f t="shared" si="38"/>
        <v>3636.3636363636365</v>
      </c>
      <c r="P139" s="196" t="s">
        <v>136</v>
      </c>
    </row>
    <row r="140" spans="2:16" ht="13.05" customHeight="1" thickBot="1">
      <c r="B140" s="280"/>
      <c r="C140" s="283"/>
      <c r="D140" s="282"/>
      <c r="E140" s="282"/>
      <c r="F140" s="282"/>
      <c r="G140" s="522" t="s">
        <v>275</v>
      </c>
      <c r="H140" s="523"/>
      <c r="I140" s="524"/>
      <c r="J140" s="252">
        <f>J139+J129+J119+J109+J102+J89</f>
        <v>13931000</v>
      </c>
      <c r="K140" s="252">
        <f t="shared" ref="K140:L140" si="45">K139+K129+K119+K109+K102+K89</f>
        <v>9431000</v>
      </c>
      <c r="L140" s="252">
        <f t="shared" si="45"/>
        <v>4500000</v>
      </c>
      <c r="M140" s="252"/>
      <c r="N140" s="252"/>
      <c r="O140" s="337">
        <f>J140/Q4</f>
        <v>21107.575757575756</v>
      </c>
    </row>
    <row r="141" spans="2:16" ht="30.75" customHeight="1" thickBot="1">
      <c r="B141" s="517"/>
      <c r="C141" s="517"/>
      <c r="O141" s="345"/>
    </row>
    <row r="142" spans="2:16" ht="13.05" customHeight="1" thickBot="1">
      <c r="B142" s="504" t="s">
        <v>147</v>
      </c>
      <c r="C142" s="480" t="s">
        <v>146</v>
      </c>
      <c r="D142" s="232" t="s">
        <v>133</v>
      </c>
      <c r="E142" s="225"/>
      <c r="F142" s="225"/>
      <c r="G142" s="240"/>
      <c r="H142" s="240"/>
      <c r="I142" s="240"/>
      <c r="J142" s="239"/>
      <c r="K142" s="275"/>
      <c r="L142" s="275"/>
      <c r="M142" s="359">
        <f>IF(F142="pecunario",J142,0)</f>
        <v>0</v>
      </c>
      <c r="N142" s="359">
        <f>IF(F142="valorizado",J142,0)</f>
        <v>0</v>
      </c>
      <c r="O142" s="342">
        <f t="shared" ref="O142:O170" si="46">J142/$Q$4</f>
        <v>0</v>
      </c>
    </row>
    <row r="143" spans="2:16" ht="13.05" customHeight="1" thickBot="1">
      <c r="B143" s="505"/>
      <c r="C143" s="481"/>
      <c r="D143" s="231" t="s">
        <v>129</v>
      </c>
      <c r="E143" s="216" t="s">
        <v>145</v>
      </c>
      <c r="F143" s="225" t="s">
        <v>246</v>
      </c>
      <c r="G143" s="218" t="s">
        <v>141</v>
      </c>
      <c r="H143" s="218">
        <v>1</v>
      </c>
      <c r="I143" s="218">
        <v>2400000</v>
      </c>
      <c r="J143" s="210">
        <f>H143*I143</f>
        <v>2400000</v>
      </c>
      <c r="K143" s="253">
        <f>J143</f>
        <v>2400000</v>
      </c>
      <c r="L143" s="253"/>
      <c r="M143" s="304">
        <f t="shared" ref="M143:M145" si="47">IF(F143="pecunario",J143,0)</f>
        <v>2400000</v>
      </c>
      <c r="N143" s="304">
        <f t="shared" ref="N143:N145" si="48">IF(F143="valorizado",J143,0)</f>
        <v>0</v>
      </c>
      <c r="O143" s="335">
        <f t="shared" si="46"/>
        <v>3636.3636363636365</v>
      </c>
    </row>
    <row r="144" spans="2:16" ht="13.05" customHeight="1" thickBot="1">
      <c r="B144" s="505"/>
      <c r="C144" s="481"/>
      <c r="D144" s="231" t="s">
        <v>128</v>
      </c>
      <c r="E144" s="216"/>
      <c r="F144" s="225"/>
      <c r="G144" s="218"/>
      <c r="H144" s="218"/>
      <c r="I144" s="218"/>
      <c r="J144" s="238"/>
      <c r="K144" s="218"/>
      <c r="L144" s="218"/>
      <c r="M144" s="304">
        <f t="shared" si="47"/>
        <v>0</v>
      </c>
      <c r="N144" s="304">
        <f t="shared" si="48"/>
        <v>0</v>
      </c>
      <c r="O144" s="335">
        <f t="shared" si="46"/>
        <v>0</v>
      </c>
    </row>
    <row r="145" spans="2:16" ht="13.05" customHeight="1" thickBot="1">
      <c r="B145" s="505"/>
      <c r="C145" s="481"/>
      <c r="D145" s="229" t="s">
        <v>125</v>
      </c>
      <c r="E145" s="228"/>
      <c r="F145" s="225"/>
      <c r="G145" s="237"/>
      <c r="H145" s="237"/>
      <c r="I145" s="237"/>
      <c r="J145" s="236"/>
      <c r="K145" s="246"/>
      <c r="L145" s="246"/>
      <c r="M145" s="360">
        <f t="shared" si="47"/>
        <v>0</v>
      </c>
      <c r="N145" s="360">
        <f t="shared" si="48"/>
        <v>0</v>
      </c>
      <c r="O145" s="346">
        <f t="shared" si="46"/>
        <v>0</v>
      </c>
    </row>
    <row r="146" spans="2:16" ht="13.8" thickBot="1">
      <c r="B146" s="505"/>
      <c r="C146" s="482"/>
      <c r="D146" s="507" t="s">
        <v>144</v>
      </c>
      <c r="E146" s="484"/>
      <c r="F146" s="484"/>
      <c r="G146" s="484"/>
      <c r="H146" s="484"/>
      <c r="I146" s="485"/>
      <c r="J146" s="320">
        <f>SUM(J142:J145)</f>
        <v>2400000</v>
      </c>
      <c r="K146" s="320">
        <f>SUM(K142:K145)</f>
        <v>2400000</v>
      </c>
      <c r="L146" s="320">
        <f>SUM(L142:L145)</f>
        <v>0</v>
      </c>
      <c r="M146" s="320">
        <f>SUM(M142:M145)</f>
        <v>2400000</v>
      </c>
      <c r="N146" s="321">
        <f>SUM(N142:N145)</f>
        <v>0</v>
      </c>
      <c r="O146" s="337">
        <f t="shared" si="46"/>
        <v>3636.3636363636365</v>
      </c>
      <c r="P146" s="196" t="s">
        <v>136</v>
      </c>
    </row>
    <row r="147" spans="2:16" ht="12" customHeight="1" thickBot="1">
      <c r="B147" s="505"/>
      <c r="C147" s="480" t="s">
        <v>143</v>
      </c>
      <c r="D147" s="232" t="s">
        <v>133</v>
      </c>
      <c r="E147" s="225"/>
      <c r="F147" s="225"/>
      <c r="G147" s="225"/>
      <c r="H147" s="225"/>
      <c r="I147" s="225"/>
      <c r="J147" s="220"/>
      <c r="K147" s="220"/>
      <c r="L147" s="220"/>
      <c r="M147" s="307">
        <f>IF(F147="pecunario",J147,0)</f>
        <v>0</v>
      </c>
      <c r="N147" s="307">
        <f>IF(F147="valorizado",J147,0)</f>
        <v>0</v>
      </c>
      <c r="O147" s="338">
        <f t="shared" si="46"/>
        <v>0</v>
      </c>
    </row>
    <row r="148" spans="2:16" ht="12" customHeight="1" thickBot="1">
      <c r="B148" s="505"/>
      <c r="C148" s="481"/>
      <c r="D148" s="231" t="s">
        <v>129</v>
      </c>
      <c r="E148" s="216" t="s">
        <v>142</v>
      </c>
      <c r="F148" s="225" t="s">
        <v>246</v>
      </c>
      <c r="G148" s="216" t="s">
        <v>141</v>
      </c>
      <c r="H148" s="216">
        <v>1</v>
      </c>
      <c r="I148" s="216">
        <v>3143509</v>
      </c>
      <c r="J148" s="253">
        <f t="shared" ref="J148:J153" si="49">H148*I148</f>
        <v>3143509</v>
      </c>
      <c r="K148" s="253">
        <f>J148</f>
        <v>3143509</v>
      </c>
      <c r="L148" s="253"/>
      <c r="M148" s="253">
        <f t="shared" ref="M148:M153" si="50">IF(F148="pecunario",J148,0)</f>
        <v>3143509</v>
      </c>
      <c r="N148" s="253">
        <f t="shared" ref="N148:N153" si="51">IF(F148="valorizado",J148,0)</f>
        <v>0</v>
      </c>
      <c r="O148" s="335">
        <f t="shared" si="46"/>
        <v>4762.8924242424246</v>
      </c>
    </row>
    <row r="149" spans="2:16" ht="12" customHeight="1" thickBot="1">
      <c r="B149" s="505"/>
      <c r="C149" s="481"/>
      <c r="D149" s="497" t="s">
        <v>128</v>
      </c>
      <c r="E149" s="216"/>
      <c r="F149" s="225"/>
      <c r="G149" s="216"/>
      <c r="H149" s="216"/>
      <c r="I149" s="216"/>
      <c r="J149" s="253">
        <f t="shared" si="49"/>
        <v>0</v>
      </c>
      <c r="K149" s="253"/>
      <c r="L149" s="253"/>
      <c r="M149" s="253">
        <f t="shared" si="50"/>
        <v>0</v>
      </c>
      <c r="N149" s="253">
        <f t="shared" si="51"/>
        <v>0</v>
      </c>
      <c r="O149" s="335">
        <f t="shared" si="46"/>
        <v>0</v>
      </c>
    </row>
    <row r="150" spans="2:16" ht="12" customHeight="1" thickBot="1">
      <c r="B150" s="505"/>
      <c r="C150" s="481"/>
      <c r="D150" s="498"/>
      <c r="E150" s="216" t="s">
        <v>140</v>
      </c>
      <c r="F150" s="225" t="s">
        <v>246</v>
      </c>
      <c r="G150" s="216" t="s">
        <v>138</v>
      </c>
      <c r="H150" s="216">
        <v>2</v>
      </c>
      <c r="I150" s="211">
        <v>136638</v>
      </c>
      <c r="J150" s="253">
        <f t="shared" si="49"/>
        <v>273276</v>
      </c>
      <c r="K150" s="253">
        <f>J150</f>
        <v>273276</v>
      </c>
      <c r="L150" s="253"/>
      <c r="M150" s="253">
        <f t="shared" si="50"/>
        <v>273276</v>
      </c>
      <c r="N150" s="253">
        <f t="shared" si="51"/>
        <v>0</v>
      </c>
      <c r="O150" s="335">
        <f t="shared" si="46"/>
        <v>414.05454545454546</v>
      </c>
    </row>
    <row r="151" spans="2:16" ht="12" customHeight="1" thickBot="1">
      <c r="B151" s="505"/>
      <c r="C151" s="481"/>
      <c r="D151" s="498"/>
      <c r="E151" s="235" t="s">
        <v>139</v>
      </c>
      <c r="F151" s="225" t="s">
        <v>246</v>
      </c>
      <c r="G151" s="235" t="s">
        <v>138</v>
      </c>
      <c r="H151" s="235">
        <v>2</v>
      </c>
      <c r="I151" s="234">
        <v>150000</v>
      </c>
      <c r="J151" s="253">
        <f t="shared" si="49"/>
        <v>300000</v>
      </c>
      <c r="K151" s="253">
        <f>J151</f>
        <v>300000</v>
      </c>
      <c r="L151" s="253"/>
      <c r="M151" s="253">
        <f t="shared" si="50"/>
        <v>300000</v>
      </c>
      <c r="N151" s="253">
        <f t="shared" si="51"/>
        <v>0</v>
      </c>
      <c r="O151" s="335">
        <f t="shared" si="46"/>
        <v>454.54545454545456</v>
      </c>
    </row>
    <row r="152" spans="2:16" ht="12" customHeight="1" thickBot="1">
      <c r="B152" s="505"/>
      <c r="C152" s="481"/>
      <c r="D152" s="499"/>
      <c r="E152" s="235"/>
      <c r="F152" s="225"/>
      <c r="G152" s="235"/>
      <c r="H152" s="235"/>
      <c r="I152" s="234"/>
      <c r="J152" s="253">
        <f t="shared" si="49"/>
        <v>0</v>
      </c>
      <c r="K152" s="253"/>
      <c r="L152" s="253"/>
      <c r="M152" s="253">
        <f t="shared" si="50"/>
        <v>0</v>
      </c>
      <c r="N152" s="253">
        <f t="shared" si="51"/>
        <v>0</v>
      </c>
      <c r="O152" s="335">
        <f t="shared" si="46"/>
        <v>0</v>
      </c>
    </row>
    <row r="153" spans="2:16" ht="12" customHeight="1" thickBot="1">
      <c r="B153" s="505"/>
      <c r="C153" s="481"/>
      <c r="D153" s="229" t="s">
        <v>125</v>
      </c>
      <c r="E153" s="228"/>
      <c r="F153" s="225"/>
      <c r="G153" s="228"/>
      <c r="H153" s="228"/>
      <c r="I153" s="228"/>
      <c r="J153" s="308">
        <f t="shared" si="49"/>
        <v>0</v>
      </c>
      <c r="K153" s="308"/>
      <c r="L153" s="308"/>
      <c r="M153" s="308">
        <f t="shared" si="50"/>
        <v>0</v>
      </c>
      <c r="N153" s="308">
        <f t="shared" si="51"/>
        <v>0</v>
      </c>
      <c r="O153" s="335">
        <f t="shared" si="46"/>
        <v>0</v>
      </c>
    </row>
    <row r="154" spans="2:16" ht="13.8" thickBot="1">
      <c r="B154" s="505"/>
      <c r="C154" s="482"/>
      <c r="D154" s="477" t="s">
        <v>137</v>
      </c>
      <c r="E154" s="478"/>
      <c r="F154" s="478"/>
      <c r="G154" s="478"/>
      <c r="H154" s="478"/>
      <c r="I154" s="479"/>
      <c r="J154" s="208">
        <f>SUM(J147:J153)</f>
        <v>3716785</v>
      </c>
      <c r="K154" s="208">
        <f>SUM(K147:K153)</f>
        <v>3716785</v>
      </c>
      <c r="L154" s="208">
        <f>SUM(L147:L153)</f>
        <v>0</v>
      </c>
      <c r="M154" s="208">
        <f>SUM(M147:M153)</f>
        <v>3716785</v>
      </c>
      <c r="N154" s="208">
        <f>SUM(N147:N153)</f>
        <v>0</v>
      </c>
      <c r="O154" s="337">
        <f t="shared" si="46"/>
        <v>5631.492424242424</v>
      </c>
      <c r="P154" s="196" t="s">
        <v>136</v>
      </c>
    </row>
    <row r="155" spans="2:16" ht="12" customHeight="1" thickBot="1">
      <c r="B155" s="505"/>
      <c r="C155" s="480" t="s">
        <v>135</v>
      </c>
      <c r="D155" s="232" t="s">
        <v>133</v>
      </c>
      <c r="E155" s="225"/>
      <c r="F155" s="225"/>
      <c r="G155" s="225"/>
      <c r="H155" s="225"/>
      <c r="I155" s="211"/>
      <c r="J155" s="307">
        <f>H155*I155</f>
        <v>0</v>
      </c>
      <c r="K155" s="307"/>
      <c r="L155" s="307"/>
      <c r="M155" s="307">
        <f>IF(F155="pecunario",J155,0)</f>
        <v>0</v>
      </c>
      <c r="N155" s="266">
        <f>IF(F155="valorizado",J155,0)</f>
        <v>0</v>
      </c>
      <c r="O155" s="342">
        <f t="shared" si="46"/>
        <v>0</v>
      </c>
    </row>
    <row r="156" spans="2:16" ht="12" customHeight="1" thickBot="1">
      <c r="B156" s="505"/>
      <c r="C156" s="481"/>
      <c r="D156" s="497" t="s">
        <v>129</v>
      </c>
      <c r="E156" s="220" t="s">
        <v>110</v>
      </c>
      <c r="F156" s="225" t="s">
        <v>246</v>
      </c>
      <c r="G156" s="220" t="s">
        <v>122</v>
      </c>
      <c r="H156" s="220">
        <v>12</v>
      </c>
      <c r="I156" s="211">
        <v>200000</v>
      </c>
      <c r="J156" s="307">
        <f t="shared" ref="J156:J169" si="52">H156*I156</f>
        <v>2400000</v>
      </c>
      <c r="K156" s="307">
        <f>J156</f>
        <v>2400000</v>
      </c>
      <c r="L156" s="307"/>
      <c r="M156" s="307">
        <f t="shared" ref="M156:M167" si="53">IF(F156="pecunario",J156,0)</f>
        <v>2400000</v>
      </c>
      <c r="N156" s="266">
        <f t="shared" ref="N156:N167" si="54">IF(F156="valorizado",J156,0)</f>
        <v>0</v>
      </c>
      <c r="O156" s="347">
        <f t="shared" si="46"/>
        <v>3636.3636363636365</v>
      </c>
    </row>
    <row r="157" spans="2:16" ht="12" customHeight="1" thickBot="1">
      <c r="B157" s="505"/>
      <c r="C157" s="481"/>
      <c r="D157" s="498"/>
      <c r="E157" s="220" t="s">
        <v>111</v>
      </c>
      <c r="F157" s="225" t="s">
        <v>246</v>
      </c>
      <c r="G157" s="220" t="s">
        <v>122</v>
      </c>
      <c r="H157" s="220">
        <v>12</v>
      </c>
      <c r="I157" s="211">
        <v>150000</v>
      </c>
      <c r="J157" s="307">
        <f t="shared" si="52"/>
        <v>1800000</v>
      </c>
      <c r="K157" s="307">
        <f>J157</f>
        <v>1800000</v>
      </c>
      <c r="L157" s="307"/>
      <c r="M157" s="307">
        <f t="shared" si="53"/>
        <v>1800000</v>
      </c>
      <c r="N157" s="266">
        <f t="shared" si="54"/>
        <v>0</v>
      </c>
      <c r="O157" s="347">
        <f t="shared" si="46"/>
        <v>2727.2727272727275</v>
      </c>
    </row>
    <row r="158" spans="2:16" ht="12" customHeight="1" thickBot="1">
      <c r="B158" s="505"/>
      <c r="C158" s="481"/>
      <c r="D158" s="498"/>
      <c r="E158" s="220" t="s">
        <v>112</v>
      </c>
      <c r="F158" s="225" t="s">
        <v>246</v>
      </c>
      <c r="G158" s="220" t="s">
        <v>122</v>
      </c>
      <c r="H158" s="220">
        <v>12</v>
      </c>
      <c r="I158" s="211">
        <v>80000</v>
      </c>
      <c r="J158" s="307">
        <f t="shared" si="52"/>
        <v>960000</v>
      </c>
      <c r="K158" s="307">
        <f>J158</f>
        <v>960000</v>
      </c>
      <c r="L158" s="307"/>
      <c r="M158" s="307">
        <f t="shared" si="53"/>
        <v>960000</v>
      </c>
      <c r="N158" s="266">
        <f t="shared" si="54"/>
        <v>0</v>
      </c>
      <c r="O158" s="347">
        <f t="shared" si="46"/>
        <v>1454.5454545454545</v>
      </c>
    </row>
    <row r="159" spans="2:16" ht="12" customHeight="1" thickBot="1">
      <c r="B159" s="505"/>
      <c r="C159" s="481"/>
      <c r="D159" s="498"/>
      <c r="E159" s="220" t="s">
        <v>113</v>
      </c>
      <c r="F159" s="225" t="s">
        <v>246</v>
      </c>
      <c r="G159" s="220" t="s">
        <v>122</v>
      </c>
      <c r="H159" s="220">
        <v>12</v>
      </c>
      <c r="I159" s="211">
        <v>80000</v>
      </c>
      <c r="J159" s="307">
        <f t="shared" si="52"/>
        <v>960000</v>
      </c>
      <c r="K159" s="307">
        <f>J159</f>
        <v>960000</v>
      </c>
      <c r="L159" s="307"/>
      <c r="M159" s="307">
        <f t="shared" si="53"/>
        <v>960000</v>
      </c>
      <c r="N159" s="266">
        <f t="shared" si="54"/>
        <v>0</v>
      </c>
      <c r="O159" s="347">
        <f t="shared" si="46"/>
        <v>1454.5454545454545</v>
      </c>
    </row>
    <row r="160" spans="2:16" ht="12" customHeight="1" thickBot="1">
      <c r="B160" s="505"/>
      <c r="C160" s="481"/>
      <c r="D160" s="498"/>
      <c r="E160" s="220" t="s">
        <v>251</v>
      </c>
      <c r="F160" s="225" t="s">
        <v>247</v>
      </c>
      <c r="G160" s="220" t="s">
        <v>122</v>
      </c>
      <c r="H160" s="220">
        <v>12</v>
      </c>
      <c r="I160" s="211">
        <v>100000</v>
      </c>
      <c r="J160" s="307">
        <f t="shared" si="52"/>
        <v>1200000</v>
      </c>
      <c r="K160" s="307"/>
      <c r="L160" s="307">
        <f>J160</f>
        <v>1200000</v>
      </c>
      <c r="M160" s="307">
        <f t="shared" si="53"/>
        <v>0</v>
      </c>
      <c r="N160" s="266">
        <f t="shared" si="54"/>
        <v>1200000</v>
      </c>
      <c r="O160" s="347">
        <f t="shared" si="46"/>
        <v>1818.1818181818182</v>
      </c>
    </row>
    <row r="161" spans="2:16" ht="12" customHeight="1" thickBot="1">
      <c r="B161" s="505"/>
      <c r="C161" s="481"/>
      <c r="D161" s="498"/>
      <c r="E161" s="220" t="s">
        <v>252</v>
      </c>
      <c r="F161" s="225" t="s">
        <v>246</v>
      </c>
      <c r="G161" s="220" t="s">
        <v>122</v>
      </c>
      <c r="H161" s="220">
        <v>6</v>
      </c>
      <c r="I161" s="211">
        <v>240000</v>
      </c>
      <c r="J161" s="307">
        <f t="shared" si="52"/>
        <v>1440000</v>
      </c>
      <c r="K161" s="307">
        <f>J161</f>
        <v>1440000</v>
      </c>
      <c r="L161" s="307"/>
      <c r="M161" s="307">
        <f t="shared" si="53"/>
        <v>1440000</v>
      </c>
      <c r="N161" s="266">
        <f t="shared" si="54"/>
        <v>0</v>
      </c>
      <c r="O161" s="347">
        <f t="shared" si="46"/>
        <v>2181.818181818182</v>
      </c>
    </row>
    <row r="162" spans="2:16" ht="12" customHeight="1" thickBot="1">
      <c r="B162" s="505"/>
      <c r="C162" s="481"/>
      <c r="D162" s="498"/>
      <c r="E162" s="220" t="s">
        <v>253</v>
      </c>
      <c r="F162" s="225" t="s">
        <v>246</v>
      </c>
      <c r="G162" s="220" t="s">
        <v>122</v>
      </c>
      <c r="H162" s="220">
        <v>10</v>
      </c>
      <c r="I162" s="211">
        <v>150000</v>
      </c>
      <c r="J162" s="307">
        <f t="shared" si="52"/>
        <v>1500000</v>
      </c>
      <c r="K162" s="307">
        <f>J162</f>
        <v>1500000</v>
      </c>
      <c r="L162" s="307"/>
      <c r="M162" s="307">
        <f t="shared" si="53"/>
        <v>1500000</v>
      </c>
      <c r="N162" s="266">
        <f t="shared" si="54"/>
        <v>0</v>
      </c>
      <c r="O162" s="347">
        <f t="shared" si="46"/>
        <v>2272.7272727272725</v>
      </c>
    </row>
    <row r="163" spans="2:16" ht="12" customHeight="1" thickBot="1">
      <c r="B163" s="505"/>
      <c r="C163" s="481"/>
      <c r="D163" s="498"/>
      <c r="E163" s="247" t="s">
        <v>294</v>
      </c>
      <c r="F163" s="225" t="s">
        <v>247</v>
      </c>
      <c r="G163" s="220" t="s">
        <v>122</v>
      </c>
      <c r="H163" s="220">
        <v>12</v>
      </c>
      <c r="I163" s="211">
        <v>350000</v>
      </c>
      <c r="J163" s="307">
        <f t="shared" si="52"/>
        <v>4200000</v>
      </c>
      <c r="K163" s="307"/>
      <c r="L163" s="307">
        <f>J163</f>
        <v>4200000</v>
      </c>
      <c r="M163" s="307">
        <f t="shared" si="53"/>
        <v>0</v>
      </c>
      <c r="N163" s="266">
        <f t="shared" si="54"/>
        <v>4200000</v>
      </c>
      <c r="O163" s="347">
        <f t="shared" si="46"/>
        <v>6363.636363636364</v>
      </c>
    </row>
    <row r="164" spans="2:16" ht="12" customHeight="1" thickBot="1">
      <c r="B164" s="505"/>
      <c r="C164" s="481"/>
      <c r="D164" s="498"/>
      <c r="E164" s="222" t="s">
        <v>131</v>
      </c>
      <c r="F164" s="227" t="s">
        <v>246</v>
      </c>
      <c r="G164" s="390" t="s">
        <v>122</v>
      </c>
      <c r="H164" s="220">
        <v>10</v>
      </c>
      <c r="I164" s="219">
        <v>444444</v>
      </c>
      <c r="J164" s="253">
        <f t="shared" si="52"/>
        <v>4444440</v>
      </c>
      <c r="K164" s="253">
        <f t="shared" ref="K164" si="55">J164</f>
        <v>4444440</v>
      </c>
      <c r="L164" s="253"/>
      <c r="M164" s="253">
        <f t="shared" si="53"/>
        <v>4444440</v>
      </c>
      <c r="N164" s="253">
        <f t="shared" si="54"/>
        <v>0</v>
      </c>
      <c r="O164" s="339">
        <f t="shared" si="46"/>
        <v>6734</v>
      </c>
    </row>
    <row r="165" spans="2:16" ht="12" customHeight="1" thickBot="1">
      <c r="B165" s="505"/>
      <c r="C165" s="481"/>
      <c r="D165" s="498"/>
      <c r="E165" s="214" t="s">
        <v>127</v>
      </c>
      <c r="F165" s="227" t="s">
        <v>246</v>
      </c>
      <c r="G165" s="214" t="s">
        <v>126</v>
      </c>
      <c r="H165" s="212">
        <v>1</v>
      </c>
      <c r="I165" s="211">
        <v>1200000</v>
      </c>
      <c r="J165" s="253">
        <f t="shared" si="52"/>
        <v>1200000</v>
      </c>
      <c r="K165" s="253">
        <f>J165</f>
        <v>1200000</v>
      </c>
      <c r="L165" s="253"/>
      <c r="M165" s="253">
        <f t="shared" si="53"/>
        <v>1200000</v>
      </c>
      <c r="N165" s="253">
        <f t="shared" si="54"/>
        <v>0</v>
      </c>
      <c r="O165" s="335">
        <f t="shared" si="46"/>
        <v>1818.1818181818182</v>
      </c>
    </row>
    <row r="166" spans="2:16" ht="12" customHeight="1" thickBot="1">
      <c r="B166" s="505"/>
      <c r="C166" s="481"/>
      <c r="D166" s="498"/>
      <c r="E166" s="214" t="s">
        <v>279</v>
      </c>
      <c r="F166" s="385" t="s">
        <v>246</v>
      </c>
      <c r="G166" s="214" t="s">
        <v>126</v>
      </c>
      <c r="H166" s="212">
        <v>1</v>
      </c>
      <c r="I166" s="270">
        <v>0</v>
      </c>
      <c r="J166" s="304">
        <f t="shared" si="52"/>
        <v>0</v>
      </c>
      <c r="K166" s="304">
        <f>J166</f>
        <v>0</v>
      </c>
      <c r="L166" s="304"/>
      <c r="M166" s="304">
        <f t="shared" si="53"/>
        <v>0</v>
      </c>
      <c r="N166" s="304">
        <f t="shared" si="54"/>
        <v>0</v>
      </c>
      <c r="O166" s="386">
        <f t="shared" si="46"/>
        <v>0</v>
      </c>
    </row>
    <row r="167" spans="2:16" ht="12" customHeight="1" thickBot="1">
      <c r="B167" s="505"/>
      <c r="C167" s="481"/>
      <c r="D167" s="499"/>
      <c r="E167" s="214" t="s">
        <v>124</v>
      </c>
      <c r="F167" s="227" t="s">
        <v>246</v>
      </c>
      <c r="G167" s="214" t="s">
        <v>122</v>
      </c>
      <c r="H167" s="212">
        <v>12</v>
      </c>
      <c r="I167" s="211">
        <v>20000</v>
      </c>
      <c r="J167" s="253">
        <f t="shared" si="52"/>
        <v>240000</v>
      </c>
      <c r="K167" s="253">
        <f>J167</f>
        <v>240000</v>
      </c>
      <c r="L167" s="253"/>
      <c r="M167" s="253">
        <f t="shared" si="53"/>
        <v>240000</v>
      </c>
      <c r="N167" s="253">
        <f t="shared" si="54"/>
        <v>0</v>
      </c>
      <c r="O167" s="335">
        <f t="shared" si="46"/>
        <v>363.63636363636363</v>
      </c>
    </row>
    <row r="168" spans="2:16" ht="13.8" thickBot="1">
      <c r="B168" s="505"/>
      <c r="C168" s="481"/>
      <c r="D168" s="231" t="s">
        <v>128</v>
      </c>
      <c r="E168" s="216" t="s">
        <v>305</v>
      </c>
      <c r="F168" s="225" t="s">
        <v>246</v>
      </c>
      <c r="G168" s="216" t="s">
        <v>304</v>
      </c>
      <c r="H168" s="216">
        <v>30</v>
      </c>
      <c r="I168" s="211">
        <v>17650</v>
      </c>
      <c r="J168" s="307">
        <f t="shared" si="52"/>
        <v>529500</v>
      </c>
      <c r="K168" s="253">
        <f>J168</f>
        <v>529500</v>
      </c>
      <c r="L168" s="216"/>
      <c r="M168" s="253">
        <f t="shared" ref="M168:M169" si="56">IF(F168="pecunario",J168,0)</f>
        <v>529500</v>
      </c>
      <c r="N168" s="210">
        <f t="shared" ref="N168:N169" si="57">IF(F168="valorizado",J168,0)</f>
        <v>0</v>
      </c>
      <c r="O168" s="347">
        <f t="shared" si="46"/>
        <v>802.27272727272725</v>
      </c>
    </row>
    <row r="169" spans="2:16" ht="27" thickBot="1">
      <c r="B169" s="505"/>
      <c r="C169" s="481"/>
      <c r="D169" s="229" t="s">
        <v>125</v>
      </c>
      <c r="E169" s="228"/>
      <c r="F169" s="225"/>
      <c r="G169" s="228"/>
      <c r="H169" s="228"/>
      <c r="I169" s="228"/>
      <c r="J169" s="307">
        <f t="shared" si="52"/>
        <v>0</v>
      </c>
      <c r="K169" s="235"/>
      <c r="L169" s="235"/>
      <c r="M169" s="308">
        <f t="shared" si="56"/>
        <v>0</v>
      </c>
      <c r="N169" s="233">
        <f t="shared" si="57"/>
        <v>0</v>
      </c>
      <c r="O169" s="346">
        <f t="shared" si="46"/>
        <v>0</v>
      </c>
    </row>
    <row r="170" spans="2:16" ht="13.8" thickBot="1">
      <c r="B170" s="506"/>
      <c r="C170" s="482"/>
      <c r="D170" s="483" t="s">
        <v>244</v>
      </c>
      <c r="E170" s="484"/>
      <c r="F170" s="484"/>
      <c r="G170" s="484"/>
      <c r="H170" s="484"/>
      <c r="I170" s="485"/>
      <c r="J170" s="320">
        <f>SUM(J155:J169)</f>
        <v>20873940</v>
      </c>
      <c r="K170" s="320">
        <f>SUM(K155:K169)</f>
        <v>15473940</v>
      </c>
      <c r="L170" s="320">
        <f>SUM(L155:L169)</f>
        <v>5400000</v>
      </c>
      <c r="M170" s="320">
        <f>SUM(M155:M169)</f>
        <v>15473940</v>
      </c>
      <c r="N170" s="321">
        <f>SUM(N155:N169)</f>
        <v>5400000</v>
      </c>
      <c r="O170" s="337">
        <f t="shared" si="46"/>
        <v>31627.18181818182</v>
      </c>
    </row>
    <row r="171" spans="2:16" ht="13.8" thickBot="1">
      <c r="B171" s="280"/>
      <c r="C171" s="283"/>
      <c r="D171" s="282"/>
      <c r="E171" s="282"/>
      <c r="F171" s="282"/>
      <c r="G171" s="508" t="s">
        <v>245</v>
      </c>
      <c r="H171" s="509"/>
      <c r="I171" s="510"/>
      <c r="J171" s="284">
        <f>J170+J154+J146</f>
        <v>26990725</v>
      </c>
      <c r="K171" s="284">
        <f t="shared" ref="K171:L171" si="58">K170+K154+K146</f>
        <v>21590725</v>
      </c>
      <c r="L171" s="284">
        <f t="shared" si="58"/>
        <v>5400000</v>
      </c>
      <c r="M171" s="284"/>
      <c r="N171" s="284"/>
      <c r="O171" s="337">
        <f>J171/Q4</f>
        <v>40895.03787878788</v>
      </c>
    </row>
    <row r="172" spans="2:16" ht="13.8" thickBot="1">
      <c r="B172" s="199"/>
      <c r="O172" s="341"/>
    </row>
    <row r="173" spans="2:16" ht="12" customHeight="1" thickBot="1">
      <c r="B173" s="486" t="s">
        <v>134</v>
      </c>
      <c r="C173" s="487"/>
      <c r="D173" s="494" t="s">
        <v>133</v>
      </c>
      <c r="E173" s="227" t="s">
        <v>132</v>
      </c>
      <c r="F173" s="227" t="s">
        <v>246</v>
      </c>
      <c r="G173" s="226" t="s">
        <v>122</v>
      </c>
      <c r="H173" s="225">
        <v>12</v>
      </c>
      <c r="I173" s="224">
        <v>1400000</v>
      </c>
      <c r="J173" s="223">
        <f t="shared" ref="J173:J187" si="59">H173*I173</f>
        <v>16800000</v>
      </c>
      <c r="K173" s="328">
        <f>J173</f>
        <v>16800000</v>
      </c>
      <c r="L173" s="322"/>
      <c r="M173" s="322">
        <f>IF(F173="pecunario",J173,0)</f>
        <v>16800000</v>
      </c>
      <c r="N173" s="322">
        <f>IF(F173="valorizado",J173,0)</f>
        <v>0</v>
      </c>
      <c r="O173" s="338">
        <f t="shared" ref="O173:O188" si="60">J173/$Q$4</f>
        <v>25454.545454545456</v>
      </c>
    </row>
    <row r="174" spans="2:16" ht="12" customHeight="1" thickBot="1">
      <c r="B174" s="488"/>
      <c r="C174" s="489"/>
      <c r="D174" s="495"/>
      <c r="E174" s="222"/>
      <c r="F174" s="227" t="s">
        <v>246</v>
      </c>
      <c r="G174" s="221" t="s">
        <v>122</v>
      </c>
      <c r="H174" s="220">
        <v>0</v>
      </c>
      <c r="I174" s="219">
        <v>444444</v>
      </c>
      <c r="J174" s="253">
        <f t="shared" si="59"/>
        <v>0</v>
      </c>
      <c r="K174" s="253">
        <f t="shared" ref="K174:K180" si="61">J174</f>
        <v>0</v>
      </c>
      <c r="L174" s="253"/>
      <c r="M174" s="253">
        <f t="shared" ref="M174:M187" si="62">IF(F174="pecunario",J174,0)</f>
        <v>0</v>
      </c>
      <c r="N174" s="253">
        <f t="shared" ref="N174:N187" si="63">IF(F174="valorizado",J174,0)</f>
        <v>0</v>
      </c>
      <c r="O174" s="339">
        <f t="shared" si="60"/>
        <v>0</v>
      </c>
    </row>
    <row r="175" spans="2:16" ht="12" customHeight="1" thickBot="1">
      <c r="B175" s="490"/>
      <c r="C175" s="491"/>
      <c r="D175" s="496"/>
      <c r="E175" s="302" t="s">
        <v>130</v>
      </c>
      <c r="F175" s="227" t="s">
        <v>246</v>
      </c>
      <c r="G175" s="213" t="s">
        <v>122</v>
      </c>
      <c r="H175" s="216">
        <v>7</v>
      </c>
      <c r="I175" s="217">
        <v>583333</v>
      </c>
      <c r="J175" s="253">
        <f t="shared" si="59"/>
        <v>4083331</v>
      </c>
      <c r="K175" s="253">
        <f>J175</f>
        <v>4083331</v>
      </c>
      <c r="L175" s="253">
        <v>3499998</v>
      </c>
      <c r="M175" s="253">
        <f t="shared" si="62"/>
        <v>4083331</v>
      </c>
      <c r="N175" s="253">
        <f t="shared" si="63"/>
        <v>0</v>
      </c>
      <c r="O175" s="335">
        <f t="shared" si="60"/>
        <v>6186.8651515151514</v>
      </c>
      <c r="P175" s="196" t="s">
        <v>295</v>
      </c>
    </row>
    <row r="176" spans="2:16" ht="12" customHeight="1" thickBot="1">
      <c r="B176" s="490"/>
      <c r="C176" s="491"/>
      <c r="D176" s="497" t="s">
        <v>129</v>
      </c>
      <c r="E176" s="384" t="s">
        <v>278</v>
      </c>
      <c r="F176" s="227" t="s">
        <v>246</v>
      </c>
      <c r="G176" s="213" t="s">
        <v>122</v>
      </c>
      <c r="H176" s="216">
        <v>12</v>
      </c>
      <c r="I176" s="215">
        <v>750000</v>
      </c>
      <c r="J176" s="253">
        <f t="shared" si="59"/>
        <v>9000000</v>
      </c>
      <c r="K176" s="253"/>
      <c r="L176" s="253">
        <f>J176</f>
        <v>9000000</v>
      </c>
      <c r="M176" s="253">
        <f t="shared" si="62"/>
        <v>9000000</v>
      </c>
      <c r="N176" s="253">
        <f t="shared" si="63"/>
        <v>0</v>
      </c>
      <c r="O176" s="335">
        <f t="shared" si="60"/>
        <v>13636.363636363636</v>
      </c>
    </row>
    <row r="177" spans="1:16" ht="12" customHeight="1" thickBot="1">
      <c r="B177" s="490"/>
      <c r="C177" s="491"/>
      <c r="D177" s="498"/>
      <c r="E177" s="384"/>
      <c r="F177" s="227"/>
      <c r="G177" s="213"/>
      <c r="H177" s="218"/>
      <c r="I177" s="217">
        <v>0</v>
      </c>
      <c r="J177" s="253">
        <f t="shared" si="59"/>
        <v>0</v>
      </c>
      <c r="K177" s="253">
        <f t="shared" si="61"/>
        <v>0</v>
      </c>
      <c r="L177" s="253"/>
      <c r="M177" s="253">
        <f t="shared" si="62"/>
        <v>0</v>
      </c>
      <c r="N177" s="253">
        <f t="shared" si="63"/>
        <v>0</v>
      </c>
      <c r="O177" s="335">
        <f t="shared" si="60"/>
        <v>0</v>
      </c>
      <c r="P177" s="196" t="s">
        <v>296</v>
      </c>
    </row>
    <row r="178" spans="1:16" ht="12" customHeight="1" thickBot="1">
      <c r="B178" s="490"/>
      <c r="C178" s="491"/>
      <c r="D178" s="498"/>
      <c r="E178" s="214"/>
      <c r="F178" s="227"/>
      <c r="G178" s="213"/>
      <c r="H178" s="216"/>
      <c r="I178" s="215">
        <v>0</v>
      </c>
      <c r="J178" s="253">
        <f t="shared" si="59"/>
        <v>0</v>
      </c>
      <c r="K178" s="253">
        <f t="shared" si="61"/>
        <v>0</v>
      </c>
      <c r="L178" s="253"/>
      <c r="M178" s="253">
        <f t="shared" si="62"/>
        <v>0</v>
      </c>
      <c r="N178" s="253">
        <f t="shared" si="63"/>
        <v>0</v>
      </c>
      <c r="O178" s="335">
        <f t="shared" si="60"/>
        <v>0</v>
      </c>
    </row>
    <row r="179" spans="1:16" ht="12" customHeight="1" thickBot="1">
      <c r="B179" s="490"/>
      <c r="C179" s="491"/>
      <c r="D179" s="498"/>
      <c r="E179" s="214"/>
      <c r="F179" s="227"/>
      <c r="G179" s="213"/>
      <c r="H179" s="216"/>
      <c r="I179" s="215">
        <v>0</v>
      </c>
      <c r="J179" s="253">
        <f t="shared" si="59"/>
        <v>0</v>
      </c>
      <c r="K179" s="253">
        <f t="shared" si="61"/>
        <v>0</v>
      </c>
      <c r="L179" s="253"/>
      <c r="M179" s="253">
        <f t="shared" si="62"/>
        <v>0</v>
      </c>
      <c r="N179" s="253">
        <f t="shared" si="63"/>
        <v>0</v>
      </c>
      <c r="O179" s="335">
        <f t="shared" si="60"/>
        <v>0</v>
      </c>
    </row>
    <row r="180" spans="1:16" ht="12" customHeight="1" thickBot="1">
      <c r="B180" s="490"/>
      <c r="C180" s="491"/>
      <c r="D180" s="498"/>
      <c r="E180" s="214"/>
      <c r="F180" s="227"/>
      <c r="G180" s="213"/>
      <c r="H180" s="216"/>
      <c r="I180" s="215">
        <v>0</v>
      </c>
      <c r="J180" s="253">
        <f t="shared" si="59"/>
        <v>0</v>
      </c>
      <c r="K180" s="253">
        <f t="shared" si="61"/>
        <v>0</v>
      </c>
      <c r="L180" s="253"/>
      <c r="M180" s="253">
        <f t="shared" si="62"/>
        <v>0</v>
      </c>
      <c r="N180" s="253">
        <f t="shared" si="63"/>
        <v>0</v>
      </c>
      <c r="O180" s="335">
        <f t="shared" si="60"/>
        <v>0</v>
      </c>
    </row>
    <row r="181" spans="1:16" ht="12" customHeight="1" thickBot="1">
      <c r="B181" s="490"/>
      <c r="C181" s="491"/>
      <c r="D181" s="498"/>
      <c r="E181" s="214"/>
      <c r="F181" s="227"/>
      <c r="G181" s="213"/>
      <c r="H181" s="216"/>
      <c r="I181" s="215">
        <v>0</v>
      </c>
      <c r="J181" s="253">
        <f t="shared" si="59"/>
        <v>0</v>
      </c>
      <c r="K181" s="253"/>
      <c r="L181" s="253">
        <f>J181</f>
        <v>0</v>
      </c>
      <c r="M181" s="253">
        <f t="shared" si="62"/>
        <v>0</v>
      </c>
      <c r="N181" s="253">
        <f t="shared" si="63"/>
        <v>0</v>
      </c>
      <c r="O181" s="335">
        <f t="shared" si="60"/>
        <v>0</v>
      </c>
    </row>
    <row r="182" spans="1:16" ht="12" customHeight="1" thickBot="1">
      <c r="B182" s="490"/>
      <c r="C182" s="491"/>
      <c r="D182" s="499"/>
      <c r="E182" s="214"/>
      <c r="F182" s="227"/>
      <c r="G182" s="213"/>
      <c r="H182" s="216"/>
      <c r="I182" s="215">
        <v>0</v>
      </c>
      <c r="J182" s="253">
        <f t="shared" si="59"/>
        <v>0</v>
      </c>
      <c r="K182" s="253">
        <f>J182</f>
        <v>0</v>
      </c>
      <c r="L182" s="253"/>
      <c r="M182" s="253">
        <f t="shared" si="62"/>
        <v>0</v>
      </c>
      <c r="N182" s="253">
        <f t="shared" si="63"/>
        <v>0</v>
      </c>
      <c r="O182" s="335">
        <f t="shared" si="60"/>
        <v>0</v>
      </c>
    </row>
    <row r="183" spans="1:16" ht="12" customHeight="1" thickBot="1">
      <c r="B183" s="490"/>
      <c r="C183" s="491"/>
      <c r="D183" s="496" t="s">
        <v>128</v>
      </c>
      <c r="E183" s="214"/>
      <c r="F183" s="227"/>
      <c r="G183" s="213"/>
      <c r="H183" s="212"/>
      <c r="I183" s="211">
        <v>0</v>
      </c>
      <c r="J183" s="253">
        <f t="shared" si="59"/>
        <v>0</v>
      </c>
      <c r="K183" s="253">
        <f>J183</f>
        <v>0</v>
      </c>
      <c r="L183" s="253"/>
      <c r="M183" s="253">
        <f t="shared" si="62"/>
        <v>0</v>
      </c>
      <c r="N183" s="253">
        <f t="shared" si="63"/>
        <v>0</v>
      </c>
      <c r="O183" s="335">
        <f t="shared" si="60"/>
        <v>0</v>
      </c>
    </row>
    <row r="184" spans="1:16" ht="12" customHeight="1" thickBot="1">
      <c r="B184" s="490"/>
      <c r="C184" s="491"/>
      <c r="D184" s="496"/>
      <c r="E184" s="214"/>
      <c r="F184" s="385"/>
      <c r="G184" s="213"/>
      <c r="H184" s="212"/>
      <c r="I184" s="270">
        <v>0</v>
      </c>
      <c r="J184" s="304">
        <f t="shared" si="59"/>
        <v>0</v>
      </c>
      <c r="K184" s="304">
        <f>J184</f>
        <v>0</v>
      </c>
      <c r="L184" s="304"/>
      <c r="M184" s="304">
        <f t="shared" si="62"/>
        <v>0</v>
      </c>
      <c r="N184" s="304">
        <f t="shared" si="63"/>
        <v>0</v>
      </c>
      <c r="O184" s="386">
        <f t="shared" si="60"/>
        <v>0</v>
      </c>
    </row>
    <row r="185" spans="1:16" ht="12" customHeight="1" thickBot="1">
      <c r="B185" s="490"/>
      <c r="C185" s="491"/>
      <c r="D185" s="496"/>
      <c r="E185" s="214"/>
      <c r="F185" s="227"/>
      <c r="G185" s="213"/>
      <c r="H185" s="212"/>
      <c r="I185" s="211"/>
      <c r="J185" s="253">
        <f t="shared" si="59"/>
        <v>0</v>
      </c>
      <c r="K185" s="253"/>
      <c r="L185" s="253"/>
      <c r="M185" s="253">
        <f t="shared" si="62"/>
        <v>0</v>
      </c>
      <c r="N185" s="253">
        <f t="shared" si="63"/>
        <v>0</v>
      </c>
      <c r="O185" s="335">
        <f t="shared" si="60"/>
        <v>0</v>
      </c>
    </row>
    <row r="186" spans="1:16" ht="12" customHeight="1" thickBot="1">
      <c r="B186" s="490"/>
      <c r="C186" s="491"/>
      <c r="D186" s="500" t="s">
        <v>125</v>
      </c>
      <c r="E186" s="214"/>
      <c r="F186" s="227"/>
      <c r="G186" s="213"/>
      <c r="H186" s="212">
        <v>0</v>
      </c>
      <c r="I186" s="211">
        <v>20000</v>
      </c>
      <c r="J186" s="253">
        <f t="shared" si="59"/>
        <v>0</v>
      </c>
      <c r="K186" s="253">
        <f>J186</f>
        <v>0</v>
      </c>
      <c r="L186" s="253"/>
      <c r="M186" s="253">
        <f t="shared" si="62"/>
        <v>0</v>
      </c>
      <c r="N186" s="253">
        <f t="shared" si="63"/>
        <v>0</v>
      </c>
      <c r="O186" s="335">
        <f t="shared" si="60"/>
        <v>0</v>
      </c>
    </row>
    <row r="187" spans="1:16" ht="13.8" thickBot="1">
      <c r="B187" s="490"/>
      <c r="C187" s="491"/>
      <c r="D187" s="501"/>
      <c r="E187" s="323" t="s">
        <v>123</v>
      </c>
      <c r="F187" s="324" t="s">
        <v>246</v>
      </c>
      <c r="G187" s="325" t="s">
        <v>122</v>
      </c>
      <c r="H187" s="326">
        <v>12</v>
      </c>
      <c r="I187" s="327">
        <v>40000</v>
      </c>
      <c r="J187" s="308">
        <f t="shared" si="59"/>
        <v>480000</v>
      </c>
      <c r="K187" s="253">
        <f>J187</f>
        <v>480000</v>
      </c>
      <c r="L187" s="308"/>
      <c r="M187" s="308">
        <f t="shared" si="62"/>
        <v>480000</v>
      </c>
      <c r="N187" s="308">
        <f t="shared" si="63"/>
        <v>0</v>
      </c>
      <c r="O187" s="335">
        <f t="shared" si="60"/>
        <v>727.27272727272725</v>
      </c>
    </row>
    <row r="188" spans="1:16" ht="13.8" thickBot="1">
      <c r="B188" s="492"/>
      <c r="C188" s="493"/>
      <c r="D188" s="502" t="s">
        <v>121</v>
      </c>
      <c r="E188" s="503"/>
      <c r="F188" s="503"/>
      <c r="G188" s="503"/>
      <c r="H188" s="503"/>
      <c r="I188" s="503"/>
      <c r="J188" s="209">
        <f>SUM(J173:J187)</f>
        <v>30363331</v>
      </c>
      <c r="K188" s="276">
        <f>SUM(K173:K187)</f>
        <v>21363331</v>
      </c>
      <c r="L188" s="276">
        <f>SUM(L173:L187)</f>
        <v>12499998</v>
      </c>
      <c r="M188" s="276">
        <f>SUM(M173:M187)</f>
        <v>30363331</v>
      </c>
      <c r="N188" s="276">
        <f>SUM(N173:N187)</f>
        <v>0</v>
      </c>
      <c r="O188" s="337">
        <f t="shared" si="60"/>
        <v>46005.046969696967</v>
      </c>
    </row>
    <row r="189" spans="1:16">
      <c r="A189" s="204"/>
      <c r="B189" s="207"/>
      <c r="C189" s="206"/>
      <c r="D189" s="206"/>
      <c r="E189" s="206"/>
      <c r="F189" s="206"/>
      <c r="G189" s="206"/>
      <c r="H189" s="206"/>
      <c r="I189" s="205"/>
      <c r="J189" s="204"/>
      <c r="K189" s="360"/>
      <c r="L189" s="360"/>
      <c r="M189" s="204"/>
      <c r="N189" s="204"/>
      <c r="O189" s="285"/>
    </row>
    <row r="190" spans="1:16">
      <c r="B190" s="475" t="s">
        <v>120</v>
      </c>
      <c r="C190" s="475"/>
      <c r="D190" s="475"/>
      <c r="E190" s="475"/>
      <c r="F190" s="475"/>
      <c r="G190" s="475"/>
      <c r="H190" s="475"/>
      <c r="I190" s="476"/>
      <c r="J190" s="203">
        <f>SUM(J188,J170,J154,J146,J139,J129,J119,J109,J102,J89,J78,J69,J54,J19,J39)</f>
        <v>112158905</v>
      </c>
      <c r="K190" s="277"/>
      <c r="L190" s="277"/>
      <c r="M190" s="277"/>
      <c r="N190" s="277"/>
      <c r="O190" s="348">
        <f>J190/$Q$4</f>
        <v>169937.73484848486</v>
      </c>
    </row>
    <row r="191" spans="1:16" ht="13.95" customHeight="1">
      <c r="B191" s="511"/>
      <c r="C191" s="511"/>
      <c r="D191" s="511"/>
      <c r="E191" s="512"/>
      <c r="F191" s="286"/>
      <c r="G191" s="201" t="s">
        <v>119</v>
      </c>
      <c r="H191" s="202">
        <v>0</v>
      </c>
      <c r="I191" s="201"/>
      <c r="J191" s="200">
        <f>J192-J190</f>
        <v>0</v>
      </c>
      <c r="K191" s="278"/>
      <c r="L191" s="278"/>
      <c r="M191" s="278"/>
      <c r="N191" s="278"/>
      <c r="O191" s="349">
        <f>J191/$Q$4</f>
        <v>0</v>
      </c>
    </row>
    <row r="192" spans="1:16">
      <c r="B192" s="475" t="s">
        <v>118</v>
      </c>
      <c r="C192" s="475"/>
      <c r="D192" s="475"/>
      <c r="E192" s="475"/>
      <c r="F192" s="475"/>
      <c r="G192" s="475"/>
      <c r="H192" s="475"/>
      <c r="I192" s="476"/>
      <c r="J192" s="197">
        <f>J190/(1-H191)</f>
        <v>112158905</v>
      </c>
      <c r="K192" s="279"/>
      <c r="L192" s="279"/>
      <c r="M192" s="279"/>
      <c r="N192" s="279"/>
      <c r="O192" s="348">
        <f>J192/$Q$4</f>
        <v>169937.73484848486</v>
      </c>
    </row>
    <row r="195" spans="2:14" ht="39.6">
      <c r="B195" s="199" t="s">
        <v>117</v>
      </c>
      <c r="C195" s="199"/>
      <c r="I195" s="381" t="s">
        <v>276</v>
      </c>
      <c r="J195" s="383">
        <f>SUM(K188,K171,K140,K79)</f>
        <v>63689945</v>
      </c>
      <c r="K195" s="382" t="s">
        <v>277</v>
      </c>
      <c r="L195" s="383">
        <f>SUM(L188,L171,L140,L79)</f>
        <v>51968958</v>
      </c>
      <c r="M195" s="380"/>
    </row>
    <row r="196" spans="2:14">
      <c r="B196" s="199" t="s">
        <v>116</v>
      </c>
      <c r="C196" s="199"/>
    </row>
    <row r="197" spans="2:14">
      <c r="I197" s="198" t="s">
        <v>2</v>
      </c>
      <c r="J197" s="197">
        <v>80000000</v>
      </c>
      <c r="K197" s="279"/>
      <c r="L197" s="279"/>
      <c r="M197" s="279"/>
      <c r="N197" s="279"/>
    </row>
    <row r="200" spans="2:14">
      <c r="K200" s="380">
        <f>K19+K39+K54+K69+K78+K89+K102+K109+K119+K129+K139+K146+K154+K170+K188</f>
        <v>63689945</v>
      </c>
      <c r="L200" s="391" t="s">
        <v>280</v>
      </c>
      <c r="M200" s="348">
        <v>65620000</v>
      </c>
    </row>
  </sheetData>
  <mergeCells count="68">
    <mergeCell ref="B2:O2"/>
    <mergeCell ref="B4:B78"/>
    <mergeCell ref="C4:C19"/>
    <mergeCell ref="D5:D14"/>
    <mergeCell ref="D15:D17"/>
    <mergeCell ref="D19:I19"/>
    <mergeCell ref="C20:C39"/>
    <mergeCell ref="D21:D35"/>
    <mergeCell ref="D36:D37"/>
    <mergeCell ref="D39:I39"/>
    <mergeCell ref="C40:C54"/>
    <mergeCell ref="D41:D49"/>
    <mergeCell ref="D50:D52"/>
    <mergeCell ref="D54:I54"/>
    <mergeCell ref="C55:C69"/>
    <mergeCell ref="D56:D65"/>
    <mergeCell ref="D66:D67"/>
    <mergeCell ref="D69:I69"/>
    <mergeCell ref="C70:C78"/>
    <mergeCell ref="D71:D74"/>
    <mergeCell ref="D75:D76"/>
    <mergeCell ref="D78:I78"/>
    <mergeCell ref="G79:I79"/>
    <mergeCell ref="D136:D137"/>
    <mergeCell ref="D139:I139"/>
    <mergeCell ref="B81:B139"/>
    <mergeCell ref="B141:C141"/>
    <mergeCell ref="C103:C109"/>
    <mergeCell ref="D104:D105"/>
    <mergeCell ref="D106:D107"/>
    <mergeCell ref="D109:I109"/>
    <mergeCell ref="B80:C80"/>
    <mergeCell ref="D82:D86"/>
    <mergeCell ref="D122:D126"/>
    <mergeCell ref="D129:I129"/>
    <mergeCell ref="C130:C139"/>
    <mergeCell ref="G140:I140"/>
    <mergeCell ref="C81:C89"/>
    <mergeCell ref="B191:E191"/>
    <mergeCell ref="D89:I89"/>
    <mergeCell ref="C90:C102"/>
    <mergeCell ref="D91:D99"/>
    <mergeCell ref="D102:I102"/>
    <mergeCell ref="B190:I190"/>
    <mergeCell ref="D149:D152"/>
    <mergeCell ref="C110:C119"/>
    <mergeCell ref="D111:D115"/>
    <mergeCell ref="D116:D117"/>
    <mergeCell ref="D119:I119"/>
    <mergeCell ref="C120:C129"/>
    <mergeCell ref="D120:D121"/>
    <mergeCell ref="D131:D135"/>
    <mergeCell ref="B192:I192"/>
    <mergeCell ref="D154:I154"/>
    <mergeCell ref="C155:C170"/>
    <mergeCell ref="D170:I170"/>
    <mergeCell ref="B173:C188"/>
    <mergeCell ref="D173:D175"/>
    <mergeCell ref="D176:D182"/>
    <mergeCell ref="D183:D185"/>
    <mergeCell ref="D186:D187"/>
    <mergeCell ref="D188:I188"/>
    <mergeCell ref="B142:B170"/>
    <mergeCell ref="C142:C146"/>
    <mergeCell ref="D146:I146"/>
    <mergeCell ref="D156:D167"/>
    <mergeCell ref="G171:I171"/>
    <mergeCell ref="C147:C154"/>
  </mergeCells>
  <phoneticPr fontId="2" type="noConversion"/>
  <dataValidations count="1">
    <dataValidation type="list" allowBlank="1" showInputMessage="1" showErrorMessage="1" sqref="F90:F101 F173:F187 F20:F38 F40:F53 F70:F77 F81:F88 F55:F68 F103:F108 F110:F118 F120:F128 F130:F138 F142:F145 F147:F153 F4:F18 F155:F169">
      <formula1>$Q$8:$Q$9</formula1>
    </dataValidation>
  </dataValidations>
  <pageMargins left="0.75" right="0.75" top="1" bottom="1" header="0.5" footer="0.5"/>
  <pageSetup scale="33" orientation="portrait" horizontalDpi="4294967292" verticalDpi="4294967292"/>
  <rowBreaks count="1" manualBreakCount="1">
    <brk id="140" max="16383" man="1"/>
  </rowBreaks>
  <colBreaks count="1" manualBreakCount="1">
    <brk id="15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zoomScaleSheetLayoutView="75" workbookViewId="0">
      <pane xSplit="4" ySplit="5" topLeftCell="E20" activePane="bottomRight" state="frozen"/>
      <selection pane="topRight" activeCell="D1" sqref="D1"/>
      <selection pane="bottomLeft" activeCell="A8" sqref="A8"/>
      <selection pane="bottomRight" activeCell="G18" sqref="G18"/>
    </sheetView>
  </sheetViews>
  <sheetFormatPr defaultColWidth="11.44140625" defaultRowHeight="13.8"/>
  <cols>
    <col min="1" max="1" width="2.109375" style="74" customWidth="1"/>
    <col min="2" max="2" width="7.109375" style="94" customWidth="1"/>
    <col min="3" max="3" width="60.6640625" style="94" customWidth="1"/>
    <col min="4" max="4" width="14" style="94" customWidth="1"/>
    <col min="5" max="5" width="14.44140625" style="164" customWidth="1"/>
    <col min="6" max="6" width="9" style="165" customWidth="1"/>
    <col min="7" max="7" width="14.44140625" style="166" customWidth="1"/>
    <col min="8" max="8" width="14.44140625" style="167" customWidth="1"/>
    <col min="9" max="9" width="14.44140625" style="164" customWidth="1"/>
    <col min="10" max="11" width="14.44140625" style="162" customWidth="1"/>
    <col min="12" max="16384" width="11.44140625" style="74"/>
  </cols>
  <sheetData>
    <row r="1" spans="2:15" s="86" customFormat="1" ht="22.8">
      <c r="B1" s="543" t="s">
        <v>81</v>
      </c>
      <c r="C1" s="543"/>
      <c r="D1" s="543"/>
      <c r="E1" s="543"/>
      <c r="F1" s="543"/>
      <c r="G1" s="543"/>
      <c r="H1" s="543"/>
      <c r="I1" s="543"/>
      <c r="J1" s="543"/>
      <c r="K1" s="543"/>
    </row>
    <row r="2" spans="2:15" s="86" customFormat="1" ht="23.4" thickBot="1">
      <c r="B2" s="544" t="s">
        <v>96</v>
      </c>
      <c r="C2" s="544"/>
      <c r="D2" s="544"/>
      <c r="E2" s="544"/>
      <c r="F2" s="544"/>
      <c r="G2" s="544"/>
      <c r="H2" s="544"/>
      <c r="I2" s="544"/>
      <c r="J2" s="544"/>
      <c r="K2" s="544"/>
    </row>
    <row r="3" spans="2:15" ht="18" thickBot="1">
      <c r="B3" s="540" t="s">
        <v>63</v>
      </c>
      <c r="C3" s="541"/>
      <c r="D3" s="541"/>
      <c r="E3" s="541"/>
      <c r="F3" s="541"/>
      <c r="G3" s="541"/>
      <c r="H3" s="541"/>
      <c r="I3" s="541"/>
      <c r="J3" s="541"/>
      <c r="K3" s="542"/>
    </row>
    <row r="4" spans="2:15" s="94" customFormat="1" ht="40.200000000000003" thickBot="1">
      <c r="B4" s="87" t="s">
        <v>80</v>
      </c>
      <c r="C4" s="88"/>
      <c r="D4" s="89" t="s">
        <v>7</v>
      </c>
      <c r="E4" s="374" t="s">
        <v>274</v>
      </c>
      <c r="F4" s="91" t="s">
        <v>67</v>
      </c>
      <c r="G4" s="92" t="s">
        <v>9</v>
      </c>
      <c r="H4" s="90" t="s">
        <v>2</v>
      </c>
      <c r="I4" s="93" t="s">
        <v>66</v>
      </c>
      <c r="J4" s="93" t="s">
        <v>12</v>
      </c>
      <c r="K4" s="93" t="s">
        <v>13</v>
      </c>
    </row>
    <row r="5" spans="2:15" ht="14.4" thickBot="1">
      <c r="B5" s="95"/>
      <c r="C5" s="555" t="s">
        <v>83</v>
      </c>
      <c r="D5" s="556"/>
      <c r="E5" s="556"/>
      <c r="F5" s="556"/>
      <c r="G5" s="556"/>
      <c r="H5" s="556"/>
      <c r="I5" s="556"/>
      <c r="J5" s="553"/>
      <c r="K5" s="554"/>
    </row>
    <row r="6" spans="2:15" ht="27.6">
      <c r="B6" s="96" t="s">
        <v>240</v>
      </c>
      <c r="C6" s="97" t="s">
        <v>98</v>
      </c>
      <c r="D6" s="77" t="s">
        <v>85</v>
      </c>
      <c r="E6" s="375">
        <f>'PPTO detalle'!J19/C36</f>
        <v>12231.151515151516</v>
      </c>
      <c r="F6" s="98">
        <v>1</v>
      </c>
      <c r="G6" s="99">
        <f>E6*F6</f>
        <v>12231.151515151516</v>
      </c>
      <c r="H6" s="100">
        <f>'PPTO detalle'!K19/C36</f>
        <v>0</v>
      </c>
      <c r="I6" s="101">
        <f>'PPTO detalle'!L19/C36</f>
        <v>12231.151515151516</v>
      </c>
      <c r="J6" s="102">
        <f>'PPTO detalle'!M19/C36</f>
        <v>12231.151515151516</v>
      </c>
      <c r="K6" s="102">
        <f>'PPTO detalle'!N19/C36</f>
        <v>0</v>
      </c>
    </row>
    <row r="7" spans="2:15" ht="27.6">
      <c r="B7" s="103" t="s">
        <v>241</v>
      </c>
      <c r="C7" s="97" t="s">
        <v>99</v>
      </c>
      <c r="D7" s="77" t="s">
        <v>85</v>
      </c>
      <c r="E7" s="375">
        <f>'PPTO detalle'!J39/C36</f>
        <v>28024.848484848484</v>
      </c>
      <c r="F7" s="98">
        <v>1</v>
      </c>
      <c r="G7" s="99">
        <f t="shared" ref="G7:G10" si="0">E7*F7</f>
        <v>28024.848484848484</v>
      </c>
      <c r="H7" s="100">
        <f>'PPTO detalle'!K39/C36</f>
        <v>0</v>
      </c>
      <c r="I7" s="101">
        <f>'PPTO detalle'!L39/C36</f>
        <v>28024.848484848484</v>
      </c>
      <c r="J7" s="102">
        <f>'PPTO detalle'!M39/C36</f>
        <v>28024.848484848484</v>
      </c>
      <c r="K7" s="102">
        <f>'PPTO detalle'!N39/C36</f>
        <v>0</v>
      </c>
    </row>
    <row r="8" spans="2:15" ht="27.6">
      <c r="B8" s="193" t="s">
        <v>242</v>
      </c>
      <c r="C8" s="194" t="s">
        <v>100</v>
      </c>
      <c r="D8" s="77" t="s">
        <v>85</v>
      </c>
      <c r="E8" s="376">
        <f>'PPTO detalle'!J54/C36</f>
        <v>3939.3939393939395</v>
      </c>
      <c r="F8" s="195">
        <v>1</v>
      </c>
      <c r="G8" s="99">
        <f t="shared" si="0"/>
        <v>3939.3939393939395</v>
      </c>
      <c r="H8" s="100">
        <f>'PPTO detalle'!K54/C36</f>
        <v>3939.3939393939395</v>
      </c>
      <c r="I8" s="101">
        <f>'PPTO detalle'!L54/C36</f>
        <v>0</v>
      </c>
      <c r="J8" s="119">
        <f>'PPTO detalle'!M54/C36</f>
        <v>3939.3939393939395</v>
      </c>
      <c r="K8" s="119">
        <f>'PPTO detalle'!N54/C36</f>
        <v>0</v>
      </c>
    </row>
    <row r="9" spans="2:15" ht="27.6">
      <c r="B9" s="193">
        <v>1.4</v>
      </c>
      <c r="C9" s="194" t="s">
        <v>313</v>
      </c>
      <c r="D9" s="77" t="s">
        <v>85</v>
      </c>
      <c r="E9" s="376">
        <f>'PPTO detalle'!J69/C36</f>
        <v>8998.3166666666675</v>
      </c>
      <c r="F9" s="195">
        <v>1</v>
      </c>
      <c r="G9" s="99">
        <f t="shared" si="0"/>
        <v>8998.3166666666675</v>
      </c>
      <c r="H9" s="100">
        <f>'PPTO detalle'!K69/C36</f>
        <v>8998.3166666666675</v>
      </c>
      <c r="I9" s="101">
        <f>'PPTO detalle'!L69/C36</f>
        <v>0</v>
      </c>
      <c r="J9" s="119">
        <f>'PPTO detalle'!M69/C36</f>
        <v>8998.3166666666675</v>
      </c>
      <c r="K9" s="119">
        <f>'PPTO detalle'!N69/C36</f>
        <v>0</v>
      </c>
    </row>
    <row r="10" spans="2:15">
      <c r="B10" s="193">
        <v>1.5</v>
      </c>
      <c r="C10" s="194" t="s">
        <v>101</v>
      </c>
      <c r="D10" s="77" t="s">
        <v>85</v>
      </c>
      <c r="E10" s="376">
        <f>'PPTO detalle'!J78/C36</f>
        <v>8736.363636363636</v>
      </c>
      <c r="F10" s="195">
        <v>1</v>
      </c>
      <c r="G10" s="99">
        <f t="shared" si="0"/>
        <v>8736.363636363636</v>
      </c>
      <c r="H10" s="100">
        <f>'PPTO detalle'!K78/C36</f>
        <v>4190.909090909091</v>
      </c>
      <c r="I10" s="101">
        <f>'PPTO detalle'!L78/C36</f>
        <v>4545.454545454545</v>
      </c>
      <c r="J10" s="119">
        <f>'PPTO detalle'!M78/C36</f>
        <v>4190.909090909091</v>
      </c>
      <c r="K10" s="119">
        <f>'PPTO detalle'!N78/C36</f>
        <v>4545.454545454545</v>
      </c>
    </row>
    <row r="11" spans="2:15" ht="20.25" customHeight="1" thickBot="1">
      <c r="B11" s="104"/>
      <c r="C11" s="105" t="s">
        <v>58</v>
      </c>
      <c r="D11" s="106"/>
      <c r="E11" s="107"/>
      <c r="F11" s="107"/>
      <c r="G11" s="108">
        <f>SUM(G6:G10)</f>
        <v>61930.074242424234</v>
      </c>
      <c r="H11" s="108">
        <f>SUM(H6:H10)</f>
        <v>17128.619696969698</v>
      </c>
      <c r="I11" s="108">
        <f t="shared" ref="I11" si="1">SUM(I6:I10)</f>
        <v>44801.454545454544</v>
      </c>
      <c r="J11" s="108">
        <f>SUM(J6:J10)</f>
        <v>57384.61969696969</v>
      </c>
      <c r="K11" s="108">
        <f>SUM(K6:K10)</f>
        <v>4545.454545454545</v>
      </c>
      <c r="M11" s="15"/>
      <c r="N11" s="15"/>
      <c r="O11" s="15"/>
    </row>
    <row r="12" spans="2:15" ht="14.4" thickBot="1">
      <c r="B12" s="95"/>
      <c r="C12" s="555" t="s">
        <v>84</v>
      </c>
      <c r="D12" s="556"/>
      <c r="E12" s="556"/>
      <c r="F12" s="556"/>
      <c r="G12" s="556"/>
      <c r="H12" s="556"/>
      <c r="I12" s="556"/>
      <c r="J12" s="553"/>
      <c r="K12" s="554"/>
      <c r="M12" s="15"/>
      <c r="N12" s="15"/>
      <c r="O12" s="15"/>
    </row>
    <row r="13" spans="2:15" s="115" customFormat="1" ht="27.6">
      <c r="B13" s="110">
        <v>2.1</v>
      </c>
      <c r="C13" s="111" t="s">
        <v>102</v>
      </c>
      <c r="D13" s="112" t="s">
        <v>85</v>
      </c>
      <c r="E13" s="377">
        <f>'PPTO detalle'!J89/C36</f>
        <v>5386.363636363636</v>
      </c>
      <c r="F13" s="113">
        <v>1</v>
      </c>
      <c r="G13" s="114">
        <f>+E13*F13</f>
        <v>5386.363636363636</v>
      </c>
      <c r="H13" s="100">
        <f>'PPTO detalle'!K89/C36</f>
        <v>840.90909090909088</v>
      </c>
      <c r="I13" s="101">
        <f>'PPTO detalle'!L89/C36</f>
        <v>4545.454545454545</v>
      </c>
      <c r="J13" s="102">
        <f>'PPTO detalle'!M89/C36</f>
        <v>840.90909090909088</v>
      </c>
      <c r="K13" s="102">
        <f>'PPTO detalle'!N89/C36</f>
        <v>4545.454545454545</v>
      </c>
      <c r="M13" s="15"/>
      <c r="N13" s="15"/>
      <c r="O13" s="15"/>
    </row>
    <row r="14" spans="2:15" s="115" customFormat="1" ht="27.6">
      <c r="B14" s="110">
        <v>2.2000000000000002</v>
      </c>
      <c r="C14" s="111" t="s">
        <v>103</v>
      </c>
      <c r="D14" s="112" t="s">
        <v>85</v>
      </c>
      <c r="E14" s="377">
        <f>'PPTO detalle'!J102/C36</f>
        <v>3424.242424242424</v>
      </c>
      <c r="F14" s="113">
        <v>1</v>
      </c>
      <c r="G14" s="114">
        <f t="shared" ref="G14:G16" si="2">+E14*F14</f>
        <v>3424.242424242424</v>
      </c>
      <c r="H14" s="100">
        <f>'PPTO detalle'!K102/C36</f>
        <v>3424.242424242424</v>
      </c>
      <c r="I14" s="101">
        <f>'PPTO detalle'!L102/C36</f>
        <v>0</v>
      </c>
      <c r="J14" s="102">
        <f>'PPTO detalle'!M102/C36</f>
        <v>3424.242424242424</v>
      </c>
      <c r="K14" s="102">
        <f>'PPTO detalle'!N102/C36</f>
        <v>0</v>
      </c>
      <c r="M14" s="15"/>
      <c r="N14" s="15"/>
      <c r="O14" s="15"/>
    </row>
    <row r="15" spans="2:15" s="115" customFormat="1">
      <c r="B15" s="110">
        <v>2.4</v>
      </c>
      <c r="C15" s="111" t="s">
        <v>104</v>
      </c>
      <c r="D15" s="112" t="s">
        <v>85</v>
      </c>
      <c r="E15" s="377">
        <f>'PPTO detalle'!J119/C36</f>
        <v>4266.666666666667</v>
      </c>
      <c r="F15" s="113">
        <v>1</v>
      </c>
      <c r="G15" s="114">
        <f t="shared" ref="G15" si="3">+E15*F15</f>
        <v>4266.666666666667</v>
      </c>
      <c r="H15" s="100">
        <f>'PPTO detalle'!K119/C36</f>
        <v>4266.666666666667</v>
      </c>
      <c r="I15" s="101">
        <f>'PPTO detalle'!L119/C36</f>
        <v>0</v>
      </c>
      <c r="J15" s="102">
        <f>'PPTO detalle'!M119/C36</f>
        <v>4266.666666666667</v>
      </c>
      <c r="K15" s="102">
        <f>'PPTO detalle'!N119/C36</f>
        <v>0</v>
      </c>
      <c r="M15" s="15"/>
      <c r="N15" s="15"/>
      <c r="O15" s="15"/>
    </row>
    <row r="16" spans="2:15" s="115" customFormat="1">
      <c r="B16" s="110">
        <v>2.5</v>
      </c>
      <c r="C16" s="111" t="s">
        <v>287</v>
      </c>
      <c r="D16" s="112" t="s">
        <v>85</v>
      </c>
      <c r="E16" s="377">
        <f>'PPTO detalle'!J129/C36</f>
        <v>4393.939393939394</v>
      </c>
      <c r="F16" s="113">
        <v>1</v>
      </c>
      <c r="G16" s="114">
        <f t="shared" si="2"/>
        <v>4393.939393939394</v>
      </c>
      <c r="H16" s="100">
        <f>'PPTO detalle'!K129/C36</f>
        <v>2121.212121212121</v>
      </c>
      <c r="I16" s="101">
        <f>'PPTO detalle'!L129/C36</f>
        <v>2272.7272727272725</v>
      </c>
      <c r="J16" s="102">
        <f>'PPTO detalle'!M129/C36</f>
        <v>2121.212121212121</v>
      </c>
      <c r="K16" s="102">
        <f>'PPTO detalle'!N129/C36</f>
        <v>2272.7272727272725</v>
      </c>
      <c r="M16" s="15"/>
      <c r="N16" s="15"/>
      <c r="O16" s="15"/>
    </row>
    <row r="17" spans="2:15" s="115" customFormat="1">
      <c r="B17" s="110">
        <v>2.6</v>
      </c>
      <c r="C17" s="116" t="s">
        <v>105</v>
      </c>
      <c r="D17" s="117" t="s">
        <v>85</v>
      </c>
      <c r="E17" s="378">
        <f>'PPTO detalle'!J139/C36</f>
        <v>3636.3636363636365</v>
      </c>
      <c r="F17" s="118">
        <v>1</v>
      </c>
      <c r="G17" s="99">
        <f t="shared" ref="G17" si="4">E17*F17</f>
        <v>3636.3636363636365</v>
      </c>
      <c r="H17" s="100">
        <f>'PPTO detalle'!K139/C36</f>
        <v>3636.3636363636365</v>
      </c>
      <c r="I17" s="101">
        <f>'PPTO detalle'!L139/C36</f>
        <v>0</v>
      </c>
      <c r="J17" s="119">
        <f>'PPTO detalle'!M139/C36</f>
        <v>3636.3636363636365</v>
      </c>
      <c r="K17" s="119">
        <f>'PPTO detalle'!N139/C36</f>
        <v>0</v>
      </c>
      <c r="M17" s="15"/>
      <c r="N17" s="15"/>
      <c r="O17" s="15"/>
    </row>
    <row r="18" spans="2:15" ht="14.4" thickBot="1">
      <c r="B18" s="105"/>
      <c r="C18" s="105" t="s">
        <v>59</v>
      </c>
      <c r="D18" s="106"/>
      <c r="E18" s="107"/>
      <c r="F18" s="107"/>
      <c r="G18" s="108">
        <f>SUM(G13:G17)</f>
        <v>21107.575757575756</v>
      </c>
      <c r="H18" s="108">
        <f>SUM(H13:H17)</f>
        <v>14289.39393939394</v>
      </c>
      <c r="I18" s="108">
        <f>SUM(I13:I17)</f>
        <v>6818.181818181818</v>
      </c>
      <c r="J18" s="108">
        <f>SUM(J13:J17)</f>
        <v>14289.39393939394</v>
      </c>
      <c r="K18" s="109">
        <f>SUM(K13:K17)</f>
        <v>6818.181818181818</v>
      </c>
    </row>
    <row r="19" spans="2:15">
      <c r="B19" s="120"/>
      <c r="C19" s="547" t="s">
        <v>106</v>
      </c>
      <c r="D19" s="548"/>
      <c r="E19" s="548"/>
      <c r="F19" s="548"/>
      <c r="G19" s="548"/>
      <c r="H19" s="548"/>
      <c r="I19" s="548"/>
      <c r="J19" s="551"/>
      <c r="K19" s="552"/>
    </row>
    <row r="20" spans="2:15" ht="27.6">
      <c r="B20" s="110">
        <v>3.1</v>
      </c>
      <c r="C20" s="82" t="s">
        <v>107</v>
      </c>
      <c r="D20" s="77" t="s">
        <v>85</v>
      </c>
      <c r="E20" s="98">
        <f>'PPTO detalle'!J146/C36</f>
        <v>3636.3636363636365</v>
      </c>
      <c r="F20" s="98">
        <v>1</v>
      </c>
      <c r="G20" s="99">
        <f t="shared" ref="G20:G22" si="5">E20*F20</f>
        <v>3636.3636363636365</v>
      </c>
      <c r="H20" s="100">
        <f>'PPTO detalle'!K146/C36</f>
        <v>3636.3636363636365</v>
      </c>
      <c r="I20" s="100">
        <f>'PPTO detalle'!L146/C36</f>
        <v>0</v>
      </c>
      <c r="J20" s="119">
        <f>'PPTO detalle'!M146/C36</f>
        <v>3636.3636363636365</v>
      </c>
      <c r="K20" s="119">
        <f>'PPTO detalle'!N146/C36</f>
        <v>0</v>
      </c>
    </row>
    <row r="21" spans="2:15" ht="41.4">
      <c r="B21" s="110">
        <v>3.2</v>
      </c>
      <c r="C21" s="82" t="s">
        <v>108</v>
      </c>
      <c r="D21" s="77" t="s">
        <v>85</v>
      </c>
      <c r="E21" s="98">
        <f>'PPTO detalle'!J154/C36</f>
        <v>5631.492424242424</v>
      </c>
      <c r="F21" s="98">
        <v>1</v>
      </c>
      <c r="G21" s="99">
        <f t="shared" si="5"/>
        <v>5631.492424242424</v>
      </c>
      <c r="H21" s="100">
        <f>'PPTO detalle'!K154/C36</f>
        <v>5631.492424242424</v>
      </c>
      <c r="I21" s="100">
        <f>'PPTO detalle'!L154/C36</f>
        <v>0</v>
      </c>
      <c r="J21" s="119">
        <f>'PPTO detalle'!M154/C36</f>
        <v>5631.492424242424</v>
      </c>
      <c r="K21" s="119">
        <f>'PPTO detalle'!N154/C36</f>
        <v>0</v>
      </c>
    </row>
    <row r="22" spans="2:15" ht="27.6">
      <c r="B22" s="350">
        <v>3.3</v>
      </c>
      <c r="C22" s="351" t="s">
        <v>272</v>
      </c>
      <c r="D22" s="352" t="s">
        <v>85</v>
      </c>
      <c r="E22" s="98">
        <f>'PPTO detalle'!J170/C36</f>
        <v>31627.18181818182</v>
      </c>
      <c r="F22" s="195">
        <v>1</v>
      </c>
      <c r="G22" s="99">
        <f t="shared" si="5"/>
        <v>31627.18181818182</v>
      </c>
      <c r="H22" s="100">
        <f>'PPTO detalle'!K170/C36</f>
        <v>23445.363636363636</v>
      </c>
      <c r="I22" s="100">
        <f>'PPTO detalle'!L170/C36</f>
        <v>8181.818181818182</v>
      </c>
      <c r="J22" s="119">
        <f>'PPTO detalle'!M170/C36</f>
        <v>23445.363636363636</v>
      </c>
      <c r="K22" s="119">
        <f>'PPTO detalle'!N170/C36</f>
        <v>8181.818181818182</v>
      </c>
    </row>
    <row r="23" spans="2:15">
      <c r="B23" s="104"/>
      <c r="C23" s="104" t="s">
        <v>60</v>
      </c>
      <c r="D23" s="121"/>
      <c r="E23" s="122"/>
      <c r="F23" s="122"/>
      <c r="G23" s="123">
        <f>SUM(G20:G22)</f>
        <v>40895.03787878788</v>
      </c>
      <c r="H23" s="123">
        <f>SUM(H20:H22)</f>
        <v>32713.219696969696</v>
      </c>
      <c r="I23" s="124">
        <f>SUM(I20:I22)</f>
        <v>8181.818181818182</v>
      </c>
      <c r="J23" s="125">
        <f>SUM(J20:J22)</f>
        <v>32713.219696969696</v>
      </c>
      <c r="K23" s="126">
        <f>SUM(K20:K22)</f>
        <v>8181.818181818182</v>
      </c>
    </row>
    <row r="24" spans="2:15" ht="14.4" thickBot="1">
      <c r="B24" s="128"/>
      <c r="C24" s="545" t="s">
        <v>11</v>
      </c>
      <c r="D24" s="546"/>
      <c r="E24" s="546"/>
      <c r="F24" s="546"/>
      <c r="G24" s="546"/>
      <c r="H24" s="546"/>
      <c r="I24" s="546"/>
      <c r="J24" s="549"/>
      <c r="K24" s="550"/>
    </row>
    <row r="25" spans="2:15" s="129" customFormat="1">
      <c r="B25" s="298">
        <v>5.0999999999999996</v>
      </c>
      <c r="C25" s="299" t="s">
        <v>109</v>
      </c>
      <c r="D25" s="299" t="s">
        <v>70</v>
      </c>
      <c r="E25" s="379">
        <f>'PPTO detalle'!I173/C36</f>
        <v>2121.212121212121</v>
      </c>
      <c r="F25" s="303">
        <v>12</v>
      </c>
      <c r="G25" s="114">
        <f>E25*F25</f>
        <v>25454.545454545452</v>
      </c>
      <c r="H25" s="114">
        <f>'PPTO detalle'!K173/C36</f>
        <v>25454.545454545456</v>
      </c>
      <c r="I25" s="114">
        <f>'PPTO detalle'!L173/C36</f>
        <v>0</v>
      </c>
      <c r="J25" s="130">
        <f>'PPTO detalle'!M173/C36</f>
        <v>25454.545454545456</v>
      </c>
      <c r="K25" s="130">
        <f>'PPTO detalle'!N173/C36</f>
        <v>0</v>
      </c>
    </row>
    <row r="26" spans="2:15" s="129" customFormat="1">
      <c r="B26" s="298">
        <v>5.3</v>
      </c>
      <c r="C26" s="300" t="s">
        <v>130</v>
      </c>
      <c r="D26" s="300" t="s">
        <v>70</v>
      </c>
      <c r="E26" s="379">
        <f>'PPTO detalle'!I175/C36</f>
        <v>883.83787878787882</v>
      </c>
      <c r="F26" s="303">
        <v>12</v>
      </c>
      <c r="G26" s="114">
        <f t="shared" ref="G26:G28" si="6">E26*F26</f>
        <v>10606.054545454546</v>
      </c>
      <c r="H26" s="114">
        <f>'PPTO detalle'!K175/C36</f>
        <v>6186.8651515151514</v>
      </c>
      <c r="I26" s="114">
        <f>'PPTO detalle'!L175/C36</f>
        <v>5303.0272727272732</v>
      </c>
      <c r="J26" s="130">
        <f>'PPTO detalle'!M175/C36</f>
        <v>6186.8651515151514</v>
      </c>
      <c r="K26" s="130">
        <f>'PPTO detalle'!N175/C36</f>
        <v>0</v>
      </c>
    </row>
    <row r="27" spans="2:15" s="129" customFormat="1">
      <c r="B27" s="298"/>
      <c r="C27" s="300"/>
      <c r="D27" s="300"/>
      <c r="E27" s="379"/>
      <c r="F27" s="303"/>
      <c r="G27" s="114"/>
      <c r="H27" s="114"/>
      <c r="I27" s="114"/>
      <c r="J27" s="130"/>
      <c r="K27" s="130"/>
    </row>
    <row r="28" spans="2:15" s="129" customFormat="1">
      <c r="B28" s="298">
        <v>5.6</v>
      </c>
      <c r="C28" s="300" t="s">
        <v>115</v>
      </c>
      <c r="D28" s="300" t="s">
        <v>70</v>
      </c>
      <c r="E28" s="379">
        <f>'PPTO detalle'!I187/C36</f>
        <v>60.606060606060609</v>
      </c>
      <c r="F28" s="301">
        <v>12</v>
      </c>
      <c r="G28" s="114">
        <f t="shared" si="6"/>
        <v>727.27272727272725</v>
      </c>
      <c r="H28" s="100">
        <f>'PPTO detalle'!K187/C36</f>
        <v>727.27272727272725</v>
      </c>
      <c r="I28" s="100">
        <f>'PPTO detalle'!L187/C36</f>
        <v>0</v>
      </c>
      <c r="J28" s="127">
        <f>'PPTO detalle'!M187/C36</f>
        <v>727.27272727272725</v>
      </c>
      <c r="K28" s="127">
        <f>'PPTO detalle'!N187/C36</f>
        <v>0</v>
      </c>
    </row>
    <row r="29" spans="2:15" s="129" customFormat="1" ht="14.4" thickBot="1">
      <c r="B29" s="105"/>
      <c r="C29" s="105" t="s">
        <v>16</v>
      </c>
      <c r="D29" s="106"/>
      <c r="E29" s="107"/>
      <c r="F29" s="107"/>
      <c r="G29" s="108">
        <f>SUM(G25:G28)</f>
        <v>36787.872727272726</v>
      </c>
      <c r="H29" s="108">
        <f>SUM(H25:H28)</f>
        <v>32368.683333333334</v>
      </c>
      <c r="I29" s="108">
        <f>SUM(I25:I28)</f>
        <v>5303.0272727272732</v>
      </c>
      <c r="J29" s="108">
        <f>SUM(J25:J28)</f>
        <v>32368.683333333334</v>
      </c>
      <c r="K29" s="109">
        <f>SUM(K25:K28)</f>
        <v>0</v>
      </c>
    </row>
    <row r="30" spans="2:15" s="129" customFormat="1">
      <c r="B30" s="131">
        <v>6.1</v>
      </c>
      <c r="C30" s="132" t="s">
        <v>61</v>
      </c>
      <c r="D30" s="133"/>
      <c r="E30" s="134"/>
      <c r="F30" s="135"/>
      <c r="G30" s="136">
        <v>14500</v>
      </c>
      <c r="H30" s="137">
        <f>+G30</f>
        <v>14500</v>
      </c>
      <c r="I30" s="138">
        <v>0</v>
      </c>
      <c r="J30" s="139"/>
      <c r="K30" s="140"/>
    </row>
    <row r="31" spans="2:15" s="129" customFormat="1">
      <c r="B31" s="141">
        <v>6.2</v>
      </c>
      <c r="C31" s="142" t="s">
        <v>62</v>
      </c>
      <c r="D31" s="133"/>
      <c r="E31" s="143"/>
      <c r="F31" s="144"/>
      <c r="G31" s="136">
        <v>6000</v>
      </c>
      <c r="H31" s="137">
        <f>+G31</f>
        <v>6000</v>
      </c>
      <c r="I31" s="136">
        <v>0</v>
      </c>
      <c r="J31" s="145"/>
      <c r="K31" s="146"/>
    </row>
    <row r="32" spans="2:15" s="129" customFormat="1" ht="14.4" thickBot="1">
      <c r="B32" s="141">
        <v>6.3</v>
      </c>
      <c r="C32" s="142" t="s">
        <v>4</v>
      </c>
      <c r="D32" s="133"/>
      <c r="E32" s="143"/>
      <c r="F32" s="144"/>
      <c r="G32" s="136">
        <v>5000</v>
      </c>
      <c r="H32" s="137">
        <v>3000</v>
      </c>
      <c r="I32" s="136">
        <v>2000</v>
      </c>
      <c r="J32" s="145">
        <v>2000</v>
      </c>
      <c r="K32" s="146"/>
    </row>
    <row r="33" spans="1:11" s="129" customFormat="1" ht="24" customHeight="1" thickBot="1">
      <c r="B33" s="147"/>
      <c r="C33" s="147" t="s">
        <v>68</v>
      </c>
      <c r="D33" s="148"/>
      <c r="E33" s="149"/>
      <c r="F33" s="150"/>
      <c r="G33" s="151">
        <f>G32+G31+G30+G29+G23+G18+G11</f>
        <v>186220.56060606061</v>
      </c>
      <c r="H33" s="151">
        <f>H32+H31+H30+H29+H23+H18+H11</f>
        <v>119999.91666666666</v>
      </c>
      <c r="I33" s="151">
        <f>I32+I31+I30+I29+I23+I18+I11</f>
        <v>67104.481818181812</v>
      </c>
      <c r="J33" s="151">
        <f>J32+J31+J30+J29+J23+J18+J11</f>
        <v>138755.91666666666</v>
      </c>
      <c r="K33" s="151">
        <f>K32+K31+K30+K29+K23+K18+K11</f>
        <v>19545.454545454544</v>
      </c>
    </row>
    <row r="34" spans="1:11" ht="29.25" customHeight="1" thickBot="1">
      <c r="B34" s="152"/>
      <c r="C34" s="152" t="s">
        <v>15</v>
      </c>
      <c r="D34" s="89"/>
      <c r="E34" s="153"/>
      <c r="F34" s="89"/>
      <c r="G34" s="154">
        <f>+G33/$G$33</f>
        <v>1</v>
      </c>
      <c r="H34" s="154">
        <f>+H33/$G$33</f>
        <v>0.64439671041759938</v>
      </c>
      <c r="I34" s="154">
        <f>+I33/$G$33</f>
        <v>0.36034947805864287</v>
      </c>
      <c r="J34" s="89"/>
      <c r="K34" s="155"/>
    </row>
    <row r="35" spans="1:11">
      <c r="A35" s="20"/>
      <c r="B35" s="156"/>
      <c r="C35" s="156" t="s">
        <v>1</v>
      </c>
      <c r="D35" s="156"/>
      <c r="E35" s="157"/>
      <c r="F35" s="158"/>
      <c r="G35" s="159"/>
      <c r="H35" s="157"/>
      <c r="I35" s="160" t="s">
        <v>1</v>
      </c>
      <c r="J35" s="161"/>
    </row>
    <row r="36" spans="1:11">
      <c r="B36" s="94" t="s">
        <v>82</v>
      </c>
      <c r="C36" s="163">
        <v>660</v>
      </c>
    </row>
    <row r="37" spans="1:11">
      <c r="H37" s="167">
        <f>H33*680</f>
        <v>81599943.333333328</v>
      </c>
    </row>
    <row r="39" spans="1:11">
      <c r="F39" s="168"/>
    </row>
    <row r="53" spans="8:8">
      <c r="H53" s="164"/>
    </row>
  </sheetData>
  <dataConsolidate/>
  <mergeCells count="11">
    <mergeCell ref="B3:K3"/>
    <mergeCell ref="B1:K1"/>
    <mergeCell ref="B2:K2"/>
    <mergeCell ref="C24:I24"/>
    <mergeCell ref="C19:I19"/>
    <mergeCell ref="J24:K24"/>
    <mergeCell ref="J19:K19"/>
    <mergeCell ref="J5:K5"/>
    <mergeCell ref="C5:I5"/>
    <mergeCell ref="C12:I12"/>
    <mergeCell ref="J12:K12"/>
  </mergeCells>
  <phoneticPr fontId="2" type="noConversion"/>
  <printOptions horizontalCentered="1"/>
  <pageMargins left="0.7" right="0.7" top="0.75" bottom="0.75" header="0.3" footer="0.3"/>
  <pageSetup scale="47" orientation="portrait"/>
  <headerFooter alignWithMargins="0">
    <oddHeader>&amp;R&amp;"Times New Roman,Regular"Anexo II Pág. &amp;P</oddHeader>
  </headerFooter>
  <rowBreaks count="1" manualBreakCount="1">
    <brk id="18" min="1" max="10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7"/>
  <sheetViews>
    <sheetView tabSelected="1" topLeftCell="B1" workbookViewId="0">
      <selection activeCell="L13" sqref="L13"/>
    </sheetView>
  </sheetViews>
  <sheetFormatPr defaultColWidth="9.109375" defaultRowHeight="13.2"/>
  <cols>
    <col min="1" max="1" width="2.44140625" style="15" customWidth="1"/>
    <col min="2" max="2" width="6.109375" style="15" customWidth="1"/>
    <col min="3" max="3" width="9.44140625" style="15" customWidth="1"/>
    <col min="4" max="4" width="37.44140625" style="15" customWidth="1"/>
    <col min="5" max="5" width="15.33203125" style="15" customWidth="1"/>
    <col min="6" max="6" width="11.77734375" style="15" customWidth="1"/>
    <col min="7" max="7" width="13.44140625" style="15" customWidth="1"/>
    <col min="8" max="8" width="11.44140625" style="15" customWidth="1"/>
    <col min="9" max="9" width="9.109375" style="15" customWidth="1"/>
    <col min="10" max="10" width="11.109375" style="15" customWidth="1"/>
    <col min="11" max="11" width="8" style="15" customWidth="1"/>
    <col min="12" max="12" width="24.109375" style="15" customWidth="1"/>
    <col min="13" max="13" width="10.109375" style="68" customWidth="1"/>
    <col min="14" max="14" width="37.44140625" style="15" customWidth="1"/>
    <col min="15" max="16384" width="9.109375" style="15"/>
  </cols>
  <sheetData>
    <row r="1" spans="1:14" ht="20.25" customHeight="1" thickBot="1">
      <c r="B1" s="74"/>
      <c r="C1" s="74"/>
      <c r="D1" s="74"/>
      <c r="E1" s="74"/>
      <c r="F1" s="74"/>
      <c r="G1" s="74"/>
      <c r="H1" s="74"/>
      <c r="L1" s="15" t="s">
        <v>17</v>
      </c>
    </row>
    <row r="2" spans="1:14" ht="28.5" customHeight="1">
      <c r="B2" s="561" t="s">
        <v>64</v>
      </c>
      <c r="C2" s="562"/>
      <c r="D2" s="563"/>
      <c r="E2" s="562"/>
      <c r="F2" s="562"/>
      <c r="G2" s="562"/>
      <c r="H2" s="562"/>
      <c r="I2" s="562"/>
      <c r="J2" s="562"/>
      <c r="K2" s="562"/>
      <c r="L2" s="562"/>
      <c r="M2" s="562"/>
      <c r="N2" s="564"/>
    </row>
    <row r="3" spans="1:14" ht="16.5" customHeight="1">
      <c r="B3" s="565" t="s">
        <v>41</v>
      </c>
      <c r="C3" s="566"/>
      <c r="D3" s="567"/>
      <c r="E3" s="567"/>
      <c r="F3" s="567"/>
      <c r="G3" s="568" t="s">
        <v>331</v>
      </c>
      <c r="H3" s="569"/>
      <c r="I3" s="570"/>
      <c r="J3" s="570"/>
      <c r="K3" s="570"/>
      <c r="L3" s="570"/>
      <c r="M3" s="570"/>
      <c r="N3" s="571"/>
    </row>
    <row r="4" spans="1:14" ht="36" customHeight="1">
      <c r="B4" s="572" t="s">
        <v>86</v>
      </c>
      <c r="C4" s="573"/>
      <c r="D4" s="574"/>
      <c r="E4" s="574"/>
      <c r="F4" s="574"/>
      <c r="G4" s="575" t="s">
        <v>87</v>
      </c>
      <c r="H4" s="576"/>
      <c r="I4" s="577"/>
      <c r="J4" s="577"/>
      <c r="K4" s="577"/>
      <c r="L4" s="577"/>
      <c r="M4" s="577"/>
      <c r="N4" s="578"/>
    </row>
    <row r="5" spans="1:14" ht="21" customHeight="1">
      <c r="B5" s="557" t="s">
        <v>18</v>
      </c>
      <c r="C5" s="558"/>
      <c r="D5" s="559"/>
      <c r="E5" s="559"/>
      <c r="F5" s="559"/>
      <c r="G5" s="559"/>
      <c r="H5" s="559"/>
      <c r="I5" s="559"/>
      <c r="J5" s="559"/>
      <c r="K5" s="559"/>
      <c r="L5" s="559"/>
      <c r="M5" s="559"/>
      <c r="N5" s="560"/>
    </row>
    <row r="6" spans="1:14" ht="22.5" customHeight="1">
      <c r="A6" s="15" t="s">
        <v>1</v>
      </c>
      <c r="B6" s="16" t="s">
        <v>19</v>
      </c>
      <c r="C6" s="17"/>
      <c r="D6" s="18"/>
      <c r="E6" s="19" t="s">
        <v>42</v>
      </c>
      <c r="F6" s="20"/>
      <c r="G6" s="20"/>
      <c r="H6" s="20"/>
      <c r="I6" s="20"/>
      <c r="J6" s="20"/>
      <c r="K6" s="18" t="s">
        <v>43</v>
      </c>
      <c r="L6" s="20"/>
      <c r="M6" s="69"/>
      <c r="N6" s="21"/>
    </row>
    <row r="7" spans="1:14" ht="12" customHeight="1"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70"/>
      <c r="N7" s="24"/>
    </row>
    <row r="8" spans="1:14" s="68" customFormat="1" ht="40.5" customHeight="1">
      <c r="A8" s="75"/>
      <c r="B8" s="590" t="s">
        <v>20</v>
      </c>
      <c r="C8" s="590" t="s">
        <v>21</v>
      </c>
      <c r="D8" s="580" t="s">
        <v>22</v>
      </c>
      <c r="E8" s="579" t="s">
        <v>23</v>
      </c>
      <c r="F8" s="579" t="s">
        <v>24</v>
      </c>
      <c r="G8" s="579" t="s">
        <v>25</v>
      </c>
      <c r="H8" s="398"/>
      <c r="I8" s="579" t="s">
        <v>26</v>
      </c>
      <c r="J8" s="579"/>
      <c r="K8" s="579"/>
      <c r="L8" s="580" t="s">
        <v>27</v>
      </c>
      <c r="M8" s="579" t="s">
        <v>28</v>
      </c>
      <c r="N8" s="582" t="s">
        <v>29</v>
      </c>
    </row>
    <row r="9" spans="1:14" ht="40.5" customHeight="1">
      <c r="A9" s="76"/>
      <c r="B9" s="591"/>
      <c r="C9" s="591"/>
      <c r="D9" s="581"/>
      <c r="E9" s="580"/>
      <c r="F9" s="580"/>
      <c r="G9" s="580"/>
      <c r="H9" s="399" t="s">
        <v>2</v>
      </c>
      <c r="I9" s="67" t="s">
        <v>30</v>
      </c>
      <c r="J9" s="399" t="s">
        <v>324</v>
      </c>
      <c r="K9" s="67" t="s">
        <v>31</v>
      </c>
      <c r="L9" s="581"/>
      <c r="M9" s="580"/>
      <c r="N9" s="583"/>
    </row>
    <row r="10" spans="1:14" ht="13.8">
      <c r="A10" s="76"/>
      <c r="B10" s="418">
        <v>1</v>
      </c>
      <c r="C10" s="419"/>
      <c r="D10" s="420" t="s">
        <v>47</v>
      </c>
      <c r="E10" s="432">
        <f>SUM(E11+E16+E20+E23)</f>
        <v>56006.346969696962</v>
      </c>
      <c r="F10" s="421"/>
      <c r="G10" s="421"/>
      <c r="H10" s="433">
        <f>SUM(H12:H29)</f>
        <v>17129</v>
      </c>
      <c r="I10" s="421"/>
      <c r="J10" s="433">
        <f>SUM(J12:J29)</f>
        <v>41529</v>
      </c>
      <c r="K10" s="421"/>
      <c r="L10" s="422"/>
      <c r="M10" s="423"/>
      <c r="N10" s="424"/>
    </row>
    <row r="11" spans="1:14" ht="13.8">
      <c r="A11" s="76"/>
      <c r="B11" s="403"/>
      <c r="C11" s="404" t="s">
        <v>46</v>
      </c>
      <c r="D11" s="417"/>
      <c r="E11" s="425">
        <f>SUM(E12:E14)</f>
        <v>21830.81818181818</v>
      </c>
      <c r="F11" s="407"/>
      <c r="G11" s="407"/>
      <c r="H11" s="431"/>
      <c r="I11" s="407"/>
      <c r="J11" s="407"/>
      <c r="K11" s="407"/>
      <c r="L11" s="409"/>
      <c r="M11" s="406"/>
      <c r="N11" s="410"/>
    </row>
    <row r="12" spans="1:14" ht="27.6">
      <c r="A12" s="76"/>
      <c r="B12" s="401">
        <v>1.1000000000000001</v>
      </c>
      <c r="C12" s="33">
        <v>1.1000000000000001</v>
      </c>
      <c r="D12" s="35" t="s">
        <v>310</v>
      </c>
      <c r="E12" s="354">
        <v>3773</v>
      </c>
      <c r="F12" s="33" t="s">
        <v>281</v>
      </c>
      <c r="G12" s="26" t="s">
        <v>283</v>
      </c>
      <c r="H12" s="26"/>
      <c r="I12" s="353">
        <f>'PPTO detalle'!K9/'PPTO detalle'!J9</f>
        <v>0</v>
      </c>
      <c r="J12" s="426">
        <v>3773</v>
      </c>
      <c r="K12" s="353">
        <f>'PPTO detalle'!L9/'PPTO detalle'!J9</f>
        <v>1</v>
      </c>
      <c r="L12" s="44"/>
      <c r="M12" s="33"/>
      <c r="N12" s="27"/>
    </row>
    <row r="13" spans="1:14" ht="27.6">
      <c r="A13" s="76"/>
      <c r="B13" s="401">
        <v>1.2</v>
      </c>
      <c r="C13" s="33">
        <v>1.2</v>
      </c>
      <c r="D13" s="35" t="s">
        <v>311</v>
      </c>
      <c r="E13" s="354">
        <v>17876</v>
      </c>
      <c r="F13" s="33" t="s">
        <v>281</v>
      </c>
      <c r="G13" s="26" t="s">
        <v>283</v>
      </c>
      <c r="H13" s="26"/>
      <c r="I13" s="353">
        <f>'PPTO detalle'!K26/'PPTO detalle'!J26</f>
        <v>0</v>
      </c>
      <c r="J13" s="426">
        <v>17876</v>
      </c>
      <c r="K13" s="353">
        <f>'PPTO detalle'!L26/'PPTO detalle'!J26</f>
        <v>1</v>
      </c>
      <c r="L13" s="44"/>
      <c r="M13" s="33"/>
      <c r="N13" s="27"/>
    </row>
    <row r="14" spans="1:14" ht="13.8">
      <c r="A14" s="76"/>
      <c r="B14" s="401">
        <v>1.3</v>
      </c>
      <c r="C14" s="33">
        <v>1.5</v>
      </c>
      <c r="D14" s="26" t="s">
        <v>263</v>
      </c>
      <c r="E14" s="354">
        <f>'PPTO detalle'!O77</f>
        <v>181.81818181818181</v>
      </c>
      <c r="F14" s="33" t="s">
        <v>281</v>
      </c>
      <c r="G14" s="26" t="s">
        <v>283</v>
      </c>
      <c r="H14" s="426">
        <v>182</v>
      </c>
      <c r="I14" s="353">
        <f>'PPTO detalle'!K77/'PPTO detalle'!J77</f>
        <v>1</v>
      </c>
      <c r="J14" s="426"/>
      <c r="K14" s="353">
        <f>'PPTO detalle'!L77/'PPTO detalle'!J77</f>
        <v>0</v>
      </c>
      <c r="L14" s="44"/>
      <c r="M14" s="33"/>
      <c r="N14" s="27"/>
    </row>
    <row r="15" spans="1:14" ht="13.8">
      <c r="A15" s="76"/>
      <c r="B15" s="401">
        <v>1.1299999999999999</v>
      </c>
      <c r="C15" s="33">
        <v>1.4</v>
      </c>
      <c r="D15" s="26" t="s">
        <v>336</v>
      </c>
      <c r="E15" s="354">
        <v>2652</v>
      </c>
      <c r="F15" s="33" t="s">
        <v>281</v>
      </c>
      <c r="G15" s="26" t="s">
        <v>283</v>
      </c>
      <c r="H15" s="426">
        <v>2652</v>
      </c>
      <c r="I15" s="353">
        <v>1</v>
      </c>
      <c r="J15" s="427"/>
      <c r="K15" s="353">
        <v>0</v>
      </c>
      <c r="L15" s="44"/>
      <c r="M15" s="33"/>
      <c r="N15" s="27"/>
    </row>
    <row r="16" spans="1:14" ht="13.8">
      <c r="A16" s="76"/>
      <c r="B16" s="411"/>
      <c r="C16" s="416" t="s">
        <v>32</v>
      </c>
      <c r="D16" s="407"/>
      <c r="E16" s="425">
        <f>SUM(E17:E18)</f>
        <v>8780.6060606060601</v>
      </c>
      <c r="F16" s="406"/>
      <c r="G16" s="407"/>
      <c r="H16" s="430"/>
      <c r="I16" s="408"/>
      <c r="J16" s="429"/>
      <c r="K16" s="408"/>
      <c r="L16" s="409"/>
      <c r="M16" s="406"/>
      <c r="N16" s="410"/>
    </row>
    <row r="17" spans="1:14" ht="13.8">
      <c r="A17" s="76"/>
      <c r="B17" s="401">
        <v>1.4</v>
      </c>
      <c r="C17" s="33">
        <v>1.1000000000000001</v>
      </c>
      <c r="D17" s="26" t="s">
        <v>322</v>
      </c>
      <c r="E17" s="354">
        <f>'PPTO detalle'!O7</f>
        <v>1908.6060606060605</v>
      </c>
      <c r="F17" s="33" t="s">
        <v>281</v>
      </c>
      <c r="G17" s="26" t="s">
        <v>283</v>
      </c>
      <c r="H17" s="426"/>
      <c r="I17" s="353">
        <f>'PPTO detalle'!K7/'PPTO detalle'!J7</f>
        <v>0</v>
      </c>
      <c r="J17" s="426">
        <v>1909</v>
      </c>
      <c r="K17" s="353">
        <f>'PPTO detalle'!L7/'PPTO detalle'!J7</f>
        <v>1</v>
      </c>
      <c r="L17" s="44"/>
      <c r="M17" s="33"/>
      <c r="N17" s="27"/>
    </row>
    <row r="18" spans="1:14" ht="27.6">
      <c r="A18" s="76"/>
      <c r="B18" s="401">
        <v>1.5</v>
      </c>
      <c r="C18" s="33">
        <v>1.2</v>
      </c>
      <c r="D18" s="97" t="s">
        <v>323</v>
      </c>
      <c r="E18" s="354">
        <v>6872</v>
      </c>
      <c r="F18" s="33" t="s">
        <v>281</v>
      </c>
      <c r="G18" s="26" t="s">
        <v>283</v>
      </c>
      <c r="H18" s="426"/>
      <c r="I18" s="353">
        <f>'PPTO detalle'!K22/'PPTO detalle'!J22</f>
        <v>0</v>
      </c>
      <c r="J18" s="426">
        <v>6872</v>
      </c>
      <c r="K18" s="353">
        <f>'PPTO detalle'!L22/'PPTO detalle'!J22</f>
        <v>1</v>
      </c>
      <c r="L18" s="44"/>
      <c r="M18" s="33"/>
      <c r="N18" s="27"/>
    </row>
    <row r="19" spans="1:14" ht="13.8">
      <c r="A19" s="76"/>
      <c r="B19" s="401"/>
      <c r="C19" s="36"/>
      <c r="D19" s="26"/>
      <c r="E19" s="354"/>
      <c r="F19" s="33"/>
      <c r="G19" s="26"/>
      <c r="H19" s="426"/>
      <c r="I19" s="353"/>
      <c r="J19" s="427"/>
      <c r="K19" s="353"/>
      <c r="L19" s="44"/>
      <c r="M19" s="33"/>
      <c r="N19" s="27"/>
    </row>
    <row r="20" spans="1:14" ht="13.8">
      <c r="A20" s="414"/>
      <c r="B20" s="411"/>
      <c r="C20" s="415" t="s">
        <v>88</v>
      </c>
      <c r="D20" s="412"/>
      <c r="E20" s="425">
        <f>SUM(E21:E22)</f>
        <v>3939.3939393939395</v>
      </c>
      <c r="F20" s="406"/>
      <c r="G20" s="407"/>
      <c r="H20" s="430"/>
      <c r="I20" s="408"/>
      <c r="J20" s="408"/>
      <c r="K20" s="408"/>
      <c r="L20" s="409"/>
      <c r="M20" s="406"/>
      <c r="N20" s="410"/>
    </row>
    <row r="21" spans="1:14" ht="27.6">
      <c r="A21" s="76"/>
      <c r="B21" s="401">
        <v>1.6</v>
      </c>
      <c r="C21" s="33">
        <v>1.3</v>
      </c>
      <c r="D21" s="77" t="s">
        <v>312</v>
      </c>
      <c r="E21" s="354">
        <f>'PPTO detalle'!O41</f>
        <v>3939.3939393939395</v>
      </c>
      <c r="F21" s="33" t="s">
        <v>282</v>
      </c>
      <c r="G21" s="26" t="s">
        <v>283</v>
      </c>
      <c r="H21" s="426">
        <v>3939</v>
      </c>
      <c r="I21" s="353">
        <f>'PPTO detalle'!K41/'PPTO detalle'!J41</f>
        <v>1</v>
      </c>
      <c r="J21" s="427"/>
      <c r="K21" s="353">
        <f>'PPTO detalle'!L41/'PPTO detalle'!J41</f>
        <v>0</v>
      </c>
      <c r="L21" s="44"/>
      <c r="M21" s="33"/>
      <c r="N21" s="27"/>
    </row>
    <row r="22" spans="1:14" ht="13.8">
      <c r="A22" s="76"/>
      <c r="B22" s="401"/>
      <c r="C22" s="66"/>
      <c r="D22" s="77"/>
      <c r="E22" s="354"/>
      <c r="F22" s="33"/>
      <c r="G22" s="26"/>
      <c r="H22" s="426"/>
      <c r="I22" s="353"/>
      <c r="J22" s="427"/>
      <c r="K22" s="353"/>
      <c r="L22" s="44"/>
      <c r="M22" s="33"/>
      <c r="N22" s="27"/>
    </row>
    <row r="23" spans="1:14" ht="13.8">
      <c r="A23" s="76"/>
      <c r="B23" s="411"/>
      <c r="C23" s="404" t="s">
        <v>45</v>
      </c>
      <c r="D23" s="412"/>
      <c r="E23" s="425">
        <f>SUM(E24:E29)</f>
        <v>21455.528787878786</v>
      </c>
      <c r="F23" s="406"/>
      <c r="G23" s="407"/>
      <c r="H23" s="430"/>
      <c r="I23" s="408"/>
      <c r="J23" s="408"/>
      <c r="K23" s="408"/>
      <c r="L23" s="409"/>
      <c r="M23" s="406"/>
      <c r="N23" s="413"/>
    </row>
    <row r="24" spans="1:14" ht="13.8">
      <c r="A24" s="76"/>
      <c r="B24" s="401">
        <v>1.7</v>
      </c>
      <c r="C24" s="71">
        <v>1.1000000000000001</v>
      </c>
      <c r="D24" s="77" t="s">
        <v>256</v>
      </c>
      <c r="E24" s="354">
        <f>'PPTO detalle'!O5</f>
        <v>3277.090909090909</v>
      </c>
      <c r="F24" s="33" t="s">
        <v>282</v>
      </c>
      <c r="G24" s="26" t="s">
        <v>283</v>
      </c>
      <c r="H24" s="426"/>
      <c r="I24" s="353">
        <f>'PPTO detalle'!K5/'PPTO detalle'!J5</f>
        <v>0</v>
      </c>
      <c r="J24" s="426">
        <v>3277</v>
      </c>
      <c r="K24" s="353">
        <f>'PPTO detalle'!L5/'PPTO detalle'!J5</f>
        <v>1</v>
      </c>
      <c r="L24" s="44"/>
      <c r="M24" s="33"/>
      <c r="N24" s="32"/>
    </row>
    <row r="25" spans="1:14" ht="13.8">
      <c r="A25" s="76"/>
      <c r="B25" s="401">
        <v>1.8</v>
      </c>
      <c r="C25" s="71">
        <v>1.2</v>
      </c>
      <c r="D25" s="77" t="s">
        <v>257</v>
      </c>
      <c r="E25" s="354">
        <f>'PPTO detalle'!O21</f>
        <v>3277.090909090909</v>
      </c>
      <c r="F25" s="33" t="s">
        <v>282</v>
      </c>
      <c r="G25" s="26" t="s">
        <v>283</v>
      </c>
      <c r="H25" s="426"/>
      <c r="I25" s="353">
        <f>'PPTO detalle'!K21/'PPTO detalle'!J21</f>
        <v>0</v>
      </c>
      <c r="J25" s="426">
        <v>3277</v>
      </c>
      <c r="K25" s="353">
        <f>'PPTO detalle'!L21/'PPTO detalle'!J21</f>
        <v>1</v>
      </c>
      <c r="L25" s="44"/>
      <c r="M25" s="33"/>
      <c r="N25" s="32"/>
    </row>
    <row r="26" spans="1:14" ht="13.8">
      <c r="A26" s="76"/>
      <c r="B26" s="401">
        <v>1.9</v>
      </c>
      <c r="C26" s="71">
        <v>1.4</v>
      </c>
      <c r="D26" s="77" t="s">
        <v>258</v>
      </c>
      <c r="E26" s="354">
        <f>'PPTO detalle'!O56</f>
        <v>1346.8015151515151</v>
      </c>
      <c r="F26" s="33" t="s">
        <v>71</v>
      </c>
      <c r="G26" s="26" t="s">
        <v>283</v>
      </c>
      <c r="H26" s="426">
        <v>1347</v>
      </c>
      <c r="I26" s="353">
        <f>'PPTO detalle'!K56/'PPTO detalle'!J56</f>
        <v>1</v>
      </c>
      <c r="J26" s="426"/>
      <c r="K26" s="353">
        <f>'PPTO detalle'!L56/'PPTO detalle'!J56</f>
        <v>0</v>
      </c>
      <c r="L26" s="44"/>
      <c r="M26" s="33"/>
      <c r="N26" s="32"/>
    </row>
    <row r="27" spans="1:14" ht="13.8">
      <c r="A27" s="76"/>
      <c r="B27" s="402">
        <v>1.1000000000000001</v>
      </c>
      <c r="C27" s="71">
        <v>1.4</v>
      </c>
      <c r="D27" s="77" t="s">
        <v>261</v>
      </c>
      <c r="E27" s="354">
        <f>'PPTO detalle'!O57</f>
        <v>5000</v>
      </c>
      <c r="F27" s="33" t="s">
        <v>282</v>
      </c>
      <c r="G27" s="26" t="s">
        <v>283</v>
      </c>
      <c r="H27" s="426">
        <v>5000</v>
      </c>
      <c r="I27" s="353">
        <f>'PPTO detalle'!K57/'PPTO detalle'!J57</f>
        <v>1</v>
      </c>
      <c r="J27" s="426"/>
      <c r="K27" s="353">
        <f>'PPTO detalle'!L57/'PPTO detalle'!J57</f>
        <v>0</v>
      </c>
      <c r="L27" s="44"/>
      <c r="M27" s="33"/>
      <c r="N27" s="32"/>
    </row>
    <row r="28" spans="1:14" ht="13.8">
      <c r="A28" s="76"/>
      <c r="B28" s="402">
        <v>1.1100000000000001</v>
      </c>
      <c r="C28" s="71">
        <v>1.5</v>
      </c>
      <c r="D28" s="77" t="s">
        <v>193</v>
      </c>
      <c r="E28" s="354">
        <f>'PPTO detalle'!O71</f>
        <v>4009.090909090909</v>
      </c>
      <c r="F28" s="33" t="s">
        <v>71</v>
      </c>
      <c r="G28" s="26" t="s">
        <v>283</v>
      </c>
      <c r="H28" s="426">
        <v>4009</v>
      </c>
      <c r="I28" s="353">
        <f>'PPTO detalle'!K71/'PPTO detalle'!J71</f>
        <v>1</v>
      </c>
      <c r="J28" s="426"/>
      <c r="K28" s="353">
        <f>'PPTO detalle'!L71/'PPTO detalle'!J71</f>
        <v>0</v>
      </c>
      <c r="L28" s="44"/>
      <c r="M28" s="33"/>
      <c r="N28" s="32"/>
    </row>
    <row r="29" spans="1:14" ht="13.8">
      <c r="A29" s="76"/>
      <c r="B29" s="402">
        <v>1.1200000000000001</v>
      </c>
      <c r="C29" s="71">
        <v>1.5</v>
      </c>
      <c r="D29" s="77" t="s">
        <v>259</v>
      </c>
      <c r="E29" s="354">
        <f>'PPTO detalle'!O72</f>
        <v>4545.454545454545</v>
      </c>
      <c r="F29" s="33" t="s">
        <v>282</v>
      </c>
      <c r="G29" s="26" t="s">
        <v>283</v>
      </c>
      <c r="H29" s="426"/>
      <c r="I29" s="353">
        <f>'PPTO detalle'!K72/'PPTO detalle'!J72</f>
        <v>0</v>
      </c>
      <c r="J29" s="426">
        <v>4545</v>
      </c>
      <c r="K29" s="353">
        <f>'PPTO detalle'!L72/'PPTO detalle'!J72</f>
        <v>1</v>
      </c>
      <c r="L29" s="44"/>
      <c r="M29" s="33"/>
      <c r="N29" s="32"/>
    </row>
    <row r="30" spans="1:14" ht="13.8">
      <c r="A30" s="76"/>
      <c r="B30" s="334"/>
      <c r="C30" s="33"/>
      <c r="D30" s="35"/>
      <c r="E30" s="354"/>
      <c r="F30" s="33"/>
      <c r="G30" s="26"/>
      <c r="H30" s="426"/>
      <c r="I30" s="353"/>
      <c r="J30" s="426"/>
      <c r="K30" s="353"/>
      <c r="L30" s="44"/>
      <c r="M30" s="33"/>
      <c r="N30" s="27"/>
    </row>
    <row r="31" spans="1:14" ht="13.8">
      <c r="A31" s="76"/>
      <c r="B31" s="418">
        <v>2</v>
      </c>
      <c r="C31" s="419"/>
      <c r="D31" s="420" t="s">
        <v>48</v>
      </c>
      <c r="E31" s="432">
        <f>SUM(E32+E38+E40)</f>
        <v>21108.090909090912</v>
      </c>
      <c r="F31" s="423"/>
      <c r="G31" s="421"/>
      <c r="H31" s="433">
        <f>SUM(H33:H45)</f>
        <v>14289</v>
      </c>
      <c r="I31" s="434"/>
      <c r="J31" s="433">
        <f>SUM(J33:J43)</f>
        <v>6818</v>
      </c>
      <c r="K31" s="434"/>
      <c r="L31" s="422"/>
      <c r="M31" s="423"/>
      <c r="N31" s="424"/>
    </row>
    <row r="32" spans="1:14" ht="13.8">
      <c r="A32" s="76"/>
      <c r="B32" s="403"/>
      <c r="C32" s="404" t="s">
        <v>46</v>
      </c>
      <c r="D32" s="405"/>
      <c r="E32" s="425">
        <f>SUM(E33:E37)</f>
        <v>4592.939393939394</v>
      </c>
      <c r="F32" s="406"/>
      <c r="G32" s="407"/>
      <c r="H32" s="430"/>
      <c r="I32" s="408"/>
      <c r="J32" s="429"/>
      <c r="K32" s="408"/>
      <c r="L32" s="409"/>
      <c r="M32" s="406"/>
      <c r="N32" s="410"/>
    </row>
    <row r="33" spans="1:14" ht="13.8">
      <c r="A33" s="76"/>
      <c r="B33" s="401">
        <v>2.1</v>
      </c>
      <c r="C33" s="71">
        <v>2.1</v>
      </c>
      <c r="D33" s="35" t="s">
        <v>264</v>
      </c>
      <c r="E33" s="354">
        <f>'PPTO detalle'!O83</f>
        <v>393.93939393939394</v>
      </c>
      <c r="F33" s="33" t="s">
        <v>281</v>
      </c>
      <c r="G33" s="26" t="s">
        <v>283</v>
      </c>
      <c r="H33" s="426">
        <v>394</v>
      </c>
      <c r="I33" s="353">
        <f>'PPTO detalle'!K83/'PPTO detalle'!J83</f>
        <v>1</v>
      </c>
      <c r="J33" s="427"/>
      <c r="K33" s="353">
        <f>'PPTO detalle'!L83/'PPTO detalle'!J83</f>
        <v>0</v>
      </c>
      <c r="L33" s="44"/>
      <c r="M33" s="33"/>
      <c r="N33" s="27"/>
    </row>
    <row r="34" spans="1:14" ht="13.8">
      <c r="A34" s="76"/>
      <c r="B34" s="624">
        <v>2.2000000000000002</v>
      </c>
      <c r="C34" s="625" t="s">
        <v>314</v>
      </c>
      <c r="D34" s="626" t="s">
        <v>315</v>
      </c>
      <c r="E34" s="627">
        <v>2000</v>
      </c>
      <c r="F34" s="628" t="s">
        <v>281</v>
      </c>
      <c r="G34" s="653" t="s">
        <v>283</v>
      </c>
      <c r="H34" s="630">
        <v>2000</v>
      </c>
      <c r="I34" s="631">
        <f>'PPTO detalle'!K84/'PPTO detalle'!J84</f>
        <v>1</v>
      </c>
      <c r="J34" s="632"/>
      <c r="K34" s="631">
        <f>'PPTO detalle'!L84/'PPTO detalle'!J84</f>
        <v>0</v>
      </c>
      <c r="L34" s="633"/>
      <c r="M34" s="628"/>
      <c r="N34" s="634"/>
    </row>
    <row r="35" spans="1:14" ht="13.8">
      <c r="A35" s="76"/>
      <c r="B35" s="401">
        <v>2.2999999999999998</v>
      </c>
      <c r="C35" s="71">
        <v>2.2000000000000002</v>
      </c>
      <c r="D35" s="35" t="s">
        <v>309</v>
      </c>
      <c r="E35" s="354">
        <v>1090</v>
      </c>
      <c r="F35" s="33" t="s">
        <v>281</v>
      </c>
      <c r="G35" s="26" t="s">
        <v>283</v>
      </c>
      <c r="H35" s="426">
        <v>1090</v>
      </c>
      <c r="I35" s="353">
        <f>'PPTO detalle'!K85/'PPTO detalle'!J85</f>
        <v>1</v>
      </c>
      <c r="J35" s="427"/>
      <c r="K35" s="353">
        <f>'PPTO detalle'!L85/'PPTO detalle'!J85</f>
        <v>0</v>
      </c>
      <c r="L35" s="44"/>
      <c r="M35" s="33"/>
      <c r="N35" s="27"/>
    </row>
    <row r="36" spans="1:14" ht="27.6">
      <c r="A36" s="76"/>
      <c r="B36" s="401">
        <v>2.4</v>
      </c>
      <c r="C36" s="71">
        <v>2.4</v>
      </c>
      <c r="D36" s="35" t="s">
        <v>325</v>
      </c>
      <c r="E36" s="354">
        <v>327</v>
      </c>
      <c r="F36" s="33" t="s">
        <v>281</v>
      </c>
      <c r="G36" s="26" t="s">
        <v>283</v>
      </c>
      <c r="H36" s="426">
        <v>327</v>
      </c>
      <c r="I36" s="353">
        <f>'PPTO detalle'!K86/'PPTO detalle'!J86</f>
        <v>1</v>
      </c>
      <c r="J36" s="427"/>
      <c r="K36" s="353">
        <f>'PPTO detalle'!L86/'PPTO detalle'!J86</f>
        <v>0</v>
      </c>
      <c r="L36" s="44"/>
      <c r="M36" s="33"/>
      <c r="N36" s="27"/>
    </row>
    <row r="37" spans="1:14" ht="27.6">
      <c r="A37" s="76"/>
      <c r="B37" s="642">
        <v>2.1</v>
      </c>
      <c r="C37" s="625" t="s">
        <v>333</v>
      </c>
      <c r="D37" s="651" t="s">
        <v>334</v>
      </c>
      <c r="E37" s="652">
        <v>782</v>
      </c>
      <c r="F37" s="628" t="s">
        <v>281</v>
      </c>
      <c r="G37" s="653" t="s">
        <v>283</v>
      </c>
      <c r="H37" s="630">
        <v>782</v>
      </c>
      <c r="I37" s="631">
        <v>1</v>
      </c>
      <c r="J37" s="632"/>
      <c r="K37" s="631">
        <v>0</v>
      </c>
      <c r="L37" s="633"/>
      <c r="M37" s="628"/>
      <c r="N37" s="634"/>
    </row>
    <row r="38" spans="1:14" ht="13.8">
      <c r="A38" s="76"/>
      <c r="B38" s="403"/>
      <c r="C38" s="415" t="s">
        <v>88</v>
      </c>
      <c r="D38" s="412"/>
      <c r="E38" s="425">
        <f>SUM(E39:E39)</f>
        <v>0</v>
      </c>
      <c r="F38" s="406"/>
      <c r="G38" s="407"/>
      <c r="H38" s="430"/>
      <c r="I38" s="408"/>
      <c r="J38" s="429"/>
      <c r="K38" s="408"/>
      <c r="L38" s="409"/>
      <c r="M38" s="406"/>
      <c r="N38" s="410"/>
    </row>
    <row r="39" spans="1:14" ht="13.8">
      <c r="A39" s="76"/>
      <c r="B39" s="334"/>
      <c r="C39" s="66"/>
      <c r="D39" s="77"/>
      <c r="E39" s="354"/>
      <c r="F39" s="33"/>
      <c r="G39" s="26"/>
      <c r="H39" s="426"/>
      <c r="I39" s="353"/>
      <c r="J39" s="427"/>
      <c r="K39" s="353"/>
      <c r="L39" s="44"/>
      <c r="M39" s="33"/>
      <c r="N39" s="27"/>
    </row>
    <row r="40" spans="1:14" ht="13.8">
      <c r="A40" s="76"/>
      <c r="B40" s="403"/>
      <c r="C40" s="415" t="s">
        <v>45</v>
      </c>
      <c r="D40" s="435"/>
      <c r="E40" s="425">
        <f>SUM(E41:E45)</f>
        <v>16515.151515151516</v>
      </c>
      <c r="F40" s="406"/>
      <c r="G40" s="407"/>
      <c r="H40" s="430"/>
      <c r="I40" s="408"/>
      <c r="J40" s="429"/>
      <c r="K40" s="408"/>
      <c r="L40" s="409"/>
      <c r="M40" s="406"/>
      <c r="N40" s="410"/>
    </row>
    <row r="41" spans="1:14" ht="13.8">
      <c r="A41" s="76"/>
      <c r="B41" s="401">
        <v>2.6</v>
      </c>
      <c r="C41" s="329">
        <v>2.1</v>
      </c>
      <c r="D41" s="80" t="s">
        <v>265</v>
      </c>
      <c r="E41" s="354">
        <f>'PPTO detalle'!O82</f>
        <v>4545.454545454545</v>
      </c>
      <c r="F41" s="33" t="s">
        <v>282</v>
      </c>
      <c r="G41" s="392" t="s">
        <v>283</v>
      </c>
      <c r="H41" s="426"/>
      <c r="I41" s="353">
        <f>'PPTO detalle'!K82/'PPTO detalle'!J82</f>
        <v>0</v>
      </c>
      <c r="J41" s="426">
        <v>4545</v>
      </c>
      <c r="K41" s="353">
        <f>'PPTO detalle'!L82/'PPTO detalle'!J82</f>
        <v>1</v>
      </c>
      <c r="L41" s="44"/>
      <c r="M41" s="33"/>
      <c r="N41" s="27"/>
    </row>
    <row r="42" spans="1:14" ht="13.8">
      <c r="A42" s="76"/>
      <c r="B42" s="401">
        <v>2.7</v>
      </c>
      <c r="C42" s="78">
        <v>2.5</v>
      </c>
      <c r="D42" s="80" t="s">
        <v>266</v>
      </c>
      <c r="E42" s="354">
        <f>'PPTO detalle'!O123</f>
        <v>2272.7272727272725</v>
      </c>
      <c r="F42" s="33" t="s">
        <v>282</v>
      </c>
      <c r="G42" s="392" t="s">
        <v>283</v>
      </c>
      <c r="H42" s="426"/>
      <c r="I42" s="353">
        <f>'PPTO detalle'!K123/'PPTO detalle'!J123</f>
        <v>0</v>
      </c>
      <c r="J42" s="426">
        <v>2273</v>
      </c>
      <c r="K42" s="353">
        <f>'PPTO detalle'!L123/'PPTO detalle'!J123</f>
        <v>1</v>
      </c>
      <c r="L42" s="44"/>
      <c r="M42" s="33"/>
      <c r="N42" s="27"/>
    </row>
    <row r="43" spans="1:14" ht="13.8">
      <c r="A43" s="76"/>
      <c r="B43" s="401">
        <v>2.8</v>
      </c>
      <c r="C43" s="331">
        <v>2.5</v>
      </c>
      <c r="D43" s="80" t="s">
        <v>267</v>
      </c>
      <c r="E43" s="354">
        <f>'PPTO detalle'!O124</f>
        <v>2121.212121212121</v>
      </c>
      <c r="F43" s="33" t="s">
        <v>282</v>
      </c>
      <c r="G43" s="392" t="s">
        <v>283</v>
      </c>
      <c r="H43" s="426">
        <v>2121</v>
      </c>
      <c r="I43" s="353">
        <f>'PPTO detalle'!K124/'PPTO detalle'!J124</f>
        <v>1</v>
      </c>
      <c r="J43" s="426"/>
      <c r="K43" s="353">
        <f>'PPTO detalle'!L124/'PPTO detalle'!J124</f>
        <v>0</v>
      </c>
      <c r="L43" s="44"/>
      <c r="M43" s="33"/>
      <c r="N43" s="27"/>
    </row>
    <row r="44" spans="1:14" ht="13.8">
      <c r="A44" s="76"/>
      <c r="B44" s="401">
        <v>2.9</v>
      </c>
      <c r="C44" s="33">
        <v>2.6</v>
      </c>
      <c r="D44" s="474" t="s">
        <v>335</v>
      </c>
      <c r="E44" s="354">
        <f>'PPTO detalle'!O132</f>
        <v>3636.3636363636365</v>
      </c>
      <c r="F44" s="33" t="s">
        <v>282</v>
      </c>
      <c r="G44" s="26" t="s">
        <v>283</v>
      </c>
      <c r="H44" s="426">
        <v>3636</v>
      </c>
      <c r="I44" s="353">
        <f>'PPTO detalle'!K132/'PPTO detalle'!J132</f>
        <v>1</v>
      </c>
      <c r="J44" s="427"/>
      <c r="K44" s="353">
        <f>'PPTO detalle'!L132/'PPTO detalle'!J132</f>
        <v>0</v>
      </c>
      <c r="L44" s="44"/>
      <c r="M44" s="33"/>
      <c r="N44" s="27"/>
    </row>
    <row r="45" spans="1:14" ht="13.8">
      <c r="A45" s="76"/>
      <c r="B45" s="401">
        <v>2.5</v>
      </c>
      <c r="C45" s="33">
        <v>2.4</v>
      </c>
      <c r="D45" s="77" t="s">
        <v>316</v>
      </c>
      <c r="E45" s="354">
        <f>'PPTO detalle'!O111</f>
        <v>3939.3939393939395</v>
      </c>
      <c r="F45" s="33" t="s">
        <v>282</v>
      </c>
      <c r="G45" s="26" t="s">
        <v>283</v>
      </c>
      <c r="H45" s="426">
        <v>3939</v>
      </c>
      <c r="I45" s="353">
        <v>0.4</v>
      </c>
      <c r="J45" s="426">
        <v>5700</v>
      </c>
      <c r="K45" s="353">
        <v>0.6</v>
      </c>
      <c r="L45" s="44"/>
      <c r="M45" s="33"/>
      <c r="N45" s="27"/>
    </row>
    <row r="46" spans="1:14" ht="13.8">
      <c r="A46" s="76"/>
      <c r="B46" s="418">
        <v>3</v>
      </c>
      <c r="C46" s="419"/>
      <c r="D46" s="420" t="s">
        <v>49</v>
      </c>
      <c r="E46" s="432">
        <f>SUM(E47+E57+E61)</f>
        <v>36300.074242424249</v>
      </c>
      <c r="F46" s="421"/>
      <c r="G46" s="421"/>
      <c r="H46" s="433">
        <f>SUM(H48:H63)</f>
        <v>32663</v>
      </c>
      <c r="I46" s="434"/>
      <c r="J46" s="433">
        <f>SUM(J48:J63)</f>
        <v>3636</v>
      </c>
      <c r="K46" s="434"/>
      <c r="L46" s="422"/>
      <c r="M46" s="423"/>
      <c r="N46" s="424"/>
    </row>
    <row r="47" spans="1:14" ht="13.8">
      <c r="A47" s="76"/>
      <c r="B47" s="403"/>
      <c r="C47" s="404" t="s">
        <v>46</v>
      </c>
      <c r="D47" s="405"/>
      <c r="E47" s="425">
        <f>SUM(E48:E55)</f>
        <v>19348.636363636364</v>
      </c>
      <c r="F47" s="407"/>
      <c r="G47" s="407"/>
      <c r="H47" s="430"/>
      <c r="I47" s="408"/>
      <c r="J47" s="429"/>
      <c r="K47" s="408"/>
      <c r="L47" s="409"/>
      <c r="M47" s="406"/>
      <c r="N47" s="410"/>
    </row>
    <row r="48" spans="1:14" ht="13.8">
      <c r="A48" s="76"/>
      <c r="B48" s="401">
        <v>3.1</v>
      </c>
      <c r="C48" s="71">
        <v>3.2</v>
      </c>
      <c r="D48" s="35" t="s">
        <v>321</v>
      </c>
      <c r="E48" s="354">
        <v>869</v>
      </c>
      <c r="F48" s="33" t="s">
        <v>281</v>
      </c>
      <c r="G48" s="392" t="s">
        <v>283</v>
      </c>
      <c r="H48" s="426">
        <v>869</v>
      </c>
      <c r="I48" s="353">
        <f>'PPTO detalle'!K150/'PPTO detalle'!J150</f>
        <v>1</v>
      </c>
      <c r="J48" s="427"/>
      <c r="K48" s="353">
        <f>'PPTO detalle'!L150/'PPTO detalle'!J150</f>
        <v>0</v>
      </c>
      <c r="L48" s="44"/>
      <c r="M48" s="33"/>
      <c r="N48" s="27"/>
    </row>
    <row r="49" spans="1:14" ht="13.8">
      <c r="A49" s="76"/>
      <c r="B49" s="401">
        <v>3.2</v>
      </c>
      <c r="C49" s="71">
        <v>3.3</v>
      </c>
      <c r="D49" s="35" t="s">
        <v>110</v>
      </c>
      <c r="E49" s="354">
        <f>'PPTO detalle'!O156</f>
        <v>3636.3636363636365</v>
      </c>
      <c r="F49" s="33" t="s">
        <v>281</v>
      </c>
      <c r="G49" s="392" t="s">
        <v>283</v>
      </c>
      <c r="H49" s="426">
        <v>3636</v>
      </c>
      <c r="I49" s="353">
        <f>'PPTO detalle'!K156/'PPTO detalle'!J156</f>
        <v>1</v>
      </c>
      <c r="J49" s="427"/>
      <c r="K49" s="353">
        <f>'PPTO detalle'!L156/'PPTO detalle'!J156</f>
        <v>0</v>
      </c>
      <c r="L49" s="44"/>
      <c r="M49" s="33"/>
      <c r="N49" s="27"/>
    </row>
    <row r="50" spans="1:14" ht="13.8">
      <c r="A50" s="76"/>
      <c r="B50" s="401">
        <v>3.2</v>
      </c>
      <c r="C50" s="71">
        <v>3.3</v>
      </c>
      <c r="D50" s="35" t="s">
        <v>111</v>
      </c>
      <c r="E50" s="354">
        <f>'PPTO detalle'!O157</f>
        <v>2727.2727272727275</v>
      </c>
      <c r="F50" s="33" t="s">
        <v>281</v>
      </c>
      <c r="G50" s="392" t="s">
        <v>283</v>
      </c>
      <c r="H50" s="426">
        <v>2727</v>
      </c>
      <c r="I50" s="353">
        <f>'PPTO detalle'!K157/'PPTO detalle'!J157</f>
        <v>1</v>
      </c>
      <c r="J50" s="427"/>
      <c r="K50" s="353">
        <f>'PPTO detalle'!L157/'PPTO detalle'!J157</f>
        <v>0</v>
      </c>
      <c r="L50" s="44"/>
      <c r="M50" s="33"/>
      <c r="N50" s="27"/>
    </row>
    <row r="51" spans="1:14" ht="27.6">
      <c r="A51" s="76"/>
      <c r="B51" s="401">
        <v>3.4</v>
      </c>
      <c r="C51" s="71">
        <v>3.3</v>
      </c>
      <c r="D51" s="35" t="s">
        <v>317</v>
      </c>
      <c r="E51" s="354">
        <v>2909</v>
      </c>
      <c r="F51" s="33"/>
      <c r="G51" s="392" t="s">
        <v>283</v>
      </c>
      <c r="H51" s="426">
        <v>2909</v>
      </c>
      <c r="I51" s="353">
        <f>'PPTO detalle'!K158/'PPTO detalle'!J158</f>
        <v>1</v>
      </c>
      <c r="J51" s="427"/>
      <c r="K51" s="353">
        <f>'PPTO detalle'!L158/'PPTO detalle'!J158</f>
        <v>0</v>
      </c>
      <c r="L51" s="44"/>
      <c r="M51" s="33"/>
      <c r="N51" s="27"/>
    </row>
    <row r="52" spans="1:14" ht="27.6">
      <c r="A52" s="76"/>
      <c r="B52" s="401">
        <v>3.5</v>
      </c>
      <c r="C52" s="71">
        <v>3.3</v>
      </c>
      <c r="D52" s="35" t="s">
        <v>251</v>
      </c>
      <c r="E52" s="354">
        <f>'PPTO detalle'!O160</f>
        <v>1818.1818181818182</v>
      </c>
      <c r="F52" s="33" t="s">
        <v>281</v>
      </c>
      <c r="G52" s="392" t="s">
        <v>283</v>
      </c>
      <c r="H52" s="426"/>
      <c r="I52" s="353">
        <f>'PPTO detalle'!K160/'PPTO detalle'!J160</f>
        <v>0</v>
      </c>
      <c r="J52" s="426">
        <v>1818</v>
      </c>
      <c r="K52" s="353">
        <f>'PPTO detalle'!L160/'PPTO detalle'!J160</f>
        <v>1</v>
      </c>
      <c r="L52" s="44"/>
      <c r="M52" s="33"/>
      <c r="N52" s="27"/>
    </row>
    <row r="53" spans="1:14" ht="13.8">
      <c r="A53" s="76"/>
      <c r="B53" s="401">
        <v>3.6</v>
      </c>
      <c r="C53" s="71">
        <v>3.3</v>
      </c>
      <c r="D53" s="35" t="s">
        <v>268</v>
      </c>
      <c r="E53" s="354">
        <f>'PPTO detalle'!O161</f>
        <v>2181.818181818182</v>
      </c>
      <c r="F53" s="33" t="s">
        <v>281</v>
      </c>
      <c r="G53" s="392" t="s">
        <v>283</v>
      </c>
      <c r="H53" s="426">
        <v>2182</v>
      </c>
      <c r="I53" s="353">
        <f>'PPTO detalle'!K161/'PPTO detalle'!J161</f>
        <v>1</v>
      </c>
      <c r="J53" s="427"/>
      <c r="K53" s="353">
        <f>'PPTO detalle'!L161/'PPTO detalle'!J161</f>
        <v>0</v>
      </c>
      <c r="L53" s="44"/>
      <c r="M53" s="33"/>
      <c r="N53" s="27"/>
    </row>
    <row r="54" spans="1:14" ht="13.8">
      <c r="A54" s="76"/>
      <c r="B54" s="624">
        <v>3.7</v>
      </c>
      <c r="C54" s="625">
        <v>3.3</v>
      </c>
      <c r="D54" s="626" t="s">
        <v>269</v>
      </c>
      <c r="E54" s="627">
        <v>3091</v>
      </c>
      <c r="F54" s="628" t="s">
        <v>281</v>
      </c>
      <c r="G54" s="629" t="s">
        <v>283</v>
      </c>
      <c r="H54" s="630">
        <v>3091</v>
      </c>
      <c r="I54" s="631">
        <f>'PPTO detalle'!K162/'PPTO detalle'!J162</f>
        <v>1</v>
      </c>
      <c r="J54" s="632"/>
      <c r="K54" s="631">
        <f>'PPTO detalle'!L162/'PPTO detalle'!J162</f>
        <v>0</v>
      </c>
      <c r="L54" s="633"/>
      <c r="M54" s="628"/>
      <c r="N54" s="634"/>
    </row>
    <row r="55" spans="1:14" ht="13.8">
      <c r="A55" s="76"/>
      <c r="B55" s="635">
        <v>3.8</v>
      </c>
      <c r="C55" s="636">
        <v>3.3</v>
      </c>
      <c r="D55" s="637" t="s">
        <v>320</v>
      </c>
      <c r="E55" s="638">
        <v>2116</v>
      </c>
      <c r="F55" s="639" t="s">
        <v>281</v>
      </c>
      <c r="G55" s="629" t="s">
        <v>283</v>
      </c>
      <c r="H55" s="630">
        <v>2116</v>
      </c>
      <c r="I55" s="631">
        <v>1</v>
      </c>
      <c r="J55" s="632"/>
      <c r="K55" s="631">
        <v>0</v>
      </c>
      <c r="L55" s="640"/>
      <c r="M55" s="639"/>
      <c r="N55" s="641"/>
    </row>
    <row r="56" spans="1:14" ht="13.8">
      <c r="A56" s="76"/>
      <c r="B56" s="334"/>
      <c r="C56" s="330"/>
      <c r="D56" s="34"/>
      <c r="E56" s="354"/>
      <c r="F56" s="26"/>
      <c r="G56" s="26"/>
      <c r="H56" s="426"/>
      <c r="I56" s="353"/>
      <c r="J56" s="427"/>
      <c r="K56" s="353"/>
      <c r="L56" s="44"/>
      <c r="M56" s="33"/>
      <c r="N56" s="27"/>
    </row>
    <row r="57" spans="1:14" ht="13.8">
      <c r="A57" s="76"/>
      <c r="B57" s="403"/>
      <c r="C57" s="416" t="s">
        <v>32</v>
      </c>
      <c r="D57" s="405"/>
      <c r="E57" s="425">
        <f>SUM(E58:E60)</f>
        <v>8552.181818181818</v>
      </c>
      <c r="F57" s="407"/>
      <c r="G57" s="407"/>
      <c r="H57" s="430"/>
      <c r="I57" s="408"/>
      <c r="J57" s="429"/>
      <c r="K57" s="408"/>
      <c r="L57" s="409"/>
      <c r="M57" s="406"/>
      <c r="N57" s="410"/>
    </row>
    <row r="58" spans="1:14" ht="27.6">
      <c r="A58" s="76"/>
      <c r="B58" s="401">
        <v>3.9</v>
      </c>
      <c r="C58" s="81"/>
      <c r="D58" s="333" t="s">
        <v>270</v>
      </c>
      <c r="E58" s="355">
        <f>'PPTO detalle'!O164</f>
        <v>6734</v>
      </c>
      <c r="F58" s="41" t="s">
        <v>281</v>
      </c>
      <c r="G58" s="392" t="s">
        <v>283</v>
      </c>
      <c r="H58" s="426">
        <v>6734</v>
      </c>
      <c r="I58" s="353">
        <f>'PPTO detalle'!K164/'PPTO detalle'!J164</f>
        <v>1</v>
      </c>
      <c r="J58" s="427"/>
      <c r="K58" s="353">
        <f>'PPTO detalle'!L164/'PPTO detalle'!J164</f>
        <v>0</v>
      </c>
      <c r="L58" s="45"/>
      <c r="M58" s="33"/>
      <c r="N58" s="32"/>
    </row>
    <row r="59" spans="1:14" ht="13.8">
      <c r="A59" s="76"/>
      <c r="B59" s="642">
        <v>3.1</v>
      </c>
      <c r="C59" s="636"/>
      <c r="D59" s="643" t="s">
        <v>114</v>
      </c>
      <c r="E59" s="638">
        <f>'PPTO detalle'!O165</f>
        <v>1818.1818181818182</v>
      </c>
      <c r="F59" s="639" t="s">
        <v>281</v>
      </c>
      <c r="G59" s="629" t="s">
        <v>283</v>
      </c>
      <c r="H59" s="630"/>
      <c r="I59" s="631">
        <v>0</v>
      </c>
      <c r="J59" s="644">
        <v>1818</v>
      </c>
      <c r="K59" s="631">
        <v>1</v>
      </c>
      <c r="L59" s="640"/>
      <c r="M59" s="639"/>
      <c r="N59" s="641"/>
    </row>
    <row r="60" spans="1:14" ht="13.8">
      <c r="A60" s="76"/>
      <c r="B60" s="40"/>
      <c r="C60" s="332"/>
      <c r="D60" s="333"/>
      <c r="E60" s="355"/>
      <c r="F60" s="41"/>
      <c r="G60" s="29"/>
      <c r="H60" s="426"/>
      <c r="I60" s="353"/>
      <c r="J60" s="427"/>
      <c r="K60" s="353"/>
      <c r="L60" s="46"/>
      <c r="M60" s="41"/>
      <c r="N60" s="30"/>
    </row>
    <row r="61" spans="1:14" ht="13.8">
      <c r="A61" s="76"/>
      <c r="B61" s="403"/>
      <c r="C61" s="415" t="s">
        <v>88</v>
      </c>
      <c r="D61" s="445"/>
      <c r="E61" s="425">
        <f>SUM(E62:E63)</f>
        <v>8399.2560606060615</v>
      </c>
      <c r="F61" s="406"/>
      <c r="G61" s="407"/>
      <c r="H61" s="430"/>
      <c r="I61" s="408"/>
      <c r="J61" s="429"/>
      <c r="K61" s="408"/>
      <c r="L61" s="409"/>
      <c r="M61" s="406"/>
      <c r="N61" s="410"/>
    </row>
    <row r="62" spans="1:14" ht="13.8">
      <c r="A62" s="76"/>
      <c r="B62" s="401">
        <v>3.11</v>
      </c>
      <c r="C62" s="71">
        <v>3.1</v>
      </c>
      <c r="D62" s="82" t="s">
        <v>327</v>
      </c>
      <c r="E62" s="354">
        <f>'PPTO detalle'!O143</f>
        <v>3636.3636363636365</v>
      </c>
      <c r="F62" s="33" t="s">
        <v>73</v>
      </c>
      <c r="G62" s="392" t="s">
        <v>283</v>
      </c>
      <c r="H62" s="426">
        <v>3636</v>
      </c>
      <c r="I62" s="353">
        <f>'PPTO detalle'!K143/'PPTO detalle'!J143</f>
        <v>1</v>
      </c>
      <c r="J62" s="427"/>
      <c r="K62" s="353">
        <f>'PPTO detalle'!L143/'PPTO detalle'!J143</f>
        <v>0</v>
      </c>
      <c r="L62" s="44"/>
      <c r="M62" s="33"/>
      <c r="N62" s="27"/>
    </row>
    <row r="63" spans="1:14" ht="13.8">
      <c r="A63" s="76"/>
      <c r="B63" s="401">
        <v>3.12</v>
      </c>
      <c r="C63" s="71">
        <v>3.2</v>
      </c>
      <c r="D63" s="82" t="s">
        <v>328</v>
      </c>
      <c r="E63" s="354">
        <f>'PPTO detalle'!O148</f>
        <v>4762.8924242424246</v>
      </c>
      <c r="F63" s="33" t="s">
        <v>73</v>
      </c>
      <c r="G63" s="392" t="s">
        <v>283</v>
      </c>
      <c r="H63" s="426">
        <v>4763</v>
      </c>
      <c r="I63" s="353">
        <f>'PPTO detalle'!K148/'PPTO detalle'!J148</f>
        <v>1</v>
      </c>
      <c r="J63" s="427"/>
      <c r="K63" s="353">
        <f>'PPTO detalle'!L148/'PPTO detalle'!J148</f>
        <v>0</v>
      </c>
      <c r="L63" s="44"/>
      <c r="M63" s="33"/>
      <c r="N63" s="27"/>
    </row>
    <row r="64" spans="1:14" ht="13.8">
      <c r="A64" s="76"/>
      <c r="B64" s="334"/>
      <c r="C64" s="71"/>
      <c r="D64" s="82"/>
      <c r="E64" s="354"/>
      <c r="F64" s="33"/>
      <c r="G64" s="26"/>
      <c r="H64" s="426"/>
      <c r="I64" s="353"/>
      <c r="J64" s="427"/>
      <c r="K64" s="353"/>
      <c r="L64" s="44"/>
      <c r="M64" s="33"/>
      <c r="N64" s="27"/>
    </row>
    <row r="65" spans="1:14" ht="13.8">
      <c r="A65" s="76"/>
      <c r="B65" s="446">
        <v>4</v>
      </c>
      <c r="C65" s="447"/>
      <c r="D65" s="448" t="s">
        <v>271</v>
      </c>
      <c r="E65" s="473">
        <f>SUM(E66+E69)</f>
        <v>36822.545454545456</v>
      </c>
      <c r="F65" s="449"/>
      <c r="G65" s="450"/>
      <c r="H65" s="433">
        <f>SUM(H67:H71)</f>
        <v>32368.48</v>
      </c>
      <c r="I65" s="434"/>
      <c r="J65" s="433">
        <f>SUM(J67:J71)</f>
        <v>4454.5200000000004</v>
      </c>
      <c r="K65" s="434"/>
      <c r="L65" s="451"/>
      <c r="M65" s="449"/>
      <c r="N65" s="452"/>
    </row>
    <row r="66" spans="1:14" ht="13.8">
      <c r="A66" s="76"/>
      <c r="B66" s="455"/>
      <c r="C66" s="456" t="s">
        <v>46</v>
      </c>
      <c r="D66" s="457"/>
      <c r="E66" s="472">
        <f>SUM(E67+E68)</f>
        <v>762</v>
      </c>
      <c r="F66" s="458"/>
      <c r="G66" s="459"/>
      <c r="H66" s="440"/>
      <c r="I66" s="441"/>
      <c r="J66" s="428"/>
      <c r="K66" s="441"/>
      <c r="L66" s="460"/>
      <c r="M66" s="458"/>
      <c r="N66" s="461"/>
    </row>
    <row r="67" spans="1:14" ht="13.8">
      <c r="A67" s="76"/>
      <c r="B67" s="645">
        <v>4.0999999999999996</v>
      </c>
      <c r="C67" s="646"/>
      <c r="D67" s="637" t="s">
        <v>115</v>
      </c>
      <c r="E67" s="649">
        <v>512</v>
      </c>
      <c r="F67" s="639" t="s">
        <v>281</v>
      </c>
      <c r="G67" s="629" t="s">
        <v>283</v>
      </c>
      <c r="H67" s="630">
        <v>512</v>
      </c>
      <c r="I67" s="631">
        <f>'PPTO detalle'!K187/'PPTO detalle'!J187</f>
        <v>1</v>
      </c>
      <c r="J67" s="632"/>
      <c r="K67" s="631">
        <f>'PPTO detalle'!L187/'PPTO detalle'!J187</f>
        <v>0</v>
      </c>
      <c r="L67" s="640"/>
      <c r="M67" s="639"/>
      <c r="N67" s="641"/>
    </row>
    <row r="68" spans="1:14" ht="13.8">
      <c r="A68" s="76"/>
      <c r="B68" s="645">
        <v>4.2</v>
      </c>
      <c r="C68" s="646"/>
      <c r="D68" s="647" t="s">
        <v>332</v>
      </c>
      <c r="E68" s="650">
        <v>250</v>
      </c>
      <c r="F68" s="639" t="s">
        <v>281</v>
      </c>
      <c r="G68" s="648" t="s">
        <v>283</v>
      </c>
      <c r="H68" s="630">
        <v>250</v>
      </c>
      <c r="I68" s="631">
        <v>1</v>
      </c>
      <c r="J68" s="632"/>
      <c r="K68" s="631">
        <v>0</v>
      </c>
      <c r="L68" s="640"/>
      <c r="M68" s="639"/>
      <c r="N68" s="641"/>
    </row>
    <row r="69" spans="1:14" ht="13.8">
      <c r="A69" s="76"/>
      <c r="B69" s="462"/>
      <c r="C69" s="463" t="s">
        <v>326</v>
      </c>
      <c r="D69" s="438"/>
      <c r="E69" s="471">
        <f>SUM(E70:E71)</f>
        <v>36060.545454545456</v>
      </c>
      <c r="F69" s="443"/>
      <c r="G69" s="439"/>
      <c r="H69" s="440"/>
      <c r="I69" s="441"/>
      <c r="J69" s="428"/>
      <c r="K69" s="441"/>
      <c r="L69" s="442"/>
      <c r="M69" s="443"/>
      <c r="N69" s="444"/>
    </row>
    <row r="70" spans="1:14" ht="13.8">
      <c r="A70" s="76"/>
      <c r="B70" s="28">
        <v>4.3</v>
      </c>
      <c r="C70" s="78"/>
      <c r="D70" s="79" t="s">
        <v>132</v>
      </c>
      <c r="E70" s="354">
        <f>'PPTO detalle'!O173</f>
        <v>25454.545454545456</v>
      </c>
      <c r="F70" s="33" t="s">
        <v>282</v>
      </c>
      <c r="G70" s="392" t="s">
        <v>283</v>
      </c>
      <c r="H70" s="426">
        <v>25455</v>
      </c>
      <c r="I70" s="353">
        <f>'PPTO detalle'!K173/'PPTO detalle'!J173</f>
        <v>1</v>
      </c>
      <c r="J70" s="427"/>
      <c r="K70" s="353">
        <f>'PPTO detalle'!L173/'PPTO detalle'!J173</f>
        <v>0</v>
      </c>
      <c r="L70" s="44"/>
      <c r="M70" s="33"/>
      <c r="N70" s="27"/>
    </row>
    <row r="71" spans="1:14" ht="13.8">
      <c r="A71" s="76"/>
      <c r="B71" s="40">
        <v>4.4000000000000004</v>
      </c>
      <c r="C71" s="332"/>
      <c r="D71" s="333" t="s">
        <v>130</v>
      </c>
      <c r="E71" s="355">
        <v>10606</v>
      </c>
      <c r="F71" s="41" t="s">
        <v>282</v>
      </c>
      <c r="G71" s="392" t="s">
        <v>283</v>
      </c>
      <c r="H71" s="426">
        <v>6151.48</v>
      </c>
      <c r="I71" s="353">
        <v>0.58299999999999996</v>
      </c>
      <c r="J71" s="426">
        <v>4454.5200000000004</v>
      </c>
      <c r="K71" s="353">
        <v>0.42</v>
      </c>
      <c r="L71" s="46"/>
      <c r="M71" s="41"/>
      <c r="N71" s="30"/>
    </row>
    <row r="72" spans="1:14" ht="13.8">
      <c r="A72" s="76"/>
      <c r="B72" s="40"/>
      <c r="C72" s="332"/>
      <c r="D72" s="333"/>
      <c r="E72" s="355"/>
      <c r="F72" s="387"/>
      <c r="G72" s="388"/>
      <c r="H72" s="426"/>
      <c r="I72" s="389"/>
      <c r="J72" s="427"/>
      <c r="K72" s="389"/>
      <c r="L72" s="46"/>
      <c r="M72" s="41"/>
      <c r="N72" s="30"/>
    </row>
    <row r="73" spans="1:14" ht="13.8">
      <c r="A73" s="76"/>
      <c r="B73" s="40"/>
      <c r="C73" s="332"/>
      <c r="D73" s="333"/>
      <c r="E73" s="47"/>
      <c r="F73" s="41"/>
      <c r="G73" s="29"/>
      <c r="H73" s="426"/>
      <c r="I73" s="29"/>
      <c r="J73" s="427"/>
      <c r="K73" s="29"/>
      <c r="L73" s="46"/>
      <c r="M73" s="41"/>
      <c r="N73" s="30"/>
    </row>
    <row r="74" spans="1:14" ht="13.8">
      <c r="A74" s="470"/>
      <c r="B74" s="464">
        <v>6</v>
      </c>
      <c r="C74" s="465"/>
      <c r="D74" s="466" t="s">
        <v>50</v>
      </c>
      <c r="E74" s="467"/>
      <c r="F74" s="453"/>
      <c r="G74" s="453"/>
      <c r="H74" s="436"/>
      <c r="I74" s="453"/>
      <c r="J74" s="437"/>
      <c r="K74" s="453"/>
      <c r="L74" s="454"/>
      <c r="M74" s="468"/>
      <c r="N74" s="469"/>
    </row>
    <row r="75" spans="1:14" ht="13.8">
      <c r="A75" s="76"/>
      <c r="B75" s="40"/>
      <c r="C75" s="36" t="s">
        <v>33</v>
      </c>
      <c r="D75" s="34"/>
      <c r="E75" s="47"/>
      <c r="F75" s="41"/>
      <c r="G75" s="41"/>
      <c r="H75" s="426"/>
      <c r="I75" s="41"/>
      <c r="J75" s="427"/>
      <c r="K75" s="41"/>
      <c r="L75" s="46"/>
      <c r="M75" s="42"/>
      <c r="N75" s="43"/>
    </row>
    <row r="76" spans="1:14" ht="13.8">
      <c r="A76" s="76"/>
      <c r="B76" s="40"/>
      <c r="C76" s="25"/>
      <c r="D76" s="25" t="s">
        <v>44</v>
      </c>
      <c r="E76" s="47"/>
      <c r="F76" s="29"/>
      <c r="G76" s="29"/>
      <c r="H76" s="426"/>
      <c r="I76" s="29"/>
      <c r="J76" s="427"/>
      <c r="K76" s="29"/>
      <c r="L76" s="46"/>
      <c r="M76" s="41"/>
      <c r="N76" s="30"/>
    </row>
    <row r="77" spans="1:14" ht="13.8">
      <c r="A77" s="76"/>
      <c r="B77" s="40"/>
      <c r="C77" s="65">
        <v>6.2</v>
      </c>
      <c r="D77" s="39" t="s">
        <v>72</v>
      </c>
      <c r="E77" s="355">
        <v>6000</v>
      </c>
      <c r="F77" s="41" t="s">
        <v>73</v>
      </c>
      <c r="G77" s="41" t="s">
        <v>74</v>
      </c>
      <c r="H77" s="426"/>
      <c r="I77" s="26">
        <v>100</v>
      </c>
      <c r="J77" s="427"/>
      <c r="K77" s="26">
        <v>0</v>
      </c>
      <c r="L77" s="46"/>
      <c r="M77" s="41"/>
      <c r="N77" s="72" t="s">
        <v>76</v>
      </c>
    </row>
    <row r="78" spans="1:14" ht="13.8">
      <c r="A78" s="76"/>
      <c r="B78" s="40"/>
      <c r="C78" s="65"/>
      <c r="D78" s="25" t="s">
        <v>45</v>
      </c>
      <c r="E78" s="355"/>
      <c r="F78" s="29"/>
      <c r="G78" s="29"/>
      <c r="H78" s="426"/>
      <c r="I78" s="29"/>
      <c r="J78" s="427"/>
      <c r="K78" s="29"/>
      <c r="L78" s="46"/>
      <c r="M78" s="41"/>
      <c r="N78" s="30"/>
    </row>
    <row r="79" spans="1:14" ht="13.8">
      <c r="A79" s="76"/>
      <c r="B79" s="40"/>
      <c r="C79" s="65">
        <v>6.1</v>
      </c>
      <c r="D79" s="38" t="s">
        <v>92</v>
      </c>
      <c r="E79" s="355">
        <v>4500</v>
      </c>
      <c r="F79" s="33" t="s">
        <v>71</v>
      </c>
      <c r="G79" s="26" t="s">
        <v>89</v>
      </c>
      <c r="H79" s="426"/>
      <c r="I79" s="26">
        <v>100</v>
      </c>
      <c r="J79" s="427"/>
      <c r="K79" s="26">
        <v>0</v>
      </c>
      <c r="L79" s="44" t="s">
        <v>90</v>
      </c>
      <c r="M79" s="41"/>
      <c r="N79" s="30"/>
    </row>
    <row r="80" spans="1:14" ht="13.8">
      <c r="A80" s="76"/>
      <c r="B80" s="40"/>
      <c r="C80" s="65">
        <v>6.1</v>
      </c>
      <c r="D80" s="38" t="s">
        <v>75</v>
      </c>
      <c r="E80" s="355">
        <v>10000</v>
      </c>
      <c r="F80" s="33" t="s">
        <v>71</v>
      </c>
      <c r="G80" s="33" t="s">
        <v>74</v>
      </c>
      <c r="H80" s="426"/>
      <c r="I80" s="26">
        <v>100</v>
      </c>
      <c r="J80" s="427"/>
      <c r="K80" s="26">
        <v>0</v>
      </c>
      <c r="L80" s="44"/>
      <c r="M80" s="37"/>
      <c r="N80" s="73" t="s">
        <v>76</v>
      </c>
    </row>
    <row r="81" spans="1:14" ht="14.4" thickBot="1">
      <c r="A81" s="76"/>
      <c r="B81" s="57"/>
      <c r="C81" s="58"/>
      <c r="D81" s="59"/>
      <c r="E81" s="60"/>
      <c r="F81" s="61"/>
      <c r="G81" s="61"/>
      <c r="H81" s="426"/>
      <c r="I81" s="61"/>
      <c r="J81" s="427"/>
      <c r="K81" s="61"/>
      <c r="L81" s="62"/>
      <c r="M81" s="63"/>
      <c r="N81" s="64"/>
    </row>
    <row r="82" spans="1:14" ht="14.4" thickBot="1">
      <c r="A82" s="76"/>
      <c r="B82" s="584" t="s">
        <v>34</v>
      </c>
      <c r="C82" s="585"/>
      <c r="D82" s="586"/>
      <c r="E82" s="48">
        <f>SUM(E10,E31,E46,E65,E77,E79,E80)</f>
        <v>170737.05757575756</v>
      </c>
      <c r="F82" s="587" t="s">
        <v>329</v>
      </c>
      <c r="G82" s="588"/>
      <c r="H82" s="588"/>
      <c r="I82" s="589"/>
      <c r="J82" s="400"/>
      <c r="K82" s="587" t="s">
        <v>330</v>
      </c>
      <c r="L82" s="588"/>
      <c r="M82" s="589"/>
      <c r="N82" s="31"/>
    </row>
    <row r="83" spans="1:14" ht="16.2" thickBot="1">
      <c r="A83" s="76"/>
      <c r="B83" s="592" t="s">
        <v>35</v>
      </c>
      <c r="C83" s="593"/>
      <c r="D83" s="597"/>
      <c r="E83" s="597"/>
      <c r="F83" s="597"/>
      <c r="G83" s="597"/>
      <c r="H83" s="597"/>
      <c r="I83" s="597"/>
      <c r="J83" s="597"/>
      <c r="K83" s="597"/>
      <c r="L83" s="597"/>
      <c r="M83" s="597"/>
      <c r="N83" s="598"/>
    </row>
    <row r="84" spans="1:14" ht="16.2" thickBot="1">
      <c r="A84" s="76"/>
      <c r="B84" s="607" t="s">
        <v>36</v>
      </c>
      <c r="C84" s="608"/>
      <c r="D84" s="608"/>
      <c r="E84" s="608"/>
      <c r="F84" s="608"/>
      <c r="G84" s="608"/>
      <c r="H84" s="608"/>
      <c r="I84" s="608"/>
      <c r="J84" s="608"/>
      <c r="K84" s="608"/>
      <c r="L84" s="608"/>
      <c r="M84" s="608"/>
      <c r="N84" s="609"/>
    </row>
    <row r="85" spans="1:14" ht="16.2" thickBot="1">
      <c r="A85" s="76"/>
      <c r="B85" s="592" t="s">
        <v>37</v>
      </c>
      <c r="C85" s="593"/>
      <c r="D85" s="593"/>
      <c r="E85" s="593"/>
      <c r="F85" s="593"/>
      <c r="G85" s="593"/>
      <c r="H85" s="593"/>
      <c r="I85" s="593"/>
      <c r="J85" s="593"/>
      <c r="K85" s="593"/>
      <c r="L85" s="593"/>
      <c r="M85" s="593"/>
      <c r="N85" s="594"/>
    </row>
    <row r="86" spans="1:14" ht="13.8" thickBot="1">
      <c r="A86" s="76"/>
      <c r="B86" s="595" t="s">
        <v>38</v>
      </c>
      <c r="C86" s="596"/>
      <c r="D86" s="597"/>
      <c r="E86" s="597"/>
      <c r="F86" s="597"/>
      <c r="G86" s="597"/>
      <c r="H86" s="597"/>
      <c r="I86" s="597"/>
      <c r="J86" s="597"/>
      <c r="K86" s="597"/>
      <c r="L86" s="597"/>
      <c r="M86" s="597"/>
      <c r="N86" s="598"/>
    </row>
    <row r="87" spans="1:14" ht="16.2" thickBot="1">
      <c r="A87" s="76"/>
      <c r="B87" s="599" t="s">
        <v>39</v>
      </c>
      <c r="C87" s="600"/>
      <c r="D87" s="601"/>
      <c r="E87" s="601"/>
      <c r="F87" s="601"/>
      <c r="G87" s="601"/>
      <c r="H87" s="601"/>
      <c r="I87" s="601"/>
      <c r="J87" s="601"/>
      <c r="K87" s="601"/>
      <c r="L87" s="601"/>
      <c r="M87" s="601"/>
      <c r="N87" s="602"/>
    </row>
    <row r="88" spans="1:14" ht="16.2" thickBot="1">
      <c r="A88" s="76"/>
      <c r="B88" s="603" t="s">
        <v>40</v>
      </c>
      <c r="C88" s="604"/>
      <c r="D88" s="605"/>
      <c r="E88" s="605"/>
      <c r="F88" s="605"/>
      <c r="G88" s="605"/>
      <c r="H88" s="605"/>
      <c r="I88" s="605"/>
      <c r="J88" s="605"/>
      <c r="K88" s="605"/>
      <c r="L88" s="605"/>
      <c r="M88" s="605"/>
      <c r="N88" s="606"/>
    </row>
    <row r="89" spans="1:14" ht="13.8">
      <c r="A89" s="76"/>
      <c r="B89" s="74"/>
      <c r="C89" s="74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5"/>
      <c r="N90" s="76"/>
    </row>
    <row r="91" spans="1:14">
      <c r="A91" s="76"/>
      <c r="B91" s="76"/>
      <c r="C91" s="76"/>
      <c r="D91" s="76"/>
      <c r="E91" s="83"/>
      <c r="F91" s="76"/>
      <c r="G91" s="84"/>
      <c r="H91" s="84"/>
      <c r="I91" s="76"/>
      <c r="J91" s="76"/>
      <c r="K91" s="76"/>
      <c r="L91" s="76"/>
      <c r="M91" s="75"/>
      <c r="N91" s="76"/>
    </row>
    <row r="92" spans="1:14">
      <c r="A92" s="76"/>
      <c r="B92" s="76"/>
      <c r="C92" s="76"/>
      <c r="D92" s="76"/>
      <c r="E92" s="83"/>
      <c r="F92" s="76"/>
      <c r="G92" s="76"/>
      <c r="H92" s="76"/>
      <c r="I92" s="76"/>
      <c r="J92" s="76"/>
      <c r="K92" s="76"/>
      <c r="L92" s="76"/>
      <c r="M92" s="75"/>
      <c r="N92" s="76"/>
    </row>
    <row r="93" spans="1:14">
      <c r="A93" s="76"/>
      <c r="B93" s="76"/>
      <c r="C93" s="76"/>
      <c r="D93" s="76"/>
      <c r="E93" s="83"/>
      <c r="F93" s="76"/>
      <c r="G93" s="76"/>
      <c r="H93" s="76"/>
      <c r="I93" s="76"/>
      <c r="J93" s="76"/>
      <c r="K93" s="76"/>
      <c r="L93" s="76"/>
      <c r="M93" s="75"/>
      <c r="N93" s="76"/>
    </row>
    <row r="94" spans="1:14">
      <c r="A94" s="76"/>
      <c r="B94" s="76"/>
      <c r="C94" s="76"/>
      <c r="D94" s="76"/>
      <c r="E94" s="83"/>
      <c r="F94" s="76"/>
      <c r="G94" s="76"/>
      <c r="H94" s="76"/>
      <c r="I94" s="76"/>
      <c r="J94" s="76"/>
      <c r="K94" s="76"/>
      <c r="L94" s="76"/>
      <c r="M94" s="75"/>
      <c r="N94" s="76"/>
    </row>
    <row r="95" spans="1:14">
      <c r="A95" s="76"/>
      <c r="B95" s="76"/>
      <c r="C95" s="76"/>
      <c r="D95" s="76"/>
      <c r="E95" s="83"/>
      <c r="F95" s="76"/>
      <c r="G95" s="76"/>
      <c r="H95" s="76"/>
      <c r="I95" s="76"/>
      <c r="J95" s="76"/>
      <c r="K95" s="76"/>
      <c r="L95" s="76"/>
      <c r="M95" s="75"/>
      <c r="N95" s="76"/>
    </row>
    <row r="96" spans="1:14">
      <c r="A96" s="76"/>
      <c r="B96" s="76"/>
      <c r="C96" s="76"/>
      <c r="D96" s="76"/>
      <c r="E96" s="83"/>
      <c r="F96" s="76"/>
      <c r="G96" s="76"/>
      <c r="H96" s="76"/>
      <c r="I96" s="76"/>
      <c r="J96" s="76"/>
      <c r="K96" s="76"/>
      <c r="L96" s="76"/>
      <c r="M96" s="75"/>
      <c r="N96" s="76"/>
    </row>
    <row r="97" spans="1:14">
      <c r="A97" s="76"/>
      <c r="B97" s="76"/>
      <c r="C97" s="76"/>
      <c r="D97" s="76"/>
      <c r="E97" s="83"/>
      <c r="F97" s="76"/>
      <c r="G97" s="76"/>
      <c r="H97" s="76"/>
      <c r="I97" s="76"/>
      <c r="J97" s="76"/>
      <c r="K97" s="76"/>
      <c r="L97" s="76"/>
      <c r="M97" s="75"/>
      <c r="N97" s="76"/>
    </row>
    <row r="98" spans="1:14">
      <c r="A98" s="76"/>
      <c r="B98" s="76"/>
      <c r="C98" s="76"/>
      <c r="D98" s="76"/>
      <c r="E98" s="85"/>
      <c r="F98" s="76"/>
      <c r="G98" s="76"/>
      <c r="H98" s="76"/>
      <c r="I98" s="76"/>
      <c r="J98" s="76"/>
      <c r="K98" s="76"/>
      <c r="L98" s="76"/>
      <c r="M98" s="75"/>
      <c r="N98" s="76"/>
    </row>
    <row r="99" spans="1:14">
      <c r="A99" s="76"/>
      <c r="B99" s="76"/>
      <c r="C99" s="76"/>
      <c r="D99" s="76"/>
      <c r="E99" s="85"/>
      <c r="F99" s="76"/>
      <c r="G99" s="76"/>
      <c r="H99" s="76"/>
      <c r="I99" s="76"/>
      <c r="J99" s="76"/>
      <c r="K99" s="76"/>
      <c r="L99" s="76"/>
      <c r="M99" s="75"/>
      <c r="N99" s="76"/>
    </row>
    <row r="100" spans="1:14">
      <c r="A100" s="76"/>
      <c r="B100" s="76"/>
      <c r="C100" s="76"/>
      <c r="D100" s="76"/>
      <c r="E100" s="83"/>
      <c r="F100" s="76"/>
      <c r="G100" s="84"/>
      <c r="H100" s="84"/>
      <c r="I100" s="76"/>
      <c r="J100" s="76"/>
      <c r="K100" s="76"/>
      <c r="L100" s="76"/>
      <c r="M100" s="75"/>
      <c r="N100" s="76"/>
    </row>
    <row r="101" spans="1:14">
      <c r="A101" s="76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5"/>
      <c r="N101" s="76"/>
    </row>
    <row r="102" spans="1:14">
      <c r="A102" s="76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5"/>
      <c r="N102" s="76"/>
    </row>
    <row r="103" spans="1:14">
      <c r="A103" s="76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5"/>
      <c r="N103" s="76"/>
    </row>
    <row r="104" spans="1:14">
      <c r="A104" s="76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5"/>
      <c r="N104" s="76"/>
    </row>
    <row r="105" spans="1:14">
      <c r="A105" s="76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5"/>
      <c r="N105" s="76"/>
    </row>
    <row r="106" spans="1:14">
      <c r="A106" s="76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5"/>
      <c r="N106" s="76"/>
    </row>
    <row r="107" spans="1:14">
      <c r="A107" s="76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5"/>
      <c r="N107" s="76"/>
    </row>
    <row r="108" spans="1:14">
      <c r="A108" s="76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5"/>
      <c r="N108" s="76"/>
    </row>
    <row r="109" spans="1:14">
      <c r="A109" s="76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5"/>
      <c r="N109" s="76"/>
    </row>
    <row r="110" spans="1:14">
      <c r="A110" s="76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5"/>
      <c r="N110" s="76"/>
    </row>
    <row r="111" spans="1:14">
      <c r="A111" s="76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5"/>
      <c r="N111" s="76"/>
    </row>
    <row r="112" spans="1:14">
      <c r="A112" s="76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5"/>
      <c r="N112" s="76"/>
    </row>
    <row r="113" spans="1:14">
      <c r="A113" s="76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5"/>
      <c r="N113" s="76"/>
    </row>
    <row r="114" spans="1:14">
      <c r="A114" s="76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5"/>
      <c r="N114" s="76"/>
    </row>
    <row r="115" spans="1:14">
      <c r="A115" s="76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5"/>
      <c r="N115" s="76"/>
    </row>
    <row r="116" spans="1:14">
      <c r="A116" s="76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5"/>
      <c r="N116" s="76"/>
    </row>
    <row r="117" spans="1:14">
      <c r="A117" s="76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5"/>
      <c r="N117" s="76"/>
    </row>
    <row r="118" spans="1:14">
      <c r="A118" s="76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5"/>
      <c r="N118" s="76"/>
    </row>
    <row r="119" spans="1:14">
      <c r="A119" s="76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5"/>
      <c r="N119" s="76"/>
    </row>
    <row r="120" spans="1:14">
      <c r="A120" s="76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5"/>
      <c r="N120" s="76"/>
    </row>
    <row r="121" spans="1:14">
      <c r="A121" s="76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5"/>
      <c r="N121" s="76"/>
    </row>
    <row r="122" spans="1:14">
      <c r="A122" s="76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5"/>
      <c r="N122" s="76"/>
    </row>
    <row r="123" spans="1:14">
      <c r="A123" s="76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5"/>
      <c r="N123" s="76"/>
    </row>
    <row r="124" spans="1:14">
      <c r="A124" s="76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5"/>
      <c r="N124" s="76"/>
    </row>
    <row r="125" spans="1:14">
      <c r="A125" s="76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5"/>
      <c r="N125" s="76"/>
    </row>
    <row r="126" spans="1:14">
      <c r="A126" s="76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5"/>
      <c r="N126" s="76"/>
    </row>
    <row r="127" spans="1:14">
      <c r="A127" s="76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5"/>
      <c r="N127" s="76"/>
    </row>
    <row r="128" spans="1:14">
      <c r="A128" s="76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5"/>
      <c r="N128" s="76"/>
    </row>
    <row r="129" spans="1:14">
      <c r="A129" s="76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5"/>
      <c r="N129" s="76"/>
    </row>
    <row r="130" spans="1:14">
      <c r="A130" s="76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5"/>
      <c r="N130" s="76"/>
    </row>
    <row r="131" spans="1:14">
      <c r="A131" s="76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5"/>
      <c r="N131" s="76"/>
    </row>
    <row r="132" spans="1:14">
      <c r="A132" s="76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5"/>
      <c r="N132" s="76"/>
    </row>
    <row r="133" spans="1:14">
      <c r="A133" s="76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75"/>
      <c r="N133" s="76"/>
    </row>
    <row r="134" spans="1:14">
      <c r="A134" s="76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5"/>
      <c r="N134" s="76"/>
    </row>
    <row r="135" spans="1:14">
      <c r="A135" s="76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5"/>
      <c r="N135" s="76"/>
    </row>
    <row r="136" spans="1:14">
      <c r="A136" s="76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5"/>
      <c r="N136" s="76"/>
    </row>
    <row r="137" spans="1:14">
      <c r="A137" s="76"/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5"/>
      <c r="N137" s="76"/>
    </row>
    <row r="138" spans="1:14">
      <c r="A138" s="76"/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5"/>
      <c r="N138" s="76"/>
    </row>
    <row r="139" spans="1:14">
      <c r="A139" s="76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5"/>
      <c r="N139" s="76"/>
    </row>
    <row r="140" spans="1:14">
      <c r="A140" s="76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5"/>
      <c r="N140" s="76"/>
    </row>
    <row r="141" spans="1:14">
      <c r="A141" s="76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5"/>
      <c r="N141" s="76"/>
    </row>
    <row r="142" spans="1:14">
      <c r="A142" s="76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5"/>
      <c r="N142" s="76"/>
    </row>
    <row r="143" spans="1:14">
      <c r="A143" s="76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5"/>
      <c r="N143" s="76"/>
    </row>
    <row r="144" spans="1:14">
      <c r="A144" s="76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5"/>
      <c r="N144" s="76"/>
    </row>
    <row r="145" spans="1:14">
      <c r="A145" s="76"/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5"/>
      <c r="N145" s="76"/>
    </row>
    <row r="146" spans="1:14">
      <c r="A146" s="76"/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5"/>
      <c r="N146" s="76"/>
    </row>
    <row r="147" spans="1:14">
      <c r="A147" s="76"/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  <c r="M147" s="75"/>
      <c r="N147" s="76"/>
    </row>
  </sheetData>
  <mergeCells count="25">
    <mergeCell ref="B85:N85"/>
    <mergeCell ref="B86:N86"/>
    <mergeCell ref="B87:N87"/>
    <mergeCell ref="B88:N88"/>
    <mergeCell ref="B83:N83"/>
    <mergeCell ref="B84:N84"/>
    <mergeCell ref="I8:K8"/>
    <mergeCell ref="L8:L9"/>
    <mergeCell ref="M8:M9"/>
    <mergeCell ref="N8:N9"/>
    <mergeCell ref="B82:D82"/>
    <mergeCell ref="F82:I82"/>
    <mergeCell ref="K82:M82"/>
    <mergeCell ref="B8:B9"/>
    <mergeCell ref="C8:C9"/>
    <mergeCell ref="D8:D9"/>
    <mergeCell ref="E8:E9"/>
    <mergeCell ref="F8:F9"/>
    <mergeCell ref="G8:G9"/>
    <mergeCell ref="B5:N5"/>
    <mergeCell ref="B2:N2"/>
    <mergeCell ref="B3:F3"/>
    <mergeCell ref="G3:N3"/>
    <mergeCell ref="B4:F4"/>
    <mergeCell ref="G4:N4"/>
  </mergeCells>
  <pageMargins left="0.31496062992126" right="0.31496062992126" top="0.55118110236220497" bottom="0.55118110236220497" header="0.31496062992126" footer="0.31496062992126"/>
  <pageSetup scale="57" fitToHeight="0" orientation="portrait"/>
  <headerFooter>
    <oddHeader>&amp;CAnexo III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zoomScale="115" zoomScaleNormal="115" zoomScalePageLayoutView="115" workbookViewId="0">
      <selection activeCell="D22" sqref="D22"/>
    </sheetView>
  </sheetViews>
  <sheetFormatPr defaultColWidth="11.44140625" defaultRowHeight="13.2"/>
  <cols>
    <col min="1" max="1" width="44.77734375" style="1" customWidth="1"/>
    <col min="2" max="4" width="11.6640625" style="1" customWidth="1"/>
    <col min="5" max="5" width="13.109375" style="1" hidden="1" customWidth="1"/>
    <col min="6" max="6" width="13.44140625" style="2" hidden="1" customWidth="1"/>
    <col min="7" max="8" width="0" style="2" hidden="1" customWidth="1"/>
    <col min="9" max="9" width="13" style="2" bestFit="1" customWidth="1"/>
    <col min="10" max="16384" width="11.44140625" style="2"/>
  </cols>
  <sheetData>
    <row r="1" spans="1:9" ht="17.399999999999999">
      <c r="A1" s="610" t="s">
        <v>95</v>
      </c>
      <c r="B1" s="610"/>
      <c r="C1" s="610"/>
      <c r="D1" s="610"/>
      <c r="E1" s="56"/>
      <c r="F1" s="56"/>
      <c r="G1" s="56"/>
      <c r="H1" s="56"/>
      <c r="I1" s="56"/>
    </row>
    <row r="2" spans="1:9" ht="27" customHeight="1" thickBot="1">
      <c r="A2" s="544" t="str">
        <f>+PRESUPUESTO!B2</f>
        <v>Turismo Rural Sostenible Comunitario: Una alternativa para una mayor inclusión económica de emprendedores indígenas Aymaras en la Comuna de Camarones (Región XV - Arica y Parinacota)</v>
      </c>
      <c r="B2" s="544"/>
      <c r="C2" s="544"/>
      <c r="D2" s="544"/>
      <c r="E2" s="56"/>
      <c r="F2" s="56"/>
      <c r="G2" s="56"/>
      <c r="H2" s="56"/>
      <c r="I2" s="56"/>
    </row>
    <row r="3" spans="1:9" s="4" customFormat="1" ht="32.25" customHeight="1" thickBot="1">
      <c r="A3" s="3" t="s">
        <v>0</v>
      </c>
      <c r="B3" s="371" t="s">
        <v>2</v>
      </c>
      <c r="C3" s="372" t="s">
        <v>5</v>
      </c>
      <c r="D3" s="373" t="s">
        <v>273</v>
      </c>
      <c r="E3" s="9" t="s">
        <v>51</v>
      </c>
      <c r="F3" s="13" t="s">
        <v>14</v>
      </c>
    </row>
    <row r="4" spans="1:9" ht="26.4">
      <c r="A4" s="49" t="str">
        <f>+PRESUPUESTO!C5</f>
        <v xml:space="preserve">Componente I:  Adecuación del sistema de comercialización y gestión del destino </v>
      </c>
      <c r="B4" s="362">
        <f>PRESUPUESTO!H11</f>
        <v>17128.619696969698</v>
      </c>
      <c r="C4" s="362">
        <f>PRESUPUESTO!I11</f>
        <v>44801.454545454544</v>
      </c>
      <c r="D4" s="363">
        <f>+C4+B4</f>
        <v>61930.074242424242</v>
      </c>
      <c r="E4" s="10">
        <f t="shared" ref="E4:E7" si="0">B4+C4</f>
        <v>61930.074242424242</v>
      </c>
      <c r="F4" s="12">
        <f>D4/$D$8</f>
        <v>0.38322022681969647</v>
      </c>
    </row>
    <row r="5" spans="1:9" ht="26.4">
      <c r="A5" s="5" t="str">
        <f>+PRESUPUESTO!C12</f>
        <v xml:space="preserve">Componente 2: Potenciar la oferta de productos turísticos territoriales diferenciados </v>
      </c>
      <c r="B5" s="364">
        <f>PRESUPUESTO!H18</f>
        <v>14289.39393939394</v>
      </c>
      <c r="C5" s="364">
        <f>PRESUPUESTO!I18</f>
        <v>6818.181818181818</v>
      </c>
      <c r="D5" s="365">
        <f>+C5+B5</f>
        <v>21107.57575757576</v>
      </c>
      <c r="E5" s="10">
        <f>B5+C5</f>
        <v>21107.57575757576</v>
      </c>
      <c r="F5" s="12">
        <f>D5/$D$8</f>
        <v>0.13061263155875513</v>
      </c>
    </row>
    <row r="6" spans="1:9" ht="26.4">
      <c r="A6" s="5" t="str">
        <f>+PRESUPUESTO!C19</f>
        <v xml:space="preserve">Componente 3: Gestión de Conocimiento y Comunicación Estratégica </v>
      </c>
      <c r="B6" s="364">
        <f>PRESUPUESTO!H23</f>
        <v>32713.219696969696</v>
      </c>
      <c r="C6" s="364">
        <f>PRESUPUESTO!I23</f>
        <v>8181.818181818182</v>
      </c>
      <c r="D6" s="365">
        <f t="shared" ref="D6" si="1">+C6+B6</f>
        <v>40895.03787878788</v>
      </c>
      <c r="E6" s="10">
        <f t="shared" si="0"/>
        <v>40895.03787878788</v>
      </c>
      <c r="F6" s="12">
        <f>D6/$D$8</f>
        <v>0.2530564654316762</v>
      </c>
    </row>
    <row r="7" spans="1:9">
      <c r="A7" s="7" t="s">
        <v>10</v>
      </c>
      <c r="B7" s="364">
        <f>PRESUPUESTO!H29</f>
        <v>32368.683333333334</v>
      </c>
      <c r="C7" s="364">
        <f>PRESUPUESTO!I29</f>
        <v>5303.0272727272732</v>
      </c>
      <c r="D7" s="365">
        <f>+C7+B7</f>
        <v>37671.710606060609</v>
      </c>
      <c r="E7" s="10">
        <f t="shared" si="0"/>
        <v>37671.710606060609</v>
      </c>
      <c r="F7" s="12">
        <f>D7/$D$8</f>
        <v>0.23311067618987236</v>
      </c>
    </row>
    <row r="8" spans="1:9">
      <c r="A8" s="50" t="s">
        <v>6</v>
      </c>
      <c r="B8" s="366">
        <f>SUM(B4:B7)</f>
        <v>96499.916666666672</v>
      </c>
      <c r="C8" s="366">
        <f>SUM(C4:C7)</f>
        <v>65104.481818181819</v>
      </c>
      <c r="D8" s="367">
        <f>SUM(D4:D7)</f>
        <v>161604.39848484847</v>
      </c>
      <c r="E8" s="10">
        <f>B8+C8</f>
        <v>161604.3984848485</v>
      </c>
      <c r="F8" s="6"/>
      <c r="I8" s="361"/>
    </row>
    <row r="9" spans="1:9">
      <c r="A9" s="51" t="s">
        <v>65</v>
      </c>
      <c r="B9" s="14">
        <f>+B8/$D$8</f>
        <v>0.59713669659625146</v>
      </c>
      <c r="C9" s="14">
        <f>+C8/$D$8</f>
        <v>0.40286330340374871</v>
      </c>
      <c r="D9" s="52">
        <f>+D8/D8</f>
        <v>1</v>
      </c>
      <c r="E9" s="10">
        <f>B9+C9</f>
        <v>1.0000000000000002</v>
      </c>
      <c r="F9" s="6"/>
    </row>
    <row r="10" spans="1:9">
      <c r="A10" s="53" t="str">
        <f>PRESUPUESTO!C31</f>
        <v>Revisiones ex post</v>
      </c>
      <c r="B10" s="364">
        <f>PRESUPUESTO!H31</f>
        <v>6000</v>
      </c>
      <c r="C10" s="364">
        <f>PRESUPUESTO!I31</f>
        <v>0</v>
      </c>
      <c r="D10" s="365">
        <f t="shared" ref="D10:D12" si="2">+C10+B10</f>
        <v>6000</v>
      </c>
      <c r="E10" s="11"/>
      <c r="F10" s="6"/>
    </row>
    <row r="11" spans="1:9">
      <c r="A11" s="53" t="str">
        <f>PRESUPUESTO!C30</f>
        <v>Línea de Base, Monitoreo y Evaluaciones</v>
      </c>
      <c r="B11" s="364">
        <f>PRESUPUESTO!H30</f>
        <v>14500</v>
      </c>
      <c r="C11" s="364">
        <f>+PRESUPUESTO!I30</f>
        <v>0</v>
      </c>
      <c r="D11" s="365">
        <f t="shared" si="2"/>
        <v>14500</v>
      </c>
      <c r="E11" s="11"/>
      <c r="F11" s="6"/>
    </row>
    <row r="12" spans="1:9">
      <c r="A12" s="54" t="str">
        <f>PRESUPUESTO!C32</f>
        <v>Imprevistos</v>
      </c>
      <c r="B12" s="364">
        <f>PRESUPUESTO!H32</f>
        <v>3000</v>
      </c>
      <c r="C12" s="364">
        <f>PRESUPUESTO!I32</f>
        <v>2000</v>
      </c>
      <c r="D12" s="365">
        <f t="shared" si="2"/>
        <v>5000</v>
      </c>
      <c r="E12" s="11"/>
      <c r="F12" s="6"/>
    </row>
    <row r="13" spans="1:9">
      <c r="A13" s="55" t="s">
        <v>3</v>
      </c>
      <c r="B13" s="368">
        <f>+B8+B10+B11+B12</f>
        <v>119999.91666666667</v>
      </c>
      <c r="C13" s="369">
        <f>+C8+C10+C11+C12</f>
        <v>67104.481818181812</v>
      </c>
      <c r="D13" s="370">
        <f t="shared" ref="D13" si="3">+D8+D10+D11+D12</f>
        <v>187104.39848484847</v>
      </c>
      <c r="E13" s="10">
        <f>B13+C13</f>
        <v>187104.3984848485</v>
      </c>
      <c r="F13" s="6"/>
      <c r="G13" s="2">
        <f>B13/D13</f>
        <v>0.64135272948371735</v>
      </c>
      <c r="H13" s="2">
        <f>C13/D13</f>
        <v>0.35864727051628276</v>
      </c>
    </row>
    <row r="14" spans="1:9">
      <c r="A14" s="51" t="s">
        <v>65</v>
      </c>
      <c r="B14" s="14">
        <f>+B13/$D$13</f>
        <v>0.64135272948371735</v>
      </c>
      <c r="C14" s="14">
        <f>+C13/$D$13</f>
        <v>0.35864727051628276</v>
      </c>
      <c r="D14" s="52">
        <f>+D13/D13</f>
        <v>1</v>
      </c>
      <c r="E14" s="10">
        <f>B14+C14</f>
        <v>1</v>
      </c>
      <c r="F14" s="6"/>
    </row>
    <row r="15" spans="1:9">
      <c r="B15" s="8"/>
      <c r="C15" s="8"/>
      <c r="D15" s="8"/>
    </row>
    <row r="16" spans="1:9">
      <c r="D16" s="8"/>
    </row>
  </sheetData>
  <mergeCells count="2">
    <mergeCell ref="A1:D1"/>
    <mergeCell ref="A2:D2"/>
  </mergeCells>
  <phoneticPr fontId="2" type="noConversion"/>
  <pageMargins left="0.75" right="0.75" top="1" bottom="1" header="0.5" footer="0.5"/>
  <pageSetup orientation="portrait" horizontalDpi="4294967293" verticalDpi="4294967293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6"/>
  <sheetViews>
    <sheetView topLeftCell="A6" workbookViewId="0">
      <selection activeCell="C15" sqref="C15"/>
    </sheetView>
  </sheetViews>
  <sheetFormatPr defaultColWidth="11.44140625" defaultRowHeight="17.399999999999999"/>
  <cols>
    <col min="1" max="1" width="5.33203125" style="190" bestFit="1" customWidth="1"/>
    <col min="2" max="2" width="14" style="190" bestFit="1" customWidth="1"/>
    <col min="3" max="3" width="44.109375" style="191" bestFit="1" customWidth="1"/>
    <col min="4" max="4" width="11.77734375" style="192" bestFit="1" customWidth="1"/>
    <col min="5" max="5" width="20.6640625" style="191" customWidth="1"/>
    <col min="6" max="6" width="13.44140625" style="192" bestFit="1" customWidth="1"/>
    <col min="7" max="9" width="11.44140625" style="169" customWidth="1"/>
    <col min="10" max="53" width="11.44140625" style="169"/>
    <col min="54" max="63" width="11.44140625" style="170"/>
    <col min="64" max="16384" width="11.44140625" style="171"/>
  </cols>
  <sheetData>
    <row r="1" spans="1:63" ht="18" thickBot="1">
      <c r="A1" s="611"/>
      <c r="B1" s="611"/>
      <c r="C1" s="611"/>
      <c r="D1" s="611"/>
      <c r="E1" s="611"/>
      <c r="F1" s="611"/>
    </row>
    <row r="2" spans="1:63" ht="15" customHeight="1">
      <c r="A2" s="612"/>
      <c r="B2" s="613"/>
      <c r="C2" s="613"/>
      <c r="D2" s="613"/>
      <c r="E2" s="613"/>
      <c r="F2" s="614"/>
    </row>
    <row r="3" spans="1:63" ht="12.75" customHeight="1">
      <c r="A3" s="615" t="s">
        <v>97</v>
      </c>
      <c r="B3" s="616"/>
      <c r="C3" s="616"/>
      <c r="D3" s="616"/>
      <c r="E3" s="616"/>
      <c r="F3" s="617"/>
    </row>
    <row r="4" spans="1:63" ht="23.25" customHeight="1">
      <c r="A4" s="621" t="s">
        <v>93</v>
      </c>
      <c r="B4" s="622"/>
      <c r="C4" s="622"/>
      <c r="D4" s="622"/>
      <c r="E4" s="622"/>
      <c r="F4" s="623"/>
    </row>
    <row r="5" spans="1:63" s="174" customFormat="1" ht="12.75" customHeight="1">
      <c r="A5" s="618" t="s">
        <v>52</v>
      </c>
      <c r="B5" s="619" t="s">
        <v>53</v>
      </c>
      <c r="C5" s="619" t="s">
        <v>54</v>
      </c>
      <c r="D5" s="619" t="s">
        <v>55</v>
      </c>
      <c r="E5" s="619" t="s">
        <v>56</v>
      </c>
      <c r="F5" s="620" t="s">
        <v>57</v>
      </c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2"/>
      <c r="BB5" s="173"/>
      <c r="BC5" s="173"/>
      <c r="BD5" s="173"/>
      <c r="BE5" s="173"/>
      <c r="BF5" s="173"/>
      <c r="BG5" s="173"/>
      <c r="BH5" s="173"/>
      <c r="BI5" s="173"/>
      <c r="BJ5" s="173"/>
      <c r="BK5" s="173"/>
    </row>
    <row r="6" spans="1:63" s="174" customFormat="1" ht="23.25" customHeight="1">
      <c r="A6" s="618"/>
      <c r="B6" s="619"/>
      <c r="C6" s="619"/>
      <c r="D6" s="619"/>
      <c r="E6" s="619"/>
      <c r="F6" s="620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3"/>
      <c r="BC6" s="173"/>
      <c r="BD6" s="173"/>
      <c r="BE6" s="173"/>
      <c r="BF6" s="173"/>
      <c r="BG6" s="173"/>
      <c r="BH6" s="173"/>
      <c r="BI6" s="173"/>
      <c r="BJ6" s="173"/>
      <c r="BK6" s="173"/>
    </row>
    <row r="7" spans="1:63" s="174" customFormat="1" ht="75">
      <c r="A7" s="393">
        <v>1</v>
      </c>
      <c r="B7" s="395" t="s">
        <v>134</v>
      </c>
      <c r="C7" s="396" t="s">
        <v>297</v>
      </c>
      <c r="D7" s="394" t="s">
        <v>298</v>
      </c>
      <c r="E7" s="177" t="s">
        <v>94</v>
      </c>
      <c r="F7" s="179" t="s">
        <v>69</v>
      </c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  <c r="BA7" s="172"/>
      <c r="BB7" s="173"/>
      <c r="BC7" s="173"/>
      <c r="BD7" s="173"/>
      <c r="BE7" s="173"/>
      <c r="BF7" s="173"/>
      <c r="BG7" s="173"/>
      <c r="BH7" s="173"/>
      <c r="BI7" s="173"/>
      <c r="BJ7" s="173"/>
      <c r="BK7" s="173"/>
    </row>
    <row r="8" spans="1:63" s="174" customFormat="1" ht="45">
      <c r="A8" s="393">
        <v>2</v>
      </c>
      <c r="B8" s="395" t="s">
        <v>134</v>
      </c>
      <c r="C8" s="396" t="s">
        <v>300</v>
      </c>
      <c r="D8" s="394" t="s">
        <v>301</v>
      </c>
      <c r="E8" s="177" t="s">
        <v>77</v>
      </c>
      <c r="F8" s="179" t="s">
        <v>78</v>
      </c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3"/>
      <c r="BC8" s="173"/>
      <c r="BD8" s="173"/>
      <c r="BE8" s="173"/>
      <c r="BF8" s="173"/>
      <c r="BG8" s="173"/>
      <c r="BH8" s="173"/>
      <c r="BI8" s="173"/>
      <c r="BJ8" s="173"/>
      <c r="BK8" s="173"/>
    </row>
    <row r="9" spans="1:63" s="182" customFormat="1" ht="75">
      <c r="A9" s="175">
        <v>3</v>
      </c>
      <c r="B9" s="176">
        <v>1</v>
      </c>
      <c r="C9" s="177" t="s">
        <v>285</v>
      </c>
      <c r="D9" s="178" t="s">
        <v>299</v>
      </c>
      <c r="E9" s="177" t="s">
        <v>94</v>
      </c>
      <c r="F9" s="179" t="s">
        <v>78</v>
      </c>
      <c r="G9" s="169" t="s">
        <v>306</v>
      </c>
      <c r="H9" s="169"/>
      <c r="I9" s="169"/>
      <c r="J9" s="169"/>
      <c r="K9" s="169"/>
      <c r="L9" s="169"/>
      <c r="M9" s="169"/>
      <c r="N9" s="169"/>
      <c r="O9" s="169"/>
      <c r="P9" s="169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1"/>
      <c r="BC9" s="181"/>
      <c r="BD9" s="181"/>
      <c r="BE9" s="181"/>
      <c r="BF9" s="181"/>
      <c r="BG9" s="181"/>
      <c r="BH9" s="181"/>
      <c r="BI9" s="181"/>
      <c r="BJ9" s="181"/>
      <c r="BK9" s="181"/>
    </row>
    <row r="10" spans="1:63" s="182" customFormat="1" ht="45">
      <c r="A10" s="175">
        <v>4</v>
      </c>
      <c r="B10" s="183">
        <v>1</v>
      </c>
      <c r="C10" s="178" t="s">
        <v>286</v>
      </c>
      <c r="D10" s="178" t="s">
        <v>284</v>
      </c>
      <c r="E10" s="177" t="s">
        <v>77</v>
      </c>
      <c r="F10" s="179" t="s">
        <v>78</v>
      </c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1"/>
      <c r="BC10" s="181"/>
      <c r="BD10" s="181"/>
      <c r="BE10" s="181"/>
      <c r="BF10" s="181"/>
      <c r="BG10" s="181"/>
      <c r="BH10" s="181"/>
      <c r="BI10" s="181"/>
      <c r="BJ10" s="181"/>
      <c r="BK10" s="181"/>
    </row>
    <row r="11" spans="1:63" s="182" customFormat="1" ht="45">
      <c r="A11" s="175">
        <v>5</v>
      </c>
      <c r="B11" s="183">
        <v>2</v>
      </c>
      <c r="C11" s="178" t="s">
        <v>302</v>
      </c>
      <c r="D11" s="178" t="s">
        <v>299</v>
      </c>
      <c r="E11" s="177" t="s">
        <v>77</v>
      </c>
      <c r="F11" s="179" t="s">
        <v>78</v>
      </c>
      <c r="G11" s="180" t="s">
        <v>307</v>
      </c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1"/>
      <c r="BC11" s="181"/>
      <c r="BD11" s="181"/>
      <c r="BE11" s="181"/>
      <c r="BF11" s="181"/>
      <c r="BG11" s="181"/>
      <c r="BH11" s="181"/>
      <c r="BI11" s="181"/>
      <c r="BJ11" s="181"/>
      <c r="BK11" s="181"/>
    </row>
    <row r="12" spans="1:63" s="182" customFormat="1" ht="45">
      <c r="A12" s="175">
        <v>6</v>
      </c>
      <c r="B12" s="183">
        <v>2</v>
      </c>
      <c r="C12" s="178" t="s">
        <v>289</v>
      </c>
      <c r="D12" s="178" t="s">
        <v>303</v>
      </c>
      <c r="E12" s="177" t="s">
        <v>77</v>
      </c>
      <c r="F12" s="179" t="s">
        <v>78</v>
      </c>
      <c r="G12" s="180" t="s">
        <v>307</v>
      </c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1"/>
      <c r="BC12" s="181"/>
      <c r="BD12" s="181"/>
      <c r="BE12" s="181"/>
      <c r="BF12" s="181"/>
      <c r="BG12" s="181"/>
      <c r="BH12" s="181"/>
      <c r="BI12" s="181"/>
      <c r="BJ12" s="181"/>
      <c r="BK12" s="181"/>
    </row>
    <row r="13" spans="1:63" s="182" customFormat="1" ht="104.4">
      <c r="A13" s="175">
        <v>7</v>
      </c>
      <c r="B13" s="183">
        <v>3</v>
      </c>
      <c r="C13" s="178" t="s">
        <v>290</v>
      </c>
      <c r="D13" s="178" t="s">
        <v>292</v>
      </c>
      <c r="E13" s="177" t="s">
        <v>79</v>
      </c>
      <c r="F13" s="179" t="s">
        <v>78</v>
      </c>
      <c r="G13" s="397" t="s">
        <v>308</v>
      </c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1"/>
      <c r="BC13" s="181"/>
      <c r="BD13" s="181"/>
      <c r="BE13" s="181"/>
      <c r="BF13" s="181"/>
      <c r="BG13" s="181"/>
      <c r="BH13" s="181"/>
      <c r="BI13" s="181"/>
      <c r="BJ13" s="181"/>
      <c r="BK13" s="181"/>
    </row>
    <row r="14" spans="1:63" s="182" customFormat="1" ht="45">
      <c r="A14" s="175">
        <v>8</v>
      </c>
      <c r="B14" s="183">
        <v>3</v>
      </c>
      <c r="C14" s="178" t="s">
        <v>291</v>
      </c>
      <c r="D14" s="178" t="s">
        <v>288</v>
      </c>
      <c r="E14" s="177" t="s">
        <v>77</v>
      </c>
      <c r="F14" s="179" t="s">
        <v>78</v>
      </c>
      <c r="G14" s="180" t="s">
        <v>307</v>
      </c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1"/>
      <c r="BC14" s="181"/>
      <c r="BD14" s="181"/>
      <c r="BE14" s="181"/>
      <c r="BF14" s="181"/>
      <c r="BG14" s="181"/>
      <c r="BH14" s="181"/>
      <c r="BI14" s="181"/>
      <c r="BJ14" s="181"/>
      <c r="BK14" s="181"/>
    </row>
    <row r="15" spans="1:63" s="187" customFormat="1">
      <c r="A15" s="184"/>
      <c r="B15" s="184"/>
      <c r="C15" s="185"/>
      <c r="D15" s="186"/>
      <c r="E15" s="185"/>
      <c r="F15" s="186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  <c r="BI15" s="169"/>
      <c r="BJ15" s="169"/>
      <c r="BK15" s="169"/>
    </row>
    <row r="16" spans="1:63" s="187" customFormat="1">
      <c r="A16" s="184"/>
      <c r="B16" s="184"/>
      <c r="C16" s="185"/>
      <c r="D16" s="186"/>
      <c r="E16" s="185"/>
      <c r="F16" s="186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  <c r="BI16" s="169"/>
      <c r="BJ16" s="169"/>
      <c r="BK16" s="169"/>
    </row>
    <row r="17" spans="1:63" s="187" customFormat="1">
      <c r="A17" s="184"/>
      <c r="B17" s="184"/>
      <c r="C17" s="185"/>
      <c r="D17" s="186"/>
      <c r="E17" s="185"/>
      <c r="F17" s="186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  <c r="BI17" s="169"/>
      <c r="BJ17" s="169"/>
      <c r="BK17" s="169"/>
    </row>
    <row r="18" spans="1:63" s="187" customFormat="1">
      <c r="A18" s="184"/>
      <c r="B18" s="184"/>
      <c r="C18" s="185"/>
      <c r="D18" s="186"/>
      <c r="E18" s="185"/>
      <c r="F18" s="186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  <c r="BI18" s="169"/>
      <c r="BJ18" s="169"/>
      <c r="BK18" s="169"/>
    </row>
    <row r="20" spans="1:63">
      <c r="C20" s="177"/>
    </row>
    <row r="21" spans="1:63">
      <c r="A21" s="171"/>
      <c r="B21" s="171"/>
      <c r="C21" s="171"/>
      <c r="D21" s="188"/>
      <c r="E21" s="189"/>
      <c r="F21" s="188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71"/>
      <c r="BC21" s="171"/>
      <c r="BD21" s="171"/>
      <c r="BE21" s="171"/>
      <c r="BF21" s="171"/>
      <c r="BG21" s="171"/>
      <c r="BH21" s="171"/>
      <c r="BI21" s="171"/>
      <c r="BJ21" s="171"/>
      <c r="BK21" s="171"/>
    </row>
    <row r="22" spans="1:63">
      <c r="A22" s="171"/>
      <c r="B22" s="171"/>
      <c r="C22" s="171"/>
      <c r="D22" s="188"/>
      <c r="E22" s="189"/>
      <c r="F22" s="188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</row>
    <row r="23" spans="1:63">
      <c r="A23" s="171"/>
      <c r="B23" s="171"/>
      <c r="C23" s="171"/>
      <c r="D23" s="188"/>
      <c r="E23" s="189"/>
      <c r="F23" s="188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</row>
    <row r="24" spans="1:63">
      <c r="A24" s="171"/>
      <c r="B24" s="171"/>
      <c r="C24" s="171"/>
      <c r="D24" s="188"/>
      <c r="E24" s="189"/>
      <c r="F24" s="188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</row>
    <row r="26" spans="1:63">
      <c r="A26" s="171"/>
      <c r="B26" s="171"/>
      <c r="C26" s="171"/>
      <c r="D26" s="188"/>
      <c r="E26" s="188"/>
      <c r="F26" s="188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71"/>
      <c r="BC26" s="171"/>
      <c r="BD26" s="171"/>
      <c r="BE26" s="171"/>
      <c r="BF26" s="171"/>
      <c r="BG26" s="171"/>
      <c r="BH26" s="171"/>
      <c r="BI26" s="171"/>
      <c r="BJ26" s="171"/>
      <c r="BK26" s="171"/>
    </row>
  </sheetData>
  <mergeCells count="10">
    <mergeCell ref="A1:F1"/>
    <mergeCell ref="A2:F2"/>
    <mergeCell ref="A3:F3"/>
    <mergeCell ref="A5:A6"/>
    <mergeCell ref="B5:B6"/>
    <mergeCell ref="C5:C6"/>
    <mergeCell ref="D5:D6"/>
    <mergeCell ref="E5:E6"/>
    <mergeCell ref="F5:F6"/>
    <mergeCell ref="A4:F4"/>
  </mergeCells>
  <pageMargins left="0.7" right="0.7" top="0.75" bottom="0.75" header="0.3" footer="0.3"/>
  <pageSetup scale="84" fitToHeight="0" orientation="portrait"/>
  <headerFooter>
    <oddHeader>&amp;CAnexo IV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PPTO detalle</vt:lpstr>
      <vt:lpstr>PRESUPUESTO</vt:lpstr>
      <vt:lpstr>Plan de Adquisiciones</vt:lpstr>
      <vt:lpstr>Resumen</vt:lpstr>
      <vt:lpstr>Tabla de Hitos</vt:lpstr>
      <vt:lpstr>'Plan de Adquisiciones'!Print_Area</vt:lpstr>
      <vt:lpstr>PRESUPUESTO!Print_Area</vt:lpstr>
      <vt:lpstr>Resumen!Print_Area</vt:lpstr>
      <vt:lpstr>'Tabla de Hitos'!Print_Area</vt:lpstr>
      <vt:lpstr>'Plan de Adquisiciones'!Print_Titles</vt:lpstr>
      <vt:lpstr>PRESUPUESTO!Print_Titles</vt:lpstr>
    </vt:vector>
  </TitlesOfParts>
  <Company>Visión Software Ltda.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archipielagos patagonicos</dc:title>
  <dc:creator>Fabien Bourlon</dc:creator>
  <cp:lastModifiedBy>Lopez Miranda, Evelyn Daniela</cp:lastModifiedBy>
  <cp:lastPrinted>2016-11-04T12:19:30Z</cp:lastPrinted>
  <dcterms:created xsi:type="dcterms:W3CDTF">1998-07-30T16:43:49Z</dcterms:created>
  <dcterms:modified xsi:type="dcterms:W3CDTF">2017-04-20T19:56:46Z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